
<file path=[Content_Types].xml><?xml version="1.0" encoding="utf-8"?>
<Types xmlns="http://schemas.openxmlformats.org/package/2006/content-types">
  <Override PartName="/xl/charts/chart6.xml" ContentType="application/vnd.openxmlformats-officedocument.drawingml.chart+xml"/>
  <Override PartName="/xl/charts/chart20.xml" ContentType="application/vnd.openxmlformats-officedocument.drawingml.chart+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drawings/drawing6.xml" ContentType="application/vnd.openxmlformats-officedocument.drawingml.chartshapes+xml"/>
  <Override PartName="/xl/drawings/drawing8.xml" ContentType="application/vnd.openxmlformats-officedocument.drawingml.chartshapes+xml"/>
  <Override PartName="/customXml/itemProps1.xml" ContentType="application/vnd.openxmlformats-officedocument.customXmlProperties+xml"/>
  <Override PartName="/xl/worksheets/sheet7.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ml.chartshapes+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charts/chart29.xml" ContentType="application/vnd.openxmlformats-officedocument.drawingml.chart+xml"/>
  <Override PartName="/xl/charts/chart49.xml" ContentType="application/vnd.openxmlformats-officedocument.drawingml.chart+xml"/>
  <Override PartName="/xl/worksheets/sheet3.xml" ContentType="application/vnd.openxmlformats-officedocument.spreadsheetml.worksheet+xml"/>
  <Override PartName="/xl/charts/chart18.xml" ContentType="application/vnd.openxmlformats-officedocument.drawingml.chart+xml"/>
  <Override PartName="/xl/charts/chart27.xml" ContentType="application/vnd.openxmlformats-officedocument.drawingml.chart+xml"/>
  <Override PartName="/xl/charts/chart36.xml" ContentType="application/vnd.openxmlformats-officedocument.drawingml.chart+xml"/>
  <Override PartName="/xl/charts/chart38.xml" ContentType="application/vnd.openxmlformats-officedocument.drawingml.chart+xml"/>
  <Override PartName="/xl/charts/chart47.xml" ContentType="application/vnd.openxmlformats-officedocument.drawingml.chart+xml"/>
  <Override PartName="/docProps/custom.xml" ContentType="application/vnd.openxmlformats-officedocument.custom-properties+xml"/>
  <Override PartName="/xl/worksheets/sheet1.xml" ContentType="application/vnd.openxmlformats-officedocument.spreadsheetml.worksheet+xml"/>
  <Override PartName="/xl/charts/chart16.xml" ContentType="application/vnd.openxmlformats-officedocument.drawingml.chart+xml"/>
  <Override PartName="/xl/charts/chart25.xml" ContentType="application/vnd.openxmlformats-officedocument.drawingml.chart+xml"/>
  <Override PartName="/xl/charts/chart34.xml" ContentType="application/vnd.openxmlformats-officedocument.drawingml.chart+xml"/>
  <Override PartName="/xl/drawings/drawing11.xml" ContentType="application/vnd.openxmlformats-officedocument.drawing+xml"/>
  <Override PartName="/xl/charts/chart45.xml" ContentType="application/vnd.openxmlformats-officedocument.drawingml.chart+xml"/>
  <Override PartName="/xl/sharedStrings.xml" ContentType="application/vnd.openxmlformats-officedocument.spreadsheetml.sharedStrings+xml"/>
  <Override PartName="/xl/charts/chart14.xml" ContentType="application/vnd.openxmlformats-officedocument.drawingml.chart+xml"/>
  <Override PartName="/xl/charts/chart23.xml" ContentType="application/vnd.openxmlformats-officedocument.drawingml.chart+xml"/>
  <Override PartName="/xl/charts/chart32.xml" ContentType="application/vnd.openxmlformats-officedocument.drawingml.chart+xml"/>
  <Override PartName="/xl/charts/chart43.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50.xml" ContentType="application/vnd.openxmlformats-officedocument.drawingml.chart+xml"/>
  <Override PartName="/customXml/itemProps4.xml" ContentType="application/vnd.openxmlformats-officedocument.customXmlProperties+xml"/>
  <Override PartName="/docProps/core.xml" ContentType="application/vnd.openxmlformats-package.core-properties+xml"/>
  <Default Extension="bin" ContentType="application/vnd.openxmlformats-officedocument.spreadsheetml.printerSettings"/>
  <Override PartName="/xl/charts/chart7.xml" ContentType="application/vnd.openxmlformats-officedocument.drawingml.chart+xml"/>
  <Override PartName="/xl/charts/chart10.xml" ContentType="application/vnd.openxmlformats-officedocument.drawingml.chart+xml"/>
  <Override PartName="/xl/drawings/drawing9.xml" ContentType="application/vnd.openxmlformats-officedocument.drawingml.chartshapes+xml"/>
  <Override PartName="/customXml/itemProps2.xml" ContentType="application/vnd.openxmlformats-officedocument.customXmlProperties+xml"/>
  <Override PartName="/xl/charts/chart5.xml" ContentType="application/vnd.openxmlformats-officedocument.drawingml.chart+xml"/>
  <Override PartName="/xl/drawings/drawing7.xml" ContentType="application/vnd.openxmlformats-officedocument.drawingml.chartshapes+xml"/>
  <Override PartName="/xl/worksheets/sheet6.xml" ContentType="application/vnd.openxmlformats-officedocument.spreadsheetml.worksheet+xml"/>
  <Override PartName="/xl/worksheets/sheet8.xml" ContentType="application/vnd.openxmlformats-officedocument.spreadsheetml.worksheet+xml"/>
  <Override PartName="/xl/charts/chart3.xml" ContentType="application/vnd.openxmlformats-officedocument.drawingml.chart+xml"/>
  <Override PartName="/xl/drawings/drawing5.xml" ContentType="application/vnd.openxmlformats-officedocument.drawingml.chartshapes+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3.xml" ContentType="application/vnd.openxmlformats-officedocument.drawing+xml"/>
  <Override PartName="/xl/charts/chart39.xml" ContentType="application/vnd.openxmlformats-officedocument.drawingml.chart+xml"/>
  <Override PartName="/xl/charts/chart48.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harts/chart19.xml" ContentType="application/vnd.openxmlformats-officedocument.drawingml.chart+xml"/>
  <Override PartName="/xl/charts/chart28.xml" ContentType="application/vnd.openxmlformats-officedocument.drawingml.chart+xml"/>
  <Override PartName="/xl/charts/chart37.xml" ContentType="application/vnd.openxmlformats-officedocument.drawingml.chart+xml"/>
  <Override PartName="/xl/charts/chart46.xml" ContentType="application/vnd.openxmlformats-officedocument.drawingml.chart+xml"/>
  <Override PartName="/xl/charts/chart17.xml" ContentType="application/vnd.openxmlformats-officedocument.drawingml.chart+xml"/>
  <Override PartName="/xl/charts/chart26.xml" ContentType="application/vnd.openxmlformats-officedocument.drawingml.chart+xml"/>
  <Override PartName="/xl/charts/chart35.xml" ContentType="application/vnd.openxmlformats-officedocument.drawingml.chart+xml"/>
  <Override PartName="/xl/charts/chart44.xml" ContentType="application/vnd.openxmlformats-officedocument.drawingml.chart+xml"/>
  <Override PartName="/xl/calcChain.xml" ContentType="application/vnd.openxmlformats-officedocument.spreadsheetml.calcChain+xml"/>
  <Override PartName="/xl/charts/chart13.xml" ContentType="application/vnd.openxmlformats-officedocument.drawingml.chart+xml"/>
  <Override PartName="/xl/charts/chart15.xml" ContentType="application/vnd.openxmlformats-officedocument.drawingml.chart+xml"/>
  <Override PartName="/xl/charts/chart24.xml" ContentType="application/vnd.openxmlformats-officedocument.drawingml.chart+xml"/>
  <Override PartName="/xl/charts/chart33.xml" ContentType="application/vnd.openxmlformats-officedocument.drawingml.chart+xml"/>
  <Override PartName="/xl/drawings/drawing10.xml" ContentType="application/vnd.openxmlformats-officedocument.drawingml.chartshapes+xml"/>
  <Override PartName="/xl/charts/chart42.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150" yWindow="0" windowWidth="18420" windowHeight="10380" tabRatio="819"/>
  </bookViews>
  <sheets>
    <sheet name="Table" sheetId="1" r:id="rId1"/>
    <sheet name="used space Charts" sheetId="2" r:id="rId2"/>
    <sheet name="subscription charts" sheetId="4" r:id="rId3"/>
    <sheet name="Used GB Charts" sheetId="9" r:id="rId4"/>
    <sheet name="Allocated charts" sheetId="7" r:id="rId5"/>
    <sheet name="Instructions" sheetId="3" r:id="rId6"/>
    <sheet name="Formula explanation" sheetId="10" r:id="rId7"/>
    <sheet name="678 port usage" sheetId="6" r:id="rId8"/>
    <sheet name="879 port usage" sheetId="5" r:id="rId9"/>
    <sheet name="Alloc Feed" sheetId="11" r:id="rId10"/>
  </sheets>
  <calcPr calcId="125725"/>
</workbook>
</file>

<file path=xl/calcChain.xml><?xml version="1.0" encoding="utf-8"?>
<calcChain xmlns="http://schemas.openxmlformats.org/spreadsheetml/2006/main">
  <c r="Q15" i="4"/>
  <c r="Q16"/>
  <c r="Q17"/>
  <c r="Q18"/>
  <c r="Q19"/>
  <c r="Q20"/>
  <c r="Q21"/>
  <c r="Q22"/>
  <c r="Q23"/>
  <c r="Q24"/>
  <c r="Q25"/>
  <c r="Q26"/>
  <c r="Q27"/>
  <c r="Q28"/>
  <c r="Q29"/>
  <c r="Q30"/>
  <c r="Q31"/>
  <c r="Q32"/>
  <c r="Q33"/>
  <c r="Q34"/>
  <c r="Q35"/>
  <c r="Q36"/>
  <c r="Q37"/>
  <c r="Q38"/>
  <c r="Q39"/>
  <c r="Q40"/>
  <c r="Q41"/>
  <c r="Q42"/>
  <c r="Q43"/>
  <c r="Q44"/>
  <c r="Q45"/>
  <c r="Q46"/>
  <c r="Q47"/>
  <c r="Q48"/>
  <c r="Q49"/>
  <c r="Q50"/>
  <c r="Q51"/>
  <c r="Q52"/>
  <c r="Q53"/>
  <c r="Q54"/>
  <c r="Q55"/>
  <c r="Q56"/>
  <c r="Q57"/>
  <c r="Q58"/>
  <c r="Q59"/>
  <c r="Q60"/>
  <c r="Q61"/>
  <c r="Q62"/>
  <c r="Q63"/>
  <c r="Q64"/>
  <c r="Q65"/>
  <c r="Q66"/>
  <c r="Q67"/>
  <c r="Q68"/>
  <c r="Q69"/>
  <c r="Q70"/>
  <c r="Q71"/>
  <c r="Q72"/>
  <c r="Q73"/>
  <c r="Q74"/>
  <c r="Q75"/>
  <c r="Q76"/>
  <c r="Q77"/>
  <c r="Q78"/>
  <c r="Q79"/>
  <c r="Q80"/>
  <c r="Q81"/>
  <c r="Q82"/>
  <c r="Q83"/>
  <c r="Q84"/>
  <c r="Q85"/>
  <c r="Q86"/>
  <c r="Q87"/>
  <c r="Q88"/>
  <c r="Q89"/>
  <c r="Q90"/>
  <c r="Q91"/>
  <c r="Q92"/>
  <c r="Q93"/>
  <c r="Q94"/>
  <c r="Q95"/>
  <c r="Q96"/>
  <c r="Q97"/>
  <c r="Q98"/>
  <c r="Q99"/>
  <c r="Q100"/>
  <c r="Q101"/>
  <c r="Q102"/>
  <c r="Q103"/>
  <c r="Q104"/>
  <c r="Q105"/>
  <c r="Q106"/>
  <c r="Q107"/>
  <c r="Q108"/>
  <c r="Q109"/>
  <c r="Q110"/>
  <c r="Q111"/>
  <c r="Q112"/>
  <c r="Q113"/>
  <c r="Q114"/>
  <c r="Q115"/>
  <c r="Q116"/>
  <c r="Q117"/>
  <c r="Q118"/>
  <c r="Q119"/>
  <c r="Q120"/>
  <c r="Q121"/>
  <c r="Q122"/>
  <c r="Q123"/>
  <c r="Q124"/>
  <c r="Q125"/>
  <c r="Q126"/>
  <c r="Q127"/>
  <c r="Q128"/>
  <c r="Q129"/>
  <c r="Q130"/>
  <c r="Q131"/>
  <c r="Q132"/>
  <c r="Q133"/>
  <c r="Q134"/>
  <c r="Q135"/>
  <c r="Q136"/>
  <c r="Q137"/>
  <c r="Q138"/>
  <c r="Q139"/>
  <c r="Q140"/>
  <c r="Q141"/>
  <c r="Q142"/>
  <c r="Q143"/>
  <c r="Q144"/>
  <c r="Q145"/>
  <c r="Q146"/>
  <c r="Q147"/>
  <c r="Q148"/>
  <c r="Q149"/>
  <c r="Q150"/>
  <c r="Q151"/>
  <c r="Q152"/>
  <c r="Q153"/>
  <c r="Q154"/>
  <c r="Q155"/>
  <c r="Q156"/>
  <c r="Q157"/>
  <c r="Q158"/>
  <c r="Q159"/>
  <c r="Q160"/>
  <c r="Q161"/>
  <c r="Q162"/>
  <c r="Q163"/>
  <c r="Q164"/>
  <c r="Q165"/>
  <c r="Q166"/>
  <c r="Q167"/>
  <c r="Q168"/>
  <c r="Q169"/>
  <c r="Q170"/>
  <c r="Q171"/>
  <c r="Q14"/>
  <c r="P17" i="1"/>
  <c r="Q17"/>
  <c r="R17"/>
  <c r="S17"/>
  <c r="T17"/>
  <c r="U17"/>
  <c r="O17"/>
  <c r="N17"/>
  <c r="M17"/>
  <c r="L17"/>
  <c r="K17"/>
  <c r="J17"/>
  <c r="I17"/>
  <c r="H17"/>
  <c r="G17"/>
  <c r="F17"/>
  <c r="E17"/>
  <c r="D17"/>
  <c r="C17"/>
  <c r="D18"/>
  <c r="C18"/>
  <c r="R14"/>
  <c r="S14"/>
  <c r="S15"/>
  <c r="S16" s="1"/>
  <c r="S18" s="1"/>
  <c r="S12"/>
  <c r="S9"/>
  <c r="S6"/>
  <c r="T6"/>
  <c r="T14"/>
  <c r="T15"/>
  <c r="T16" s="1"/>
  <c r="T18" s="1"/>
  <c r="L15"/>
  <c r="L12"/>
  <c r="L9"/>
  <c r="L6"/>
  <c r="L16"/>
  <c r="L18" s="1"/>
  <c r="L14"/>
  <c r="U15"/>
  <c r="U16" s="1"/>
  <c r="U18" s="1"/>
  <c r="R15"/>
  <c r="R16" s="1"/>
  <c r="R18" s="1"/>
  <c r="Q15"/>
  <c r="Q16" s="1"/>
  <c r="Q18" s="1"/>
  <c r="P15"/>
  <c r="P16" s="1"/>
  <c r="P18" s="1"/>
  <c r="O15"/>
  <c r="O16" s="1"/>
  <c r="O18" s="1"/>
  <c r="N15"/>
  <c r="N16" s="1"/>
  <c r="N18" s="1"/>
  <c r="M15"/>
  <c r="M16" s="1"/>
  <c r="M18" s="1"/>
  <c r="K15"/>
  <c r="K16" s="1"/>
  <c r="K18" s="1"/>
  <c r="J15"/>
  <c r="J16" s="1"/>
  <c r="J18" s="1"/>
  <c r="I15"/>
  <c r="I16" s="1"/>
  <c r="I18" s="1"/>
  <c r="H15"/>
  <c r="X16" s="1"/>
  <c r="G15"/>
  <c r="G16" s="1"/>
  <c r="G18" s="1"/>
  <c r="F15"/>
  <c r="F16" s="1"/>
  <c r="F18" s="1"/>
  <c r="E15"/>
  <c r="E16" s="1"/>
  <c r="E18" s="1"/>
  <c r="D15"/>
  <c r="D16" s="1"/>
  <c r="C15"/>
  <c r="C16" s="1"/>
  <c r="U14"/>
  <c r="Q14"/>
  <c r="P14"/>
  <c r="O14"/>
  <c r="N14"/>
  <c r="M14"/>
  <c r="K14"/>
  <c r="J14"/>
  <c r="I14"/>
  <c r="H14"/>
  <c r="G14"/>
  <c r="F14"/>
  <c r="E14"/>
  <c r="D14"/>
  <c r="C14"/>
  <c r="N12"/>
  <c r="H12"/>
  <c r="C12"/>
  <c r="N9"/>
  <c r="H9"/>
  <c r="C9"/>
  <c r="U6"/>
  <c r="R6"/>
  <c r="Q6"/>
  <c r="P6"/>
  <c r="O6"/>
  <c r="N6"/>
  <c r="M6"/>
  <c r="K6"/>
  <c r="J6"/>
  <c r="I6"/>
  <c r="H6"/>
  <c r="G6"/>
  <c r="F6"/>
  <c r="E6"/>
  <c r="D6"/>
  <c r="C6"/>
  <c r="L1"/>
  <c r="H1"/>
  <c r="C1"/>
  <c r="H16" l="1"/>
  <c r="H18" s="1"/>
  <c r="S33"/>
  <c r="R33"/>
  <c r="Q33"/>
  <c r="Q34" s="1"/>
  <c r="Q36" s="1"/>
  <c r="P33"/>
  <c r="P34" s="1"/>
  <c r="P36" s="1"/>
  <c r="O33"/>
  <c r="N33"/>
  <c r="M33"/>
  <c r="L33"/>
  <c r="K33"/>
  <c r="K34" s="1"/>
  <c r="K36" s="1"/>
  <c r="J33"/>
  <c r="I33"/>
  <c r="I34" s="1"/>
  <c r="I36" s="1"/>
  <c r="J34"/>
  <c r="J36" s="1"/>
  <c r="H33"/>
  <c r="V34" s="1"/>
  <c r="G33"/>
  <c r="F33"/>
  <c r="F34" s="1"/>
  <c r="F36" s="1"/>
  <c r="E33"/>
  <c r="E34" s="1"/>
  <c r="E36" s="1"/>
  <c r="D33"/>
  <c r="D34" s="1"/>
  <c r="D36" s="1"/>
  <c r="C33"/>
  <c r="Q24"/>
  <c r="Q35"/>
  <c r="K32"/>
  <c r="K35" s="1"/>
  <c r="K24"/>
  <c r="S34"/>
  <c r="S36" s="1"/>
  <c r="R34"/>
  <c r="R36" s="1"/>
  <c r="O34"/>
  <c r="O36" s="1"/>
  <c r="N34"/>
  <c r="N36" s="1"/>
  <c r="M34"/>
  <c r="M36" s="1"/>
  <c r="L34"/>
  <c r="L36" s="1"/>
  <c r="H34"/>
  <c r="H36" s="1"/>
  <c r="G34"/>
  <c r="G36" s="1"/>
  <c r="C34"/>
  <c r="C36" s="1"/>
  <c r="S32"/>
  <c r="S35" s="1"/>
  <c r="R32"/>
  <c r="R35" s="1"/>
  <c r="P32"/>
  <c r="P35" s="1"/>
  <c r="O32"/>
  <c r="O35" s="1"/>
  <c r="N32"/>
  <c r="N35" s="1"/>
  <c r="M32"/>
  <c r="M35" s="1"/>
  <c r="L32"/>
  <c r="L35" s="1"/>
  <c r="J32"/>
  <c r="J35" s="1"/>
  <c r="I32"/>
  <c r="I35" s="1"/>
  <c r="H32"/>
  <c r="H35" s="1"/>
  <c r="G32"/>
  <c r="G35" s="1"/>
  <c r="F32"/>
  <c r="F35" s="1"/>
  <c r="E32"/>
  <c r="E35" s="1"/>
  <c r="D32"/>
  <c r="D35" s="1"/>
  <c r="C32"/>
  <c r="C35" s="1"/>
  <c r="M30"/>
  <c r="H30"/>
  <c r="C30"/>
  <c r="M27"/>
  <c r="H27"/>
  <c r="C27"/>
  <c r="S24"/>
  <c r="R24"/>
  <c r="P24"/>
  <c r="O24"/>
  <c r="N24"/>
  <c r="M24"/>
  <c r="L24"/>
  <c r="J24"/>
  <c r="I24"/>
  <c r="H24"/>
  <c r="G24"/>
  <c r="F24"/>
  <c r="E24"/>
  <c r="D24"/>
  <c r="C24"/>
  <c r="L19"/>
  <c r="H19"/>
  <c r="C19"/>
  <c r="P52"/>
  <c r="P54" s="1"/>
  <c r="N52"/>
  <c r="N54" s="1"/>
  <c r="L52"/>
  <c r="L54" s="1"/>
  <c r="J52"/>
  <c r="J54" s="1"/>
  <c r="T52"/>
  <c r="F52"/>
  <c r="F54" s="1"/>
  <c r="D52"/>
  <c r="D54" s="1"/>
  <c r="Q50"/>
  <c r="P50"/>
  <c r="O50"/>
  <c r="N50"/>
  <c r="M50"/>
  <c r="L50"/>
  <c r="K50"/>
  <c r="J50"/>
  <c r="I50"/>
  <c r="H50"/>
  <c r="G50"/>
  <c r="F50"/>
  <c r="E50"/>
  <c r="D50"/>
  <c r="C50"/>
  <c r="Q42"/>
  <c r="P42"/>
  <c r="O42"/>
  <c r="N42"/>
  <c r="M42"/>
  <c r="L42"/>
  <c r="K42"/>
  <c r="J42"/>
  <c r="I42"/>
  <c r="H42"/>
  <c r="G42"/>
  <c r="F42"/>
  <c r="E42"/>
  <c r="D42"/>
  <c r="C42"/>
  <c r="Q52"/>
  <c r="Q54" s="1"/>
  <c r="O52"/>
  <c r="O54" s="1"/>
  <c r="M52"/>
  <c r="M54" s="1"/>
  <c r="K52"/>
  <c r="K54" s="1"/>
  <c r="I52"/>
  <c r="I54" s="1"/>
  <c r="G52"/>
  <c r="G54" s="1"/>
  <c r="E52"/>
  <c r="E54" s="1"/>
  <c r="C52"/>
  <c r="C54" s="1"/>
  <c r="Q53"/>
  <c r="P53"/>
  <c r="O53"/>
  <c r="N53"/>
  <c r="M53"/>
  <c r="L53"/>
  <c r="K53"/>
  <c r="J53"/>
  <c r="I53"/>
  <c r="H53"/>
  <c r="G53"/>
  <c r="F53"/>
  <c r="E53"/>
  <c r="D53"/>
  <c r="C53"/>
  <c r="L48"/>
  <c r="H48"/>
  <c r="C48"/>
  <c r="L45"/>
  <c r="H45"/>
  <c r="C45"/>
  <c r="L37"/>
  <c r="H37"/>
  <c r="C37"/>
  <c r="Q69"/>
  <c r="Q70" s="1"/>
  <c r="Q72" s="1"/>
  <c r="P69"/>
  <c r="P70" s="1"/>
  <c r="P72" s="1"/>
  <c r="O69"/>
  <c r="O70" s="1"/>
  <c r="O72" s="1"/>
  <c r="N69"/>
  <c r="N70" s="1"/>
  <c r="N72" s="1"/>
  <c r="M69"/>
  <c r="M70" s="1"/>
  <c r="M72" s="1"/>
  <c r="L69"/>
  <c r="L70" s="1"/>
  <c r="L72" s="1"/>
  <c r="K69"/>
  <c r="K70" s="1"/>
  <c r="K72" s="1"/>
  <c r="J69"/>
  <c r="J70" s="1"/>
  <c r="J72" s="1"/>
  <c r="I69"/>
  <c r="I70" s="1"/>
  <c r="I72" s="1"/>
  <c r="H69"/>
  <c r="H70" s="1"/>
  <c r="H72" s="1"/>
  <c r="G69"/>
  <c r="G70" s="1"/>
  <c r="G72" s="1"/>
  <c r="F69"/>
  <c r="F70" s="1"/>
  <c r="F72" s="1"/>
  <c r="E69"/>
  <c r="E70" s="1"/>
  <c r="E72" s="1"/>
  <c r="D69"/>
  <c r="D70" s="1"/>
  <c r="D72" s="1"/>
  <c r="C69"/>
  <c r="C70" s="1"/>
  <c r="C72" s="1"/>
  <c r="Q68"/>
  <c r="Q71" s="1"/>
  <c r="P68"/>
  <c r="O68"/>
  <c r="O71" s="1"/>
  <c r="N68"/>
  <c r="M68"/>
  <c r="M71" s="1"/>
  <c r="L68"/>
  <c r="L71" s="1"/>
  <c r="K68"/>
  <c r="J68"/>
  <c r="J71" s="1"/>
  <c r="I68"/>
  <c r="I71" s="1"/>
  <c r="H68"/>
  <c r="H71" s="1"/>
  <c r="G68"/>
  <c r="F68"/>
  <c r="F71" s="1"/>
  <c r="E68"/>
  <c r="E71" s="1"/>
  <c r="D68"/>
  <c r="D71" s="1"/>
  <c r="C68"/>
  <c r="N71"/>
  <c r="P71"/>
  <c r="Q60"/>
  <c r="P60"/>
  <c r="O60"/>
  <c r="N60"/>
  <c r="M60"/>
  <c r="L60"/>
  <c r="K60"/>
  <c r="J60"/>
  <c r="I60"/>
  <c r="H60"/>
  <c r="G60"/>
  <c r="F60"/>
  <c r="E60"/>
  <c r="D60"/>
  <c r="C60"/>
  <c r="L66"/>
  <c r="H66"/>
  <c r="C66"/>
  <c r="L63"/>
  <c r="H63"/>
  <c r="C63"/>
  <c r="L55"/>
  <c r="H55"/>
  <c r="C55"/>
  <c r="H52" l="1"/>
  <c r="H54" s="1"/>
  <c r="K71"/>
  <c r="G71"/>
  <c r="C71"/>
  <c r="T70"/>
  <c r="G87"/>
  <c r="G88" s="1"/>
  <c r="G90" s="1"/>
  <c r="J87"/>
  <c r="J88" s="1"/>
  <c r="J90" s="1"/>
  <c r="I87"/>
  <c r="I88" s="1"/>
  <c r="I90" s="1"/>
  <c r="O87"/>
  <c r="O88" s="1"/>
  <c r="O90" s="1"/>
  <c r="M87"/>
  <c r="M88" s="1"/>
  <c r="M90" s="1"/>
  <c r="N87"/>
  <c r="K87"/>
  <c r="K88" s="1"/>
  <c r="K90" s="1"/>
  <c r="C87"/>
  <c r="P87"/>
  <c r="Q87"/>
  <c r="Q88" s="1"/>
  <c r="Q90" s="1"/>
  <c r="P88"/>
  <c r="P90" s="1"/>
  <c r="N88"/>
  <c r="N90" s="1"/>
  <c r="L87"/>
  <c r="L88" s="1"/>
  <c r="L90" s="1"/>
  <c r="H87"/>
  <c r="H88" s="1"/>
  <c r="H90" s="1"/>
  <c r="F87"/>
  <c r="F88" s="1"/>
  <c r="F90" s="1"/>
  <c r="E87"/>
  <c r="E88" s="1"/>
  <c r="E90" s="1"/>
  <c r="D87"/>
  <c r="D88" s="1"/>
  <c r="D90" s="1"/>
  <c r="Q86"/>
  <c r="Q89" s="1"/>
  <c r="P86"/>
  <c r="P89" s="1"/>
  <c r="O86"/>
  <c r="O89" s="1"/>
  <c r="N86"/>
  <c r="N89" s="1"/>
  <c r="M86"/>
  <c r="M89" s="1"/>
  <c r="L86"/>
  <c r="L89" s="1"/>
  <c r="K86"/>
  <c r="K89" s="1"/>
  <c r="J86"/>
  <c r="J89" s="1"/>
  <c r="I86"/>
  <c r="I89" s="1"/>
  <c r="H86"/>
  <c r="H89" s="1"/>
  <c r="G86"/>
  <c r="G89" s="1"/>
  <c r="F86"/>
  <c r="F89" s="1"/>
  <c r="E86"/>
  <c r="E89" s="1"/>
  <c r="D86"/>
  <c r="D89" s="1"/>
  <c r="C86"/>
  <c r="C89" s="1"/>
  <c r="L84"/>
  <c r="H84"/>
  <c r="C84"/>
  <c r="L81"/>
  <c r="H81"/>
  <c r="C81"/>
  <c r="Q78"/>
  <c r="P78"/>
  <c r="O78"/>
  <c r="N78"/>
  <c r="M78"/>
  <c r="L78"/>
  <c r="K78"/>
  <c r="J78"/>
  <c r="I78"/>
  <c r="H78"/>
  <c r="G78"/>
  <c r="F78"/>
  <c r="E78"/>
  <c r="D78"/>
  <c r="C78"/>
  <c r="L73"/>
  <c r="H73"/>
  <c r="C73"/>
  <c r="C88" l="1"/>
  <c r="C90" s="1"/>
  <c r="T88"/>
  <c r="L102"/>
  <c r="L99"/>
  <c r="H102"/>
  <c r="H99"/>
  <c r="C102"/>
  <c r="C99"/>
  <c r="Q96"/>
  <c r="P96"/>
  <c r="O96"/>
  <c r="N96"/>
  <c r="M96"/>
  <c r="L96"/>
  <c r="K96"/>
  <c r="J96"/>
  <c r="I96"/>
  <c r="H96"/>
  <c r="G96"/>
  <c r="F96"/>
  <c r="E96"/>
  <c r="D96"/>
  <c r="C96"/>
  <c r="Q105"/>
  <c r="Q106" s="1"/>
  <c r="Q108" s="1"/>
  <c r="P105"/>
  <c r="P106" s="1"/>
  <c r="P108" s="1"/>
  <c r="O105"/>
  <c r="O106" s="1"/>
  <c r="O108" s="1"/>
  <c r="N105"/>
  <c r="N106" s="1"/>
  <c r="N108" s="1"/>
  <c r="M105"/>
  <c r="M106" s="1"/>
  <c r="M108" s="1"/>
  <c r="L105"/>
  <c r="L106" s="1"/>
  <c r="L108" s="1"/>
  <c r="K105"/>
  <c r="K106" s="1"/>
  <c r="K108" s="1"/>
  <c r="J105"/>
  <c r="J106" s="1"/>
  <c r="J108" s="1"/>
  <c r="I105"/>
  <c r="I106" s="1"/>
  <c r="I108" s="1"/>
  <c r="H105"/>
  <c r="H106" s="1"/>
  <c r="G105"/>
  <c r="G106" s="1"/>
  <c r="G108" s="1"/>
  <c r="F105"/>
  <c r="F106" s="1"/>
  <c r="F108" s="1"/>
  <c r="E105"/>
  <c r="E106" s="1"/>
  <c r="E108" s="1"/>
  <c r="D105"/>
  <c r="D106" s="1"/>
  <c r="D108" s="1"/>
  <c r="C105"/>
  <c r="C106" s="1"/>
  <c r="C108" s="1"/>
  <c r="Q104"/>
  <c r="Q107" s="1"/>
  <c r="P104"/>
  <c r="P107" s="1"/>
  <c r="O104"/>
  <c r="O107" s="1"/>
  <c r="N104"/>
  <c r="N107" s="1"/>
  <c r="M104"/>
  <c r="M107" s="1"/>
  <c r="L104"/>
  <c r="L107" s="1"/>
  <c r="K104"/>
  <c r="K107" s="1"/>
  <c r="J104"/>
  <c r="J107" s="1"/>
  <c r="I104"/>
  <c r="I107" s="1"/>
  <c r="H104"/>
  <c r="H107" s="1"/>
  <c r="G104"/>
  <c r="G107" s="1"/>
  <c r="F104"/>
  <c r="F107" s="1"/>
  <c r="E104"/>
  <c r="E107" s="1"/>
  <c r="D104"/>
  <c r="D107" s="1"/>
  <c r="C104"/>
  <c r="C107" s="1"/>
  <c r="L91"/>
  <c r="H91"/>
  <c r="C91"/>
  <c r="C109"/>
  <c r="H109"/>
  <c r="L109"/>
  <c r="C114"/>
  <c r="D114"/>
  <c r="E114"/>
  <c r="F114"/>
  <c r="G114"/>
  <c r="H114"/>
  <c r="I114"/>
  <c r="J114"/>
  <c r="K114"/>
  <c r="L114"/>
  <c r="M114"/>
  <c r="N114"/>
  <c r="O114"/>
  <c r="P114"/>
  <c r="Q114"/>
  <c r="C117"/>
  <c r="H117"/>
  <c r="L117"/>
  <c r="C120"/>
  <c r="H120"/>
  <c r="L120"/>
  <c r="C122"/>
  <c r="D122"/>
  <c r="E122"/>
  <c r="F122"/>
  <c r="G122"/>
  <c r="H122"/>
  <c r="I122"/>
  <c r="J122"/>
  <c r="K122"/>
  <c r="L122"/>
  <c r="M122"/>
  <c r="N122"/>
  <c r="O122"/>
  <c r="P122"/>
  <c r="Q122"/>
  <c r="C123"/>
  <c r="C124" s="1"/>
  <c r="C126" s="1"/>
  <c r="D123"/>
  <c r="E123"/>
  <c r="E124" s="1"/>
  <c r="E126" s="1"/>
  <c r="F123"/>
  <c r="F124" s="1"/>
  <c r="F126" s="1"/>
  <c r="G123"/>
  <c r="G124" s="1"/>
  <c r="G126" s="1"/>
  <c r="H123"/>
  <c r="H124" s="1"/>
  <c r="H126" s="1"/>
  <c r="I123"/>
  <c r="I124" s="1"/>
  <c r="I126" s="1"/>
  <c r="J123"/>
  <c r="J124" s="1"/>
  <c r="J126" s="1"/>
  <c r="K123"/>
  <c r="K124" s="1"/>
  <c r="K126" s="1"/>
  <c r="L123"/>
  <c r="L124" s="1"/>
  <c r="L126" s="1"/>
  <c r="M123"/>
  <c r="M124" s="1"/>
  <c r="M126" s="1"/>
  <c r="N123"/>
  <c r="N124" s="1"/>
  <c r="N126" s="1"/>
  <c r="O123"/>
  <c r="O124" s="1"/>
  <c r="O126" s="1"/>
  <c r="P123"/>
  <c r="P124" s="1"/>
  <c r="P126" s="1"/>
  <c r="Q123"/>
  <c r="Q124" s="1"/>
  <c r="Q126" s="1"/>
  <c r="D124"/>
  <c r="D126" s="1"/>
  <c r="C125"/>
  <c r="D125"/>
  <c r="E125"/>
  <c r="F125"/>
  <c r="G125"/>
  <c r="H125"/>
  <c r="I125"/>
  <c r="J125"/>
  <c r="K125"/>
  <c r="L125"/>
  <c r="M125"/>
  <c r="N125"/>
  <c r="O125"/>
  <c r="P125"/>
  <c r="Q125"/>
  <c r="T124" l="1"/>
  <c r="T106"/>
  <c r="H108"/>
  <c r="D141" l="1"/>
  <c r="D142" s="1"/>
  <c r="D144" s="1"/>
  <c r="E141"/>
  <c r="E142" s="1"/>
  <c r="E144" s="1"/>
  <c r="F141"/>
  <c r="G141"/>
  <c r="G142" s="1"/>
  <c r="G144" s="1"/>
  <c r="H141"/>
  <c r="H142" s="1"/>
  <c r="H144" s="1"/>
  <c r="I141"/>
  <c r="I142" s="1"/>
  <c r="I144" s="1"/>
  <c r="J141"/>
  <c r="J142" s="1"/>
  <c r="J144" s="1"/>
  <c r="K141"/>
  <c r="K142" s="1"/>
  <c r="K144" s="1"/>
  <c r="L141"/>
  <c r="L142" s="1"/>
  <c r="L144" s="1"/>
  <c r="M141"/>
  <c r="M142" s="1"/>
  <c r="M144" s="1"/>
  <c r="N141"/>
  <c r="O141"/>
  <c r="O142" s="1"/>
  <c r="O144" s="1"/>
  <c r="P141"/>
  <c r="P142" s="1"/>
  <c r="P144" s="1"/>
  <c r="Q141"/>
  <c r="Q142" s="1"/>
  <c r="Q144" s="1"/>
  <c r="C141"/>
  <c r="C142" s="1"/>
  <c r="C144" s="1"/>
  <c r="Q140"/>
  <c r="Q143" s="1"/>
  <c r="P140"/>
  <c r="P143" s="1"/>
  <c r="O140"/>
  <c r="O143" s="1"/>
  <c r="N140"/>
  <c r="N143" s="1"/>
  <c r="M140"/>
  <c r="M143" s="1"/>
  <c r="L140"/>
  <c r="L143" s="1"/>
  <c r="K140"/>
  <c r="J140"/>
  <c r="I140"/>
  <c r="I143" s="1"/>
  <c r="H140"/>
  <c r="H143" s="1"/>
  <c r="G140"/>
  <c r="G143" s="1"/>
  <c r="F140"/>
  <c r="F143" s="1"/>
  <c r="E140"/>
  <c r="E143" s="1"/>
  <c r="D140"/>
  <c r="C140"/>
  <c r="C143" s="1"/>
  <c r="D143"/>
  <c r="F142"/>
  <c r="F144" s="1"/>
  <c r="N142"/>
  <c r="N144" s="1"/>
  <c r="K143"/>
  <c r="J143"/>
  <c r="L138" l="1"/>
  <c r="H138"/>
  <c r="C138"/>
  <c r="L135"/>
  <c r="H135"/>
  <c r="C135"/>
  <c r="Q132"/>
  <c r="P132"/>
  <c r="O132"/>
  <c r="N132"/>
  <c r="M132"/>
  <c r="L132"/>
  <c r="K132"/>
  <c r="J132"/>
  <c r="I132"/>
  <c r="H132"/>
  <c r="G132"/>
  <c r="F132"/>
  <c r="E132"/>
  <c r="D132"/>
  <c r="C132"/>
  <c r="L127"/>
  <c r="H127"/>
  <c r="C127"/>
  <c r="T142" l="1"/>
  <c r="Q159"/>
  <c r="Q160" s="1"/>
  <c r="Q162" s="1"/>
  <c r="P159"/>
  <c r="O159"/>
  <c r="O160" s="1"/>
  <c r="O162" s="1"/>
  <c r="N159"/>
  <c r="N160" s="1"/>
  <c r="N162" s="1"/>
  <c r="M159"/>
  <c r="M160" s="1"/>
  <c r="M162" s="1"/>
  <c r="L159"/>
  <c r="L160" s="1"/>
  <c r="L162" s="1"/>
  <c r="K159"/>
  <c r="K160" s="1"/>
  <c r="K162" s="1"/>
  <c r="J159"/>
  <c r="J160" s="1"/>
  <c r="J162" s="1"/>
  <c r="I159"/>
  <c r="I160" s="1"/>
  <c r="I162" s="1"/>
  <c r="H159"/>
  <c r="G159"/>
  <c r="G160" s="1"/>
  <c r="G162" s="1"/>
  <c r="F159"/>
  <c r="F160" s="1"/>
  <c r="F162" s="1"/>
  <c r="E159"/>
  <c r="E160" s="1"/>
  <c r="E162" s="1"/>
  <c r="D159"/>
  <c r="D160" s="1"/>
  <c r="D162" s="1"/>
  <c r="C159"/>
  <c r="C160" s="1"/>
  <c r="C162" s="1"/>
  <c r="P160"/>
  <c r="P162" s="1"/>
  <c r="H160"/>
  <c r="T160" s="1"/>
  <c r="Q158"/>
  <c r="Q161" s="1"/>
  <c r="P158"/>
  <c r="P161" s="1"/>
  <c r="O158"/>
  <c r="O161" s="1"/>
  <c r="N158"/>
  <c r="N161" s="1"/>
  <c r="M158"/>
  <c r="M161" s="1"/>
  <c r="L158"/>
  <c r="L161" s="1"/>
  <c r="K158"/>
  <c r="K161" s="1"/>
  <c r="J158"/>
  <c r="J161" s="1"/>
  <c r="I158"/>
  <c r="I161" s="1"/>
  <c r="H158"/>
  <c r="H161" s="1"/>
  <c r="G158"/>
  <c r="G161" s="1"/>
  <c r="F158"/>
  <c r="F161" s="1"/>
  <c r="E158"/>
  <c r="E161" s="1"/>
  <c r="D158"/>
  <c r="D161" s="1"/>
  <c r="C158"/>
  <c r="C161" s="1"/>
  <c r="L156"/>
  <c r="H156"/>
  <c r="C156"/>
  <c r="L153"/>
  <c r="H153"/>
  <c r="C153"/>
  <c r="Q150"/>
  <c r="P150"/>
  <c r="O150"/>
  <c r="N150"/>
  <c r="M150"/>
  <c r="L150"/>
  <c r="K150"/>
  <c r="J150"/>
  <c r="I150"/>
  <c r="H150"/>
  <c r="G150"/>
  <c r="F150"/>
  <c r="E150"/>
  <c r="D150"/>
  <c r="C150"/>
  <c r="L145"/>
  <c r="H145"/>
  <c r="C145"/>
  <c r="H162" l="1"/>
  <c r="Q178"/>
  <c r="Q180" s="1"/>
  <c r="P178"/>
  <c r="P180" s="1"/>
  <c r="O178"/>
  <c r="O180" s="1"/>
  <c r="N178"/>
  <c r="N180" s="1"/>
  <c r="M178"/>
  <c r="M180" s="1"/>
  <c r="L178"/>
  <c r="L180" s="1"/>
  <c r="K178"/>
  <c r="K180" s="1"/>
  <c r="J178"/>
  <c r="J180" s="1"/>
  <c r="I178"/>
  <c r="I180" s="1"/>
  <c r="H178"/>
  <c r="T178" s="1"/>
  <c r="G178"/>
  <c r="G180" s="1"/>
  <c r="F178"/>
  <c r="F180" s="1"/>
  <c r="E178"/>
  <c r="E180" s="1"/>
  <c r="D178"/>
  <c r="D180" s="1"/>
  <c r="C178"/>
  <c r="C180" s="1"/>
  <c r="Q176"/>
  <c r="Q179" s="1"/>
  <c r="P176"/>
  <c r="P179" s="1"/>
  <c r="O176"/>
  <c r="O179" s="1"/>
  <c r="N176"/>
  <c r="N179" s="1"/>
  <c r="M176"/>
  <c r="M179" s="1"/>
  <c r="L176"/>
  <c r="L179" s="1"/>
  <c r="K176"/>
  <c r="K179" s="1"/>
  <c r="J176"/>
  <c r="J179" s="1"/>
  <c r="I176"/>
  <c r="I179" s="1"/>
  <c r="H176"/>
  <c r="H179" s="1"/>
  <c r="G176"/>
  <c r="G179" s="1"/>
  <c r="F176"/>
  <c r="F179" s="1"/>
  <c r="E176"/>
  <c r="E179" s="1"/>
  <c r="D176"/>
  <c r="D179" s="1"/>
  <c r="C176"/>
  <c r="C179" s="1"/>
  <c r="L174"/>
  <c r="H174"/>
  <c r="C174"/>
  <c r="L171"/>
  <c r="H171"/>
  <c r="C171"/>
  <c r="Q168"/>
  <c r="P168"/>
  <c r="O168"/>
  <c r="N168"/>
  <c r="M168"/>
  <c r="L168"/>
  <c r="K168"/>
  <c r="J168"/>
  <c r="I168"/>
  <c r="H168"/>
  <c r="G168"/>
  <c r="F168"/>
  <c r="E168"/>
  <c r="D168"/>
  <c r="C168"/>
  <c r="L163"/>
  <c r="H163"/>
  <c r="C163"/>
  <c r="H180" l="1"/>
  <c r="H194" l="1"/>
  <c r="H197" s="1"/>
  <c r="Q194"/>
  <c r="Q197" s="1"/>
  <c r="P194"/>
  <c r="P197" s="1"/>
  <c r="L194"/>
  <c r="L197" s="1"/>
  <c r="M194"/>
  <c r="M197" s="1"/>
  <c r="N194"/>
  <c r="N197" s="1"/>
  <c r="O194"/>
  <c r="O197" s="1"/>
  <c r="K194"/>
  <c r="K197" s="1"/>
  <c r="J194"/>
  <c r="J197" s="1"/>
  <c r="G194"/>
  <c r="G197" s="1"/>
  <c r="I194"/>
  <c r="I197" s="1"/>
  <c r="F194"/>
  <c r="F197" s="1"/>
  <c r="E194"/>
  <c r="E197" s="1"/>
  <c r="D194"/>
  <c r="D197" s="1"/>
  <c r="C194"/>
  <c r="C197" s="1"/>
  <c r="C181"/>
  <c r="L181"/>
  <c r="L192"/>
  <c r="L189"/>
  <c r="Q196"/>
  <c r="Q198" s="1"/>
  <c r="P196"/>
  <c r="P198" s="1"/>
  <c r="O196"/>
  <c r="O198" s="1"/>
  <c r="N196"/>
  <c r="N198" s="1"/>
  <c r="M196"/>
  <c r="M198" s="1"/>
  <c r="L196"/>
  <c r="L198" s="1"/>
  <c r="K196"/>
  <c r="K198" s="1"/>
  <c r="J196"/>
  <c r="J198" s="1"/>
  <c r="I196"/>
  <c r="I198" s="1"/>
  <c r="H196"/>
  <c r="H198" s="1"/>
  <c r="G196"/>
  <c r="G198" s="1"/>
  <c r="F196"/>
  <c r="F198" s="1"/>
  <c r="E196"/>
  <c r="E198" s="1"/>
  <c r="D196"/>
  <c r="D198" s="1"/>
  <c r="C196"/>
  <c r="C198" s="1"/>
  <c r="H199"/>
  <c r="K199"/>
  <c r="T196"/>
  <c r="Q186"/>
  <c r="P186"/>
  <c r="O186"/>
  <c r="N186"/>
  <c r="M186"/>
  <c r="L186"/>
  <c r="K186"/>
  <c r="J186"/>
  <c r="I186"/>
  <c r="H186"/>
  <c r="G186"/>
  <c r="F186"/>
  <c r="E186"/>
  <c r="D186"/>
  <c r="C186"/>
  <c r="H192"/>
  <c r="C192"/>
  <c r="H189"/>
  <c r="C189"/>
  <c r="H181"/>
  <c r="K210" l="1"/>
  <c r="H210"/>
  <c r="C210"/>
  <c r="K207"/>
  <c r="H207"/>
  <c r="C207"/>
  <c r="I229"/>
  <c r="J229"/>
  <c r="K227"/>
  <c r="H227"/>
  <c r="C227"/>
  <c r="K224"/>
  <c r="H224"/>
  <c r="C224"/>
  <c r="P214" l="1"/>
  <c r="H230"/>
  <c r="H231" s="1"/>
  <c r="N230"/>
  <c r="N231" s="1"/>
  <c r="M230"/>
  <c r="M231" s="1"/>
  <c r="M232" s="1"/>
  <c r="L230"/>
  <c r="L231" s="1"/>
  <c r="L232" s="1"/>
  <c r="K230"/>
  <c r="K231" s="1"/>
  <c r="K232" s="1"/>
  <c r="J230"/>
  <c r="J231" s="1"/>
  <c r="J232" s="1"/>
  <c r="I230"/>
  <c r="I231" s="1"/>
  <c r="I232" s="1"/>
  <c r="G230"/>
  <c r="G231" s="1"/>
  <c r="G232" s="1"/>
  <c r="F230"/>
  <c r="F231" s="1"/>
  <c r="F232" s="1"/>
  <c r="E230"/>
  <c r="E231" s="1"/>
  <c r="E232" s="1"/>
  <c r="D230"/>
  <c r="D231" s="1"/>
  <c r="D232" s="1"/>
  <c r="C230"/>
  <c r="C231" s="1"/>
  <c r="C232" s="1"/>
  <c r="N229"/>
  <c r="M229"/>
  <c r="L229"/>
  <c r="K229"/>
  <c r="H229"/>
  <c r="G229"/>
  <c r="F229"/>
  <c r="E229"/>
  <c r="D229"/>
  <c r="C229"/>
  <c r="N221"/>
  <c r="M221"/>
  <c r="L221"/>
  <c r="K221"/>
  <c r="J221"/>
  <c r="I221"/>
  <c r="H221"/>
  <c r="G221"/>
  <c r="F221"/>
  <c r="E221"/>
  <c r="D221"/>
  <c r="C221"/>
  <c r="N232" l="1"/>
  <c r="H232"/>
  <c r="P231"/>
  <c r="N242"/>
  <c r="N243" s="1"/>
  <c r="N244" s="1"/>
  <c r="M242"/>
  <c r="M243" s="1"/>
  <c r="M244" s="1"/>
  <c r="K242"/>
  <c r="K243" s="1"/>
  <c r="K244" s="1"/>
  <c r="J242"/>
  <c r="J243" s="1"/>
  <c r="J244" s="1"/>
  <c r="I242"/>
  <c r="I243" s="1"/>
  <c r="I244" s="1"/>
  <c r="I238"/>
  <c r="H242"/>
  <c r="H243" s="1"/>
  <c r="C242"/>
  <c r="C243" s="1"/>
  <c r="C244" s="1"/>
  <c r="L242"/>
  <c r="L243" s="1"/>
  <c r="L244" s="1"/>
  <c r="G242"/>
  <c r="G243" s="1"/>
  <c r="G244" s="1"/>
  <c r="F242"/>
  <c r="F243" s="1"/>
  <c r="F244" s="1"/>
  <c r="E242"/>
  <c r="E243" s="1"/>
  <c r="E244" s="1"/>
  <c r="D242"/>
  <c r="D243" s="1"/>
  <c r="D244" s="1"/>
  <c r="N241"/>
  <c r="M241"/>
  <c r="K241"/>
  <c r="I241"/>
  <c r="H241"/>
  <c r="G241"/>
  <c r="N240"/>
  <c r="M240"/>
  <c r="L240"/>
  <c r="K240"/>
  <c r="J240"/>
  <c r="I240"/>
  <c r="H240"/>
  <c r="G240"/>
  <c r="F240"/>
  <c r="E240"/>
  <c r="D240"/>
  <c r="C240"/>
  <c r="N238"/>
  <c r="M238"/>
  <c r="L238"/>
  <c r="K238"/>
  <c r="J238"/>
  <c r="H238"/>
  <c r="G238"/>
  <c r="F238"/>
  <c r="E238"/>
  <c r="D238"/>
  <c r="C238"/>
  <c r="H244" l="1"/>
  <c r="P243"/>
  <c r="H254"/>
  <c r="H255" s="1"/>
  <c r="K254"/>
  <c r="K255" s="1"/>
  <c r="K256" s="1"/>
  <c r="N254"/>
  <c r="N255" s="1"/>
  <c r="N256" s="1"/>
  <c r="M254"/>
  <c r="M255" s="1"/>
  <c r="M256" s="1"/>
  <c r="L254"/>
  <c r="L255" s="1"/>
  <c r="L256" s="1"/>
  <c r="J254"/>
  <c r="J255" s="1"/>
  <c r="J256" s="1"/>
  <c r="I254"/>
  <c r="I255" s="1"/>
  <c r="I256" s="1"/>
  <c r="G254"/>
  <c r="G255" s="1"/>
  <c r="G256" s="1"/>
  <c r="F254"/>
  <c r="F255" s="1"/>
  <c r="F256" s="1"/>
  <c r="E254"/>
  <c r="E255" s="1"/>
  <c r="E256" s="1"/>
  <c r="D254"/>
  <c r="D255" s="1"/>
  <c r="D256" s="1"/>
  <c r="C254"/>
  <c r="C255" s="1"/>
  <c r="C256" s="1"/>
  <c r="N253"/>
  <c r="M253"/>
  <c r="K253"/>
  <c r="I253"/>
  <c r="H253"/>
  <c r="G253"/>
  <c r="N252"/>
  <c r="M252"/>
  <c r="L252"/>
  <c r="K252"/>
  <c r="J252"/>
  <c r="I252"/>
  <c r="H252"/>
  <c r="G252"/>
  <c r="F252"/>
  <c r="E252"/>
  <c r="D252"/>
  <c r="C252"/>
  <c r="N250"/>
  <c r="M250"/>
  <c r="L250"/>
  <c r="K250"/>
  <c r="J250"/>
  <c r="I250"/>
  <c r="H250"/>
  <c r="G250"/>
  <c r="F250"/>
  <c r="E250"/>
  <c r="D250"/>
  <c r="C250"/>
  <c r="H256" l="1"/>
  <c r="P255"/>
  <c r="I266"/>
  <c r="I267" s="1"/>
  <c r="I268" s="1"/>
  <c r="H266"/>
  <c r="H267" s="1"/>
  <c r="M266"/>
  <c r="M267" s="1"/>
  <c r="M268" s="1"/>
  <c r="K266"/>
  <c r="K267" s="1"/>
  <c r="K268" s="1"/>
  <c r="N266"/>
  <c r="N267" s="1"/>
  <c r="N268" s="1"/>
  <c r="L266"/>
  <c r="L267" s="1"/>
  <c r="L268" s="1"/>
  <c r="J266"/>
  <c r="J267" s="1"/>
  <c r="J268" s="1"/>
  <c r="G266"/>
  <c r="G267" s="1"/>
  <c r="G268" s="1"/>
  <c r="F266"/>
  <c r="F267" s="1"/>
  <c r="F268" s="1"/>
  <c r="E266"/>
  <c r="E267" s="1"/>
  <c r="E268" s="1"/>
  <c r="D266"/>
  <c r="D267" s="1"/>
  <c r="D268" s="1"/>
  <c r="C266"/>
  <c r="C267" s="1"/>
  <c r="C268" s="1"/>
  <c r="N265"/>
  <c r="M265"/>
  <c r="K265"/>
  <c r="I265"/>
  <c r="H265"/>
  <c r="G265"/>
  <c r="N264"/>
  <c r="M264"/>
  <c r="L264"/>
  <c r="K264"/>
  <c r="J264"/>
  <c r="I264"/>
  <c r="H264"/>
  <c r="G264"/>
  <c r="F264"/>
  <c r="E264"/>
  <c r="D264"/>
  <c r="C264"/>
  <c r="N262"/>
  <c r="M262"/>
  <c r="L262"/>
  <c r="K262"/>
  <c r="J262"/>
  <c r="I262"/>
  <c r="H262"/>
  <c r="G262"/>
  <c r="F262"/>
  <c r="E262"/>
  <c r="D262"/>
  <c r="C262"/>
  <c r="H268" l="1"/>
  <c r="P267"/>
  <c r="G278"/>
  <c r="G279" s="1"/>
  <c r="G280" s="1"/>
  <c r="I274"/>
  <c r="L278"/>
  <c r="L279" s="1"/>
  <c r="L280" s="1"/>
  <c r="K278"/>
  <c r="K279" s="1"/>
  <c r="K280" s="1"/>
  <c r="N278"/>
  <c r="N279" s="1"/>
  <c r="N280" s="1"/>
  <c r="M278"/>
  <c r="M279" s="1"/>
  <c r="M280" s="1"/>
  <c r="J278"/>
  <c r="J279" s="1"/>
  <c r="J280" s="1"/>
  <c r="I278"/>
  <c r="I279" s="1"/>
  <c r="I280" s="1"/>
  <c r="H278"/>
  <c r="H279" s="1"/>
  <c r="F278"/>
  <c r="F279" s="1"/>
  <c r="F280" s="1"/>
  <c r="E278"/>
  <c r="E279" s="1"/>
  <c r="E280" s="1"/>
  <c r="D278"/>
  <c r="D279" s="1"/>
  <c r="D280" s="1"/>
  <c r="C278"/>
  <c r="C279" s="1"/>
  <c r="C280" s="1"/>
  <c r="N277"/>
  <c r="M277"/>
  <c r="K277"/>
  <c r="I277"/>
  <c r="H277"/>
  <c r="G277"/>
  <c r="N276"/>
  <c r="M276"/>
  <c r="L276"/>
  <c r="K276"/>
  <c r="J276"/>
  <c r="I276"/>
  <c r="H276"/>
  <c r="G276"/>
  <c r="F276"/>
  <c r="E276"/>
  <c r="D276"/>
  <c r="C276"/>
  <c r="N274"/>
  <c r="M274"/>
  <c r="L274"/>
  <c r="K274"/>
  <c r="J274"/>
  <c r="H274"/>
  <c r="G274"/>
  <c r="F274"/>
  <c r="E274"/>
  <c r="D274"/>
  <c r="C274"/>
  <c r="H280" l="1"/>
  <c r="P279"/>
  <c r="K290"/>
  <c r="K291" s="1"/>
  <c r="K292" s="1"/>
  <c r="J290"/>
  <c r="J291" s="1"/>
  <c r="J292" s="1"/>
  <c r="G290"/>
  <c r="G291" s="1"/>
  <c r="G292" s="1"/>
  <c r="H290"/>
  <c r="H291" s="1"/>
  <c r="N290"/>
  <c r="N291" s="1"/>
  <c r="N292" s="1"/>
  <c r="M290"/>
  <c r="M291" s="1"/>
  <c r="M292" s="1"/>
  <c r="L290"/>
  <c r="L291" s="1"/>
  <c r="L292" s="1"/>
  <c r="I290"/>
  <c r="I291" s="1"/>
  <c r="I292" s="1"/>
  <c r="F290"/>
  <c r="F291" s="1"/>
  <c r="F292" s="1"/>
  <c r="E290"/>
  <c r="E291" s="1"/>
  <c r="E292" s="1"/>
  <c r="D290"/>
  <c r="D291" s="1"/>
  <c r="D292" s="1"/>
  <c r="C290"/>
  <c r="C291" s="1"/>
  <c r="C292" s="1"/>
  <c r="N289"/>
  <c r="M289"/>
  <c r="K289"/>
  <c r="I289"/>
  <c r="H289"/>
  <c r="G289"/>
  <c r="N288"/>
  <c r="M288"/>
  <c r="L288"/>
  <c r="K288"/>
  <c r="J288"/>
  <c r="I288"/>
  <c r="H288"/>
  <c r="G288"/>
  <c r="F288"/>
  <c r="E288"/>
  <c r="D288"/>
  <c r="C288"/>
  <c r="N286"/>
  <c r="M286"/>
  <c r="L286"/>
  <c r="K286"/>
  <c r="J286"/>
  <c r="I286"/>
  <c r="H286"/>
  <c r="G286"/>
  <c r="F286"/>
  <c r="E286"/>
  <c r="D286"/>
  <c r="C286"/>
  <c r="H292" l="1"/>
  <c r="P291"/>
  <c r="L298"/>
  <c r="N302"/>
  <c r="N303" s="1"/>
  <c r="N304" s="1"/>
  <c r="M302"/>
  <c r="M303" s="1"/>
  <c r="M304" s="1"/>
  <c r="L302"/>
  <c r="L303" s="1"/>
  <c r="L304" s="1"/>
  <c r="K302"/>
  <c r="K303" s="1"/>
  <c r="K304" s="1"/>
  <c r="J302"/>
  <c r="J303" s="1"/>
  <c r="J304" s="1"/>
  <c r="I302"/>
  <c r="I303" s="1"/>
  <c r="I304" s="1"/>
  <c r="H302"/>
  <c r="H303" s="1"/>
  <c r="G302"/>
  <c r="G303" s="1"/>
  <c r="G304" s="1"/>
  <c r="F302"/>
  <c r="F303" s="1"/>
  <c r="F304" s="1"/>
  <c r="E302"/>
  <c r="E303" s="1"/>
  <c r="E304" s="1"/>
  <c r="D302"/>
  <c r="D303" s="1"/>
  <c r="D304" s="1"/>
  <c r="C302"/>
  <c r="C303" s="1"/>
  <c r="C304" s="1"/>
  <c r="N301"/>
  <c r="M301"/>
  <c r="K301"/>
  <c r="I301"/>
  <c r="H301"/>
  <c r="G301"/>
  <c r="N300"/>
  <c r="M300"/>
  <c r="L300"/>
  <c r="K300"/>
  <c r="J300"/>
  <c r="I300"/>
  <c r="H300"/>
  <c r="G300"/>
  <c r="F300"/>
  <c r="E300"/>
  <c r="D300"/>
  <c r="C300"/>
  <c r="N298"/>
  <c r="M298"/>
  <c r="K298"/>
  <c r="J298"/>
  <c r="I298"/>
  <c r="H298"/>
  <c r="G298"/>
  <c r="F298"/>
  <c r="E298"/>
  <c r="D298"/>
  <c r="C298"/>
  <c r="H304" l="1"/>
  <c r="P303"/>
  <c r="H314"/>
  <c r="H315" s="1"/>
  <c r="N314"/>
  <c r="N315" s="1"/>
  <c r="N316" s="1"/>
  <c r="M314"/>
  <c r="M315" s="1"/>
  <c r="M316" s="1"/>
  <c r="L314"/>
  <c r="L315" s="1"/>
  <c r="L316" s="1"/>
  <c r="K314"/>
  <c r="K315" s="1"/>
  <c r="K316" s="1"/>
  <c r="J314"/>
  <c r="J315" s="1"/>
  <c r="J316" s="1"/>
  <c r="I314"/>
  <c r="I315" s="1"/>
  <c r="I316" s="1"/>
  <c r="G314"/>
  <c r="G315" s="1"/>
  <c r="G316" s="1"/>
  <c r="F314"/>
  <c r="F315" s="1"/>
  <c r="F316" s="1"/>
  <c r="E314"/>
  <c r="E315" s="1"/>
  <c r="E316" s="1"/>
  <c r="D314"/>
  <c r="D315" s="1"/>
  <c r="D316" s="1"/>
  <c r="C314"/>
  <c r="C315" s="1"/>
  <c r="C316" s="1"/>
  <c r="N313"/>
  <c r="M313"/>
  <c r="K313"/>
  <c r="I313"/>
  <c r="H313"/>
  <c r="G313"/>
  <c r="N312"/>
  <c r="M312"/>
  <c r="L312"/>
  <c r="K312"/>
  <c r="J312"/>
  <c r="I312"/>
  <c r="H312"/>
  <c r="G312"/>
  <c r="F312"/>
  <c r="E312"/>
  <c r="D312"/>
  <c r="C312"/>
  <c r="N310"/>
  <c r="M310"/>
  <c r="L310"/>
  <c r="K310"/>
  <c r="J310"/>
  <c r="I310"/>
  <c r="H310"/>
  <c r="G310"/>
  <c r="F310"/>
  <c r="E310"/>
  <c r="D310"/>
  <c r="C310"/>
  <c r="H316" l="1"/>
  <c r="P315"/>
  <c r="K326"/>
  <c r="K327" s="1"/>
  <c r="K328" s="1"/>
  <c r="N326"/>
  <c r="N327" s="1"/>
  <c r="N328" s="1"/>
  <c r="M326"/>
  <c r="M327" s="1"/>
  <c r="M328" s="1"/>
  <c r="L326"/>
  <c r="L327" s="1"/>
  <c r="L328" s="1"/>
  <c r="J326"/>
  <c r="J327" s="1"/>
  <c r="J328" s="1"/>
  <c r="I326"/>
  <c r="I327" s="1"/>
  <c r="I328" s="1"/>
  <c r="H326"/>
  <c r="H327" s="1"/>
  <c r="G326"/>
  <c r="G327" s="1"/>
  <c r="G328" s="1"/>
  <c r="F326"/>
  <c r="F327" s="1"/>
  <c r="F328" s="1"/>
  <c r="E326"/>
  <c r="E327" s="1"/>
  <c r="E328" s="1"/>
  <c r="D326"/>
  <c r="D327" s="1"/>
  <c r="D328" s="1"/>
  <c r="C326"/>
  <c r="C327" s="1"/>
  <c r="C328" s="1"/>
  <c r="N325"/>
  <c r="M325"/>
  <c r="K325"/>
  <c r="I325"/>
  <c r="H325"/>
  <c r="G325"/>
  <c r="N324"/>
  <c r="M324"/>
  <c r="L324"/>
  <c r="K324"/>
  <c r="J324"/>
  <c r="I324"/>
  <c r="H324"/>
  <c r="G324"/>
  <c r="F324"/>
  <c r="E324"/>
  <c r="D324"/>
  <c r="C324"/>
  <c r="N322"/>
  <c r="M322"/>
  <c r="L322"/>
  <c r="K322"/>
  <c r="J322"/>
  <c r="I322"/>
  <c r="H322"/>
  <c r="G322"/>
  <c r="F322"/>
  <c r="E322"/>
  <c r="D322"/>
  <c r="C322"/>
  <c r="H328" l="1"/>
  <c r="P327"/>
  <c r="H338"/>
  <c r="H339" s="1"/>
  <c r="D338"/>
  <c r="D339" s="1"/>
  <c r="D340" s="1"/>
  <c r="F338"/>
  <c r="F339" s="1"/>
  <c r="F340" s="1"/>
  <c r="N338"/>
  <c r="N339" s="1"/>
  <c r="N340" s="1"/>
  <c r="L338"/>
  <c r="L339" s="1"/>
  <c r="L340" s="1"/>
  <c r="G338"/>
  <c r="G339" s="1"/>
  <c r="G340" s="1"/>
  <c r="M338"/>
  <c r="M339" s="1"/>
  <c r="M340" s="1"/>
  <c r="K338"/>
  <c r="K339" s="1"/>
  <c r="K340" s="1"/>
  <c r="J338"/>
  <c r="J339" s="1"/>
  <c r="J340" s="1"/>
  <c r="I338"/>
  <c r="I339" s="1"/>
  <c r="I340" s="1"/>
  <c r="E338"/>
  <c r="E339" s="1"/>
  <c r="E340" s="1"/>
  <c r="C338"/>
  <c r="C339" s="1"/>
  <c r="C340" s="1"/>
  <c r="N337"/>
  <c r="M337"/>
  <c r="K337"/>
  <c r="I337"/>
  <c r="H337"/>
  <c r="G337"/>
  <c r="N336"/>
  <c r="M336"/>
  <c r="L336"/>
  <c r="K336"/>
  <c r="J336"/>
  <c r="I336"/>
  <c r="H336"/>
  <c r="G336"/>
  <c r="F336"/>
  <c r="E336"/>
  <c r="D336"/>
  <c r="C336"/>
  <c r="N334"/>
  <c r="M334"/>
  <c r="L334"/>
  <c r="K334"/>
  <c r="J334"/>
  <c r="I334"/>
  <c r="H334"/>
  <c r="G334"/>
  <c r="F334"/>
  <c r="E334"/>
  <c r="D334"/>
  <c r="C334"/>
  <c r="H340" l="1"/>
  <c r="P339"/>
  <c r="H350"/>
  <c r="H351" s="1"/>
  <c r="N350"/>
  <c r="N351" s="1"/>
  <c r="N352" s="1"/>
  <c r="M350"/>
  <c r="M351" s="1"/>
  <c r="M352" s="1"/>
  <c r="L350"/>
  <c r="L351" s="1"/>
  <c r="L352" s="1"/>
  <c r="K350"/>
  <c r="K351" s="1"/>
  <c r="K352" s="1"/>
  <c r="J350"/>
  <c r="J351" s="1"/>
  <c r="J352" s="1"/>
  <c r="I350"/>
  <c r="I351" s="1"/>
  <c r="I352" s="1"/>
  <c r="G350"/>
  <c r="G351" s="1"/>
  <c r="G352" s="1"/>
  <c r="F350"/>
  <c r="F351" s="1"/>
  <c r="F352" s="1"/>
  <c r="E350"/>
  <c r="E351" s="1"/>
  <c r="E352" s="1"/>
  <c r="D350"/>
  <c r="D351" s="1"/>
  <c r="D352" s="1"/>
  <c r="C350"/>
  <c r="C351" s="1"/>
  <c r="C352" s="1"/>
  <c r="N349"/>
  <c r="M349"/>
  <c r="K349"/>
  <c r="I349"/>
  <c r="H349"/>
  <c r="G349"/>
  <c r="N348"/>
  <c r="M348"/>
  <c r="L348"/>
  <c r="K348"/>
  <c r="J348"/>
  <c r="I348"/>
  <c r="H348"/>
  <c r="G348"/>
  <c r="F348"/>
  <c r="E348"/>
  <c r="D348"/>
  <c r="C348"/>
  <c r="N346"/>
  <c r="M346"/>
  <c r="L346"/>
  <c r="K346"/>
  <c r="J346"/>
  <c r="I346"/>
  <c r="H346"/>
  <c r="G346"/>
  <c r="F346"/>
  <c r="E346"/>
  <c r="D346"/>
  <c r="C346"/>
  <c r="H352" l="1"/>
  <c r="P351"/>
  <c r="M362"/>
  <c r="M363" s="1"/>
  <c r="M364" s="1"/>
  <c r="K362"/>
  <c r="K363" s="1"/>
  <c r="K364" s="1"/>
  <c r="G362"/>
  <c r="G363" s="1"/>
  <c r="G364" s="1"/>
  <c r="I362"/>
  <c r="I363" s="1"/>
  <c r="I364" s="1"/>
  <c r="F358"/>
  <c r="N362"/>
  <c r="N363" s="1"/>
  <c r="N364" s="1"/>
  <c r="L362"/>
  <c r="L363" s="1"/>
  <c r="L364" s="1"/>
  <c r="J362"/>
  <c r="J363" s="1"/>
  <c r="J364" s="1"/>
  <c r="H362"/>
  <c r="H363" s="1"/>
  <c r="F362"/>
  <c r="F363" s="1"/>
  <c r="F364" s="1"/>
  <c r="E362"/>
  <c r="E363" s="1"/>
  <c r="E364" s="1"/>
  <c r="D362"/>
  <c r="D363" s="1"/>
  <c r="D364" s="1"/>
  <c r="C362"/>
  <c r="C363" s="1"/>
  <c r="C364" s="1"/>
  <c r="N361"/>
  <c r="M361"/>
  <c r="K361"/>
  <c r="I361"/>
  <c r="H361"/>
  <c r="G361"/>
  <c r="N360"/>
  <c r="M360"/>
  <c r="L360"/>
  <c r="K360"/>
  <c r="J360"/>
  <c r="I360"/>
  <c r="H360"/>
  <c r="G360"/>
  <c r="F360"/>
  <c r="E360"/>
  <c r="D360"/>
  <c r="C360"/>
  <c r="N358"/>
  <c r="M358"/>
  <c r="L358"/>
  <c r="K358"/>
  <c r="J358"/>
  <c r="I358"/>
  <c r="H358"/>
  <c r="G358"/>
  <c r="E358"/>
  <c r="D358"/>
  <c r="C358"/>
  <c r="H364" l="1"/>
  <c r="P363"/>
  <c r="J374"/>
  <c r="H374"/>
  <c r="H375" s="1"/>
  <c r="F374"/>
  <c r="F375" s="1"/>
  <c r="F376" s="1"/>
  <c r="C374"/>
  <c r="N374"/>
  <c r="N375" s="1"/>
  <c r="N376" s="1"/>
  <c r="M374"/>
  <c r="M375" s="1"/>
  <c r="M376" s="1"/>
  <c r="L374"/>
  <c r="L375" s="1"/>
  <c r="L376" s="1"/>
  <c r="K374"/>
  <c r="K375" s="1"/>
  <c r="K376" s="1"/>
  <c r="J375"/>
  <c r="J376" s="1"/>
  <c r="I374"/>
  <c r="I375" s="1"/>
  <c r="I376" s="1"/>
  <c r="G374"/>
  <c r="G375" s="1"/>
  <c r="G376" s="1"/>
  <c r="E374"/>
  <c r="E375" s="1"/>
  <c r="E376" s="1"/>
  <c r="D374"/>
  <c r="D375" s="1"/>
  <c r="D376" s="1"/>
  <c r="C375"/>
  <c r="C376" s="1"/>
  <c r="N373"/>
  <c r="M373"/>
  <c r="K373"/>
  <c r="I373"/>
  <c r="H373"/>
  <c r="G373"/>
  <c r="N372"/>
  <c r="M372"/>
  <c r="L372"/>
  <c r="K372"/>
  <c r="J372"/>
  <c r="I372"/>
  <c r="H372"/>
  <c r="G372"/>
  <c r="F372"/>
  <c r="E372"/>
  <c r="D372"/>
  <c r="C372"/>
  <c r="N370"/>
  <c r="M370"/>
  <c r="L370"/>
  <c r="K370"/>
  <c r="J370"/>
  <c r="I370"/>
  <c r="H370"/>
  <c r="G370"/>
  <c r="F370"/>
  <c r="E370"/>
  <c r="D370"/>
  <c r="C370"/>
  <c r="I386"/>
  <c r="H386"/>
  <c r="F382"/>
  <c r="N386"/>
  <c r="N387" s="1"/>
  <c r="N388" s="1"/>
  <c r="M386"/>
  <c r="M387" s="1"/>
  <c r="M388" s="1"/>
  <c r="L386"/>
  <c r="L387" s="1"/>
  <c r="L388" s="1"/>
  <c r="K386"/>
  <c r="K387" s="1"/>
  <c r="K388" s="1"/>
  <c r="J386"/>
  <c r="J387" s="1"/>
  <c r="J388" s="1"/>
  <c r="I387"/>
  <c r="I388" s="1"/>
  <c r="H387"/>
  <c r="G386"/>
  <c r="G387" s="1"/>
  <c r="G388" s="1"/>
  <c r="F386"/>
  <c r="F387" s="1"/>
  <c r="F388" s="1"/>
  <c r="E386"/>
  <c r="E387" s="1"/>
  <c r="E388" s="1"/>
  <c r="D386"/>
  <c r="D387" s="1"/>
  <c r="D388" s="1"/>
  <c r="C386"/>
  <c r="C387" s="1"/>
  <c r="C388" s="1"/>
  <c r="N385"/>
  <c r="M385"/>
  <c r="K385"/>
  <c r="I385"/>
  <c r="H385"/>
  <c r="G385"/>
  <c r="N384"/>
  <c r="M384"/>
  <c r="L384"/>
  <c r="K384"/>
  <c r="J384"/>
  <c r="I384"/>
  <c r="H384"/>
  <c r="G384"/>
  <c r="F384"/>
  <c r="E384"/>
  <c r="D384"/>
  <c r="C384"/>
  <c r="N382"/>
  <c r="M382"/>
  <c r="L382"/>
  <c r="K382"/>
  <c r="J382"/>
  <c r="I382"/>
  <c r="H382"/>
  <c r="G382"/>
  <c r="E382"/>
  <c r="D382"/>
  <c r="C382"/>
  <c r="M398"/>
  <c r="M399" s="1"/>
  <c r="M400" s="1"/>
  <c r="K398"/>
  <c r="K399" s="1"/>
  <c r="K400" s="1"/>
  <c r="H398"/>
  <c r="N398"/>
  <c r="L398"/>
  <c r="J398"/>
  <c r="I398"/>
  <c r="I399" s="1"/>
  <c r="I400" s="1"/>
  <c r="G398"/>
  <c r="G399" s="1"/>
  <c r="G400" s="1"/>
  <c r="F398"/>
  <c r="E398"/>
  <c r="E399" s="1"/>
  <c r="E400" s="1"/>
  <c r="D398"/>
  <c r="C398"/>
  <c r="C399" s="1"/>
  <c r="C400" s="1"/>
  <c r="N397"/>
  <c r="M397"/>
  <c r="K397"/>
  <c r="I397"/>
  <c r="H397"/>
  <c r="G397"/>
  <c r="N396"/>
  <c r="M396"/>
  <c r="L396"/>
  <c r="K396"/>
  <c r="J396"/>
  <c r="I396"/>
  <c r="H396"/>
  <c r="G396"/>
  <c r="F396"/>
  <c r="E396"/>
  <c r="D396"/>
  <c r="C396"/>
  <c r="N394"/>
  <c r="M394"/>
  <c r="L394"/>
  <c r="K394"/>
  <c r="J394"/>
  <c r="H394"/>
  <c r="G394"/>
  <c r="F394"/>
  <c r="E394"/>
  <c r="D394"/>
  <c r="C394"/>
  <c r="I394"/>
  <c r="H376" l="1"/>
  <c r="P375"/>
  <c r="H388"/>
  <c r="P387"/>
  <c r="D399"/>
  <c r="D400" s="1"/>
  <c r="F399"/>
  <c r="F400" s="1"/>
  <c r="H399"/>
  <c r="J399"/>
  <c r="J400" s="1"/>
  <c r="L399"/>
  <c r="L400" s="1"/>
  <c r="N399"/>
  <c r="N400" s="1"/>
  <c r="M410"/>
  <c r="K410"/>
  <c r="I410"/>
  <c r="I411" s="1"/>
  <c r="I412" s="1"/>
  <c r="H410"/>
  <c r="H411" s="1"/>
  <c r="N410"/>
  <c r="N411" s="1"/>
  <c r="N412" s="1"/>
  <c r="L410"/>
  <c r="L411" s="1"/>
  <c r="L412" s="1"/>
  <c r="J410"/>
  <c r="J411" s="1"/>
  <c r="J412" s="1"/>
  <c r="G410"/>
  <c r="F410"/>
  <c r="F411" s="1"/>
  <c r="F412" s="1"/>
  <c r="E410"/>
  <c r="D410"/>
  <c r="D411" s="1"/>
  <c r="D412" s="1"/>
  <c r="C410"/>
  <c r="N409"/>
  <c r="M409"/>
  <c r="K409"/>
  <c r="I409"/>
  <c r="H409"/>
  <c r="G409"/>
  <c r="N408"/>
  <c r="M408"/>
  <c r="L408"/>
  <c r="K408"/>
  <c r="J408"/>
  <c r="I408"/>
  <c r="H408"/>
  <c r="G408"/>
  <c r="F408"/>
  <c r="E408"/>
  <c r="D408"/>
  <c r="C408"/>
  <c r="N406"/>
  <c r="M406"/>
  <c r="L406"/>
  <c r="K406"/>
  <c r="J406"/>
  <c r="I406"/>
  <c r="H406"/>
  <c r="G406"/>
  <c r="F406"/>
  <c r="E406"/>
  <c r="D406"/>
  <c r="C406"/>
  <c r="H422"/>
  <c r="H423" s="1"/>
  <c r="K422"/>
  <c r="N422"/>
  <c r="N423" s="1"/>
  <c r="N424" s="1"/>
  <c r="M422"/>
  <c r="L422"/>
  <c r="L423" s="1"/>
  <c r="L424" s="1"/>
  <c r="J422"/>
  <c r="J423" s="1"/>
  <c r="J424" s="1"/>
  <c r="I422"/>
  <c r="G422"/>
  <c r="F422"/>
  <c r="F423" s="1"/>
  <c r="F424" s="1"/>
  <c r="E422"/>
  <c r="D422"/>
  <c r="D423" s="1"/>
  <c r="D424" s="1"/>
  <c r="C422"/>
  <c r="N421"/>
  <c r="M421"/>
  <c r="K421"/>
  <c r="I421"/>
  <c r="H421"/>
  <c r="G421"/>
  <c r="N420"/>
  <c r="M420"/>
  <c r="L420"/>
  <c r="K420"/>
  <c r="J420"/>
  <c r="I420"/>
  <c r="H420"/>
  <c r="G420"/>
  <c r="F420"/>
  <c r="E420"/>
  <c r="D420"/>
  <c r="C420"/>
  <c r="N418"/>
  <c r="M418"/>
  <c r="L418"/>
  <c r="K418"/>
  <c r="J418"/>
  <c r="I418"/>
  <c r="H418"/>
  <c r="G418"/>
  <c r="F418"/>
  <c r="E418"/>
  <c r="D418"/>
  <c r="C418"/>
  <c r="M434"/>
  <c r="K434"/>
  <c r="I434"/>
  <c r="E434"/>
  <c r="F434"/>
  <c r="F435" s="1"/>
  <c r="F436" s="1"/>
  <c r="D434"/>
  <c r="D435" s="1"/>
  <c r="D436" s="1"/>
  <c r="N434"/>
  <c r="N435" s="1"/>
  <c r="N436" s="1"/>
  <c r="L434"/>
  <c r="L435" s="1"/>
  <c r="L436" s="1"/>
  <c r="J434"/>
  <c r="J435" s="1"/>
  <c r="J436" s="1"/>
  <c r="H434"/>
  <c r="H435" s="1"/>
  <c r="H436" s="1"/>
  <c r="G434"/>
  <c r="C434"/>
  <c r="N433"/>
  <c r="M433"/>
  <c r="K433"/>
  <c r="I433"/>
  <c r="H433"/>
  <c r="G433"/>
  <c r="N432"/>
  <c r="M432"/>
  <c r="L432"/>
  <c r="K432"/>
  <c r="J432"/>
  <c r="I432"/>
  <c r="H432"/>
  <c r="G432"/>
  <c r="F432"/>
  <c r="E432"/>
  <c r="D432"/>
  <c r="C432"/>
  <c r="N430"/>
  <c r="M430"/>
  <c r="L430"/>
  <c r="K430"/>
  <c r="J430"/>
  <c r="I430"/>
  <c r="H430"/>
  <c r="G430"/>
  <c r="F430"/>
  <c r="E430"/>
  <c r="D430"/>
  <c r="C430"/>
  <c r="L447"/>
  <c r="L448" s="1"/>
  <c r="K447"/>
  <c r="G447"/>
  <c r="C447"/>
  <c r="D447"/>
  <c r="D448" s="1"/>
  <c r="N447"/>
  <c r="N448" s="1"/>
  <c r="N449" s="1"/>
  <c r="M447"/>
  <c r="J447"/>
  <c r="J448" s="1"/>
  <c r="I447"/>
  <c r="H447"/>
  <c r="H448" s="1"/>
  <c r="H449" s="1"/>
  <c r="F447"/>
  <c r="F448" s="1"/>
  <c r="E447"/>
  <c r="N446"/>
  <c r="M446"/>
  <c r="K446"/>
  <c r="I446"/>
  <c r="H446"/>
  <c r="G446"/>
  <c r="N445"/>
  <c r="M445"/>
  <c r="L445"/>
  <c r="K445"/>
  <c r="J445"/>
  <c r="I445"/>
  <c r="H445"/>
  <c r="G445"/>
  <c r="F445"/>
  <c r="E445"/>
  <c r="D445"/>
  <c r="C445"/>
  <c r="N443"/>
  <c r="M443"/>
  <c r="L443"/>
  <c r="K443"/>
  <c r="J443"/>
  <c r="I443"/>
  <c r="H443"/>
  <c r="G443"/>
  <c r="F443"/>
  <c r="E443"/>
  <c r="D443"/>
  <c r="C443"/>
  <c r="L460"/>
  <c r="L461" s="1"/>
  <c r="J460"/>
  <c r="J461" s="1"/>
  <c r="G460"/>
  <c r="N460"/>
  <c r="N461" s="1"/>
  <c r="N462" s="1"/>
  <c r="M460"/>
  <c r="K460"/>
  <c r="I460"/>
  <c r="H460"/>
  <c r="H461" s="1"/>
  <c r="H462" s="1"/>
  <c r="F460"/>
  <c r="F461" s="1"/>
  <c r="E460"/>
  <c r="D460"/>
  <c r="D461" s="1"/>
  <c r="C460"/>
  <c r="N459"/>
  <c r="M459"/>
  <c r="K459"/>
  <c r="I459"/>
  <c r="H459"/>
  <c r="G459"/>
  <c r="N458"/>
  <c r="M458"/>
  <c r="L458"/>
  <c r="K458"/>
  <c r="J458"/>
  <c r="I458"/>
  <c r="H458"/>
  <c r="G458"/>
  <c r="F458"/>
  <c r="E458"/>
  <c r="D458"/>
  <c r="C458"/>
  <c r="N456"/>
  <c r="M456"/>
  <c r="L456"/>
  <c r="K456"/>
  <c r="J456"/>
  <c r="I456"/>
  <c r="H456"/>
  <c r="G456"/>
  <c r="F456"/>
  <c r="E456"/>
  <c r="D456"/>
  <c r="C456"/>
  <c r="M473"/>
  <c r="L473"/>
  <c r="K473"/>
  <c r="J473"/>
  <c r="G473"/>
  <c r="D463" l="1"/>
  <c r="D462"/>
  <c r="F463"/>
  <c r="F462"/>
  <c r="L463"/>
  <c r="L462"/>
  <c r="F450"/>
  <c r="F449"/>
  <c r="D450"/>
  <c r="D449"/>
  <c r="L450"/>
  <c r="L449"/>
  <c r="J463"/>
  <c r="J462"/>
  <c r="J450"/>
  <c r="J449"/>
  <c r="P423"/>
  <c r="H424"/>
  <c r="P411"/>
  <c r="H412"/>
  <c r="P399"/>
  <c r="H400"/>
  <c r="C411"/>
  <c r="C412" s="1"/>
  <c r="E411"/>
  <c r="E412" s="1"/>
  <c r="G411"/>
  <c r="G412" s="1"/>
  <c r="K411"/>
  <c r="K412" s="1"/>
  <c r="M411"/>
  <c r="M412" s="1"/>
  <c r="C423"/>
  <c r="C424" s="1"/>
  <c r="E423"/>
  <c r="E424" s="1"/>
  <c r="G423"/>
  <c r="G424" s="1"/>
  <c r="I423"/>
  <c r="I424" s="1"/>
  <c r="K423"/>
  <c r="K424" s="1"/>
  <c r="M423"/>
  <c r="M424" s="1"/>
  <c r="N463"/>
  <c r="N450"/>
  <c r="P435"/>
  <c r="C435"/>
  <c r="C436" s="1"/>
  <c r="E435"/>
  <c r="E436" s="1"/>
  <c r="G435"/>
  <c r="G436" s="1"/>
  <c r="I435"/>
  <c r="I436" s="1"/>
  <c r="K435"/>
  <c r="K436" s="1"/>
  <c r="M435"/>
  <c r="M436" s="1"/>
  <c r="H450"/>
  <c r="P448"/>
  <c r="C448"/>
  <c r="E448"/>
  <c r="G448"/>
  <c r="I448"/>
  <c r="K448"/>
  <c r="M448"/>
  <c r="H463"/>
  <c r="P461"/>
  <c r="C461"/>
  <c r="E461"/>
  <c r="G461"/>
  <c r="I461"/>
  <c r="K461"/>
  <c r="M461"/>
  <c r="C473"/>
  <c r="N473"/>
  <c r="N474" s="1"/>
  <c r="N475" s="1"/>
  <c r="L474"/>
  <c r="J474"/>
  <c r="I473"/>
  <c r="H473"/>
  <c r="H474" s="1"/>
  <c r="H475" s="1"/>
  <c r="F473"/>
  <c r="F474" s="1"/>
  <c r="E473"/>
  <c r="D473"/>
  <c r="D474" s="1"/>
  <c r="N472"/>
  <c r="M472"/>
  <c r="K472"/>
  <c r="I472"/>
  <c r="H472"/>
  <c r="G472"/>
  <c r="N471"/>
  <c r="M471"/>
  <c r="L471"/>
  <c r="K471"/>
  <c r="J471"/>
  <c r="I471"/>
  <c r="H471"/>
  <c r="G471"/>
  <c r="F471"/>
  <c r="E471"/>
  <c r="D471"/>
  <c r="C471"/>
  <c r="N469"/>
  <c r="M469"/>
  <c r="L469"/>
  <c r="K469"/>
  <c r="J469"/>
  <c r="I469"/>
  <c r="H469"/>
  <c r="G469"/>
  <c r="F469"/>
  <c r="E469"/>
  <c r="D469"/>
  <c r="C469"/>
  <c r="L486"/>
  <c r="K486"/>
  <c r="G486"/>
  <c r="H486"/>
  <c r="J476" l="1"/>
  <c r="J475"/>
  <c r="M463"/>
  <c r="M462"/>
  <c r="I463"/>
  <c r="I462"/>
  <c r="E463"/>
  <c r="E462"/>
  <c r="M450"/>
  <c r="M449"/>
  <c r="I450"/>
  <c r="I449"/>
  <c r="E450"/>
  <c r="E449"/>
  <c r="D476"/>
  <c r="D475"/>
  <c r="F476"/>
  <c r="F475"/>
  <c r="L476"/>
  <c r="L475"/>
  <c r="K463"/>
  <c r="K462"/>
  <c r="G463"/>
  <c r="G462"/>
  <c r="C463"/>
  <c r="C462"/>
  <c r="K450"/>
  <c r="K449"/>
  <c r="G450"/>
  <c r="G449"/>
  <c r="C450"/>
  <c r="C449"/>
  <c r="N476"/>
  <c r="H476"/>
  <c r="P474"/>
  <c r="C474"/>
  <c r="E474"/>
  <c r="G474"/>
  <c r="I474"/>
  <c r="K474"/>
  <c r="M474"/>
  <c r="C486"/>
  <c r="N486"/>
  <c r="N487" s="1"/>
  <c r="N488" s="1"/>
  <c r="M486"/>
  <c r="L487"/>
  <c r="J486"/>
  <c r="J487" s="1"/>
  <c r="H487"/>
  <c r="H488" s="1"/>
  <c r="F486"/>
  <c r="F487" s="1"/>
  <c r="E486"/>
  <c r="D486"/>
  <c r="D487" s="1"/>
  <c r="N485"/>
  <c r="M485"/>
  <c r="K485"/>
  <c r="I485"/>
  <c r="H485"/>
  <c r="G485"/>
  <c r="N484"/>
  <c r="M484"/>
  <c r="L484"/>
  <c r="K484"/>
  <c r="J484"/>
  <c r="H484"/>
  <c r="G484"/>
  <c r="F484"/>
  <c r="E484"/>
  <c r="D484"/>
  <c r="C484"/>
  <c r="I486"/>
  <c r="N482"/>
  <c r="M482"/>
  <c r="L482"/>
  <c r="K482"/>
  <c r="J482"/>
  <c r="I482"/>
  <c r="H482"/>
  <c r="G482"/>
  <c r="F482"/>
  <c r="E482"/>
  <c r="D482"/>
  <c r="C482"/>
  <c r="L499"/>
  <c r="L500" s="1"/>
  <c r="K499"/>
  <c r="G499"/>
  <c r="H499"/>
  <c r="H500" s="1"/>
  <c r="H501" s="1"/>
  <c r="C499"/>
  <c r="N499"/>
  <c r="N500" s="1"/>
  <c r="N501" s="1"/>
  <c r="M499"/>
  <c r="J499"/>
  <c r="J500" s="1"/>
  <c r="F499"/>
  <c r="F500" s="1"/>
  <c r="E499"/>
  <c r="D499"/>
  <c r="D500" s="1"/>
  <c r="N498"/>
  <c r="M498"/>
  <c r="K498"/>
  <c r="I498"/>
  <c r="H498"/>
  <c r="G498"/>
  <c r="N497"/>
  <c r="M497"/>
  <c r="L497"/>
  <c r="K497"/>
  <c r="J497"/>
  <c r="H497"/>
  <c r="G497"/>
  <c r="F497"/>
  <c r="E497"/>
  <c r="D497"/>
  <c r="C497"/>
  <c r="I496"/>
  <c r="I499" s="1"/>
  <c r="N495"/>
  <c r="M495"/>
  <c r="L495"/>
  <c r="K495"/>
  <c r="J495"/>
  <c r="I495"/>
  <c r="H495"/>
  <c r="G495"/>
  <c r="F495"/>
  <c r="E495"/>
  <c r="D495"/>
  <c r="C495"/>
  <c r="M512"/>
  <c r="H512"/>
  <c r="H513" s="1"/>
  <c r="H514" s="1"/>
  <c r="N512"/>
  <c r="N513" s="1"/>
  <c r="N514" s="1"/>
  <c r="L512"/>
  <c r="L513" s="1"/>
  <c r="K512"/>
  <c r="J512"/>
  <c r="J513" s="1"/>
  <c r="G512"/>
  <c r="F512"/>
  <c r="F513" s="1"/>
  <c r="E512"/>
  <c r="D512"/>
  <c r="D513" s="1"/>
  <c r="C512"/>
  <c r="N511"/>
  <c r="M511"/>
  <c r="K511"/>
  <c r="I511"/>
  <c r="H511"/>
  <c r="G511"/>
  <c r="N510"/>
  <c r="M510"/>
  <c r="L510"/>
  <c r="K510"/>
  <c r="J510"/>
  <c r="H510"/>
  <c r="G510"/>
  <c r="F510"/>
  <c r="E510"/>
  <c r="D510"/>
  <c r="C510"/>
  <c r="I509"/>
  <c r="I512" s="1"/>
  <c r="N508"/>
  <c r="M508"/>
  <c r="L508"/>
  <c r="K508"/>
  <c r="J508"/>
  <c r="I508"/>
  <c r="H508"/>
  <c r="G508"/>
  <c r="F508"/>
  <c r="E508"/>
  <c r="D508"/>
  <c r="C508"/>
  <c r="K525"/>
  <c r="H525"/>
  <c r="L502" l="1"/>
  <c r="L501"/>
  <c r="D515"/>
  <c r="D514"/>
  <c r="F515"/>
  <c r="F514"/>
  <c r="J515"/>
  <c r="J514"/>
  <c r="L515"/>
  <c r="L514"/>
  <c r="D502"/>
  <c r="D501"/>
  <c r="F502"/>
  <c r="F501"/>
  <c r="D489"/>
  <c r="D488"/>
  <c r="F489"/>
  <c r="F488"/>
  <c r="J489"/>
  <c r="J488"/>
  <c r="K476"/>
  <c r="K475"/>
  <c r="G476"/>
  <c r="G475"/>
  <c r="C476"/>
  <c r="C475"/>
  <c r="J502"/>
  <c r="J501"/>
  <c r="L489"/>
  <c r="L488"/>
  <c r="M476"/>
  <c r="M475"/>
  <c r="I476"/>
  <c r="I475"/>
  <c r="E476"/>
  <c r="E475"/>
  <c r="N515"/>
  <c r="N502"/>
  <c r="N489"/>
  <c r="I487"/>
  <c r="H489"/>
  <c r="P487"/>
  <c r="I484"/>
  <c r="C487"/>
  <c r="E487"/>
  <c r="G487"/>
  <c r="K487"/>
  <c r="M487"/>
  <c r="I500"/>
  <c r="H502"/>
  <c r="P500"/>
  <c r="I497"/>
  <c r="C500"/>
  <c r="E500"/>
  <c r="G500"/>
  <c r="K500"/>
  <c r="M500"/>
  <c r="I513"/>
  <c r="H515"/>
  <c r="P513"/>
  <c r="I510"/>
  <c r="C513"/>
  <c r="E513"/>
  <c r="G513"/>
  <c r="K513"/>
  <c r="M513"/>
  <c r="N525"/>
  <c r="N526" s="1"/>
  <c r="N527" s="1"/>
  <c r="M525"/>
  <c r="L525"/>
  <c r="L526" s="1"/>
  <c r="J525"/>
  <c r="J526" s="1"/>
  <c r="H526"/>
  <c r="G525"/>
  <c r="F525"/>
  <c r="F526" s="1"/>
  <c r="E525"/>
  <c r="D525"/>
  <c r="D526" s="1"/>
  <c r="C525"/>
  <c r="N524"/>
  <c r="N528" s="1"/>
  <c r="M524"/>
  <c r="K524"/>
  <c r="I524"/>
  <c r="H524"/>
  <c r="H528" s="1"/>
  <c r="G524"/>
  <c r="N523"/>
  <c r="M523"/>
  <c r="L523"/>
  <c r="K523"/>
  <c r="J523"/>
  <c r="H523"/>
  <c r="G523"/>
  <c r="F523"/>
  <c r="E523"/>
  <c r="D523"/>
  <c r="C523"/>
  <c r="I522"/>
  <c r="I525" s="1"/>
  <c r="N521"/>
  <c r="M521"/>
  <c r="L521"/>
  <c r="K521"/>
  <c r="J521"/>
  <c r="I521"/>
  <c r="H521"/>
  <c r="G521"/>
  <c r="F521"/>
  <c r="E521"/>
  <c r="D521"/>
  <c r="C521"/>
  <c r="M538"/>
  <c r="M539" s="1"/>
  <c r="M540" s="1"/>
  <c r="K538"/>
  <c r="K539" s="1"/>
  <c r="K540" s="1"/>
  <c r="H538"/>
  <c r="H539" s="1"/>
  <c r="H540" s="1"/>
  <c r="D538"/>
  <c r="D539" s="1"/>
  <c r="N538"/>
  <c r="N539" s="1"/>
  <c r="N540" s="1"/>
  <c r="L538"/>
  <c r="L539" s="1"/>
  <c r="J538"/>
  <c r="J539" s="1"/>
  <c r="G538"/>
  <c r="G539" s="1"/>
  <c r="G540" s="1"/>
  <c r="F538"/>
  <c r="F539" s="1"/>
  <c r="E538"/>
  <c r="E539" s="1"/>
  <c r="C538"/>
  <c r="C539" s="1"/>
  <c r="N537"/>
  <c r="M537"/>
  <c r="K537"/>
  <c r="I537"/>
  <c r="H537"/>
  <c r="G537"/>
  <c r="N536"/>
  <c r="M536"/>
  <c r="L536"/>
  <c r="K536"/>
  <c r="J536"/>
  <c r="H536"/>
  <c r="G536"/>
  <c r="F536"/>
  <c r="E536"/>
  <c r="D536"/>
  <c r="C536"/>
  <c r="I535"/>
  <c r="I538" s="1"/>
  <c r="N534"/>
  <c r="M534"/>
  <c r="L534"/>
  <c r="K534"/>
  <c r="J534"/>
  <c r="I534"/>
  <c r="H534"/>
  <c r="G534"/>
  <c r="F534"/>
  <c r="E534"/>
  <c r="D534"/>
  <c r="C534"/>
  <c r="M551"/>
  <c r="I548"/>
  <c r="I551" s="1"/>
  <c r="H551"/>
  <c r="H552" s="1"/>
  <c r="H553" s="1"/>
  <c r="E551"/>
  <c r="C551"/>
  <c r="N551"/>
  <c r="N552" s="1"/>
  <c r="N553" s="1"/>
  <c r="L551"/>
  <c r="L552" s="1"/>
  <c r="K551"/>
  <c r="J551"/>
  <c r="J552" s="1"/>
  <c r="G551"/>
  <c r="F551"/>
  <c r="F552" s="1"/>
  <c r="D551"/>
  <c r="D552" s="1"/>
  <c r="N550"/>
  <c r="M550"/>
  <c r="K550"/>
  <c r="I550"/>
  <c r="H550"/>
  <c r="G550"/>
  <c r="N549"/>
  <c r="M549"/>
  <c r="L549"/>
  <c r="K549"/>
  <c r="J549"/>
  <c r="H549"/>
  <c r="G549"/>
  <c r="F549"/>
  <c r="E549"/>
  <c r="D549"/>
  <c r="C549"/>
  <c r="N547"/>
  <c r="M547"/>
  <c r="L547"/>
  <c r="K547"/>
  <c r="J547"/>
  <c r="I547"/>
  <c r="H547"/>
  <c r="G547"/>
  <c r="F547"/>
  <c r="E547"/>
  <c r="D547"/>
  <c r="C547"/>
  <c r="K564"/>
  <c r="H564"/>
  <c r="H565" s="1"/>
  <c r="H566" s="1"/>
  <c r="E564"/>
  <c r="D564"/>
  <c r="D565" s="1"/>
  <c r="C564"/>
  <c r="N564"/>
  <c r="N565" s="1"/>
  <c r="N566" s="1"/>
  <c r="M564"/>
  <c r="L564"/>
  <c r="L565" s="1"/>
  <c r="J564"/>
  <c r="J565" s="1"/>
  <c r="G564"/>
  <c r="F564"/>
  <c r="F565" s="1"/>
  <c r="N563"/>
  <c r="M563"/>
  <c r="K563"/>
  <c r="I563"/>
  <c r="H563"/>
  <c r="G563"/>
  <c r="N562"/>
  <c r="M562"/>
  <c r="L562"/>
  <c r="K562"/>
  <c r="J562"/>
  <c r="H562"/>
  <c r="G562"/>
  <c r="F562"/>
  <c r="E562"/>
  <c r="D562"/>
  <c r="C562"/>
  <c r="I561"/>
  <c r="I564" s="1"/>
  <c r="N560"/>
  <c r="M560"/>
  <c r="L560"/>
  <c r="K560"/>
  <c r="J560"/>
  <c r="I560"/>
  <c r="H560"/>
  <c r="G560"/>
  <c r="F560"/>
  <c r="E560"/>
  <c r="D560"/>
  <c r="C560"/>
  <c r="K577"/>
  <c r="E577"/>
  <c r="D577"/>
  <c r="N577"/>
  <c r="N578" s="1"/>
  <c r="N579" s="1"/>
  <c r="M577"/>
  <c r="L577"/>
  <c r="L578" s="1"/>
  <c r="J577"/>
  <c r="J578" s="1"/>
  <c r="H577"/>
  <c r="H578" s="1"/>
  <c r="H579" s="1"/>
  <c r="G577"/>
  <c r="F577"/>
  <c r="F578" s="1"/>
  <c r="D578"/>
  <c r="C577"/>
  <c r="N576"/>
  <c r="M576"/>
  <c r="K576"/>
  <c r="I576"/>
  <c r="H576"/>
  <c r="G576"/>
  <c r="N575"/>
  <c r="M575"/>
  <c r="L575"/>
  <c r="K575"/>
  <c r="J575"/>
  <c r="H575"/>
  <c r="G575"/>
  <c r="F575"/>
  <c r="E575"/>
  <c r="D575"/>
  <c r="C575"/>
  <c r="I574"/>
  <c r="I577" s="1"/>
  <c r="N573"/>
  <c r="M573"/>
  <c r="L573"/>
  <c r="K573"/>
  <c r="J573"/>
  <c r="I573"/>
  <c r="H573"/>
  <c r="G573"/>
  <c r="F573"/>
  <c r="E573"/>
  <c r="D573"/>
  <c r="C573"/>
  <c r="M590"/>
  <c r="K590"/>
  <c r="H590"/>
  <c r="H591" s="1"/>
  <c r="H592" s="1"/>
  <c r="E590"/>
  <c r="D590"/>
  <c r="D591" s="1"/>
  <c r="C590"/>
  <c r="N590"/>
  <c r="N591" s="1"/>
  <c r="N592" s="1"/>
  <c r="L590"/>
  <c r="L591" s="1"/>
  <c r="J590"/>
  <c r="J591" s="1"/>
  <c r="G590"/>
  <c r="F590"/>
  <c r="F591" s="1"/>
  <c r="N589"/>
  <c r="M589"/>
  <c r="K589"/>
  <c r="I589"/>
  <c r="H589"/>
  <c r="G589"/>
  <c r="N588"/>
  <c r="M588"/>
  <c r="L588"/>
  <c r="K588"/>
  <c r="J588"/>
  <c r="H588"/>
  <c r="G588"/>
  <c r="F588"/>
  <c r="E588"/>
  <c r="D588"/>
  <c r="C588"/>
  <c r="I587"/>
  <c r="I590" s="1"/>
  <c r="N586"/>
  <c r="M586"/>
  <c r="L586"/>
  <c r="K586"/>
  <c r="J586"/>
  <c r="I586"/>
  <c r="H586"/>
  <c r="G586"/>
  <c r="F586"/>
  <c r="E586"/>
  <c r="D586"/>
  <c r="C586"/>
  <c r="M601"/>
  <c r="K603"/>
  <c r="E603"/>
  <c r="D603"/>
  <c r="D604" s="1"/>
  <c r="N603"/>
  <c r="N604" s="1"/>
  <c r="N605" s="1"/>
  <c r="L603"/>
  <c r="L604" s="1"/>
  <c r="J603"/>
  <c r="J604" s="1"/>
  <c r="H603"/>
  <c r="H604" s="1"/>
  <c r="H605" s="1"/>
  <c r="G603"/>
  <c r="F603"/>
  <c r="F604" s="1"/>
  <c r="C603"/>
  <c r="N602"/>
  <c r="M602"/>
  <c r="K602"/>
  <c r="I602"/>
  <c r="H602"/>
  <c r="G602"/>
  <c r="N601"/>
  <c r="L601"/>
  <c r="K601"/>
  <c r="J601"/>
  <c r="H601"/>
  <c r="G601"/>
  <c r="F601"/>
  <c r="E601"/>
  <c r="D601"/>
  <c r="C601"/>
  <c r="M603"/>
  <c r="I600"/>
  <c r="I603" s="1"/>
  <c r="N599"/>
  <c r="M599"/>
  <c r="L599"/>
  <c r="K599"/>
  <c r="J599"/>
  <c r="I599"/>
  <c r="H599"/>
  <c r="G599"/>
  <c r="F599"/>
  <c r="E599"/>
  <c r="D599"/>
  <c r="C599"/>
  <c r="I639"/>
  <c r="I626"/>
  <c r="I629" s="1"/>
  <c r="I613"/>
  <c r="K616"/>
  <c r="J616"/>
  <c r="J617" s="1"/>
  <c r="H616"/>
  <c r="H617" s="1"/>
  <c r="H618" s="1"/>
  <c r="F616"/>
  <c r="F617" s="1"/>
  <c r="C616"/>
  <c r="N616"/>
  <c r="N617" s="1"/>
  <c r="N618" s="1"/>
  <c r="L616"/>
  <c r="L617" s="1"/>
  <c r="G616"/>
  <c r="E616"/>
  <c r="D616"/>
  <c r="D617" s="1"/>
  <c r="N615"/>
  <c r="M615"/>
  <c r="K615"/>
  <c r="I615"/>
  <c r="H615"/>
  <c r="G615"/>
  <c r="N614"/>
  <c r="L614"/>
  <c r="K614"/>
  <c r="J614"/>
  <c r="H614"/>
  <c r="G614"/>
  <c r="F614"/>
  <c r="E614"/>
  <c r="D614"/>
  <c r="C614"/>
  <c r="M613"/>
  <c r="M616" s="1"/>
  <c r="I616"/>
  <c r="N612"/>
  <c r="M612"/>
  <c r="L612"/>
  <c r="K612"/>
  <c r="J612"/>
  <c r="I612"/>
  <c r="H612"/>
  <c r="G612"/>
  <c r="F612"/>
  <c r="E612"/>
  <c r="D612"/>
  <c r="C612"/>
  <c r="H629"/>
  <c r="F629"/>
  <c r="N629"/>
  <c r="L629"/>
  <c r="K629"/>
  <c r="K630" s="1"/>
  <c r="K631" s="1"/>
  <c r="J629"/>
  <c r="G629"/>
  <c r="G630" s="1"/>
  <c r="G631" s="1"/>
  <c r="E629"/>
  <c r="E630" s="1"/>
  <c r="D629"/>
  <c r="C629"/>
  <c r="C630" s="1"/>
  <c r="N628"/>
  <c r="M628"/>
  <c r="K628"/>
  <c r="I628"/>
  <c r="H628"/>
  <c r="G628"/>
  <c r="N627"/>
  <c r="L627"/>
  <c r="K627"/>
  <c r="J627"/>
  <c r="H627"/>
  <c r="G627"/>
  <c r="F627"/>
  <c r="E627"/>
  <c r="D627"/>
  <c r="C627"/>
  <c r="M626"/>
  <c r="M629" s="1"/>
  <c r="N625"/>
  <c r="M625"/>
  <c r="L625"/>
  <c r="K625"/>
  <c r="J625"/>
  <c r="I625"/>
  <c r="H625"/>
  <c r="G625"/>
  <c r="F625"/>
  <c r="E625"/>
  <c r="D625"/>
  <c r="C625"/>
  <c r="L642"/>
  <c r="L643" s="1"/>
  <c r="G642"/>
  <c r="I642"/>
  <c r="H642"/>
  <c r="H643" s="1"/>
  <c r="H644" s="1"/>
  <c r="E642"/>
  <c r="F642"/>
  <c r="F643" s="1"/>
  <c r="D642"/>
  <c r="D643" s="1"/>
  <c r="N642"/>
  <c r="N643" s="1"/>
  <c r="N644" s="1"/>
  <c r="K642"/>
  <c r="J642"/>
  <c r="J643" s="1"/>
  <c r="C642"/>
  <c r="N641"/>
  <c r="M641"/>
  <c r="K641"/>
  <c r="I641"/>
  <c r="H641"/>
  <c r="G641"/>
  <c r="N640"/>
  <c r="L640"/>
  <c r="K640"/>
  <c r="J640"/>
  <c r="H640"/>
  <c r="G640"/>
  <c r="F640"/>
  <c r="E640"/>
  <c r="D640"/>
  <c r="C640"/>
  <c r="M639"/>
  <c r="M642" s="1"/>
  <c r="N638"/>
  <c r="M638"/>
  <c r="L638"/>
  <c r="K638"/>
  <c r="J638"/>
  <c r="I638"/>
  <c r="H638"/>
  <c r="G638"/>
  <c r="F638"/>
  <c r="E638"/>
  <c r="D638"/>
  <c r="C638"/>
  <c r="H655"/>
  <c r="C655"/>
  <c r="C656" s="1"/>
  <c r="N655"/>
  <c r="L655"/>
  <c r="K655"/>
  <c r="K656" s="1"/>
  <c r="K657" s="1"/>
  <c r="J655"/>
  <c r="G655"/>
  <c r="G656" s="1"/>
  <c r="G657" s="1"/>
  <c r="F655"/>
  <c r="E655"/>
  <c r="E656" s="1"/>
  <c r="D655"/>
  <c r="N654"/>
  <c r="M654"/>
  <c r="K654"/>
  <c r="I654"/>
  <c r="H654"/>
  <c r="G654"/>
  <c r="N653"/>
  <c r="L653"/>
  <c r="K653"/>
  <c r="J653"/>
  <c r="H653"/>
  <c r="G653"/>
  <c r="F653"/>
  <c r="E653"/>
  <c r="D653"/>
  <c r="C653"/>
  <c r="M652"/>
  <c r="M655" s="1"/>
  <c r="I652"/>
  <c r="I655" s="1"/>
  <c r="N651"/>
  <c r="M651"/>
  <c r="L651"/>
  <c r="K651"/>
  <c r="J651"/>
  <c r="I651"/>
  <c r="H651"/>
  <c r="G651"/>
  <c r="F651"/>
  <c r="E651"/>
  <c r="D651"/>
  <c r="C651"/>
  <c r="C668"/>
  <c r="H668"/>
  <c r="C669"/>
  <c r="K668"/>
  <c r="G668"/>
  <c r="G669" s="1"/>
  <c r="G670" s="1"/>
  <c r="F668"/>
  <c r="D668"/>
  <c r="N668"/>
  <c r="L668"/>
  <c r="K669"/>
  <c r="K670" s="1"/>
  <c r="J668"/>
  <c r="E668"/>
  <c r="E669" s="1"/>
  <c r="N667"/>
  <c r="M667"/>
  <c r="K667"/>
  <c r="I667"/>
  <c r="H667"/>
  <c r="G667"/>
  <c r="N666"/>
  <c r="L666"/>
  <c r="K666"/>
  <c r="J666"/>
  <c r="H666"/>
  <c r="G666"/>
  <c r="F666"/>
  <c r="E666"/>
  <c r="D666"/>
  <c r="C666"/>
  <c r="M665"/>
  <c r="M668" s="1"/>
  <c r="I665"/>
  <c r="I668" s="1"/>
  <c r="N664"/>
  <c r="M664"/>
  <c r="L664"/>
  <c r="K664"/>
  <c r="J664"/>
  <c r="I664"/>
  <c r="H664"/>
  <c r="G664"/>
  <c r="F664"/>
  <c r="E664"/>
  <c r="D664"/>
  <c r="C664"/>
  <c r="L681"/>
  <c r="L682" s="1"/>
  <c r="K681"/>
  <c r="G681"/>
  <c r="I678"/>
  <c r="I681" s="1"/>
  <c r="H681"/>
  <c r="H682" s="1"/>
  <c r="H683" s="1"/>
  <c r="E681"/>
  <c r="F681"/>
  <c r="F682" s="1"/>
  <c r="D681"/>
  <c r="C681"/>
  <c r="N681"/>
  <c r="N682" s="1"/>
  <c r="N683" s="1"/>
  <c r="J681"/>
  <c r="J682" s="1"/>
  <c r="D682"/>
  <c r="N680"/>
  <c r="M680"/>
  <c r="K680"/>
  <c r="I680"/>
  <c r="H680"/>
  <c r="G680"/>
  <c r="N679"/>
  <c r="L679"/>
  <c r="K679"/>
  <c r="J679"/>
  <c r="H679"/>
  <c r="G679"/>
  <c r="F679"/>
  <c r="E679"/>
  <c r="D679"/>
  <c r="C679"/>
  <c r="M678"/>
  <c r="M681" s="1"/>
  <c r="N677"/>
  <c r="M677"/>
  <c r="L677"/>
  <c r="K677"/>
  <c r="J677"/>
  <c r="I677"/>
  <c r="H677"/>
  <c r="G677"/>
  <c r="F677"/>
  <c r="E677"/>
  <c r="D677"/>
  <c r="C677"/>
  <c r="G694"/>
  <c r="L694"/>
  <c r="L695" s="1"/>
  <c r="J694"/>
  <c r="J695" s="1"/>
  <c r="N694"/>
  <c r="N695" s="1"/>
  <c r="N696" s="1"/>
  <c r="K694"/>
  <c r="H694"/>
  <c r="H695" s="1"/>
  <c r="H696" s="1"/>
  <c r="F694"/>
  <c r="F695" s="1"/>
  <c r="E694"/>
  <c r="D694"/>
  <c r="D695" s="1"/>
  <c r="C694"/>
  <c r="N693"/>
  <c r="M693"/>
  <c r="K693"/>
  <c r="I693"/>
  <c r="H693"/>
  <c r="G693"/>
  <c r="N692"/>
  <c r="L692"/>
  <c r="K692"/>
  <c r="J692"/>
  <c r="H692"/>
  <c r="G692"/>
  <c r="F692"/>
  <c r="E692"/>
  <c r="D692"/>
  <c r="C692"/>
  <c r="M691"/>
  <c r="M694" s="1"/>
  <c r="I691"/>
  <c r="I694" s="1"/>
  <c r="N690"/>
  <c r="M690"/>
  <c r="L690"/>
  <c r="K690"/>
  <c r="J690"/>
  <c r="I690"/>
  <c r="H690"/>
  <c r="G690"/>
  <c r="F690"/>
  <c r="E690"/>
  <c r="D690"/>
  <c r="C690"/>
  <c r="J707"/>
  <c r="H707"/>
  <c r="C707"/>
  <c r="N707"/>
  <c r="N708" s="1"/>
  <c r="N709" s="1"/>
  <c r="L707"/>
  <c r="L708" s="1"/>
  <c r="K707"/>
  <c r="J708"/>
  <c r="H708"/>
  <c r="G707"/>
  <c r="F707"/>
  <c r="F708" s="1"/>
  <c r="E707"/>
  <c r="D707"/>
  <c r="D708" s="1"/>
  <c r="N706"/>
  <c r="M706"/>
  <c r="K706"/>
  <c r="I706"/>
  <c r="H706"/>
  <c r="G706"/>
  <c r="N705"/>
  <c r="L705"/>
  <c r="K705"/>
  <c r="J705"/>
  <c r="H705"/>
  <c r="G705"/>
  <c r="F705"/>
  <c r="E705"/>
  <c r="D705"/>
  <c r="C705"/>
  <c r="M704"/>
  <c r="M707" s="1"/>
  <c r="I704"/>
  <c r="I707" s="1"/>
  <c r="N703"/>
  <c r="M703"/>
  <c r="L703"/>
  <c r="K703"/>
  <c r="J703"/>
  <c r="I703"/>
  <c r="H703"/>
  <c r="G703"/>
  <c r="F703"/>
  <c r="E703"/>
  <c r="D703"/>
  <c r="C703"/>
  <c r="L720"/>
  <c r="D720"/>
  <c r="D721" s="1"/>
  <c r="C720"/>
  <c r="G720"/>
  <c r="H720"/>
  <c r="E720"/>
  <c r="N720"/>
  <c r="N721" s="1"/>
  <c r="N722" s="1"/>
  <c r="K720"/>
  <c r="J720"/>
  <c r="J721" s="1"/>
  <c r="F720"/>
  <c r="F721" s="1"/>
  <c r="N719"/>
  <c r="M719"/>
  <c r="K719"/>
  <c r="I719"/>
  <c r="H719"/>
  <c r="G719"/>
  <c r="N718"/>
  <c r="L718"/>
  <c r="K718"/>
  <c r="J718"/>
  <c r="H718"/>
  <c r="G718"/>
  <c r="F718"/>
  <c r="E718"/>
  <c r="D718"/>
  <c r="C718"/>
  <c r="M717"/>
  <c r="M720" s="1"/>
  <c r="I717"/>
  <c r="I720" s="1"/>
  <c r="N716"/>
  <c r="M716"/>
  <c r="L716"/>
  <c r="K716"/>
  <c r="J716"/>
  <c r="I716"/>
  <c r="H716"/>
  <c r="G716"/>
  <c r="F716"/>
  <c r="E716"/>
  <c r="D716"/>
  <c r="C716"/>
  <c r="H733"/>
  <c r="F733"/>
  <c r="F734" s="1"/>
  <c r="N733"/>
  <c r="N734" s="1"/>
  <c r="N735" s="1"/>
  <c r="L733"/>
  <c r="L734" s="1"/>
  <c r="K733"/>
  <c r="J733"/>
  <c r="J734" s="1"/>
  <c r="H734"/>
  <c r="H735" s="1"/>
  <c r="G733"/>
  <c r="E733"/>
  <c r="D733"/>
  <c r="D734" s="1"/>
  <c r="C733"/>
  <c r="N732"/>
  <c r="M732"/>
  <c r="K732"/>
  <c r="I732"/>
  <c r="H732"/>
  <c r="G732"/>
  <c r="N731"/>
  <c r="L731"/>
  <c r="K731"/>
  <c r="J731"/>
  <c r="H731"/>
  <c r="G731"/>
  <c r="F731"/>
  <c r="E731"/>
  <c r="D731"/>
  <c r="C731"/>
  <c r="M730"/>
  <c r="M733" s="1"/>
  <c r="I730"/>
  <c r="I733" s="1"/>
  <c r="N729"/>
  <c r="M729"/>
  <c r="L729"/>
  <c r="K729"/>
  <c r="J729"/>
  <c r="I729"/>
  <c r="H729"/>
  <c r="G729"/>
  <c r="F729"/>
  <c r="E729"/>
  <c r="D729"/>
  <c r="C729"/>
  <c r="K746"/>
  <c r="N746"/>
  <c r="L746"/>
  <c r="J746"/>
  <c r="H746"/>
  <c r="G746"/>
  <c r="F746"/>
  <c r="E746"/>
  <c r="D746"/>
  <c r="C746"/>
  <c r="N745"/>
  <c r="M745"/>
  <c r="K745"/>
  <c r="I745"/>
  <c r="H745"/>
  <c r="G745"/>
  <c r="N744"/>
  <c r="L744"/>
  <c r="K744"/>
  <c r="J744"/>
  <c r="H744"/>
  <c r="G744"/>
  <c r="F744"/>
  <c r="E744"/>
  <c r="D744"/>
  <c r="C744"/>
  <c r="M743"/>
  <c r="M744" s="1"/>
  <c r="I743"/>
  <c r="I746" s="1"/>
  <c r="N742"/>
  <c r="M742"/>
  <c r="L742"/>
  <c r="K742"/>
  <c r="J742"/>
  <c r="I742"/>
  <c r="H742"/>
  <c r="G742"/>
  <c r="F742"/>
  <c r="E742"/>
  <c r="D742"/>
  <c r="C742"/>
  <c r="K759"/>
  <c r="N759"/>
  <c r="L759"/>
  <c r="J759"/>
  <c r="H759"/>
  <c r="G759"/>
  <c r="F759"/>
  <c r="E759"/>
  <c r="D759"/>
  <c r="C759"/>
  <c r="N758"/>
  <c r="M758"/>
  <c r="K758"/>
  <c r="I758"/>
  <c r="H758"/>
  <c r="G758"/>
  <c r="N757"/>
  <c r="L757"/>
  <c r="K757"/>
  <c r="J757"/>
  <c r="H757"/>
  <c r="G757"/>
  <c r="F757"/>
  <c r="E757"/>
  <c r="D757"/>
  <c r="C757"/>
  <c r="M756"/>
  <c r="M759" s="1"/>
  <c r="I756"/>
  <c r="I759" s="1"/>
  <c r="N755"/>
  <c r="M755"/>
  <c r="L755"/>
  <c r="K755"/>
  <c r="J755"/>
  <c r="I755"/>
  <c r="H755"/>
  <c r="G755"/>
  <c r="F755"/>
  <c r="E755"/>
  <c r="D755"/>
  <c r="C755"/>
  <c r="H772"/>
  <c r="N772"/>
  <c r="L772"/>
  <c r="K772"/>
  <c r="J772"/>
  <c r="G772"/>
  <c r="F772"/>
  <c r="E772"/>
  <c r="D772"/>
  <c r="C772"/>
  <c r="N771"/>
  <c r="M771"/>
  <c r="K771"/>
  <c r="I771"/>
  <c r="H771"/>
  <c r="G771"/>
  <c r="N770"/>
  <c r="L770"/>
  <c r="K770"/>
  <c r="J770"/>
  <c r="H770"/>
  <c r="G770"/>
  <c r="F770"/>
  <c r="E770"/>
  <c r="D770"/>
  <c r="C770"/>
  <c r="M769"/>
  <c r="M770" s="1"/>
  <c r="I769"/>
  <c r="I772" s="1"/>
  <c r="N768"/>
  <c r="M768"/>
  <c r="L768"/>
  <c r="K768"/>
  <c r="J768"/>
  <c r="I768"/>
  <c r="H768"/>
  <c r="G768"/>
  <c r="F768"/>
  <c r="E768"/>
  <c r="D768"/>
  <c r="C768"/>
  <c r="K785"/>
  <c r="G785"/>
  <c r="H785"/>
  <c r="E785"/>
  <c r="D785"/>
  <c r="C783"/>
  <c r="N785"/>
  <c r="L785"/>
  <c r="J785"/>
  <c r="F785"/>
  <c r="C785"/>
  <c r="N784"/>
  <c r="M784"/>
  <c r="K784"/>
  <c r="I784"/>
  <c r="H784"/>
  <c r="G784"/>
  <c r="N783"/>
  <c r="L783"/>
  <c r="K783"/>
  <c r="J783"/>
  <c r="H783"/>
  <c r="G783"/>
  <c r="F783"/>
  <c r="E783"/>
  <c r="D783"/>
  <c r="M782"/>
  <c r="M785" s="1"/>
  <c r="I782"/>
  <c r="I785" s="1"/>
  <c r="N781"/>
  <c r="M781"/>
  <c r="L781"/>
  <c r="K781"/>
  <c r="J781"/>
  <c r="I781"/>
  <c r="H781"/>
  <c r="G781"/>
  <c r="F781"/>
  <c r="E781"/>
  <c r="D781"/>
  <c r="C781"/>
  <c r="I795"/>
  <c r="C798"/>
  <c r="N811"/>
  <c r="L811"/>
  <c r="K811"/>
  <c r="J811"/>
  <c r="H811"/>
  <c r="G811"/>
  <c r="F811"/>
  <c r="E811"/>
  <c r="D811"/>
  <c r="C811"/>
  <c r="N810"/>
  <c r="M810"/>
  <c r="K810"/>
  <c r="I810"/>
  <c r="H810"/>
  <c r="G810"/>
  <c r="N809"/>
  <c r="L809"/>
  <c r="K809"/>
  <c r="J809"/>
  <c r="H809"/>
  <c r="G809"/>
  <c r="F809"/>
  <c r="E809"/>
  <c r="D809"/>
  <c r="C809"/>
  <c r="M808"/>
  <c r="M811" s="1"/>
  <c r="I808"/>
  <c r="I811" s="1"/>
  <c r="N807"/>
  <c r="M807"/>
  <c r="L807"/>
  <c r="K807"/>
  <c r="J807"/>
  <c r="I807"/>
  <c r="H807"/>
  <c r="G807"/>
  <c r="F807"/>
  <c r="E807"/>
  <c r="D807"/>
  <c r="C807"/>
  <c r="L798"/>
  <c r="K798"/>
  <c r="J798"/>
  <c r="H798"/>
  <c r="E798"/>
  <c r="F798"/>
  <c r="D798"/>
  <c r="N798"/>
  <c r="G798"/>
  <c r="N797"/>
  <c r="M797"/>
  <c r="K797"/>
  <c r="I797"/>
  <c r="H797"/>
  <c r="G797"/>
  <c r="N796"/>
  <c r="L796"/>
  <c r="K796"/>
  <c r="J796"/>
  <c r="H796"/>
  <c r="G796"/>
  <c r="F796"/>
  <c r="E796"/>
  <c r="D796"/>
  <c r="C796"/>
  <c r="M795"/>
  <c r="M798" s="1"/>
  <c r="I798"/>
  <c r="N794"/>
  <c r="M794"/>
  <c r="L794"/>
  <c r="K794"/>
  <c r="J794"/>
  <c r="I794"/>
  <c r="H794"/>
  <c r="G794"/>
  <c r="F794"/>
  <c r="E794"/>
  <c r="D794"/>
  <c r="C794"/>
  <c r="D824"/>
  <c r="H824"/>
  <c r="E824"/>
  <c r="C824"/>
  <c r="N824"/>
  <c r="L824"/>
  <c r="K824"/>
  <c r="J824"/>
  <c r="G824"/>
  <c r="F824"/>
  <c r="N823"/>
  <c r="M823"/>
  <c r="K823"/>
  <c r="I823"/>
  <c r="H823"/>
  <c r="G823"/>
  <c r="N822"/>
  <c r="L822"/>
  <c r="K822"/>
  <c r="J822"/>
  <c r="H822"/>
  <c r="G822"/>
  <c r="F822"/>
  <c r="E822"/>
  <c r="D822"/>
  <c r="C822"/>
  <c r="M821"/>
  <c r="M824" s="1"/>
  <c r="I821"/>
  <c r="I824" s="1"/>
  <c r="N820"/>
  <c r="M820"/>
  <c r="L820"/>
  <c r="K820"/>
  <c r="J820"/>
  <c r="I820"/>
  <c r="H820"/>
  <c r="G820"/>
  <c r="F820"/>
  <c r="E820"/>
  <c r="D820"/>
  <c r="C820"/>
  <c r="N837"/>
  <c r="L837"/>
  <c r="K837"/>
  <c r="J837"/>
  <c r="H837"/>
  <c r="G837"/>
  <c r="F837"/>
  <c r="E837"/>
  <c r="D837"/>
  <c r="C837"/>
  <c r="N836"/>
  <c r="M836"/>
  <c r="K836"/>
  <c r="I836"/>
  <c r="H836"/>
  <c r="G836"/>
  <c r="N835"/>
  <c r="L835"/>
  <c r="K835"/>
  <c r="J835"/>
  <c r="H835"/>
  <c r="G835"/>
  <c r="F835"/>
  <c r="E835"/>
  <c r="D835"/>
  <c r="C835"/>
  <c r="M834"/>
  <c r="M837" s="1"/>
  <c r="I834"/>
  <c r="I837" s="1"/>
  <c r="N833"/>
  <c r="M833"/>
  <c r="L833"/>
  <c r="K833"/>
  <c r="J833"/>
  <c r="I833"/>
  <c r="H833"/>
  <c r="G833"/>
  <c r="F833"/>
  <c r="E833"/>
  <c r="D833"/>
  <c r="C833"/>
  <c r="L850"/>
  <c r="K850"/>
  <c r="G850"/>
  <c r="H850"/>
  <c r="C850"/>
  <c r="N850"/>
  <c r="J850"/>
  <c r="F850"/>
  <c r="E850"/>
  <c r="D850"/>
  <c r="N849"/>
  <c r="M849"/>
  <c r="K849"/>
  <c r="I849"/>
  <c r="H849"/>
  <c r="G849"/>
  <c r="N848"/>
  <c r="L848"/>
  <c r="K848"/>
  <c r="J848"/>
  <c r="H848"/>
  <c r="G848"/>
  <c r="F848"/>
  <c r="E848"/>
  <c r="D848"/>
  <c r="C848"/>
  <c r="M847"/>
  <c r="M850" s="1"/>
  <c r="I847"/>
  <c r="I850" s="1"/>
  <c r="N846"/>
  <c r="M846"/>
  <c r="L846"/>
  <c r="K846"/>
  <c r="J846"/>
  <c r="I846"/>
  <c r="H846"/>
  <c r="G846"/>
  <c r="F846"/>
  <c r="E846"/>
  <c r="D846"/>
  <c r="C846"/>
  <c r="C863"/>
  <c r="N863"/>
  <c r="L863"/>
  <c r="K863"/>
  <c r="J863"/>
  <c r="H863"/>
  <c r="G863"/>
  <c r="F863"/>
  <c r="E863"/>
  <c r="D863"/>
  <c r="N862"/>
  <c r="M862"/>
  <c r="K862"/>
  <c r="I862"/>
  <c r="H862"/>
  <c r="G862"/>
  <c r="N861"/>
  <c r="L861"/>
  <c r="K861"/>
  <c r="J861"/>
  <c r="H861"/>
  <c r="G861"/>
  <c r="F861"/>
  <c r="E861"/>
  <c r="D861"/>
  <c r="C861"/>
  <c r="M860"/>
  <c r="M863" s="1"/>
  <c r="I860"/>
  <c r="I863" s="1"/>
  <c r="N859"/>
  <c r="M859"/>
  <c r="L859"/>
  <c r="K859"/>
  <c r="J859"/>
  <c r="I859"/>
  <c r="H859"/>
  <c r="G859"/>
  <c r="F859"/>
  <c r="E859"/>
  <c r="D859"/>
  <c r="C859"/>
  <c r="K876"/>
  <c r="K878" s="1"/>
  <c r="E876"/>
  <c r="E878" s="1"/>
  <c r="D876"/>
  <c r="D878" s="1"/>
  <c r="N876"/>
  <c r="N878" s="1"/>
  <c r="L876"/>
  <c r="L878" s="1"/>
  <c r="J876"/>
  <c r="J878" s="1"/>
  <c r="H876"/>
  <c r="H878" s="1"/>
  <c r="G876"/>
  <c r="G878" s="1"/>
  <c r="F876"/>
  <c r="F878" s="1"/>
  <c r="C876"/>
  <c r="C878" s="1"/>
  <c r="N875"/>
  <c r="M875"/>
  <c r="K875"/>
  <c r="I875"/>
  <c r="H875"/>
  <c r="G875"/>
  <c r="N874"/>
  <c r="L874"/>
  <c r="K874"/>
  <c r="J874"/>
  <c r="H874"/>
  <c r="G874"/>
  <c r="F874"/>
  <c r="E874"/>
  <c r="D874"/>
  <c r="C874"/>
  <c r="M873"/>
  <c r="M876" s="1"/>
  <c r="I873"/>
  <c r="I876" s="1"/>
  <c r="N872"/>
  <c r="M872"/>
  <c r="L872"/>
  <c r="K872"/>
  <c r="J872"/>
  <c r="I872"/>
  <c r="H872"/>
  <c r="G872"/>
  <c r="F872"/>
  <c r="E872"/>
  <c r="D872"/>
  <c r="C872"/>
  <c r="L889"/>
  <c r="K889"/>
  <c r="G889"/>
  <c r="D889"/>
  <c r="C889"/>
  <c r="N889"/>
  <c r="N891" s="1"/>
  <c r="L891"/>
  <c r="K891"/>
  <c r="J889"/>
  <c r="J891" s="1"/>
  <c r="H889"/>
  <c r="H891" s="1"/>
  <c r="G891"/>
  <c r="F889"/>
  <c r="F891" s="1"/>
  <c r="E889"/>
  <c r="E891" s="1"/>
  <c r="D891"/>
  <c r="C891"/>
  <c r="N888"/>
  <c r="M888"/>
  <c r="K888"/>
  <c r="I888"/>
  <c r="H888"/>
  <c r="G888"/>
  <c r="N887"/>
  <c r="L887"/>
  <c r="K887"/>
  <c r="J887"/>
  <c r="H887"/>
  <c r="G887"/>
  <c r="F887"/>
  <c r="E887"/>
  <c r="D887"/>
  <c r="C887"/>
  <c r="M886"/>
  <c r="M889" s="1"/>
  <c r="I886"/>
  <c r="I889" s="1"/>
  <c r="N885"/>
  <c r="M885"/>
  <c r="L885"/>
  <c r="K885"/>
  <c r="J885"/>
  <c r="I885"/>
  <c r="H885"/>
  <c r="G885"/>
  <c r="F885"/>
  <c r="E885"/>
  <c r="D885"/>
  <c r="C885"/>
  <c r="N902"/>
  <c r="N904" s="1"/>
  <c r="L902"/>
  <c r="L904" s="1"/>
  <c r="K902"/>
  <c r="K904" s="1"/>
  <c r="J902"/>
  <c r="J904" s="1"/>
  <c r="H902"/>
  <c r="H904" s="1"/>
  <c r="G902"/>
  <c r="G904" s="1"/>
  <c r="F902"/>
  <c r="F904" s="1"/>
  <c r="E902"/>
  <c r="E904" s="1"/>
  <c r="D902"/>
  <c r="D904" s="1"/>
  <c r="C902"/>
  <c r="C904" s="1"/>
  <c r="N901"/>
  <c r="M901"/>
  <c r="K901"/>
  <c r="I901"/>
  <c r="H901"/>
  <c r="G901"/>
  <c r="N900"/>
  <c r="L900"/>
  <c r="K900"/>
  <c r="J900"/>
  <c r="H900"/>
  <c r="G900"/>
  <c r="F900"/>
  <c r="E900"/>
  <c r="D900"/>
  <c r="C900"/>
  <c r="M899"/>
  <c r="M902" s="1"/>
  <c r="I899"/>
  <c r="I902" s="1"/>
  <c r="N898"/>
  <c r="M898"/>
  <c r="L898"/>
  <c r="K898"/>
  <c r="J898"/>
  <c r="I898"/>
  <c r="H898"/>
  <c r="G898"/>
  <c r="F898"/>
  <c r="E898"/>
  <c r="D898"/>
  <c r="C898"/>
  <c r="L915"/>
  <c r="L917" s="1"/>
  <c r="G915"/>
  <c r="G917" s="1"/>
  <c r="N915"/>
  <c r="N917" s="1"/>
  <c r="K915"/>
  <c r="K917" s="1"/>
  <c r="J915"/>
  <c r="J917" s="1"/>
  <c r="H915"/>
  <c r="H917" s="1"/>
  <c r="F915"/>
  <c r="F917" s="1"/>
  <c r="E915"/>
  <c r="E917" s="1"/>
  <c r="D915"/>
  <c r="D917" s="1"/>
  <c r="C915"/>
  <c r="C917" s="1"/>
  <c r="N914"/>
  <c r="M914"/>
  <c r="K914"/>
  <c r="I914"/>
  <c r="H914"/>
  <c r="G914"/>
  <c r="N913"/>
  <c r="L913"/>
  <c r="K913"/>
  <c r="J913"/>
  <c r="H913"/>
  <c r="G913"/>
  <c r="F913"/>
  <c r="E913"/>
  <c r="D913"/>
  <c r="C913"/>
  <c r="M912"/>
  <c r="M915" s="1"/>
  <c r="I912"/>
  <c r="I915" s="1"/>
  <c r="N911"/>
  <c r="M911"/>
  <c r="L911"/>
  <c r="K911"/>
  <c r="J911"/>
  <c r="I911"/>
  <c r="H911"/>
  <c r="G911"/>
  <c r="F911"/>
  <c r="E911"/>
  <c r="D911"/>
  <c r="C911"/>
  <c r="K928"/>
  <c r="K930" s="1"/>
  <c r="N941"/>
  <c r="N943" s="1"/>
  <c r="L941"/>
  <c r="L943" s="1"/>
  <c r="K941"/>
  <c r="K943" s="1"/>
  <c r="J941"/>
  <c r="J943" s="1"/>
  <c r="H941"/>
  <c r="H943" s="1"/>
  <c r="G941"/>
  <c r="G943" s="1"/>
  <c r="F941"/>
  <c r="F943" s="1"/>
  <c r="E941"/>
  <c r="E943" s="1"/>
  <c r="D941"/>
  <c r="D943" s="1"/>
  <c r="C941"/>
  <c r="C943" s="1"/>
  <c r="N940"/>
  <c r="M940"/>
  <c r="K940"/>
  <c r="I940"/>
  <c r="H940"/>
  <c r="G940"/>
  <c r="N939"/>
  <c r="L939"/>
  <c r="K939"/>
  <c r="J939"/>
  <c r="H939"/>
  <c r="G939"/>
  <c r="F939"/>
  <c r="E939"/>
  <c r="D939"/>
  <c r="C939"/>
  <c r="M938"/>
  <c r="M941" s="1"/>
  <c r="I938"/>
  <c r="I941" s="1"/>
  <c r="N937"/>
  <c r="M937"/>
  <c r="L937"/>
  <c r="K937"/>
  <c r="J937"/>
  <c r="I937"/>
  <c r="H937"/>
  <c r="G937"/>
  <c r="F937"/>
  <c r="E937"/>
  <c r="D937"/>
  <c r="C937"/>
  <c r="N928"/>
  <c r="N930" s="1"/>
  <c r="L928"/>
  <c r="L930" s="1"/>
  <c r="J928"/>
  <c r="J930" s="1"/>
  <c r="H928"/>
  <c r="H930" s="1"/>
  <c r="G928"/>
  <c r="G930" s="1"/>
  <c r="F928"/>
  <c r="F930" s="1"/>
  <c r="E928"/>
  <c r="E930" s="1"/>
  <c r="D928"/>
  <c r="D930" s="1"/>
  <c r="C928"/>
  <c r="C930" s="1"/>
  <c r="N927"/>
  <c r="M927"/>
  <c r="K927"/>
  <c r="I927"/>
  <c r="H927"/>
  <c r="G927"/>
  <c r="N926"/>
  <c r="L926"/>
  <c r="K926"/>
  <c r="J926"/>
  <c r="H926"/>
  <c r="G926"/>
  <c r="F926"/>
  <c r="E926"/>
  <c r="D926"/>
  <c r="C926"/>
  <c r="M925"/>
  <c r="M928" s="1"/>
  <c r="I925"/>
  <c r="I928" s="1"/>
  <c r="N924"/>
  <c r="M924"/>
  <c r="L924"/>
  <c r="K924"/>
  <c r="J924"/>
  <c r="I924"/>
  <c r="H924"/>
  <c r="G924"/>
  <c r="F924"/>
  <c r="E924"/>
  <c r="D924"/>
  <c r="C924"/>
  <c r="F619" l="1"/>
  <c r="F618"/>
  <c r="D736"/>
  <c r="D735"/>
  <c r="J736"/>
  <c r="J735"/>
  <c r="L736"/>
  <c r="L735"/>
  <c r="F736"/>
  <c r="F735"/>
  <c r="D723"/>
  <c r="D722"/>
  <c r="J723"/>
  <c r="J722"/>
  <c r="J710"/>
  <c r="J709"/>
  <c r="L710"/>
  <c r="L709"/>
  <c r="D697"/>
  <c r="D696"/>
  <c r="F697"/>
  <c r="F696"/>
  <c r="J697"/>
  <c r="J696"/>
  <c r="L697"/>
  <c r="L696"/>
  <c r="J684"/>
  <c r="J683"/>
  <c r="F684"/>
  <c r="F683"/>
  <c r="L684"/>
  <c r="L683"/>
  <c r="C671"/>
  <c r="C670"/>
  <c r="F645"/>
  <c r="F644"/>
  <c r="J645"/>
  <c r="J644"/>
  <c r="C632"/>
  <c r="C631"/>
  <c r="E632"/>
  <c r="E631"/>
  <c r="D619"/>
  <c r="D618"/>
  <c r="L619"/>
  <c r="L618"/>
  <c r="J606"/>
  <c r="J605"/>
  <c r="L593"/>
  <c r="L592"/>
  <c r="F580"/>
  <c r="F579"/>
  <c r="L580"/>
  <c r="L579"/>
  <c r="F567"/>
  <c r="F566"/>
  <c r="J567"/>
  <c r="J566"/>
  <c r="D554"/>
  <c r="D553"/>
  <c r="J554"/>
  <c r="J553"/>
  <c r="L554"/>
  <c r="L553"/>
  <c r="E541"/>
  <c r="E540"/>
  <c r="J541"/>
  <c r="J540"/>
  <c r="D541"/>
  <c r="D540"/>
  <c r="J528"/>
  <c r="J527"/>
  <c r="M515"/>
  <c r="M514"/>
  <c r="G515"/>
  <c r="G514"/>
  <c r="C515"/>
  <c r="C514"/>
  <c r="I515"/>
  <c r="I514"/>
  <c r="K502"/>
  <c r="K501"/>
  <c r="E502"/>
  <c r="E501"/>
  <c r="M489"/>
  <c r="M488"/>
  <c r="G489"/>
  <c r="G488"/>
  <c r="C489"/>
  <c r="C488"/>
  <c r="I489"/>
  <c r="I488"/>
  <c r="F723"/>
  <c r="F722"/>
  <c r="D710"/>
  <c r="D709"/>
  <c r="F710"/>
  <c r="F709"/>
  <c r="P708"/>
  <c r="H709"/>
  <c r="D684"/>
  <c r="D683"/>
  <c r="E671"/>
  <c r="E670"/>
  <c r="C658"/>
  <c r="C657"/>
  <c r="E658"/>
  <c r="E657"/>
  <c r="D645"/>
  <c r="D644"/>
  <c r="L645"/>
  <c r="L644"/>
  <c r="J619"/>
  <c r="J618"/>
  <c r="F606"/>
  <c r="F605"/>
  <c r="L606"/>
  <c r="L605"/>
  <c r="D606"/>
  <c r="D605"/>
  <c r="F593"/>
  <c r="F592"/>
  <c r="J593"/>
  <c r="J592"/>
  <c r="D593"/>
  <c r="D592"/>
  <c r="D580"/>
  <c r="D579"/>
  <c r="J580"/>
  <c r="J579"/>
  <c r="L567"/>
  <c r="L566"/>
  <c r="D567"/>
  <c r="D566"/>
  <c r="F554"/>
  <c r="F553"/>
  <c r="C541"/>
  <c r="C540"/>
  <c r="F541"/>
  <c r="F540"/>
  <c r="L541"/>
  <c r="L540"/>
  <c r="D528"/>
  <c r="D527"/>
  <c r="F528"/>
  <c r="F527"/>
  <c r="P526"/>
  <c r="H527"/>
  <c r="L528"/>
  <c r="L527"/>
  <c r="K515"/>
  <c r="K514"/>
  <c r="E515"/>
  <c r="E514"/>
  <c r="M502"/>
  <c r="M501"/>
  <c r="G502"/>
  <c r="G501"/>
  <c r="C502"/>
  <c r="C501"/>
  <c r="I502"/>
  <c r="I501"/>
  <c r="K489"/>
  <c r="K488"/>
  <c r="E489"/>
  <c r="E488"/>
  <c r="N723"/>
  <c r="M772"/>
  <c r="M773" s="1"/>
  <c r="M757"/>
  <c r="M746"/>
  <c r="M747" s="1"/>
  <c r="N736"/>
  <c r="M718"/>
  <c r="N710"/>
  <c r="N697"/>
  <c r="N684"/>
  <c r="K671"/>
  <c r="G658"/>
  <c r="N645"/>
  <c r="G632"/>
  <c r="N619"/>
  <c r="N580"/>
  <c r="N567"/>
  <c r="G541"/>
  <c r="M541"/>
  <c r="G671"/>
  <c r="K658"/>
  <c r="K632"/>
  <c r="N606"/>
  <c r="N593"/>
  <c r="N554"/>
  <c r="N541"/>
  <c r="K541"/>
  <c r="I526"/>
  <c r="I523"/>
  <c r="C526"/>
  <c r="E526"/>
  <c r="G526"/>
  <c r="K526"/>
  <c r="M526"/>
  <c r="H541"/>
  <c r="P539"/>
  <c r="I539"/>
  <c r="I536"/>
  <c r="I552"/>
  <c r="H554"/>
  <c r="P552"/>
  <c r="I549"/>
  <c r="C552"/>
  <c r="E552"/>
  <c r="G552"/>
  <c r="K552"/>
  <c r="M552"/>
  <c r="I565"/>
  <c r="H567"/>
  <c r="P565"/>
  <c r="I562"/>
  <c r="C565"/>
  <c r="E565"/>
  <c r="G565"/>
  <c r="K565"/>
  <c r="M565"/>
  <c r="I578"/>
  <c r="H580"/>
  <c r="P578"/>
  <c r="I575"/>
  <c r="C578"/>
  <c r="E578"/>
  <c r="G578"/>
  <c r="K578"/>
  <c r="M578"/>
  <c r="I591"/>
  <c r="H593"/>
  <c r="P591"/>
  <c r="I588"/>
  <c r="C591"/>
  <c r="E591"/>
  <c r="G591"/>
  <c r="K591"/>
  <c r="M591"/>
  <c r="M604"/>
  <c r="H606"/>
  <c r="P604"/>
  <c r="I604"/>
  <c r="I601"/>
  <c r="C604"/>
  <c r="E604"/>
  <c r="G604"/>
  <c r="K604"/>
  <c r="M617"/>
  <c r="H619"/>
  <c r="P617"/>
  <c r="I617"/>
  <c r="I614"/>
  <c r="M614"/>
  <c r="C617"/>
  <c r="E617"/>
  <c r="G617"/>
  <c r="K617"/>
  <c r="M630"/>
  <c r="I630"/>
  <c r="D630"/>
  <c r="F630"/>
  <c r="H630"/>
  <c r="H631" s="1"/>
  <c r="J630"/>
  <c r="L630"/>
  <c r="N630"/>
  <c r="I627"/>
  <c r="M627"/>
  <c r="M643"/>
  <c r="H645"/>
  <c r="P643"/>
  <c r="I643"/>
  <c r="I640"/>
  <c r="M640"/>
  <c r="C643"/>
  <c r="E643"/>
  <c r="G643"/>
  <c r="K643"/>
  <c r="M656"/>
  <c r="I656"/>
  <c r="D656"/>
  <c r="F656"/>
  <c r="H656"/>
  <c r="J656"/>
  <c r="L656"/>
  <c r="N656"/>
  <c r="I653"/>
  <c r="M653"/>
  <c r="M669"/>
  <c r="I669"/>
  <c r="D669"/>
  <c r="F669"/>
  <c r="H669"/>
  <c r="H670" s="1"/>
  <c r="J669"/>
  <c r="L669"/>
  <c r="N669"/>
  <c r="I666"/>
  <c r="M666"/>
  <c r="M682"/>
  <c r="H684"/>
  <c r="P682"/>
  <c r="I682"/>
  <c r="I679"/>
  <c r="M679"/>
  <c r="C682"/>
  <c r="E682"/>
  <c r="G682"/>
  <c r="K682"/>
  <c r="M695"/>
  <c r="H697"/>
  <c r="P695"/>
  <c r="I695"/>
  <c r="I692"/>
  <c r="M692"/>
  <c r="C695"/>
  <c r="E695"/>
  <c r="G695"/>
  <c r="K695"/>
  <c r="M708"/>
  <c r="H710"/>
  <c r="I708"/>
  <c r="I705"/>
  <c r="M705"/>
  <c r="C708"/>
  <c r="E708"/>
  <c r="G708"/>
  <c r="K708"/>
  <c r="L721"/>
  <c r="H721"/>
  <c r="I721"/>
  <c r="I718"/>
  <c r="C721"/>
  <c r="E721"/>
  <c r="G721"/>
  <c r="K721"/>
  <c r="M721"/>
  <c r="I734"/>
  <c r="M734"/>
  <c r="H736"/>
  <c r="P734"/>
  <c r="I731"/>
  <c r="M731"/>
  <c r="C734"/>
  <c r="E734"/>
  <c r="G734"/>
  <c r="K734"/>
  <c r="I747"/>
  <c r="I744"/>
  <c r="C747"/>
  <c r="E747"/>
  <c r="G747"/>
  <c r="K747"/>
  <c r="D747"/>
  <c r="F747"/>
  <c r="H747"/>
  <c r="H748" s="1"/>
  <c r="J747"/>
  <c r="L747"/>
  <c r="N747"/>
  <c r="I760"/>
  <c r="M760"/>
  <c r="D760"/>
  <c r="F760"/>
  <c r="H760"/>
  <c r="J760"/>
  <c r="L760"/>
  <c r="N760"/>
  <c r="I757"/>
  <c r="C760"/>
  <c r="E760"/>
  <c r="G760"/>
  <c r="K760"/>
  <c r="I773"/>
  <c r="I770"/>
  <c r="C773"/>
  <c r="E773"/>
  <c r="G773"/>
  <c r="K773"/>
  <c r="D773"/>
  <c r="F773"/>
  <c r="H773"/>
  <c r="J773"/>
  <c r="L773"/>
  <c r="N773"/>
  <c r="M786"/>
  <c r="I786"/>
  <c r="D786"/>
  <c r="F786"/>
  <c r="H786"/>
  <c r="J786"/>
  <c r="L786"/>
  <c r="N786"/>
  <c r="I783"/>
  <c r="M783"/>
  <c r="C786"/>
  <c r="E786"/>
  <c r="G786"/>
  <c r="K786"/>
  <c r="M812"/>
  <c r="I812"/>
  <c r="D812"/>
  <c r="F812"/>
  <c r="H812"/>
  <c r="J812"/>
  <c r="L812"/>
  <c r="N812"/>
  <c r="I809"/>
  <c r="M809"/>
  <c r="C812"/>
  <c r="E812"/>
  <c r="G812"/>
  <c r="K812"/>
  <c r="M799"/>
  <c r="I799"/>
  <c r="D799"/>
  <c r="F799"/>
  <c r="H799"/>
  <c r="J799"/>
  <c r="L799"/>
  <c r="N799"/>
  <c r="I796"/>
  <c r="M796"/>
  <c r="C799"/>
  <c r="E799"/>
  <c r="G799"/>
  <c r="K799"/>
  <c r="M825"/>
  <c r="I825"/>
  <c r="D825"/>
  <c r="F825"/>
  <c r="H825"/>
  <c r="J825"/>
  <c r="L825"/>
  <c r="N825"/>
  <c r="I822"/>
  <c r="M822"/>
  <c r="C825"/>
  <c r="E825"/>
  <c r="G825"/>
  <c r="K825"/>
  <c r="M838"/>
  <c r="I838"/>
  <c r="D838"/>
  <c r="F838"/>
  <c r="H838"/>
  <c r="J838"/>
  <c r="L838"/>
  <c r="N838"/>
  <c r="I835"/>
  <c r="M835"/>
  <c r="C838"/>
  <c r="E838"/>
  <c r="G838"/>
  <c r="K838"/>
  <c r="M851"/>
  <c r="I851"/>
  <c r="D851"/>
  <c r="F851"/>
  <c r="H851"/>
  <c r="J851"/>
  <c r="L851"/>
  <c r="N851"/>
  <c r="I848"/>
  <c r="M848"/>
  <c r="C851"/>
  <c r="E851"/>
  <c r="G851"/>
  <c r="K851"/>
  <c r="M864"/>
  <c r="I864"/>
  <c r="D864"/>
  <c r="F864"/>
  <c r="H864"/>
  <c r="J864"/>
  <c r="L864"/>
  <c r="N864"/>
  <c r="I861"/>
  <c r="M861"/>
  <c r="C864"/>
  <c r="E864"/>
  <c r="G864"/>
  <c r="K864"/>
  <c r="M878"/>
  <c r="M877"/>
  <c r="M879" s="1"/>
  <c r="I878"/>
  <c r="I877"/>
  <c r="I879" s="1"/>
  <c r="D877"/>
  <c r="D879" s="1"/>
  <c r="F877"/>
  <c r="F879" s="1"/>
  <c r="H877"/>
  <c r="H879" s="1"/>
  <c r="J877"/>
  <c r="J879" s="1"/>
  <c r="L877"/>
  <c r="L879" s="1"/>
  <c r="N877"/>
  <c r="N879" s="1"/>
  <c r="I874"/>
  <c r="M874"/>
  <c r="C877"/>
  <c r="C879" s="1"/>
  <c r="E877"/>
  <c r="E879" s="1"/>
  <c r="G877"/>
  <c r="G879" s="1"/>
  <c r="K877"/>
  <c r="K879" s="1"/>
  <c r="M891"/>
  <c r="M890"/>
  <c r="M892" s="1"/>
  <c r="I891"/>
  <c r="I890"/>
  <c r="I892" s="1"/>
  <c r="D890"/>
  <c r="D892" s="1"/>
  <c r="F890"/>
  <c r="F892" s="1"/>
  <c r="H890"/>
  <c r="H892" s="1"/>
  <c r="J890"/>
  <c r="J892" s="1"/>
  <c r="L890"/>
  <c r="L892" s="1"/>
  <c r="N890"/>
  <c r="N892" s="1"/>
  <c r="I887"/>
  <c r="M887"/>
  <c r="C890"/>
  <c r="C892" s="1"/>
  <c r="E890"/>
  <c r="E892" s="1"/>
  <c r="G890"/>
  <c r="G892" s="1"/>
  <c r="K890"/>
  <c r="K892" s="1"/>
  <c r="I904"/>
  <c r="I903"/>
  <c r="I905" s="1"/>
  <c r="M904"/>
  <c r="M903"/>
  <c r="M905" s="1"/>
  <c r="D903"/>
  <c r="D905" s="1"/>
  <c r="F903"/>
  <c r="F905" s="1"/>
  <c r="H903"/>
  <c r="H905" s="1"/>
  <c r="J903"/>
  <c r="J905" s="1"/>
  <c r="L903"/>
  <c r="L905" s="1"/>
  <c r="N903"/>
  <c r="N905" s="1"/>
  <c r="I900"/>
  <c r="M900"/>
  <c r="C903"/>
  <c r="C905" s="1"/>
  <c r="E903"/>
  <c r="E905" s="1"/>
  <c r="G903"/>
  <c r="G905" s="1"/>
  <c r="K903"/>
  <c r="K905" s="1"/>
  <c r="M917"/>
  <c r="M916"/>
  <c r="M918" s="1"/>
  <c r="I917"/>
  <c r="I916"/>
  <c r="I918" s="1"/>
  <c r="D916"/>
  <c r="D918" s="1"/>
  <c r="F916"/>
  <c r="F918" s="1"/>
  <c r="H916"/>
  <c r="H918" s="1"/>
  <c r="J916"/>
  <c r="J918" s="1"/>
  <c r="L916"/>
  <c r="L918" s="1"/>
  <c r="N916"/>
  <c r="N918" s="1"/>
  <c r="I913"/>
  <c r="M913"/>
  <c r="C916"/>
  <c r="C918" s="1"/>
  <c r="E916"/>
  <c r="E918" s="1"/>
  <c r="G916"/>
  <c r="G918" s="1"/>
  <c r="K916"/>
  <c r="K918" s="1"/>
  <c r="M943"/>
  <c r="M942"/>
  <c r="M944" s="1"/>
  <c r="I943"/>
  <c r="I942"/>
  <c r="I944" s="1"/>
  <c r="D942"/>
  <c r="D944" s="1"/>
  <c r="F942"/>
  <c r="F944" s="1"/>
  <c r="H942"/>
  <c r="H944" s="1"/>
  <c r="J942"/>
  <c r="J944" s="1"/>
  <c r="L942"/>
  <c r="L944" s="1"/>
  <c r="N942"/>
  <c r="N944" s="1"/>
  <c r="I939"/>
  <c r="M939"/>
  <c r="C942"/>
  <c r="C944" s="1"/>
  <c r="E942"/>
  <c r="E944" s="1"/>
  <c r="G942"/>
  <c r="G944" s="1"/>
  <c r="K942"/>
  <c r="K944" s="1"/>
  <c r="M930"/>
  <c r="M929"/>
  <c r="M931" s="1"/>
  <c r="I930"/>
  <c r="I929"/>
  <c r="I931" s="1"/>
  <c r="D929"/>
  <c r="D931" s="1"/>
  <c r="F929"/>
  <c r="F931" s="1"/>
  <c r="H929"/>
  <c r="H931" s="1"/>
  <c r="J929"/>
  <c r="J931" s="1"/>
  <c r="L929"/>
  <c r="L931" s="1"/>
  <c r="N929"/>
  <c r="N931" s="1"/>
  <c r="I926"/>
  <c r="M926"/>
  <c r="C929"/>
  <c r="C931" s="1"/>
  <c r="E929"/>
  <c r="E931" s="1"/>
  <c r="G929"/>
  <c r="G931" s="1"/>
  <c r="K929"/>
  <c r="K931" s="1"/>
  <c r="G866" l="1"/>
  <c r="G865"/>
  <c r="C866"/>
  <c r="C865"/>
  <c r="L866"/>
  <c r="L865"/>
  <c r="H866"/>
  <c r="H865"/>
  <c r="D866"/>
  <c r="D865"/>
  <c r="M866"/>
  <c r="M865"/>
  <c r="G853"/>
  <c r="G852"/>
  <c r="C853"/>
  <c r="C852"/>
  <c r="L853"/>
  <c r="L852"/>
  <c r="H853"/>
  <c r="H852"/>
  <c r="D853"/>
  <c r="D852"/>
  <c r="M853"/>
  <c r="M852"/>
  <c r="G840"/>
  <c r="G839"/>
  <c r="C840"/>
  <c r="C839"/>
  <c r="L840"/>
  <c r="L839"/>
  <c r="H840"/>
  <c r="H839"/>
  <c r="D840"/>
  <c r="D839"/>
  <c r="M840"/>
  <c r="M839"/>
  <c r="G827"/>
  <c r="G826"/>
  <c r="C827"/>
  <c r="C826"/>
  <c r="L827"/>
  <c r="L826"/>
  <c r="H827"/>
  <c r="H826"/>
  <c r="D827"/>
  <c r="D826"/>
  <c r="M827"/>
  <c r="M826"/>
  <c r="G801"/>
  <c r="G800"/>
  <c r="C801"/>
  <c r="C800"/>
  <c r="L801"/>
  <c r="L800"/>
  <c r="H801"/>
  <c r="H800"/>
  <c r="D801"/>
  <c r="D800"/>
  <c r="M801"/>
  <c r="M800"/>
  <c r="G814"/>
  <c r="G813"/>
  <c r="C814"/>
  <c r="C813"/>
  <c r="L814"/>
  <c r="L813"/>
  <c r="H814"/>
  <c r="H813"/>
  <c r="D814"/>
  <c r="D813"/>
  <c r="M814"/>
  <c r="M813"/>
  <c r="G788"/>
  <c r="G787"/>
  <c r="C788"/>
  <c r="C787"/>
  <c r="L788"/>
  <c r="L787"/>
  <c r="H788"/>
  <c r="H787"/>
  <c r="D788"/>
  <c r="D787"/>
  <c r="M788"/>
  <c r="M787"/>
  <c r="L775"/>
  <c r="L774"/>
  <c r="H775"/>
  <c r="H774"/>
  <c r="D775"/>
  <c r="D774"/>
  <c r="K775"/>
  <c r="K774"/>
  <c r="E775"/>
  <c r="E774"/>
  <c r="K762"/>
  <c r="K761"/>
  <c r="E762"/>
  <c r="E761"/>
  <c r="L762"/>
  <c r="L761"/>
  <c r="H762"/>
  <c r="H761"/>
  <c r="D762"/>
  <c r="D761"/>
  <c r="I762"/>
  <c r="I761"/>
  <c r="L749"/>
  <c r="L748"/>
  <c r="D749"/>
  <c r="D748"/>
  <c r="K749"/>
  <c r="K748"/>
  <c r="E749"/>
  <c r="E748"/>
  <c r="K736"/>
  <c r="K735"/>
  <c r="E736"/>
  <c r="E735"/>
  <c r="M736"/>
  <c r="M735"/>
  <c r="M723"/>
  <c r="M722"/>
  <c r="G723"/>
  <c r="G722"/>
  <c r="C723"/>
  <c r="C722"/>
  <c r="I723"/>
  <c r="I722"/>
  <c r="L723"/>
  <c r="L722"/>
  <c r="G710"/>
  <c r="G709"/>
  <c r="C710"/>
  <c r="C709"/>
  <c r="K697"/>
  <c r="K696"/>
  <c r="E697"/>
  <c r="E696"/>
  <c r="I697"/>
  <c r="I696"/>
  <c r="K684"/>
  <c r="K683"/>
  <c r="E684"/>
  <c r="E683"/>
  <c r="I684"/>
  <c r="I683"/>
  <c r="N671"/>
  <c r="N670"/>
  <c r="J671"/>
  <c r="J670"/>
  <c r="F671"/>
  <c r="F670"/>
  <c r="I671"/>
  <c r="I670"/>
  <c r="N658"/>
  <c r="N657"/>
  <c r="J658"/>
  <c r="J657"/>
  <c r="F658"/>
  <c r="F657"/>
  <c r="I658"/>
  <c r="I657"/>
  <c r="K645"/>
  <c r="K644"/>
  <c r="E645"/>
  <c r="E644"/>
  <c r="I645"/>
  <c r="I644"/>
  <c r="N632"/>
  <c r="N631"/>
  <c r="J632"/>
  <c r="J631"/>
  <c r="F632"/>
  <c r="F631"/>
  <c r="I632"/>
  <c r="I631"/>
  <c r="K619"/>
  <c r="K618"/>
  <c r="E619"/>
  <c r="E618"/>
  <c r="I619"/>
  <c r="I618"/>
  <c r="K606"/>
  <c r="K605"/>
  <c r="E606"/>
  <c r="E605"/>
  <c r="M606"/>
  <c r="M605"/>
  <c r="K593"/>
  <c r="K592"/>
  <c r="E593"/>
  <c r="E592"/>
  <c r="M580"/>
  <c r="M579"/>
  <c r="G580"/>
  <c r="G579"/>
  <c r="C580"/>
  <c r="C579"/>
  <c r="I580"/>
  <c r="I579"/>
  <c r="K567"/>
  <c r="K566"/>
  <c r="E567"/>
  <c r="E566"/>
  <c r="M554"/>
  <c r="M553"/>
  <c r="G554"/>
  <c r="G553"/>
  <c r="C554"/>
  <c r="C553"/>
  <c r="I554"/>
  <c r="I553"/>
  <c r="I541"/>
  <c r="I540"/>
  <c r="K528"/>
  <c r="K527"/>
  <c r="E528"/>
  <c r="E527"/>
  <c r="K866"/>
  <c r="K865"/>
  <c r="E866"/>
  <c r="E865"/>
  <c r="N866"/>
  <c r="N865"/>
  <c r="J866"/>
  <c r="J865"/>
  <c r="F866"/>
  <c r="F865"/>
  <c r="I866"/>
  <c r="I865"/>
  <c r="K853"/>
  <c r="K852"/>
  <c r="E853"/>
  <c r="E852"/>
  <c r="N853"/>
  <c r="N852"/>
  <c r="J853"/>
  <c r="J852"/>
  <c r="F853"/>
  <c r="F852"/>
  <c r="I853"/>
  <c r="I852"/>
  <c r="K840"/>
  <c r="K839"/>
  <c r="E840"/>
  <c r="E839"/>
  <c r="N840"/>
  <c r="N839"/>
  <c r="J840"/>
  <c r="J839"/>
  <c r="F840"/>
  <c r="F839"/>
  <c r="I840"/>
  <c r="I839"/>
  <c r="K827"/>
  <c r="K826"/>
  <c r="E827"/>
  <c r="E826"/>
  <c r="N827"/>
  <c r="N826"/>
  <c r="J827"/>
  <c r="J826"/>
  <c r="F827"/>
  <c r="F826"/>
  <c r="I827"/>
  <c r="I826"/>
  <c r="K801"/>
  <c r="K800"/>
  <c r="E801"/>
  <c r="E800"/>
  <c r="N801"/>
  <c r="N800"/>
  <c r="J801"/>
  <c r="J800"/>
  <c r="F801"/>
  <c r="F800"/>
  <c r="I801"/>
  <c r="I800"/>
  <c r="K814"/>
  <c r="K813"/>
  <c r="E814"/>
  <c r="E813"/>
  <c r="N814"/>
  <c r="N813"/>
  <c r="J814"/>
  <c r="J813"/>
  <c r="F814"/>
  <c r="F813"/>
  <c r="I814"/>
  <c r="I813"/>
  <c r="K788"/>
  <c r="K787"/>
  <c r="E788"/>
  <c r="E787"/>
  <c r="N788"/>
  <c r="N787"/>
  <c r="J788"/>
  <c r="J787"/>
  <c r="F788"/>
  <c r="F787"/>
  <c r="I788"/>
  <c r="I787"/>
  <c r="N775"/>
  <c r="N774"/>
  <c r="J775"/>
  <c r="J774"/>
  <c r="F775"/>
  <c r="F774"/>
  <c r="M775"/>
  <c r="M774"/>
  <c r="G775"/>
  <c r="G774"/>
  <c r="C775"/>
  <c r="C774"/>
  <c r="I775"/>
  <c r="I774"/>
  <c r="G762"/>
  <c r="G761"/>
  <c r="C762"/>
  <c r="C761"/>
  <c r="N762"/>
  <c r="N761"/>
  <c r="J762"/>
  <c r="J761"/>
  <c r="F762"/>
  <c r="F761"/>
  <c r="M762"/>
  <c r="M761"/>
  <c r="N749"/>
  <c r="N748"/>
  <c r="J749"/>
  <c r="J748"/>
  <c r="F749"/>
  <c r="F748"/>
  <c r="M749"/>
  <c r="M748"/>
  <c r="G749"/>
  <c r="G748"/>
  <c r="C749"/>
  <c r="C748"/>
  <c r="I749"/>
  <c r="I748"/>
  <c r="G736"/>
  <c r="G735"/>
  <c r="C736"/>
  <c r="C735"/>
  <c r="I736"/>
  <c r="I735"/>
  <c r="K723"/>
  <c r="K722"/>
  <c r="E723"/>
  <c r="E722"/>
  <c r="H723"/>
  <c r="H722"/>
  <c r="K710"/>
  <c r="K709"/>
  <c r="E710"/>
  <c r="E709"/>
  <c r="I710"/>
  <c r="I709"/>
  <c r="M710"/>
  <c r="M709"/>
  <c r="G697"/>
  <c r="G696"/>
  <c r="C697"/>
  <c r="C696"/>
  <c r="M697"/>
  <c r="M696"/>
  <c r="G684"/>
  <c r="G683"/>
  <c r="C684"/>
  <c r="C683"/>
  <c r="M684"/>
  <c r="M683"/>
  <c r="L671"/>
  <c r="L670"/>
  <c r="D671"/>
  <c r="D670"/>
  <c r="M671"/>
  <c r="M670"/>
  <c r="L658"/>
  <c r="L657"/>
  <c r="P656"/>
  <c r="H657"/>
  <c r="D658"/>
  <c r="D657"/>
  <c r="M658"/>
  <c r="M657"/>
  <c r="G645"/>
  <c r="G644"/>
  <c r="C645"/>
  <c r="C644"/>
  <c r="M645"/>
  <c r="M644"/>
  <c r="L632"/>
  <c r="L631"/>
  <c r="D632"/>
  <c r="D631"/>
  <c r="M632"/>
  <c r="M631"/>
  <c r="G619"/>
  <c r="G618"/>
  <c r="C619"/>
  <c r="C618"/>
  <c r="M619"/>
  <c r="M618"/>
  <c r="G606"/>
  <c r="G605"/>
  <c r="C606"/>
  <c r="C605"/>
  <c r="I606"/>
  <c r="I605"/>
  <c r="M593"/>
  <c r="M592"/>
  <c r="G593"/>
  <c r="G592"/>
  <c r="C593"/>
  <c r="C592"/>
  <c r="I593"/>
  <c r="I592"/>
  <c r="K580"/>
  <c r="K579"/>
  <c r="E580"/>
  <c r="E579"/>
  <c r="M567"/>
  <c r="M566"/>
  <c r="G567"/>
  <c r="G566"/>
  <c r="C567"/>
  <c r="C566"/>
  <c r="I567"/>
  <c r="I566"/>
  <c r="K554"/>
  <c r="K553"/>
  <c r="E554"/>
  <c r="E553"/>
  <c r="M528"/>
  <c r="M527"/>
  <c r="G528"/>
  <c r="G527"/>
  <c r="C528"/>
  <c r="C527"/>
  <c r="I528"/>
  <c r="I527"/>
  <c r="P721"/>
  <c r="H749"/>
  <c r="P747"/>
  <c r="H658"/>
  <c r="H632"/>
  <c r="P630"/>
  <c r="H671"/>
  <c r="P669"/>
  <c r="J954"/>
  <c r="J956" s="1"/>
  <c r="H954"/>
  <c r="H956" s="1"/>
  <c r="N954"/>
  <c r="N956" s="1"/>
  <c r="L954"/>
  <c r="L956" s="1"/>
  <c r="K954"/>
  <c r="K956" s="1"/>
  <c r="G954"/>
  <c r="G956" s="1"/>
  <c r="F954"/>
  <c r="F956" s="1"/>
  <c r="E954"/>
  <c r="E956" s="1"/>
  <c r="D954"/>
  <c r="D956" s="1"/>
  <c r="C954"/>
  <c r="C956" s="1"/>
  <c r="N953"/>
  <c r="M953"/>
  <c r="K953"/>
  <c r="I953"/>
  <c r="H953"/>
  <c r="G953"/>
  <c r="N952"/>
  <c r="L952"/>
  <c r="K952"/>
  <c r="J952"/>
  <c r="H952"/>
  <c r="G952"/>
  <c r="F952"/>
  <c r="E952"/>
  <c r="D952"/>
  <c r="C952"/>
  <c r="M951"/>
  <c r="M954" s="1"/>
  <c r="I951"/>
  <c r="I954" s="1"/>
  <c r="N950"/>
  <c r="M950"/>
  <c r="L950"/>
  <c r="K950"/>
  <c r="J950"/>
  <c r="I950"/>
  <c r="H950"/>
  <c r="G950"/>
  <c r="F950"/>
  <c r="E950"/>
  <c r="D950"/>
  <c r="C950"/>
  <c r="J967"/>
  <c r="J969" s="1"/>
  <c r="H967"/>
  <c r="H969" s="1"/>
  <c r="C967"/>
  <c r="N967"/>
  <c r="N969" s="1"/>
  <c r="L967"/>
  <c r="L969" s="1"/>
  <c r="K967"/>
  <c r="K969" s="1"/>
  <c r="G967"/>
  <c r="G969" s="1"/>
  <c r="F967"/>
  <c r="F969" s="1"/>
  <c r="E967"/>
  <c r="E969" s="1"/>
  <c r="D967"/>
  <c r="D969" s="1"/>
  <c r="C969"/>
  <c r="N966"/>
  <c r="M966"/>
  <c r="K966"/>
  <c r="I966"/>
  <c r="H966"/>
  <c r="G966"/>
  <c r="N965"/>
  <c r="L965"/>
  <c r="K965"/>
  <c r="J965"/>
  <c r="H965"/>
  <c r="G965"/>
  <c r="F965"/>
  <c r="E965"/>
  <c r="D965"/>
  <c r="C965"/>
  <c r="M964"/>
  <c r="M967" s="1"/>
  <c r="I964"/>
  <c r="I967" s="1"/>
  <c r="N963"/>
  <c r="M963"/>
  <c r="L963"/>
  <c r="K963"/>
  <c r="J963"/>
  <c r="I963"/>
  <c r="H963"/>
  <c r="G963"/>
  <c r="F963"/>
  <c r="E963"/>
  <c r="D963"/>
  <c r="C963"/>
  <c r="L980"/>
  <c r="L982" s="1"/>
  <c r="H980"/>
  <c r="E980"/>
  <c r="E982" s="1"/>
  <c r="D980"/>
  <c r="D982" s="1"/>
  <c r="N980"/>
  <c r="N982" s="1"/>
  <c r="K980"/>
  <c r="K982" s="1"/>
  <c r="J980"/>
  <c r="J982" s="1"/>
  <c r="H982"/>
  <c r="G980"/>
  <c r="G982" s="1"/>
  <c r="F980"/>
  <c r="F982" s="1"/>
  <c r="C980"/>
  <c r="C982" s="1"/>
  <c r="N979"/>
  <c r="M979"/>
  <c r="K979"/>
  <c r="I979"/>
  <c r="H979"/>
  <c r="G979"/>
  <c r="N978"/>
  <c r="L978"/>
  <c r="K978"/>
  <c r="J978"/>
  <c r="H978"/>
  <c r="G978"/>
  <c r="F978"/>
  <c r="E978"/>
  <c r="D978"/>
  <c r="C978"/>
  <c r="M977"/>
  <c r="M980" s="1"/>
  <c r="I977"/>
  <c r="I980" s="1"/>
  <c r="N976"/>
  <c r="M976"/>
  <c r="L976"/>
  <c r="K976"/>
  <c r="J976"/>
  <c r="I976"/>
  <c r="H976"/>
  <c r="G976"/>
  <c r="F976"/>
  <c r="E976"/>
  <c r="D976"/>
  <c r="C976"/>
  <c r="N993"/>
  <c r="N995" s="1"/>
  <c r="L993"/>
  <c r="L995" s="1"/>
  <c r="K993"/>
  <c r="K995" s="1"/>
  <c r="J993"/>
  <c r="J995" s="1"/>
  <c r="H993"/>
  <c r="H995" s="1"/>
  <c r="G993"/>
  <c r="G995" s="1"/>
  <c r="F993"/>
  <c r="F995" s="1"/>
  <c r="E993"/>
  <c r="E995" s="1"/>
  <c r="D993"/>
  <c r="D995" s="1"/>
  <c r="C993"/>
  <c r="C995" s="1"/>
  <c r="N992"/>
  <c r="M992"/>
  <c r="K992"/>
  <c r="I992"/>
  <c r="H992"/>
  <c r="G992"/>
  <c r="N991"/>
  <c r="L991"/>
  <c r="K991"/>
  <c r="J991"/>
  <c r="H991"/>
  <c r="G991"/>
  <c r="F991"/>
  <c r="E991"/>
  <c r="D991"/>
  <c r="C991"/>
  <c r="M990"/>
  <c r="M993" s="1"/>
  <c r="I990"/>
  <c r="I993" s="1"/>
  <c r="N989"/>
  <c r="M989"/>
  <c r="L989"/>
  <c r="K989"/>
  <c r="J989"/>
  <c r="I989"/>
  <c r="H989"/>
  <c r="G989"/>
  <c r="F989"/>
  <c r="E989"/>
  <c r="D989"/>
  <c r="C989"/>
  <c r="N1006"/>
  <c r="N1008" s="1"/>
  <c r="L1006"/>
  <c r="L1008" s="1"/>
  <c r="K1006"/>
  <c r="K1008" s="1"/>
  <c r="J1006"/>
  <c r="J1008" s="1"/>
  <c r="H1006"/>
  <c r="H1008" s="1"/>
  <c r="G1006"/>
  <c r="G1008" s="1"/>
  <c r="F1006"/>
  <c r="F1008" s="1"/>
  <c r="E1006"/>
  <c r="E1008" s="1"/>
  <c r="D1006"/>
  <c r="D1008" s="1"/>
  <c r="C1006"/>
  <c r="C1008" s="1"/>
  <c r="N1005"/>
  <c r="M1005"/>
  <c r="K1005"/>
  <c r="I1005"/>
  <c r="H1005"/>
  <c r="G1005"/>
  <c r="N1004"/>
  <c r="L1004"/>
  <c r="K1004"/>
  <c r="J1004"/>
  <c r="H1004"/>
  <c r="G1004"/>
  <c r="F1004"/>
  <c r="E1004"/>
  <c r="D1004"/>
  <c r="C1004"/>
  <c r="M1003"/>
  <c r="M1006" s="1"/>
  <c r="I1003"/>
  <c r="I1006" s="1"/>
  <c r="N1002"/>
  <c r="M1002"/>
  <c r="L1002"/>
  <c r="K1002"/>
  <c r="J1002"/>
  <c r="I1002"/>
  <c r="H1002"/>
  <c r="G1002"/>
  <c r="F1002"/>
  <c r="E1002"/>
  <c r="D1002"/>
  <c r="C1002"/>
  <c r="K1019"/>
  <c r="K1021" s="1"/>
  <c r="N1019"/>
  <c r="N1021" s="1"/>
  <c r="L1019"/>
  <c r="L1021" s="1"/>
  <c r="J1019"/>
  <c r="J1021" s="1"/>
  <c r="H1019"/>
  <c r="H1021" s="1"/>
  <c r="G1019"/>
  <c r="G1021" s="1"/>
  <c r="F1019"/>
  <c r="F1021" s="1"/>
  <c r="E1019"/>
  <c r="E1021" s="1"/>
  <c r="D1019"/>
  <c r="D1021" s="1"/>
  <c r="C1019"/>
  <c r="C1021" s="1"/>
  <c r="N1018"/>
  <c r="M1018"/>
  <c r="K1018"/>
  <c r="I1018"/>
  <c r="H1018"/>
  <c r="G1018"/>
  <c r="N1017"/>
  <c r="L1017"/>
  <c r="K1017"/>
  <c r="J1017"/>
  <c r="H1017"/>
  <c r="G1017"/>
  <c r="F1017"/>
  <c r="E1017"/>
  <c r="D1017"/>
  <c r="C1017"/>
  <c r="M1016"/>
  <c r="M1019" s="1"/>
  <c r="I1016"/>
  <c r="I1019" s="1"/>
  <c r="N1015"/>
  <c r="M1015"/>
  <c r="L1015"/>
  <c r="K1015"/>
  <c r="J1015"/>
  <c r="I1015"/>
  <c r="H1015"/>
  <c r="G1015"/>
  <c r="F1015"/>
  <c r="E1015"/>
  <c r="D1015"/>
  <c r="C1015"/>
  <c r="M956" l="1"/>
  <c r="M955"/>
  <c r="M957" s="1"/>
  <c r="I956"/>
  <c r="I955"/>
  <c r="I957" s="1"/>
  <c r="D955"/>
  <c r="D957" s="1"/>
  <c r="F955"/>
  <c r="F957" s="1"/>
  <c r="H955"/>
  <c r="H957" s="1"/>
  <c r="J955"/>
  <c r="J957" s="1"/>
  <c r="L955"/>
  <c r="L957" s="1"/>
  <c r="N955"/>
  <c r="N957" s="1"/>
  <c r="I952"/>
  <c r="M952"/>
  <c r="C955"/>
  <c r="C957" s="1"/>
  <c r="E955"/>
  <c r="E957" s="1"/>
  <c r="G955"/>
  <c r="G957" s="1"/>
  <c r="K955"/>
  <c r="K957" s="1"/>
  <c r="M969"/>
  <c r="M968"/>
  <c r="M970" s="1"/>
  <c r="I969"/>
  <c r="I968"/>
  <c r="I970" s="1"/>
  <c r="D968"/>
  <c r="D970" s="1"/>
  <c r="F968"/>
  <c r="F970" s="1"/>
  <c r="H968"/>
  <c r="H970" s="1"/>
  <c r="J968"/>
  <c r="J970" s="1"/>
  <c r="L968"/>
  <c r="L970" s="1"/>
  <c r="N968"/>
  <c r="N970" s="1"/>
  <c r="I965"/>
  <c r="M965"/>
  <c r="C968"/>
  <c r="C970" s="1"/>
  <c r="E968"/>
  <c r="E970" s="1"/>
  <c r="G968"/>
  <c r="G970" s="1"/>
  <c r="K968"/>
  <c r="K970" s="1"/>
  <c r="M982"/>
  <c r="M981"/>
  <c r="M983" s="1"/>
  <c r="I982"/>
  <c r="I981"/>
  <c r="I983" s="1"/>
  <c r="D981"/>
  <c r="D983" s="1"/>
  <c r="F981"/>
  <c r="F983" s="1"/>
  <c r="H981"/>
  <c r="H983" s="1"/>
  <c r="J981"/>
  <c r="J983" s="1"/>
  <c r="L981"/>
  <c r="L983" s="1"/>
  <c r="N981"/>
  <c r="N983" s="1"/>
  <c r="I978"/>
  <c r="M978"/>
  <c r="C981"/>
  <c r="C983" s="1"/>
  <c r="E981"/>
  <c r="E983" s="1"/>
  <c r="G981"/>
  <c r="G983" s="1"/>
  <c r="K981"/>
  <c r="K983" s="1"/>
  <c r="M995"/>
  <c r="M994"/>
  <c r="M996" s="1"/>
  <c r="I995"/>
  <c r="I994"/>
  <c r="I996" s="1"/>
  <c r="D994"/>
  <c r="D996" s="1"/>
  <c r="F994"/>
  <c r="F996" s="1"/>
  <c r="H994"/>
  <c r="H996" s="1"/>
  <c r="J994"/>
  <c r="J996" s="1"/>
  <c r="L994"/>
  <c r="L996" s="1"/>
  <c r="N994"/>
  <c r="N996" s="1"/>
  <c r="I991"/>
  <c r="M991"/>
  <c r="C994"/>
  <c r="C996" s="1"/>
  <c r="E994"/>
  <c r="E996" s="1"/>
  <c r="G994"/>
  <c r="G996" s="1"/>
  <c r="K994"/>
  <c r="K996" s="1"/>
  <c r="M1008"/>
  <c r="M1007"/>
  <c r="M1009" s="1"/>
  <c r="I1008"/>
  <c r="I1007"/>
  <c r="I1009" s="1"/>
  <c r="D1007"/>
  <c r="D1009" s="1"/>
  <c r="F1007"/>
  <c r="F1009" s="1"/>
  <c r="H1007"/>
  <c r="H1009" s="1"/>
  <c r="J1007"/>
  <c r="J1009" s="1"/>
  <c r="L1007"/>
  <c r="L1009" s="1"/>
  <c r="N1007"/>
  <c r="N1009" s="1"/>
  <c r="I1004"/>
  <c r="M1004"/>
  <c r="C1007"/>
  <c r="C1009" s="1"/>
  <c r="E1007"/>
  <c r="E1009" s="1"/>
  <c r="G1007"/>
  <c r="G1009" s="1"/>
  <c r="K1007"/>
  <c r="K1009" s="1"/>
  <c r="M1021"/>
  <c r="M1020"/>
  <c r="M1022" s="1"/>
  <c r="I1021"/>
  <c r="I1020"/>
  <c r="I1022" s="1"/>
  <c r="D1020"/>
  <c r="D1022" s="1"/>
  <c r="F1020"/>
  <c r="F1022" s="1"/>
  <c r="H1020"/>
  <c r="H1022" s="1"/>
  <c r="J1020"/>
  <c r="J1022" s="1"/>
  <c r="L1020"/>
  <c r="L1022" s="1"/>
  <c r="N1020"/>
  <c r="N1022" s="1"/>
  <c r="I1017"/>
  <c r="M1017"/>
  <c r="C1020"/>
  <c r="C1022" s="1"/>
  <c r="E1020"/>
  <c r="E1022" s="1"/>
  <c r="G1020"/>
  <c r="G1022" s="1"/>
  <c r="K1020"/>
  <c r="K1022" s="1"/>
  <c r="K1432"/>
  <c r="K1435" s="1"/>
  <c r="K1437" s="1"/>
  <c r="K1419"/>
  <c r="K1420" s="1"/>
  <c r="K1406"/>
  <c r="K1407" s="1"/>
  <c r="K1393"/>
  <c r="K1396" s="1"/>
  <c r="K1398" s="1"/>
  <c r="K1380"/>
  <c r="K1383" s="1"/>
  <c r="K1385" s="1"/>
  <c r="K1367"/>
  <c r="K1370" s="1"/>
  <c r="K1372" s="1"/>
  <c r="K1354"/>
  <c r="K1357" s="1"/>
  <c r="K1359" s="1"/>
  <c r="K1341"/>
  <c r="K1344" s="1"/>
  <c r="K1346" s="1"/>
  <c r="K1328"/>
  <c r="K1329" s="1"/>
  <c r="K1315"/>
  <c r="K1318" s="1"/>
  <c r="K1320" s="1"/>
  <c r="K1302"/>
  <c r="K1305" s="1"/>
  <c r="K1307" s="1"/>
  <c r="K1289"/>
  <c r="K1292" s="1"/>
  <c r="K1294" s="1"/>
  <c r="K1276"/>
  <c r="K1279" s="1"/>
  <c r="K1281" s="1"/>
  <c r="K1263"/>
  <c r="K1264" s="1"/>
  <c r="K1250"/>
  <c r="K1251" s="1"/>
  <c r="K1237"/>
  <c r="K1240" s="1"/>
  <c r="K1242" s="1"/>
  <c r="K1224"/>
  <c r="K1227" s="1"/>
  <c r="K1229" s="1"/>
  <c r="K1211"/>
  <c r="K1214" s="1"/>
  <c r="K1216" s="1"/>
  <c r="K1198"/>
  <c r="K1201" s="1"/>
  <c r="K1203" s="1"/>
  <c r="K1185"/>
  <c r="K1188" s="1"/>
  <c r="K1190" s="1"/>
  <c r="K1172"/>
  <c r="K1175" s="1"/>
  <c r="K1177" s="1"/>
  <c r="K1159"/>
  <c r="K1160" s="1"/>
  <c r="K1146"/>
  <c r="K1147" s="1"/>
  <c r="K1133"/>
  <c r="K1136" s="1"/>
  <c r="K1138" s="1"/>
  <c r="K1120"/>
  <c r="K1123" s="1"/>
  <c r="K1125" s="1"/>
  <c r="K1107"/>
  <c r="K1108" s="1"/>
  <c r="K1094"/>
  <c r="K1097" s="1"/>
  <c r="K1099" s="1"/>
  <c r="K1081"/>
  <c r="K1082" s="1"/>
  <c r="K1068"/>
  <c r="K1069" s="1"/>
  <c r="K1055"/>
  <c r="K1058" s="1"/>
  <c r="K1060" s="1"/>
  <c r="K1042"/>
  <c r="K1045" s="1"/>
  <c r="K1047" s="1"/>
  <c r="H1432"/>
  <c r="H1433" s="1"/>
  <c r="H1419"/>
  <c r="H1420" s="1"/>
  <c r="H1406"/>
  <c r="H1409" s="1"/>
  <c r="H1411" s="1"/>
  <c r="H1393"/>
  <c r="H1396" s="1"/>
  <c r="H1398" s="1"/>
  <c r="H1380"/>
  <c r="H1381" s="1"/>
  <c r="H1367"/>
  <c r="H1370" s="1"/>
  <c r="H1372" s="1"/>
  <c r="H1354"/>
  <c r="H1357" s="1"/>
  <c r="H1359" s="1"/>
  <c r="H1341"/>
  <c r="H1342" s="1"/>
  <c r="H1315"/>
  <c r="H1318" s="1"/>
  <c r="H1320" s="1"/>
  <c r="H1328"/>
  <c r="H1331" s="1"/>
  <c r="H1333" s="1"/>
  <c r="H1302"/>
  <c r="H1305" s="1"/>
  <c r="H1307" s="1"/>
  <c r="H1289"/>
  <c r="H1292" s="1"/>
  <c r="H1294" s="1"/>
  <c r="H1276"/>
  <c r="H1279" s="1"/>
  <c r="H1281" s="1"/>
  <c r="H1263"/>
  <c r="H1264" s="1"/>
  <c r="H1250"/>
  <c r="H1253" s="1"/>
  <c r="H1255" s="1"/>
  <c r="H1237"/>
  <c r="H1240" s="1"/>
  <c r="H1242" s="1"/>
  <c r="H1224"/>
  <c r="H1227" s="1"/>
  <c r="H1229" s="1"/>
  <c r="H1211"/>
  <c r="H1214" s="1"/>
  <c r="H1216" s="1"/>
  <c r="H1185"/>
  <c r="H1188" s="1"/>
  <c r="H1190" s="1"/>
  <c r="H1172"/>
  <c r="H1175" s="1"/>
  <c r="H1177" s="1"/>
  <c r="H1159"/>
  <c r="H1162" s="1"/>
  <c r="H1164" s="1"/>
  <c r="K1032"/>
  <c r="K1034" s="1"/>
  <c r="J1032"/>
  <c r="J1034" s="1"/>
  <c r="H1032"/>
  <c r="H1034" s="1"/>
  <c r="N1032"/>
  <c r="N1034" s="1"/>
  <c r="L1032"/>
  <c r="L1034" s="1"/>
  <c r="G1032"/>
  <c r="G1034" s="1"/>
  <c r="F1032"/>
  <c r="F1034" s="1"/>
  <c r="E1032"/>
  <c r="E1034" s="1"/>
  <c r="D1032"/>
  <c r="D1034" s="1"/>
  <c r="C1032"/>
  <c r="C1034" s="1"/>
  <c r="N1031"/>
  <c r="M1031"/>
  <c r="K1031"/>
  <c r="I1031"/>
  <c r="H1031"/>
  <c r="G1031"/>
  <c r="N1030"/>
  <c r="L1030"/>
  <c r="K1030"/>
  <c r="J1030"/>
  <c r="H1030"/>
  <c r="G1030"/>
  <c r="F1030"/>
  <c r="E1030"/>
  <c r="D1030"/>
  <c r="C1030"/>
  <c r="M1029"/>
  <c r="M1032" s="1"/>
  <c r="I1029"/>
  <c r="I1032" s="1"/>
  <c r="N1028"/>
  <c r="M1028"/>
  <c r="L1028"/>
  <c r="K1028"/>
  <c r="J1028"/>
  <c r="I1028"/>
  <c r="H1028"/>
  <c r="G1028"/>
  <c r="F1028"/>
  <c r="E1028"/>
  <c r="D1028"/>
  <c r="C1028"/>
  <c r="H1045"/>
  <c r="H1047" s="1"/>
  <c r="N1045"/>
  <c r="N1047" s="1"/>
  <c r="L1045"/>
  <c r="L1047" s="1"/>
  <c r="J1045"/>
  <c r="J1047" s="1"/>
  <c r="G1045"/>
  <c r="G1047" s="1"/>
  <c r="F1045"/>
  <c r="F1047" s="1"/>
  <c r="E1045"/>
  <c r="E1047" s="1"/>
  <c r="D1045"/>
  <c r="D1047" s="1"/>
  <c r="C1045"/>
  <c r="C1047" s="1"/>
  <c r="N1044"/>
  <c r="M1044"/>
  <c r="K1044"/>
  <c r="I1044"/>
  <c r="H1044"/>
  <c r="G1044"/>
  <c r="N1043"/>
  <c r="L1043"/>
  <c r="J1043"/>
  <c r="H1043"/>
  <c r="G1043"/>
  <c r="F1043"/>
  <c r="E1043"/>
  <c r="D1043"/>
  <c r="C1043"/>
  <c r="M1042"/>
  <c r="M1045" s="1"/>
  <c r="I1042"/>
  <c r="I1045" s="1"/>
  <c r="N1041"/>
  <c r="M1041"/>
  <c r="L1041"/>
  <c r="K1041"/>
  <c r="J1041"/>
  <c r="I1041"/>
  <c r="H1041"/>
  <c r="G1041"/>
  <c r="F1041"/>
  <c r="E1041"/>
  <c r="D1041"/>
  <c r="C1041"/>
  <c r="N1058"/>
  <c r="N1060" s="1"/>
  <c r="L1058"/>
  <c r="L1060" s="1"/>
  <c r="J1058"/>
  <c r="J1060" s="1"/>
  <c r="H1058"/>
  <c r="H1060" s="1"/>
  <c r="G1058"/>
  <c r="G1060" s="1"/>
  <c r="F1058"/>
  <c r="F1060" s="1"/>
  <c r="E1058"/>
  <c r="E1060" s="1"/>
  <c r="D1058"/>
  <c r="D1060" s="1"/>
  <c r="C1058"/>
  <c r="C1060" s="1"/>
  <c r="N1057"/>
  <c r="M1057"/>
  <c r="K1057"/>
  <c r="I1057"/>
  <c r="H1057"/>
  <c r="G1057"/>
  <c r="N1056"/>
  <c r="L1056"/>
  <c r="J1056"/>
  <c r="H1056"/>
  <c r="G1056"/>
  <c r="F1056"/>
  <c r="E1056"/>
  <c r="D1056"/>
  <c r="C1056"/>
  <c r="M1055"/>
  <c r="M1058" s="1"/>
  <c r="I1055"/>
  <c r="I1058" s="1"/>
  <c r="N1054"/>
  <c r="M1054"/>
  <c r="L1054"/>
  <c r="K1054"/>
  <c r="J1054"/>
  <c r="I1054"/>
  <c r="H1054"/>
  <c r="G1054"/>
  <c r="F1054"/>
  <c r="E1054"/>
  <c r="D1054"/>
  <c r="C1054"/>
  <c r="H1071"/>
  <c r="H1073" s="1"/>
  <c r="N1071"/>
  <c r="N1073" s="1"/>
  <c r="L1071"/>
  <c r="L1073" s="1"/>
  <c r="J1071"/>
  <c r="J1073" s="1"/>
  <c r="G1071"/>
  <c r="G1073" s="1"/>
  <c r="F1071"/>
  <c r="F1073" s="1"/>
  <c r="E1071"/>
  <c r="E1073" s="1"/>
  <c r="D1071"/>
  <c r="D1073" s="1"/>
  <c r="C1071"/>
  <c r="C1073" s="1"/>
  <c r="N1070"/>
  <c r="M1070"/>
  <c r="K1070"/>
  <c r="I1070"/>
  <c r="H1070"/>
  <c r="G1070"/>
  <c r="N1069"/>
  <c r="L1069"/>
  <c r="J1069"/>
  <c r="H1069"/>
  <c r="G1069"/>
  <c r="F1069"/>
  <c r="E1069"/>
  <c r="D1069"/>
  <c r="C1069"/>
  <c r="M1068"/>
  <c r="M1071" s="1"/>
  <c r="I1068"/>
  <c r="I1071" s="1"/>
  <c r="N1067"/>
  <c r="M1067"/>
  <c r="L1067"/>
  <c r="K1067"/>
  <c r="J1067"/>
  <c r="I1067"/>
  <c r="H1067"/>
  <c r="G1067"/>
  <c r="F1067"/>
  <c r="E1067"/>
  <c r="D1067"/>
  <c r="C1067"/>
  <c r="L1084"/>
  <c r="G1084"/>
  <c r="H1084"/>
  <c r="H1086" s="1"/>
  <c r="N1084"/>
  <c r="N1086" s="1"/>
  <c r="L1086"/>
  <c r="K1084"/>
  <c r="K1086" s="1"/>
  <c r="J1084"/>
  <c r="J1086" s="1"/>
  <c r="G1086"/>
  <c r="F1084"/>
  <c r="F1086" s="1"/>
  <c r="E1084"/>
  <c r="E1086" s="1"/>
  <c r="D1084"/>
  <c r="D1086" s="1"/>
  <c r="C1084"/>
  <c r="C1086" s="1"/>
  <c r="N1083"/>
  <c r="M1083"/>
  <c r="K1083"/>
  <c r="I1083"/>
  <c r="H1083"/>
  <c r="G1083"/>
  <c r="N1082"/>
  <c r="L1082"/>
  <c r="J1082"/>
  <c r="H1082"/>
  <c r="G1082"/>
  <c r="F1082"/>
  <c r="E1082"/>
  <c r="D1082"/>
  <c r="C1082"/>
  <c r="M1081"/>
  <c r="M1084" s="1"/>
  <c r="I1081"/>
  <c r="I1084" s="1"/>
  <c r="N1080"/>
  <c r="M1080"/>
  <c r="L1080"/>
  <c r="K1080"/>
  <c r="J1080"/>
  <c r="I1080"/>
  <c r="H1080"/>
  <c r="G1080"/>
  <c r="F1080"/>
  <c r="E1080"/>
  <c r="D1080"/>
  <c r="C1080"/>
  <c r="J1097"/>
  <c r="J1099" s="1"/>
  <c r="H1097"/>
  <c r="H1099" s="1"/>
  <c r="F1097"/>
  <c r="F1099" s="1"/>
  <c r="N1097"/>
  <c r="N1099" s="1"/>
  <c r="L1097"/>
  <c r="L1099" s="1"/>
  <c r="G1097"/>
  <c r="G1099" s="1"/>
  <c r="E1097"/>
  <c r="E1099" s="1"/>
  <c r="D1097"/>
  <c r="D1099" s="1"/>
  <c r="C1097"/>
  <c r="C1099" s="1"/>
  <c r="N1096"/>
  <c r="M1096"/>
  <c r="K1096"/>
  <c r="I1096"/>
  <c r="H1096"/>
  <c r="G1096"/>
  <c r="N1095"/>
  <c r="L1095"/>
  <c r="J1095"/>
  <c r="H1095"/>
  <c r="G1095"/>
  <c r="F1095"/>
  <c r="E1095"/>
  <c r="D1095"/>
  <c r="C1095"/>
  <c r="M1094"/>
  <c r="M1097" s="1"/>
  <c r="I1094"/>
  <c r="I1097" s="1"/>
  <c r="N1093"/>
  <c r="M1093"/>
  <c r="L1093"/>
  <c r="K1093"/>
  <c r="J1093"/>
  <c r="I1093"/>
  <c r="H1093"/>
  <c r="G1093"/>
  <c r="F1093"/>
  <c r="E1093"/>
  <c r="D1093"/>
  <c r="C1093"/>
  <c r="K1110"/>
  <c r="H1110"/>
  <c r="H1112" s="1"/>
  <c r="N1110"/>
  <c r="N1112" s="1"/>
  <c r="L1110"/>
  <c r="L1112" s="1"/>
  <c r="K1112"/>
  <c r="J1110"/>
  <c r="J1112" s="1"/>
  <c r="G1110"/>
  <c r="G1112" s="1"/>
  <c r="F1110"/>
  <c r="F1112" s="1"/>
  <c r="E1110"/>
  <c r="E1112" s="1"/>
  <c r="D1110"/>
  <c r="D1112" s="1"/>
  <c r="C1110"/>
  <c r="C1112" s="1"/>
  <c r="N1109"/>
  <c r="M1109"/>
  <c r="K1109"/>
  <c r="I1109"/>
  <c r="H1109"/>
  <c r="G1109"/>
  <c r="N1108"/>
  <c r="L1108"/>
  <c r="J1108"/>
  <c r="H1108"/>
  <c r="G1108"/>
  <c r="F1108"/>
  <c r="E1108"/>
  <c r="D1108"/>
  <c r="C1108"/>
  <c r="M1107"/>
  <c r="M1110" s="1"/>
  <c r="I1107"/>
  <c r="I1110" s="1"/>
  <c r="N1106"/>
  <c r="M1106"/>
  <c r="L1106"/>
  <c r="K1106"/>
  <c r="J1106"/>
  <c r="I1106"/>
  <c r="H1106"/>
  <c r="G1106"/>
  <c r="F1106"/>
  <c r="E1106"/>
  <c r="D1106"/>
  <c r="C1106"/>
  <c r="N1123"/>
  <c r="N1125" s="1"/>
  <c r="L1123"/>
  <c r="L1125" s="1"/>
  <c r="J1123"/>
  <c r="J1125" s="1"/>
  <c r="H1123"/>
  <c r="H1125" s="1"/>
  <c r="G1123"/>
  <c r="G1125" s="1"/>
  <c r="F1123"/>
  <c r="F1125" s="1"/>
  <c r="E1123"/>
  <c r="E1125" s="1"/>
  <c r="D1123"/>
  <c r="D1125" s="1"/>
  <c r="C1123"/>
  <c r="C1125" s="1"/>
  <c r="N1122"/>
  <c r="M1122"/>
  <c r="K1122"/>
  <c r="I1122"/>
  <c r="H1122"/>
  <c r="G1122"/>
  <c r="N1121"/>
  <c r="L1121"/>
  <c r="J1121"/>
  <c r="H1121"/>
  <c r="G1121"/>
  <c r="F1121"/>
  <c r="E1121"/>
  <c r="D1121"/>
  <c r="C1121"/>
  <c r="M1120"/>
  <c r="M1123" s="1"/>
  <c r="I1120"/>
  <c r="I1123" s="1"/>
  <c r="N1119"/>
  <c r="M1119"/>
  <c r="L1119"/>
  <c r="K1119"/>
  <c r="J1119"/>
  <c r="I1119"/>
  <c r="H1119"/>
  <c r="G1119"/>
  <c r="F1119"/>
  <c r="E1119"/>
  <c r="D1119"/>
  <c r="C1119"/>
  <c r="H1136"/>
  <c r="H1138" s="1"/>
  <c r="N1136"/>
  <c r="N1138" s="1"/>
  <c r="L1136"/>
  <c r="L1138" s="1"/>
  <c r="J1136"/>
  <c r="J1138" s="1"/>
  <c r="G1136"/>
  <c r="G1138" s="1"/>
  <c r="F1136"/>
  <c r="F1138" s="1"/>
  <c r="E1136"/>
  <c r="E1138" s="1"/>
  <c r="D1136"/>
  <c r="D1138" s="1"/>
  <c r="C1136"/>
  <c r="C1138" s="1"/>
  <c r="N1135"/>
  <c r="M1135"/>
  <c r="K1135"/>
  <c r="I1135"/>
  <c r="H1135"/>
  <c r="G1135"/>
  <c r="N1134"/>
  <c r="L1134"/>
  <c r="J1134"/>
  <c r="H1134"/>
  <c r="G1134"/>
  <c r="F1134"/>
  <c r="E1134"/>
  <c r="D1134"/>
  <c r="C1134"/>
  <c r="M1133"/>
  <c r="M1136" s="1"/>
  <c r="I1133"/>
  <c r="I1136" s="1"/>
  <c r="N1132"/>
  <c r="M1132"/>
  <c r="L1132"/>
  <c r="K1132"/>
  <c r="J1132"/>
  <c r="I1132"/>
  <c r="H1132"/>
  <c r="G1132"/>
  <c r="F1132"/>
  <c r="E1132"/>
  <c r="D1132"/>
  <c r="C1132"/>
  <c r="H1149"/>
  <c r="H1151" s="1"/>
  <c r="C1149"/>
  <c r="C1151" s="1"/>
  <c r="N1149"/>
  <c r="N1151" s="1"/>
  <c r="L1149"/>
  <c r="L1151" s="1"/>
  <c r="J1149"/>
  <c r="J1151" s="1"/>
  <c r="G1149"/>
  <c r="G1151" s="1"/>
  <c r="F1149"/>
  <c r="F1151" s="1"/>
  <c r="E1149"/>
  <c r="E1151" s="1"/>
  <c r="D1149"/>
  <c r="D1151" s="1"/>
  <c r="N1148"/>
  <c r="M1148"/>
  <c r="K1148"/>
  <c r="I1148"/>
  <c r="H1148"/>
  <c r="G1148"/>
  <c r="N1147"/>
  <c r="L1147"/>
  <c r="J1147"/>
  <c r="H1147"/>
  <c r="G1147"/>
  <c r="F1147"/>
  <c r="E1147"/>
  <c r="D1147"/>
  <c r="C1147"/>
  <c r="M1146"/>
  <c r="M1149" s="1"/>
  <c r="I1146"/>
  <c r="I1149" s="1"/>
  <c r="N1145"/>
  <c r="M1145"/>
  <c r="L1145"/>
  <c r="K1145"/>
  <c r="J1145"/>
  <c r="I1145"/>
  <c r="H1145"/>
  <c r="G1145"/>
  <c r="F1145"/>
  <c r="E1145"/>
  <c r="D1145"/>
  <c r="C1145"/>
  <c r="N1162"/>
  <c r="N1164" s="1"/>
  <c r="L1162"/>
  <c r="L1164" s="1"/>
  <c r="J1162"/>
  <c r="J1164" s="1"/>
  <c r="G1162"/>
  <c r="G1164" s="1"/>
  <c r="F1162"/>
  <c r="F1164" s="1"/>
  <c r="E1162"/>
  <c r="E1164" s="1"/>
  <c r="D1162"/>
  <c r="D1164" s="1"/>
  <c r="C1162"/>
  <c r="C1164" s="1"/>
  <c r="N1161"/>
  <c r="M1161"/>
  <c r="K1161"/>
  <c r="I1161"/>
  <c r="H1161"/>
  <c r="G1161"/>
  <c r="N1160"/>
  <c r="L1160"/>
  <c r="J1160"/>
  <c r="G1160"/>
  <c r="F1160"/>
  <c r="E1160"/>
  <c r="D1160"/>
  <c r="C1160"/>
  <c r="M1159"/>
  <c r="M1162" s="1"/>
  <c r="I1159"/>
  <c r="I1162" s="1"/>
  <c r="N1158"/>
  <c r="M1158"/>
  <c r="L1158"/>
  <c r="K1158"/>
  <c r="J1158"/>
  <c r="I1158"/>
  <c r="H1158"/>
  <c r="G1158"/>
  <c r="F1158"/>
  <c r="E1158"/>
  <c r="D1158"/>
  <c r="C1158"/>
  <c r="N1175"/>
  <c r="N1177" s="1"/>
  <c r="L1175"/>
  <c r="L1177" s="1"/>
  <c r="J1175"/>
  <c r="J1177" s="1"/>
  <c r="G1175"/>
  <c r="G1177" s="1"/>
  <c r="F1175"/>
  <c r="F1177" s="1"/>
  <c r="E1175"/>
  <c r="E1177" s="1"/>
  <c r="D1175"/>
  <c r="D1177" s="1"/>
  <c r="C1175"/>
  <c r="C1177" s="1"/>
  <c r="N1174"/>
  <c r="M1174"/>
  <c r="K1174"/>
  <c r="I1174"/>
  <c r="H1174"/>
  <c r="G1174"/>
  <c r="N1173"/>
  <c r="L1173"/>
  <c r="J1173"/>
  <c r="G1173"/>
  <c r="F1173"/>
  <c r="E1173"/>
  <c r="D1173"/>
  <c r="C1173"/>
  <c r="M1172"/>
  <c r="M1175" s="1"/>
  <c r="I1172"/>
  <c r="I1175" s="1"/>
  <c r="N1171"/>
  <c r="M1171"/>
  <c r="L1171"/>
  <c r="K1171"/>
  <c r="J1171"/>
  <c r="I1171"/>
  <c r="H1171"/>
  <c r="G1171"/>
  <c r="F1171"/>
  <c r="E1171"/>
  <c r="D1171"/>
  <c r="C1171"/>
  <c r="E1188"/>
  <c r="E1190" s="1"/>
  <c r="N1188"/>
  <c r="N1190" s="1"/>
  <c r="L1188"/>
  <c r="L1190" s="1"/>
  <c r="J1188"/>
  <c r="J1190" s="1"/>
  <c r="G1188"/>
  <c r="G1190" s="1"/>
  <c r="F1188"/>
  <c r="F1190" s="1"/>
  <c r="D1188"/>
  <c r="D1190" s="1"/>
  <c r="C1188"/>
  <c r="C1190" s="1"/>
  <c r="N1187"/>
  <c r="M1187"/>
  <c r="K1187"/>
  <c r="I1187"/>
  <c r="H1187"/>
  <c r="G1187"/>
  <c r="N1186"/>
  <c r="L1186"/>
  <c r="J1186"/>
  <c r="G1186"/>
  <c r="F1186"/>
  <c r="E1186"/>
  <c r="D1186"/>
  <c r="C1186"/>
  <c r="M1185"/>
  <c r="M1188" s="1"/>
  <c r="I1185"/>
  <c r="I1188" s="1"/>
  <c r="N1184"/>
  <c r="M1184"/>
  <c r="L1184"/>
  <c r="K1184"/>
  <c r="J1184"/>
  <c r="I1184"/>
  <c r="H1184"/>
  <c r="G1184"/>
  <c r="F1184"/>
  <c r="E1184"/>
  <c r="D1184"/>
  <c r="C1184"/>
  <c r="J1201"/>
  <c r="J1203" s="1"/>
  <c r="H1201"/>
  <c r="H1203" s="1"/>
  <c r="F1201"/>
  <c r="F1203" s="1"/>
  <c r="C1201"/>
  <c r="C1203" s="1"/>
  <c r="N1201"/>
  <c r="N1203" s="1"/>
  <c r="L1201"/>
  <c r="L1203" s="1"/>
  <c r="G1201"/>
  <c r="G1203" s="1"/>
  <c r="E1201"/>
  <c r="E1203" s="1"/>
  <c r="D1201"/>
  <c r="D1203" s="1"/>
  <c r="N1200"/>
  <c r="M1200"/>
  <c r="K1200"/>
  <c r="I1200"/>
  <c r="H1200"/>
  <c r="G1200"/>
  <c r="N1199"/>
  <c r="L1199"/>
  <c r="J1199"/>
  <c r="H1199"/>
  <c r="G1199"/>
  <c r="F1199"/>
  <c r="E1199"/>
  <c r="D1199"/>
  <c r="C1199"/>
  <c r="M1198"/>
  <c r="M1201" s="1"/>
  <c r="I1198"/>
  <c r="I1201" s="1"/>
  <c r="N1197"/>
  <c r="M1197"/>
  <c r="L1197"/>
  <c r="K1197"/>
  <c r="J1197"/>
  <c r="I1197"/>
  <c r="H1197"/>
  <c r="G1197"/>
  <c r="F1197"/>
  <c r="E1197"/>
  <c r="D1197"/>
  <c r="C1197"/>
  <c r="E1214"/>
  <c r="D1214"/>
  <c r="D1216" s="1"/>
  <c r="C1214"/>
  <c r="C1216" s="1"/>
  <c r="N1214"/>
  <c r="N1216" s="1"/>
  <c r="L1214"/>
  <c r="L1216" s="1"/>
  <c r="J1214"/>
  <c r="J1216" s="1"/>
  <c r="G1214"/>
  <c r="G1216" s="1"/>
  <c r="F1214"/>
  <c r="F1216" s="1"/>
  <c r="E1216"/>
  <c r="N1213"/>
  <c r="M1213"/>
  <c r="K1213"/>
  <c r="I1213"/>
  <c r="H1213"/>
  <c r="G1213"/>
  <c r="N1212"/>
  <c r="L1212"/>
  <c r="J1212"/>
  <c r="G1212"/>
  <c r="F1212"/>
  <c r="E1212"/>
  <c r="D1212"/>
  <c r="C1212"/>
  <c r="M1211"/>
  <c r="M1214" s="1"/>
  <c r="I1211"/>
  <c r="I1214" s="1"/>
  <c r="N1210"/>
  <c r="M1210"/>
  <c r="L1210"/>
  <c r="K1210"/>
  <c r="J1210"/>
  <c r="I1210"/>
  <c r="H1210"/>
  <c r="G1210"/>
  <c r="F1210"/>
  <c r="E1210"/>
  <c r="D1210"/>
  <c r="C1210"/>
  <c r="F1227"/>
  <c r="F1229" s="1"/>
  <c r="F1223"/>
  <c r="C1227"/>
  <c r="C1229" s="1"/>
  <c r="N1227"/>
  <c r="N1229" s="1"/>
  <c r="L1227"/>
  <c r="L1229" s="1"/>
  <c r="J1227"/>
  <c r="J1229" s="1"/>
  <c r="G1227"/>
  <c r="G1229" s="1"/>
  <c r="E1227"/>
  <c r="E1229" s="1"/>
  <c r="D1227"/>
  <c r="D1229" s="1"/>
  <c r="N1226"/>
  <c r="M1226"/>
  <c r="K1226"/>
  <c r="I1226"/>
  <c r="H1226"/>
  <c r="G1226"/>
  <c r="N1225"/>
  <c r="L1225"/>
  <c r="J1225"/>
  <c r="G1225"/>
  <c r="F1225"/>
  <c r="E1225"/>
  <c r="D1225"/>
  <c r="C1225"/>
  <c r="M1224"/>
  <c r="M1227" s="1"/>
  <c r="I1224"/>
  <c r="I1227" s="1"/>
  <c r="N1223"/>
  <c r="M1223"/>
  <c r="L1223"/>
  <c r="K1223"/>
  <c r="J1223"/>
  <c r="I1223"/>
  <c r="H1223"/>
  <c r="G1223"/>
  <c r="E1223"/>
  <c r="D1223"/>
  <c r="C1223"/>
  <c r="N1240"/>
  <c r="N1242" s="1"/>
  <c r="L1240"/>
  <c r="L1242" s="1"/>
  <c r="J1240"/>
  <c r="J1242" s="1"/>
  <c r="G1240"/>
  <c r="G1242" s="1"/>
  <c r="F1240"/>
  <c r="F1242" s="1"/>
  <c r="E1240"/>
  <c r="E1242" s="1"/>
  <c r="D1240"/>
  <c r="D1242" s="1"/>
  <c r="C1240"/>
  <c r="C1242" s="1"/>
  <c r="N1239"/>
  <c r="M1239"/>
  <c r="K1239"/>
  <c r="I1239"/>
  <c r="H1239"/>
  <c r="G1239"/>
  <c r="N1238"/>
  <c r="L1238"/>
  <c r="K1238"/>
  <c r="J1238"/>
  <c r="G1238"/>
  <c r="F1238"/>
  <c r="E1238"/>
  <c r="D1238"/>
  <c r="C1238"/>
  <c r="M1237"/>
  <c r="M1240" s="1"/>
  <c r="I1237"/>
  <c r="I1240" s="1"/>
  <c r="N1236"/>
  <c r="M1236"/>
  <c r="L1236"/>
  <c r="K1236"/>
  <c r="J1236"/>
  <c r="I1236"/>
  <c r="H1236"/>
  <c r="G1236"/>
  <c r="F1236"/>
  <c r="E1236"/>
  <c r="D1236"/>
  <c r="C1236"/>
  <c r="N1253"/>
  <c r="N1255" s="1"/>
  <c r="L1253"/>
  <c r="L1255" s="1"/>
  <c r="G1253"/>
  <c r="G1255" s="1"/>
  <c r="J1253"/>
  <c r="J1255" s="1"/>
  <c r="F1253"/>
  <c r="F1255" s="1"/>
  <c r="E1253"/>
  <c r="E1255" s="1"/>
  <c r="D1253"/>
  <c r="D1255" s="1"/>
  <c r="C1253"/>
  <c r="C1255" s="1"/>
  <c r="N1252"/>
  <c r="M1252"/>
  <c r="K1252"/>
  <c r="I1252"/>
  <c r="H1252"/>
  <c r="G1252"/>
  <c r="N1251"/>
  <c r="L1251"/>
  <c r="J1251"/>
  <c r="G1251"/>
  <c r="F1251"/>
  <c r="E1251"/>
  <c r="D1251"/>
  <c r="C1251"/>
  <c r="M1250"/>
  <c r="M1253" s="1"/>
  <c r="I1250"/>
  <c r="I1253" s="1"/>
  <c r="N1249"/>
  <c r="M1249"/>
  <c r="L1249"/>
  <c r="K1249"/>
  <c r="J1249"/>
  <c r="I1249"/>
  <c r="H1249"/>
  <c r="G1249"/>
  <c r="F1249"/>
  <c r="E1249"/>
  <c r="D1249"/>
  <c r="C1249"/>
  <c r="L1266"/>
  <c r="G1266"/>
  <c r="G1268" s="1"/>
  <c r="E1266"/>
  <c r="E1268" s="1"/>
  <c r="D1266"/>
  <c r="D1268" s="1"/>
  <c r="C1266"/>
  <c r="C1268" s="1"/>
  <c r="N1266"/>
  <c r="N1268" s="1"/>
  <c r="L1268"/>
  <c r="K1266"/>
  <c r="K1268" s="1"/>
  <c r="J1266"/>
  <c r="J1268" s="1"/>
  <c r="F1266"/>
  <c r="F1268" s="1"/>
  <c r="N1265"/>
  <c r="M1265"/>
  <c r="K1265"/>
  <c r="I1265"/>
  <c r="H1265"/>
  <c r="G1265"/>
  <c r="N1264"/>
  <c r="L1264"/>
  <c r="J1264"/>
  <c r="G1264"/>
  <c r="F1264"/>
  <c r="E1264"/>
  <c r="D1264"/>
  <c r="C1264"/>
  <c r="M1263"/>
  <c r="M1266" s="1"/>
  <c r="I1263"/>
  <c r="I1266" s="1"/>
  <c r="N1262"/>
  <c r="M1262"/>
  <c r="L1262"/>
  <c r="K1262"/>
  <c r="J1262"/>
  <c r="I1262"/>
  <c r="H1262"/>
  <c r="G1262"/>
  <c r="F1262"/>
  <c r="E1262"/>
  <c r="D1262"/>
  <c r="C1262"/>
  <c r="L1279"/>
  <c r="L1281" s="1"/>
  <c r="J1279"/>
  <c r="J1281" s="1"/>
  <c r="G1279"/>
  <c r="G1281" s="1"/>
  <c r="F1279"/>
  <c r="F1281" s="1"/>
  <c r="D1279"/>
  <c r="D1281" s="1"/>
  <c r="C1279"/>
  <c r="C1281" s="1"/>
  <c r="N1279"/>
  <c r="N1281" s="1"/>
  <c r="E1279"/>
  <c r="E1281" s="1"/>
  <c r="N1278"/>
  <c r="M1278"/>
  <c r="K1278"/>
  <c r="I1278"/>
  <c r="H1278"/>
  <c r="G1278"/>
  <c r="N1277"/>
  <c r="L1277"/>
  <c r="J1277"/>
  <c r="G1277"/>
  <c r="F1277"/>
  <c r="E1277"/>
  <c r="D1277"/>
  <c r="C1277"/>
  <c r="M1276"/>
  <c r="M1279" s="1"/>
  <c r="I1276"/>
  <c r="I1279" s="1"/>
  <c r="N1275"/>
  <c r="M1275"/>
  <c r="L1275"/>
  <c r="K1275"/>
  <c r="J1275"/>
  <c r="I1275"/>
  <c r="H1275"/>
  <c r="G1275"/>
  <c r="F1275"/>
  <c r="E1275"/>
  <c r="D1275"/>
  <c r="C1275"/>
  <c r="G1292"/>
  <c r="G1294" s="1"/>
  <c r="L1292"/>
  <c r="N1292"/>
  <c r="N1294" s="1"/>
  <c r="L1294"/>
  <c r="J1292"/>
  <c r="J1294" s="1"/>
  <c r="F1292"/>
  <c r="F1294" s="1"/>
  <c r="E1292"/>
  <c r="E1294" s="1"/>
  <c r="D1292"/>
  <c r="D1294" s="1"/>
  <c r="C1292"/>
  <c r="C1294" s="1"/>
  <c r="N1291"/>
  <c r="M1291"/>
  <c r="K1291"/>
  <c r="I1291"/>
  <c r="H1291"/>
  <c r="G1291"/>
  <c r="N1290"/>
  <c r="L1290"/>
  <c r="J1290"/>
  <c r="G1290"/>
  <c r="F1290"/>
  <c r="E1290"/>
  <c r="D1290"/>
  <c r="C1290"/>
  <c r="M1289"/>
  <c r="M1292" s="1"/>
  <c r="I1289"/>
  <c r="I1292" s="1"/>
  <c r="N1288"/>
  <c r="M1288"/>
  <c r="L1288"/>
  <c r="K1288"/>
  <c r="J1288"/>
  <c r="I1288"/>
  <c r="H1288"/>
  <c r="G1288"/>
  <c r="F1288"/>
  <c r="E1288"/>
  <c r="D1288"/>
  <c r="C1288"/>
  <c r="L1301"/>
  <c r="J1305"/>
  <c r="J1307" s="1"/>
  <c r="N1305"/>
  <c r="N1307" s="1"/>
  <c r="L1305"/>
  <c r="L1307" s="1"/>
  <c r="G1305"/>
  <c r="G1307" s="1"/>
  <c r="F1305"/>
  <c r="F1307" s="1"/>
  <c r="E1305"/>
  <c r="E1307" s="1"/>
  <c r="D1305"/>
  <c r="D1307" s="1"/>
  <c r="C1305"/>
  <c r="C1307" s="1"/>
  <c r="N1304"/>
  <c r="M1304"/>
  <c r="K1304"/>
  <c r="I1304"/>
  <c r="H1304"/>
  <c r="G1304"/>
  <c r="N1303"/>
  <c r="L1303"/>
  <c r="J1303"/>
  <c r="G1303"/>
  <c r="F1303"/>
  <c r="E1303"/>
  <c r="D1303"/>
  <c r="C1303"/>
  <c r="M1302"/>
  <c r="M1305" s="1"/>
  <c r="I1302"/>
  <c r="I1305" s="1"/>
  <c r="N1301"/>
  <c r="M1301"/>
  <c r="K1301"/>
  <c r="J1301"/>
  <c r="I1301"/>
  <c r="H1301"/>
  <c r="G1301"/>
  <c r="F1301"/>
  <c r="E1301"/>
  <c r="D1301"/>
  <c r="C1301"/>
  <c r="J1318"/>
  <c r="J1320" s="1"/>
  <c r="G1318"/>
  <c r="F1318"/>
  <c r="F1320" s="1"/>
  <c r="N1318"/>
  <c r="N1320" s="1"/>
  <c r="L1318"/>
  <c r="L1320" s="1"/>
  <c r="G1320"/>
  <c r="E1318"/>
  <c r="E1320" s="1"/>
  <c r="D1318"/>
  <c r="D1320" s="1"/>
  <c r="C1318"/>
  <c r="C1320" s="1"/>
  <c r="N1317"/>
  <c r="M1317"/>
  <c r="K1317"/>
  <c r="I1317"/>
  <c r="H1317"/>
  <c r="G1317"/>
  <c r="N1316"/>
  <c r="L1316"/>
  <c r="K1316"/>
  <c r="J1316"/>
  <c r="G1316"/>
  <c r="F1316"/>
  <c r="E1316"/>
  <c r="D1316"/>
  <c r="C1316"/>
  <c r="M1315"/>
  <c r="M1318" s="1"/>
  <c r="I1315"/>
  <c r="I1318" s="1"/>
  <c r="N1314"/>
  <c r="M1314"/>
  <c r="L1314"/>
  <c r="K1314"/>
  <c r="J1314"/>
  <c r="I1314"/>
  <c r="H1314"/>
  <c r="G1314"/>
  <c r="F1314"/>
  <c r="E1314"/>
  <c r="D1314"/>
  <c r="C1314"/>
  <c r="J1331"/>
  <c r="J1333" s="1"/>
  <c r="G1331"/>
  <c r="C1331"/>
  <c r="C1333" s="1"/>
  <c r="N1331"/>
  <c r="N1333" s="1"/>
  <c r="L1331"/>
  <c r="L1333" s="1"/>
  <c r="G1333"/>
  <c r="F1331"/>
  <c r="F1333" s="1"/>
  <c r="E1331"/>
  <c r="E1333" s="1"/>
  <c r="D1331"/>
  <c r="D1333" s="1"/>
  <c r="N1330"/>
  <c r="M1330"/>
  <c r="K1330"/>
  <c r="I1330"/>
  <c r="H1330"/>
  <c r="G1330"/>
  <c r="N1329"/>
  <c r="L1329"/>
  <c r="J1329"/>
  <c r="G1329"/>
  <c r="F1329"/>
  <c r="E1329"/>
  <c r="D1329"/>
  <c r="C1329"/>
  <c r="M1328"/>
  <c r="M1331" s="1"/>
  <c r="I1328"/>
  <c r="I1331" s="1"/>
  <c r="N1327"/>
  <c r="M1327"/>
  <c r="L1327"/>
  <c r="K1327"/>
  <c r="J1327"/>
  <c r="I1327"/>
  <c r="H1327"/>
  <c r="G1327"/>
  <c r="F1327"/>
  <c r="E1327"/>
  <c r="D1327"/>
  <c r="C1327"/>
  <c r="L1344"/>
  <c r="L1346" s="1"/>
  <c r="G1344"/>
  <c r="G1346" s="1"/>
  <c r="N1344"/>
  <c r="N1346" s="1"/>
  <c r="J1344"/>
  <c r="J1346" s="1"/>
  <c r="F1344"/>
  <c r="F1346" s="1"/>
  <c r="E1344"/>
  <c r="E1346" s="1"/>
  <c r="D1344"/>
  <c r="D1346" s="1"/>
  <c r="C1344"/>
  <c r="C1346" s="1"/>
  <c r="N1343"/>
  <c r="M1343"/>
  <c r="K1343"/>
  <c r="I1343"/>
  <c r="H1343"/>
  <c r="G1343"/>
  <c r="N1342"/>
  <c r="L1342"/>
  <c r="K1342"/>
  <c r="J1342"/>
  <c r="G1342"/>
  <c r="F1342"/>
  <c r="E1342"/>
  <c r="D1342"/>
  <c r="C1342"/>
  <c r="M1341"/>
  <c r="M1344" s="1"/>
  <c r="I1341"/>
  <c r="I1344" s="1"/>
  <c r="N1340"/>
  <c r="M1340"/>
  <c r="L1340"/>
  <c r="K1340"/>
  <c r="J1340"/>
  <c r="I1340"/>
  <c r="H1340"/>
  <c r="G1340"/>
  <c r="F1340"/>
  <c r="E1340"/>
  <c r="D1340"/>
  <c r="C1340"/>
  <c r="J1357"/>
  <c r="J1359" s="1"/>
  <c r="C1357"/>
  <c r="C1359" s="1"/>
  <c r="N1357"/>
  <c r="N1359" s="1"/>
  <c r="L1357"/>
  <c r="L1359" s="1"/>
  <c r="G1357"/>
  <c r="G1359" s="1"/>
  <c r="F1357"/>
  <c r="F1359" s="1"/>
  <c r="E1357"/>
  <c r="E1359" s="1"/>
  <c r="D1357"/>
  <c r="D1359" s="1"/>
  <c r="N1356"/>
  <c r="M1356"/>
  <c r="K1356"/>
  <c r="I1356"/>
  <c r="H1356"/>
  <c r="G1356"/>
  <c r="N1355"/>
  <c r="L1355"/>
  <c r="J1355"/>
  <c r="H1355"/>
  <c r="G1355"/>
  <c r="F1355"/>
  <c r="E1355"/>
  <c r="D1355"/>
  <c r="C1355"/>
  <c r="M1354"/>
  <c r="M1357" s="1"/>
  <c r="I1354"/>
  <c r="I1357" s="1"/>
  <c r="N1353"/>
  <c r="M1353"/>
  <c r="L1353"/>
  <c r="K1353"/>
  <c r="J1353"/>
  <c r="I1353"/>
  <c r="H1353"/>
  <c r="G1353"/>
  <c r="F1353"/>
  <c r="E1353"/>
  <c r="D1353"/>
  <c r="C1353"/>
  <c r="L1370"/>
  <c r="L1372" s="1"/>
  <c r="J1370"/>
  <c r="J1372" s="1"/>
  <c r="G1370"/>
  <c r="N1370"/>
  <c r="N1372" s="1"/>
  <c r="G1372"/>
  <c r="F1370"/>
  <c r="F1372" s="1"/>
  <c r="E1370"/>
  <c r="E1372" s="1"/>
  <c r="D1370"/>
  <c r="D1372" s="1"/>
  <c r="C1370"/>
  <c r="C1372" s="1"/>
  <c r="N1369"/>
  <c r="M1369"/>
  <c r="K1369"/>
  <c r="I1369"/>
  <c r="H1369"/>
  <c r="G1369"/>
  <c r="N1368"/>
  <c r="L1368"/>
  <c r="K1368"/>
  <c r="J1368"/>
  <c r="G1368"/>
  <c r="F1368"/>
  <c r="E1368"/>
  <c r="D1368"/>
  <c r="C1368"/>
  <c r="M1367"/>
  <c r="M1370" s="1"/>
  <c r="I1367"/>
  <c r="I1370" s="1"/>
  <c r="N1366"/>
  <c r="M1366"/>
  <c r="L1366"/>
  <c r="K1366"/>
  <c r="J1366"/>
  <c r="I1366"/>
  <c r="H1366"/>
  <c r="G1366"/>
  <c r="F1366"/>
  <c r="E1366"/>
  <c r="D1366"/>
  <c r="C1366"/>
  <c r="H1383"/>
  <c r="H1385" s="1"/>
  <c r="N1383"/>
  <c r="N1385" s="1"/>
  <c r="L1383"/>
  <c r="L1385" s="1"/>
  <c r="J1383"/>
  <c r="J1385" s="1"/>
  <c r="G1383"/>
  <c r="G1385" s="1"/>
  <c r="F1383"/>
  <c r="F1385" s="1"/>
  <c r="E1383"/>
  <c r="E1385" s="1"/>
  <c r="D1383"/>
  <c r="D1385" s="1"/>
  <c r="C1383"/>
  <c r="C1385" s="1"/>
  <c r="N1382"/>
  <c r="M1382"/>
  <c r="K1382"/>
  <c r="I1382"/>
  <c r="H1382"/>
  <c r="G1382"/>
  <c r="N1381"/>
  <c r="L1381"/>
  <c r="J1381"/>
  <c r="G1381"/>
  <c r="F1381"/>
  <c r="E1381"/>
  <c r="D1381"/>
  <c r="C1381"/>
  <c r="M1380"/>
  <c r="M1383" s="1"/>
  <c r="I1380"/>
  <c r="I1383" s="1"/>
  <c r="N1379"/>
  <c r="M1379"/>
  <c r="L1379"/>
  <c r="K1379"/>
  <c r="J1379"/>
  <c r="I1379"/>
  <c r="H1379"/>
  <c r="G1379"/>
  <c r="F1379"/>
  <c r="E1379"/>
  <c r="D1379"/>
  <c r="C1379"/>
  <c r="N1396"/>
  <c r="N1398" s="1"/>
  <c r="L1396"/>
  <c r="L1398" s="1"/>
  <c r="J1396"/>
  <c r="J1398" s="1"/>
  <c r="G1396"/>
  <c r="G1398" s="1"/>
  <c r="F1396"/>
  <c r="F1398" s="1"/>
  <c r="E1396"/>
  <c r="E1398" s="1"/>
  <c r="D1396"/>
  <c r="D1398" s="1"/>
  <c r="C1396"/>
  <c r="C1398" s="1"/>
  <c r="N1395"/>
  <c r="M1395"/>
  <c r="K1395"/>
  <c r="I1395"/>
  <c r="H1395"/>
  <c r="G1395"/>
  <c r="N1394"/>
  <c r="L1394"/>
  <c r="J1394"/>
  <c r="G1394"/>
  <c r="F1394"/>
  <c r="E1394"/>
  <c r="D1394"/>
  <c r="C1394"/>
  <c r="M1393"/>
  <c r="M1396" s="1"/>
  <c r="I1393"/>
  <c r="I1396" s="1"/>
  <c r="N1392"/>
  <c r="M1392"/>
  <c r="L1392"/>
  <c r="K1392"/>
  <c r="J1392"/>
  <c r="I1392"/>
  <c r="H1392"/>
  <c r="G1392"/>
  <c r="F1392"/>
  <c r="E1392"/>
  <c r="D1392"/>
  <c r="C1392"/>
  <c r="N1409"/>
  <c r="N1411" s="1"/>
  <c r="L1409"/>
  <c r="L1411" s="1"/>
  <c r="J1409"/>
  <c r="J1411" s="1"/>
  <c r="G1409"/>
  <c r="G1411" s="1"/>
  <c r="F1409"/>
  <c r="F1411" s="1"/>
  <c r="E1409"/>
  <c r="E1411" s="1"/>
  <c r="D1409"/>
  <c r="D1411" s="1"/>
  <c r="C1409"/>
  <c r="C1411" s="1"/>
  <c r="N1408"/>
  <c r="M1408"/>
  <c r="K1408"/>
  <c r="I1408"/>
  <c r="H1408"/>
  <c r="G1408"/>
  <c r="N1407"/>
  <c r="L1407"/>
  <c r="J1407"/>
  <c r="G1407"/>
  <c r="F1407"/>
  <c r="E1407"/>
  <c r="D1407"/>
  <c r="C1407"/>
  <c r="M1406"/>
  <c r="M1409" s="1"/>
  <c r="I1406"/>
  <c r="I1409" s="1"/>
  <c r="N1405"/>
  <c r="M1405"/>
  <c r="L1405"/>
  <c r="K1405"/>
  <c r="J1405"/>
  <c r="I1405"/>
  <c r="H1405"/>
  <c r="G1405"/>
  <c r="F1405"/>
  <c r="E1405"/>
  <c r="D1405"/>
  <c r="C1405"/>
  <c r="L1422"/>
  <c r="L1424" s="1"/>
  <c r="K1422"/>
  <c r="K1424" s="1"/>
  <c r="H1422"/>
  <c r="C1422"/>
  <c r="N1422"/>
  <c r="N1424" s="1"/>
  <c r="J1422"/>
  <c r="J1424" s="1"/>
  <c r="H1424"/>
  <c r="G1422"/>
  <c r="G1424" s="1"/>
  <c r="F1422"/>
  <c r="F1424" s="1"/>
  <c r="E1422"/>
  <c r="E1424" s="1"/>
  <c r="D1422"/>
  <c r="D1424" s="1"/>
  <c r="C1424"/>
  <c r="N1421"/>
  <c r="M1421"/>
  <c r="K1421"/>
  <c r="I1421"/>
  <c r="H1421"/>
  <c r="G1421"/>
  <c r="N1420"/>
  <c r="L1420"/>
  <c r="J1420"/>
  <c r="G1420"/>
  <c r="F1420"/>
  <c r="E1420"/>
  <c r="D1420"/>
  <c r="C1420"/>
  <c r="M1419"/>
  <c r="M1422" s="1"/>
  <c r="I1419"/>
  <c r="I1422" s="1"/>
  <c r="N1418"/>
  <c r="M1418"/>
  <c r="L1418"/>
  <c r="K1418"/>
  <c r="J1418"/>
  <c r="I1418"/>
  <c r="H1418"/>
  <c r="G1418"/>
  <c r="F1418"/>
  <c r="E1418"/>
  <c r="D1418"/>
  <c r="C1418"/>
  <c r="L1435"/>
  <c r="L1437" s="1"/>
  <c r="J1435"/>
  <c r="J1437" s="1"/>
  <c r="G1435"/>
  <c r="G1437" s="1"/>
  <c r="H1435"/>
  <c r="H1437" s="1"/>
  <c r="N1435"/>
  <c r="N1437" s="1"/>
  <c r="F1435"/>
  <c r="F1437" s="1"/>
  <c r="E1435"/>
  <c r="E1437" s="1"/>
  <c r="D1435"/>
  <c r="D1437" s="1"/>
  <c r="C1435"/>
  <c r="C1437" s="1"/>
  <c r="N1434"/>
  <c r="M1434"/>
  <c r="K1434"/>
  <c r="I1434"/>
  <c r="H1434"/>
  <c r="G1434"/>
  <c r="N1433"/>
  <c r="L1433"/>
  <c r="J1433"/>
  <c r="G1433"/>
  <c r="F1433"/>
  <c r="E1433"/>
  <c r="D1433"/>
  <c r="C1433"/>
  <c r="M1432"/>
  <c r="M1435" s="1"/>
  <c r="M1437" s="1"/>
  <c r="I1432"/>
  <c r="I1435" s="1"/>
  <c r="N1431"/>
  <c r="M1431"/>
  <c r="L1431"/>
  <c r="K1431"/>
  <c r="J1431"/>
  <c r="I1431"/>
  <c r="H1431"/>
  <c r="G1431"/>
  <c r="F1431"/>
  <c r="E1431"/>
  <c r="D1431"/>
  <c r="C1431"/>
  <c r="K1448"/>
  <c r="K1450" s="1"/>
  <c r="J1448"/>
  <c r="J1450" s="1"/>
  <c r="F1448"/>
  <c r="F1450" s="1"/>
  <c r="N1448"/>
  <c r="N1450" s="1"/>
  <c r="L1448"/>
  <c r="L1450" s="1"/>
  <c r="H1448"/>
  <c r="H1450" s="1"/>
  <c r="G1448"/>
  <c r="G1450" s="1"/>
  <c r="E1448"/>
  <c r="E1450" s="1"/>
  <c r="D1448"/>
  <c r="D1450" s="1"/>
  <c r="C1448"/>
  <c r="C1450" s="1"/>
  <c r="N1447"/>
  <c r="M1447"/>
  <c r="K1447"/>
  <c r="I1447"/>
  <c r="H1447"/>
  <c r="G1447"/>
  <c r="N1446"/>
  <c r="L1446"/>
  <c r="K1446"/>
  <c r="J1446"/>
  <c r="H1446"/>
  <c r="G1446"/>
  <c r="F1446"/>
  <c r="E1446"/>
  <c r="D1446"/>
  <c r="C1446"/>
  <c r="M1445"/>
  <c r="M1448" s="1"/>
  <c r="I1445"/>
  <c r="I1448" s="1"/>
  <c r="N1444"/>
  <c r="M1444"/>
  <c r="L1444"/>
  <c r="K1444"/>
  <c r="J1444"/>
  <c r="I1444"/>
  <c r="H1444"/>
  <c r="G1444"/>
  <c r="F1444"/>
  <c r="E1444"/>
  <c r="D1444"/>
  <c r="C1444"/>
  <c r="F1461"/>
  <c r="F1463" s="1"/>
  <c r="N1461"/>
  <c r="N1463" s="1"/>
  <c r="L1461"/>
  <c r="L1463" s="1"/>
  <c r="K1461"/>
  <c r="K1463" s="1"/>
  <c r="J1461"/>
  <c r="J1463" s="1"/>
  <c r="H1461"/>
  <c r="H1463" s="1"/>
  <c r="G1461"/>
  <c r="G1463" s="1"/>
  <c r="E1461"/>
  <c r="E1463" s="1"/>
  <c r="D1461"/>
  <c r="D1463" s="1"/>
  <c r="C1461"/>
  <c r="C1463" s="1"/>
  <c r="N1460"/>
  <c r="M1460"/>
  <c r="K1460"/>
  <c r="I1460"/>
  <c r="H1460"/>
  <c r="G1460"/>
  <c r="N1459"/>
  <c r="L1459"/>
  <c r="K1459"/>
  <c r="J1459"/>
  <c r="H1459"/>
  <c r="G1459"/>
  <c r="F1459"/>
  <c r="E1459"/>
  <c r="D1459"/>
  <c r="C1459"/>
  <c r="M1458"/>
  <c r="M1461" s="1"/>
  <c r="I1458"/>
  <c r="I1461" s="1"/>
  <c r="N1457"/>
  <c r="M1457"/>
  <c r="L1457"/>
  <c r="K1457"/>
  <c r="J1457"/>
  <c r="I1457"/>
  <c r="H1457"/>
  <c r="G1457"/>
  <c r="F1457"/>
  <c r="E1457"/>
  <c r="D1457"/>
  <c r="C1457"/>
  <c r="J1474"/>
  <c r="J1476" s="1"/>
  <c r="H1474"/>
  <c r="H1476" s="1"/>
  <c r="F1474"/>
  <c r="F1476" s="1"/>
  <c r="N1474"/>
  <c r="N1476" s="1"/>
  <c r="L1474"/>
  <c r="L1476" s="1"/>
  <c r="K1474"/>
  <c r="K1476" s="1"/>
  <c r="G1474"/>
  <c r="G1476" s="1"/>
  <c r="E1474"/>
  <c r="E1476" s="1"/>
  <c r="D1474"/>
  <c r="D1476" s="1"/>
  <c r="C1474"/>
  <c r="C1476" s="1"/>
  <c r="N1473"/>
  <c r="M1473"/>
  <c r="K1473"/>
  <c r="I1473"/>
  <c r="H1473"/>
  <c r="G1473"/>
  <c r="N1472"/>
  <c r="L1472"/>
  <c r="K1472"/>
  <c r="J1472"/>
  <c r="H1472"/>
  <c r="G1472"/>
  <c r="F1472"/>
  <c r="E1472"/>
  <c r="D1472"/>
  <c r="C1472"/>
  <c r="M1471"/>
  <c r="M1474" s="1"/>
  <c r="M1476" s="1"/>
  <c r="I1471"/>
  <c r="I1474" s="1"/>
  <c r="N1470"/>
  <c r="M1470"/>
  <c r="L1470"/>
  <c r="K1470"/>
  <c r="J1470"/>
  <c r="I1470"/>
  <c r="H1470"/>
  <c r="G1470"/>
  <c r="F1470"/>
  <c r="E1470"/>
  <c r="D1470"/>
  <c r="C1470"/>
  <c r="K1487"/>
  <c r="K1489" s="1"/>
  <c r="N1487"/>
  <c r="N1489" s="1"/>
  <c r="L1487"/>
  <c r="L1489" s="1"/>
  <c r="J1487"/>
  <c r="J1489" s="1"/>
  <c r="H1487"/>
  <c r="H1489" s="1"/>
  <c r="G1487"/>
  <c r="G1489" s="1"/>
  <c r="F1487"/>
  <c r="F1489" s="1"/>
  <c r="E1487"/>
  <c r="E1489" s="1"/>
  <c r="D1487"/>
  <c r="D1489" s="1"/>
  <c r="C1487"/>
  <c r="C1489" s="1"/>
  <c r="N1486"/>
  <c r="M1486"/>
  <c r="K1486"/>
  <c r="I1486"/>
  <c r="H1486"/>
  <c r="G1486"/>
  <c r="N1485"/>
  <c r="L1485"/>
  <c r="K1485"/>
  <c r="J1485"/>
  <c r="H1485"/>
  <c r="G1485"/>
  <c r="F1485"/>
  <c r="E1485"/>
  <c r="D1485"/>
  <c r="C1485"/>
  <c r="M1484"/>
  <c r="M1487" s="1"/>
  <c r="I1484"/>
  <c r="I1487" s="1"/>
  <c r="N1483"/>
  <c r="M1483"/>
  <c r="L1483"/>
  <c r="K1483"/>
  <c r="J1483"/>
  <c r="I1483"/>
  <c r="H1483"/>
  <c r="G1483"/>
  <c r="F1483"/>
  <c r="E1483"/>
  <c r="D1483"/>
  <c r="C1483"/>
  <c r="N1500"/>
  <c r="K1500"/>
  <c r="K1502" s="1"/>
  <c r="G1500"/>
  <c r="G1502" s="1"/>
  <c r="H1500"/>
  <c r="H1502" s="1"/>
  <c r="N1502"/>
  <c r="L1500"/>
  <c r="L1502" s="1"/>
  <c r="J1500"/>
  <c r="J1502" s="1"/>
  <c r="F1500"/>
  <c r="F1502" s="1"/>
  <c r="E1500"/>
  <c r="E1502" s="1"/>
  <c r="D1500"/>
  <c r="D1502" s="1"/>
  <c r="C1500"/>
  <c r="C1502" s="1"/>
  <c r="N1499"/>
  <c r="M1499"/>
  <c r="K1499"/>
  <c r="I1499"/>
  <c r="H1499"/>
  <c r="G1499"/>
  <c r="N1498"/>
  <c r="L1498"/>
  <c r="K1498"/>
  <c r="J1498"/>
  <c r="H1498"/>
  <c r="G1498"/>
  <c r="F1498"/>
  <c r="E1498"/>
  <c r="D1498"/>
  <c r="C1498"/>
  <c r="M1497"/>
  <c r="M1500" s="1"/>
  <c r="I1497"/>
  <c r="I1500" s="1"/>
  <c r="N1496"/>
  <c r="M1496"/>
  <c r="L1496"/>
  <c r="K1496"/>
  <c r="J1496"/>
  <c r="I1496"/>
  <c r="H1496"/>
  <c r="G1496"/>
  <c r="F1496"/>
  <c r="E1496"/>
  <c r="D1496"/>
  <c r="C1496"/>
  <c r="L1513"/>
  <c r="L1515" s="1"/>
  <c r="K1513"/>
  <c r="K1515" s="1"/>
  <c r="G1513"/>
  <c r="G1515" s="1"/>
  <c r="C1513"/>
  <c r="C1515" s="1"/>
  <c r="N1513"/>
  <c r="N1515" s="1"/>
  <c r="J1513"/>
  <c r="J1515" s="1"/>
  <c r="H1513"/>
  <c r="H1515" s="1"/>
  <c r="F1513"/>
  <c r="F1515" s="1"/>
  <c r="E1513"/>
  <c r="E1515" s="1"/>
  <c r="D1513"/>
  <c r="D1515" s="1"/>
  <c r="N1512"/>
  <c r="M1512"/>
  <c r="K1512"/>
  <c r="I1512"/>
  <c r="H1512"/>
  <c r="G1512"/>
  <c r="N1511"/>
  <c r="L1511"/>
  <c r="K1511"/>
  <c r="J1511"/>
  <c r="H1511"/>
  <c r="G1511"/>
  <c r="F1511"/>
  <c r="E1511"/>
  <c r="D1511"/>
  <c r="C1511"/>
  <c r="M1510"/>
  <c r="M1513" s="1"/>
  <c r="I1510"/>
  <c r="I1513" s="1"/>
  <c r="N1509"/>
  <c r="M1509"/>
  <c r="L1509"/>
  <c r="K1509"/>
  <c r="J1509"/>
  <c r="I1509"/>
  <c r="H1509"/>
  <c r="G1509"/>
  <c r="F1509"/>
  <c r="E1509"/>
  <c r="D1509"/>
  <c r="C1509"/>
  <c r="K1526"/>
  <c r="K1528" s="1"/>
  <c r="G1526"/>
  <c r="G1528" s="1"/>
  <c r="E1526"/>
  <c r="D1526"/>
  <c r="C1526"/>
  <c r="N1526"/>
  <c r="N1528" s="1"/>
  <c r="L1526"/>
  <c r="L1528" s="1"/>
  <c r="J1526"/>
  <c r="J1528" s="1"/>
  <c r="H1526"/>
  <c r="H1528" s="1"/>
  <c r="F1526"/>
  <c r="F1528" s="1"/>
  <c r="E1528"/>
  <c r="D1528"/>
  <c r="C1528"/>
  <c r="N1525"/>
  <c r="M1525"/>
  <c r="K1525"/>
  <c r="I1525"/>
  <c r="H1525"/>
  <c r="G1525"/>
  <c r="N1524"/>
  <c r="L1524"/>
  <c r="K1524"/>
  <c r="J1524"/>
  <c r="H1524"/>
  <c r="G1524"/>
  <c r="F1524"/>
  <c r="E1524"/>
  <c r="D1524"/>
  <c r="C1524"/>
  <c r="M1523"/>
  <c r="M1526" s="1"/>
  <c r="I1523"/>
  <c r="I1526" s="1"/>
  <c r="N1522"/>
  <c r="M1522"/>
  <c r="L1522"/>
  <c r="K1522"/>
  <c r="J1522"/>
  <c r="I1522"/>
  <c r="H1522"/>
  <c r="G1522"/>
  <c r="F1522"/>
  <c r="E1522"/>
  <c r="D1522"/>
  <c r="C1522"/>
  <c r="L1539"/>
  <c r="L1541" s="1"/>
  <c r="K1539"/>
  <c r="K1541" s="1"/>
  <c r="H1539"/>
  <c r="E1539"/>
  <c r="E1541" s="1"/>
  <c r="F1539"/>
  <c r="C1539"/>
  <c r="C1541" s="1"/>
  <c r="N1539"/>
  <c r="N1541" s="1"/>
  <c r="J1539"/>
  <c r="J1541" s="1"/>
  <c r="H1541"/>
  <c r="G1539"/>
  <c r="G1541" s="1"/>
  <c r="F1541"/>
  <c r="D1539"/>
  <c r="D1541" s="1"/>
  <c r="N1538"/>
  <c r="M1538"/>
  <c r="K1538"/>
  <c r="I1538"/>
  <c r="H1538"/>
  <c r="G1538"/>
  <c r="N1537"/>
  <c r="L1537"/>
  <c r="K1537"/>
  <c r="J1537"/>
  <c r="H1537"/>
  <c r="G1537"/>
  <c r="F1537"/>
  <c r="E1537"/>
  <c r="D1537"/>
  <c r="C1537"/>
  <c r="M1536"/>
  <c r="M1539" s="1"/>
  <c r="I1536"/>
  <c r="I1539" s="1"/>
  <c r="N1535"/>
  <c r="M1535"/>
  <c r="L1535"/>
  <c r="K1535"/>
  <c r="J1535"/>
  <c r="I1535"/>
  <c r="H1535"/>
  <c r="G1535"/>
  <c r="F1535"/>
  <c r="E1535"/>
  <c r="D1535"/>
  <c r="C1535"/>
  <c r="H1552"/>
  <c r="G1552"/>
  <c r="C1552"/>
  <c r="H1238" l="1"/>
  <c r="K1225"/>
  <c r="K1149"/>
  <c r="K1151" s="1"/>
  <c r="H1316"/>
  <c r="H1303"/>
  <c r="K1162"/>
  <c r="K1164" s="1"/>
  <c r="K1134"/>
  <c r="K1409"/>
  <c r="K1411" s="1"/>
  <c r="H1394"/>
  <c r="H1368"/>
  <c r="H1266"/>
  <c r="H1268" s="1"/>
  <c r="K1381"/>
  <c r="K1355"/>
  <c r="H1344"/>
  <c r="H1346" s="1"/>
  <c r="K1331"/>
  <c r="K1333" s="1"/>
  <c r="H1290"/>
  <c r="K1253"/>
  <c r="K1255" s="1"/>
  <c r="H1212"/>
  <c r="K1199"/>
  <c r="H1173"/>
  <c r="K1173"/>
  <c r="K1095"/>
  <c r="K1071"/>
  <c r="K1073" s="1"/>
  <c r="K1043"/>
  <c r="H1407"/>
  <c r="K1394"/>
  <c r="K1290"/>
  <c r="H1277"/>
  <c r="H1251"/>
  <c r="H1225"/>
  <c r="K1212"/>
  <c r="H1186"/>
  <c r="K1186"/>
  <c r="K1056"/>
  <c r="M1472"/>
  <c r="K1433"/>
  <c r="M1433"/>
  <c r="H1329"/>
  <c r="K1303"/>
  <c r="K1277"/>
  <c r="K1121"/>
  <c r="H1160"/>
  <c r="M1034"/>
  <c r="M1033"/>
  <c r="M1035" s="1"/>
  <c r="I1034"/>
  <c r="I1033"/>
  <c r="I1035" s="1"/>
  <c r="D1033"/>
  <c r="D1035" s="1"/>
  <c r="F1033"/>
  <c r="F1035" s="1"/>
  <c r="H1033"/>
  <c r="H1035" s="1"/>
  <c r="J1033"/>
  <c r="J1035" s="1"/>
  <c r="L1033"/>
  <c r="L1035" s="1"/>
  <c r="N1033"/>
  <c r="N1035" s="1"/>
  <c r="I1030"/>
  <c r="M1030"/>
  <c r="C1033"/>
  <c r="C1035" s="1"/>
  <c r="E1033"/>
  <c r="E1035" s="1"/>
  <c r="G1033"/>
  <c r="G1035" s="1"/>
  <c r="K1033"/>
  <c r="K1035" s="1"/>
  <c r="M1047"/>
  <c r="M1046"/>
  <c r="M1048" s="1"/>
  <c r="I1047"/>
  <c r="I1046"/>
  <c r="I1048" s="1"/>
  <c r="D1046"/>
  <c r="D1048" s="1"/>
  <c r="F1046"/>
  <c r="F1048" s="1"/>
  <c r="H1046"/>
  <c r="H1048" s="1"/>
  <c r="J1046"/>
  <c r="J1048" s="1"/>
  <c r="L1046"/>
  <c r="L1048" s="1"/>
  <c r="N1046"/>
  <c r="N1048" s="1"/>
  <c r="I1043"/>
  <c r="M1043"/>
  <c r="C1046"/>
  <c r="C1048" s="1"/>
  <c r="E1046"/>
  <c r="E1048" s="1"/>
  <c r="G1046"/>
  <c r="G1048" s="1"/>
  <c r="K1046"/>
  <c r="K1048" s="1"/>
  <c r="M1060"/>
  <c r="M1059"/>
  <c r="M1061" s="1"/>
  <c r="I1060"/>
  <c r="I1059"/>
  <c r="I1061" s="1"/>
  <c r="D1059"/>
  <c r="D1061" s="1"/>
  <c r="F1059"/>
  <c r="F1061" s="1"/>
  <c r="H1059"/>
  <c r="H1061" s="1"/>
  <c r="J1059"/>
  <c r="J1061" s="1"/>
  <c r="L1059"/>
  <c r="L1061" s="1"/>
  <c r="N1059"/>
  <c r="N1061" s="1"/>
  <c r="I1056"/>
  <c r="M1056"/>
  <c r="C1059"/>
  <c r="C1061" s="1"/>
  <c r="E1059"/>
  <c r="E1061" s="1"/>
  <c r="G1059"/>
  <c r="G1061" s="1"/>
  <c r="K1059"/>
  <c r="K1061" s="1"/>
  <c r="M1073"/>
  <c r="M1072"/>
  <c r="M1074" s="1"/>
  <c r="I1073"/>
  <c r="I1072"/>
  <c r="I1074" s="1"/>
  <c r="D1072"/>
  <c r="D1074" s="1"/>
  <c r="F1072"/>
  <c r="F1074" s="1"/>
  <c r="H1072"/>
  <c r="H1074" s="1"/>
  <c r="J1072"/>
  <c r="J1074" s="1"/>
  <c r="L1072"/>
  <c r="L1074" s="1"/>
  <c r="N1072"/>
  <c r="N1074" s="1"/>
  <c r="I1069"/>
  <c r="M1069"/>
  <c r="C1072"/>
  <c r="C1074" s="1"/>
  <c r="E1072"/>
  <c r="E1074" s="1"/>
  <c r="G1072"/>
  <c r="G1074" s="1"/>
  <c r="M1086"/>
  <c r="M1085"/>
  <c r="M1087" s="1"/>
  <c r="I1086"/>
  <c r="I1085"/>
  <c r="I1087" s="1"/>
  <c r="D1085"/>
  <c r="D1087" s="1"/>
  <c r="F1085"/>
  <c r="F1087" s="1"/>
  <c r="H1085"/>
  <c r="H1087" s="1"/>
  <c r="J1085"/>
  <c r="J1087" s="1"/>
  <c r="L1085"/>
  <c r="L1087" s="1"/>
  <c r="N1085"/>
  <c r="N1087" s="1"/>
  <c r="I1082"/>
  <c r="M1082"/>
  <c r="C1085"/>
  <c r="C1087" s="1"/>
  <c r="E1085"/>
  <c r="E1087" s="1"/>
  <c r="G1085"/>
  <c r="G1087" s="1"/>
  <c r="K1085"/>
  <c r="K1087" s="1"/>
  <c r="M1099"/>
  <c r="M1098"/>
  <c r="M1100" s="1"/>
  <c r="I1099"/>
  <c r="I1098"/>
  <c r="I1100" s="1"/>
  <c r="D1098"/>
  <c r="D1100" s="1"/>
  <c r="F1098"/>
  <c r="F1100" s="1"/>
  <c r="H1098"/>
  <c r="H1100" s="1"/>
  <c r="J1098"/>
  <c r="J1100" s="1"/>
  <c r="L1098"/>
  <c r="L1100" s="1"/>
  <c r="N1098"/>
  <c r="N1100" s="1"/>
  <c r="I1095"/>
  <c r="M1095"/>
  <c r="C1098"/>
  <c r="C1100" s="1"/>
  <c r="E1098"/>
  <c r="E1100" s="1"/>
  <c r="G1098"/>
  <c r="G1100" s="1"/>
  <c r="K1098"/>
  <c r="K1100" s="1"/>
  <c r="M1112"/>
  <c r="M1111"/>
  <c r="M1113" s="1"/>
  <c r="I1112"/>
  <c r="I1111"/>
  <c r="I1113" s="1"/>
  <c r="D1111"/>
  <c r="D1113" s="1"/>
  <c r="F1111"/>
  <c r="F1113" s="1"/>
  <c r="H1111"/>
  <c r="H1113" s="1"/>
  <c r="J1111"/>
  <c r="J1113" s="1"/>
  <c r="L1111"/>
  <c r="L1113" s="1"/>
  <c r="N1111"/>
  <c r="N1113" s="1"/>
  <c r="I1108"/>
  <c r="M1108"/>
  <c r="C1111"/>
  <c r="C1113" s="1"/>
  <c r="E1111"/>
  <c r="E1113" s="1"/>
  <c r="G1111"/>
  <c r="G1113" s="1"/>
  <c r="K1111"/>
  <c r="K1113" s="1"/>
  <c r="M1125"/>
  <c r="M1124"/>
  <c r="M1126" s="1"/>
  <c r="I1125"/>
  <c r="I1124"/>
  <c r="I1126" s="1"/>
  <c r="D1124"/>
  <c r="D1126" s="1"/>
  <c r="F1124"/>
  <c r="F1126" s="1"/>
  <c r="H1124"/>
  <c r="H1126" s="1"/>
  <c r="J1124"/>
  <c r="J1126" s="1"/>
  <c r="L1124"/>
  <c r="L1126" s="1"/>
  <c r="N1124"/>
  <c r="N1126" s="1"/>
  <c r="I1121"/>
  <c r="M1121"/>
  <c r="C1124"/>
  <c r="C1126" s="1"/>
  <c r="E1124"/>
  <c r="E1126" s="1"/>
  <c r="G1124"/>
  <c r="G1126" s="1"/>
  <c r="K1124"/>
  <c r="K1126" s="1"/>
  <c r="M1138"/>
  <c r="M1137"/>
  <c r="M1139" s="1"/>
  <c r="I1138"/>
  <c r="I1137"/>
  <c r="I1139" s="1"/>
  <c r="D1137"/>
  <c r="D1139" s="1"/>
  <c r="F1137"/>
  <c r="F1139" s="1"/>
  <c r="H1137"/>
  <c r="H1139" s="1"/>
  <c r="J1137"/>
  <c r="J1139" s="1"/>
  <c r="L1137"/>
  <c r="L1139" s="1"/>
  <c r="N1137"/>
  <c r="N1139" s="1"/>
  <c r="I1134"/>
  <c r="M1134"/>
  <c r="C1137"/>
  <c r="C1139" s="1"/>
  <c r="E1137"/>
  <c r="E1139" s="1"/>
  <c r="G1137"/>
  <c r="G1139" s="1"/>
  <c r="K1137"/>
  <c r="K1139" s="1"/>
  <c r="M1151"/>
  <c r="M1150"/>
  <c r="M1152" s="1"/>
  <c r="I1151"/>
  <c r="I1150"/>
  <c r="I1152" s="1"/>
  <c r="D1150"/>
  <c r="D1152" s="1"/>
  <c r="F1150"/>
  <c r="F1152" s="1"/>
  <c r="H1150"/>
  <c r="H1152" s="1"/>
  <c r="J1150"/>
  <c r="J1152" s="1"/>
  <c r="L1150"/>
  <c r="L1152" s="1"/>
  <c r="N1150"/>
  <c r="N1152" s="1"/>
  <c r="I1147"/>
  <c r="M1147"/>
  <c r="C1150"/>
  <c r="C1152" s="1"/>
  <c r="E1150"/>
  <c r="E1152" s="1"/>
  <c r="G1150"/>
  <c r="G1152" s="1"/>
  <c r="K1150"/>
  <c r="K1152" s="1"/>
  <c r="M1164"/>
  <c r="M1163"/>
  <c r="M1165" s="1"/>
  <c r="I1164"/>
  <c r="I1163"/>
  <c r="I1165" s="1"/>
  <c r="D1163"/>
  <c r="D1165" s="1"/>
  <c r="F1163"/>
  <c r="F1165" s="1"/>
  <c r="H1163"/>
  <c r="H1165" s="1"/>
  <c r="J1163"/>
  <c r="J1165" s="1"/>
  <c r="L1163"/>
  <c r="L1165" s="1"/>
  <c r="N1163"/>
  <c r="N1165" s="1"/>
  <c r="I1160"/>
  <c r="M1160"/>
  <c r="C1163"/>
  <c r="C1165" s="1"/>
  <c r="E1163"/>
  <c r="E1165" s="1"/>
  <c r="G1163"/>
  <c r="G1165" s="1"/>
  <c r="M1177"/>
  <c r="M1176"/>
  <c r="M1178" s="1"/>
  <c r="I1177"/>
  <c r="I1176"/>
  <c r="I1178" s="1"/>
  <c r="D1176"/>
  <c r="D1178" s="1"/>
  <c r="F1176"/>
  <c r="F1178" s="1"/>
  <c r="H1176"/>
  <c r="H1178" s="1"/>
  <c r="J1176"/>
  <c r="J1178" s="1"/>
  <c r="L1176"/>
  <c r="L1178" s="1"/>
  <c r="N1176"/>
  <c r="N1178" s="1"/>
  <c r="I1173"/>
  <c r="M1173"/>
  <c r="C1176"/>
  <c r="C1178" s="1"/>
  <c r="E1176"/>
  <c r="E1178" s="1"/>
  <c r="G1176"/>
  <c r="G1178" s="1"/>
  <c r="K1176"/>
  <c r="K1178" s="1"/>
  <c r="M1190"/>
  <c r="M1189"/>
  <c r="M1191" s="1"/>
  <c r="I1190"/>
  <c r="I1189"/>
  <c r="I1191" s="1"/>
  <c r="D1189"/>
  <c r="D1191" s="1"/>
  <c r="F1189"/>
  <c r="F1191" s="1"/>
  <c r="H1189"/>
  <c r="H1191" s="1"/>
  <c r="J1189"/>
  <c r="J1191" s="1"/>
  <c r="L1189"/>
  <c r="L1191" s="1"/>
  <c r="N1189"/>
  <c r="N1191" s="1"/>
  <c r="I1186"/>
  <c r="M1186"/>
  <c r="C1189"/>
  <c r="C1191" s="1"/>
  <c r="E1189"/>
  <c r="E1191" s="1"/>
  <c r="G1189"/>
  <c r="G1191" s="1"/>
  <c r="K1189"/>
  <c r="K1191" s="1"/>
  <c r="M1203"/>
  <c r="M1202"/>
  <c r="M1204" s="1"/>
  <c r="I1203"/>
  <c r="I1202"/>
  <c r="I1204" s="1"/>
  <c r="D1202"/>
  <c r="D1204" s="1"/>
  <c r="F1202"/>
  <c r="F1204" s="1"/>
  <c r="H1202"/>
  <c r="H1204" s="1"/>
  <c r="J1202"/>
  <c r="J1204" s="1"/>
  <c r="L1202"/>
  <c r="L1204" s="1"/>
  <c r="N1202"/>
  <c r="N1204" s="1"/>
  <c r="I1199"/>
  <c r="M1199"/>
  <c r="C1202"/>
  <c r="C1204" s="1"/>
  <c r="E1202"/>
  <c r="E1204" s="1"/>
  <c r="G1202"/>
  <c r="G1204" s="1"/>
  <c r="K1202"/>
  <c r="K1204" s="1"/>
  <c r="M1216"/>
  <c r="M1215"/>
  <c r="M1217" s="1"/>
  <c r="I1216"/>
  <c r="I1215"/>
  <c r="I1217" s="1"/>
  <c r="D1215"/>
  <c r="D1217" s="1"/>
  <c r="F1215"/>
  <c r="F1217" s="1"/>
  <c r="H1215"/>
  <c r="H1217" s="1"/>
  <c r="J1215"/>
  <c r="J1217" s="1"/>
  <c r="L1215"/>
  <c r="L1217" s="1"/>
  <c r="N1215"/>
  <c r="N1217" s="1"/>
  <c r="I1212"/>
  <c r="M1212"/>
  <c r="C1215"/>
  <c r="C1217" s="1"/>
  <c r="E1215"/>
  <c r="E1217" s="1"/>
  <c r="G1215"/>
  <c r="G1217" s="1"/>
  <c r="K1215"/>
  <c r="K1217" s="1"/>
  <c r="M1229"/>
  <c r="M1228"/>
  <c r="M1230" s="1"/>
  <c r="I1229"/>
  <c r="I1228"/>
  <c r="I1230" s="1"/>
  <c r="D1228"/>
  <c r="D1230" s="1"/>
  <c r="F1228"/>
  <c r="F1230" s="1"/>
  <c r="H1228"/>
  <c r="H1230" s="1"/>
  <c r="J1228"/>
  <c r="J1230" s="1"/>
  <c r="L1228"/>
  <c r="L1230" s="1"/>
  <c r="N1228"/>
  <c r="N1230" s="1"/>
  <c r="I1225"/>
  <c r="M1225"/>
  <c r="C1228"/>
  <c r="C1230" s="1"/>
  <c r="E1228"/>
  <c r="E1230" s="1"/>
  <c r="G1228"/>
  <c r="G1230" s="1"/>
  <c r="K1228"/>
  <c r="K1230" s="1"/>
  <c r="M1242"/>
  <c r="M1241"/>
  <c r="M1243" s="1"/>
  <c r="I1242"/>
  <c r="I1241"/>
  <c r="I1243" s="1"/>
  <c r="D1241"/>
  <c r="D1243" s="1"/>
  <c r="F1241"/>
  <c r="F1243" s="1"/>
  <c r="H1241"/>
  <c r="H1243" s="1"/>
  <c r="J1241"/>
  <c r="J1243" s="1"/>
  <c r="L1241"/>
  <c r="L1243" s="1"/>
  <c r="N1241"/>
  <c r="N1243" s="1"/>
  <c r="I1238"/>
  <c r="M1238"/>
  <c r="C1241"/>
  <c r="C1243" s="1"/>
  <c r="E1241"/>
  <c r="E1243" s="1"/>
  <c r="G1241"/>
  <c r="G1243" s="1"/>
  <c r="K1241"/>
  <c r="K1243" s="1"/>
  <c r="M1255"/>
  <c r="M1254"/>
  <c r="M1256" s="1"/>
  <c r="I1255"/>
  <c r="I1254"/>
  <c r="I1256" s="1"/>
  <c r="D1254"/>
  <c r="D1256" s="1"/>
  <c r="F1254"/>
  <c r="F1256" s="1"/>
  <c r="H1254"/>
  <c r="H1256" s="1"/>
  <c r="J1254"/>
  <c r="J1256" s="1"/>
  <c r="L1254"/>
  <c r="L1256" s="1"/>
  <c r="N1254"/>
  <c r="N1256" s="1"/>
  <c r="I1251"/>
  <c r="M1251"/>
  <c r="C1254"/>
  <c r="C1256" s="1"/>
  <c r="E1254"/>
  <c r="E1256" s="1"/>
  <c r="G1254"/>
  <c r="G1256" s="1"/>
  <c r="M1268"/>
  <c r="M1267"/>
  <c r="M1269" s="1"/>
  <c r="I1268"/>
  <c r="I1267"/>
  <c r="I1269" s="1"/>
  <c r="D1267"/>
  <c r="D1269" s="1"/>
  <c r="F1267"/>
  <c r="F1269" s="1"/>
  <c r="J1267"/>
  <c r="J1269" s="1"/>
  <c r="L1267"/>
  <c r="L1269" s="1"/>
  <c r="N1267"/>
  <c r="N1269" s="1"/>
  <c r="I1264"/>
  <c r="M1264"/>
  <c r="C1267"/>
  <c r="C1269" s="1"/>
  <c r="E1267"/>
  <c r="E1269" s="1"/>
  <c r="G1267"/>
  <c r="G1269" s="1"/>
  <c r="K1267"/>
  <c r="K1269" s="1"/>
  <c r="M1281"/>
  <c r="M1280"/>
  <c r="M1282" s="1"/>
  <c r="I1281"/>
  <c r="I1280"/>
  <c r="I1282" s="1"/>
  <c r="D1280"/>
  <c r="D1282" s="1"/>
  <c r="F1280"/>
  <c r="F1282" s="1"/>
  <c r="H1280"/>
  <c r="H1282" s="1"/>
  <c r="J1280"/>
  <c r="J1282" s="1"/>
  <c r="L1280"/>
  <c r="L1282" s="1"/>
  <c r="N1280"/>
  <c r="N1282" s="1"/>
  <c r="I1277"/>
  <c r="M1277"/>
  <c r="C1280"/>
  <c r="C1282" s="1"/>
  <c r="E1280"/>
  <c r="E1282" s="1"/>
  <c r="G1280"/>
  <c r="G1282" s="1"/>
  <c r="K1280"/>
  <c r="K1282" s="1"/>
  <c r="M1294"/>
  <c r="M1293"/>
  <c r="M1295" s="1"/>
  <c r="I1294"/>
  <c r="I1293"/>
  <c r="I1295" s="1"/>
  <c r="D1293"/>
  <c r="D1295" s="1"/>
  <c r="F1293"/>
  <c r="F1295" s="1"/>
  <c r="H1293"/>
  <c r="H1295" s="1"/>
  <c r="J1293"/>
  <c r="J1295" s="1"/>
  <c r="L1293"/>
  <c r="L1295" s="1"/>
  <c r="N1293"/>
  <c r="N1295" s="1"/>
  <c r="I1290"/>
  <c r="M1290"/>
  <c r="C1293"/>
  <c r="C1295" s="1"/>
  <c r="E1293"/>
  <c r="E1295" s="1"/>
  <c r="G1293"/>
  <c r="G1295" s="1"/>
  <c r="K1293"/>
  <c r="K1295" s="1"/>
  <c r="M1307"/>
  <c r="M1306"/>
  <c r="M1308" s="1"/>
  <c r="I1307"/>
  <c r="I1306"/>
  <c r="I1308" s="1"/>
  <c r="D1306"/>
  <c r="D1308" s="1"/>
  <c r="F1306"/>
  <c r="F1308" s="1"/>
  <c r="H1306"/>
  <c r="H1308" s="1"/>
  <c r="J1306"/>
  <c r="J1308" s="1"/>
  <c r="L1306"/>
  <c r="L1308" s="1"/>
  <c r="N1306"/>
  <c r="N1308" s="1"/>
  <c r="I1303"/>
  <c r="M1303"/>
  <c r="C1306"/>
  <c r="C1308" s="1"/>
  <c r="E1306"/>
  <c r="E1308" s="1"/>
  <c r="G1306"/>
  <c r="G1308" s="1"/>
  <c r="K1306"/>
  <c r="K1308" s="1"/>
  <c r="M1320"/>
  <c r="M1319"/>
  <c r="M1321" s="1"/>
  <c r="I1320"/>
  <c r="I1319"/>
  <c r="I1321" s="1"/>
  <c r="D1319"/>
  <c r="D1321" s="1"/>
  <c r="F1319"/>
  <c r="F1321" s="1"/>
  <c r="H1319"/>
  <c r="H1321" s="1"/>
  <c r="J1319"/>
  <c r="J1321" s="1"/>
  <c r="L1319"/>
  <c r="L1321" s="1"/>
  <c r="N1319"/>
  <c r="N1321" s="1"/>
  <c r="I1316"/>
  <c r="M1316"/>
  <c r="C1319"/>
  <c r="C1321" s="1"/>
  <c r="E1319"/>
  <c r="E1321" s="1"/>
  <c r="G1319"/>
  <c r="G1321" s="1"/>
  <c r="K1319"/>
  <c r="K1321" s="1"/>
  <c r="M1333"/>
  <c r="M1332"/>
  <c r="M1334" s="1"/>
  <c r="I1333"/>
  <c r="I1332"/>
  <c r="I1334" s="1"/>
  <c r="D1332"/>
  <c r="D1334" s="1"/>
  <c r="F1332"/>
  <c r="F1334" s="1"/>
  <c r="H1332"/>
  <c r="H1334" s="1"/>
  <c r="J1332"/>
  <c r="J1334" s="1"/>
  <c r="L1332"/>
  <c r="L1334" s="1"/>
  <c r="N1332"/>
  <c r="N1334" s="1"/>
  <c r="I1329"/>
  <c r="M1329"/>
  <c r="C1332"/>
  <c r="C1334" s="1"/>
  <c r="E1332"/>
  <c r="E1334" s="1"/>
  <c r="G1332"/>
  <c r="G1334" s="1"/>
  <c r="M1346"/>
  <c r="M1345"/>
  <c r="M1347" s="1"/>
  <c r="I1346"/>
  <c r="I1345"/>
  <c r="I1347" s="1"/>
  <c r="D1345"/>
  <c r="D1347" s="1"/>
  <c r="F1345"/>
  <c r="F1347" s="1"/>
  <c r="J1345"/>
  <c r="J1347" s="1"/>
  <c r="L1345"/>
  <c r="L1347" s="1"/>
  <c r="N1345"/>
  <c r="N1347" s="1"/>
  <c r="I1342"/>
  <c r="M1342"/>
  <c r="C1345"/>
  <c r="C1347" s="1"/>
  <c r="E1345"/>
  <c r="E1347" s="1"/>
  <c r="G1345"/>
  <c r="G1347" s="1"/>
  <c r="K1345"/>
  <c r="K1347" s="1"/>
  <c r="M1359"/>
  <c r="M1358"/>
  <c r="M1360" s="1"/>
  <c r="I1359"/>
  <c r="I1358"/>
  <c r="I1360" s="1"/>
  <c r="D1358"/>
  <c r="D1360" s="1"/>
  <c r="F1358"/>
  <c r="F1360" s="1"/>
  <c r="H1358"/>
  <c r="H1360" s="1"/>
  <c r="J1358"/>
  <c r="J1360" s="1"/>
  <c r="L1358"/>
  <c r="L1360" s="1"/>
  <c r="N1358"/>
  <c r="N1360" s="1"/>
  <c r="I1355"/>
  <c r="M1355"/>
  <c r="C1358"/>
  <c r="C1360" s="1"/>
  <c r="E1358"/>
  <c r="E1360" s="1"/>
  <c r="G1358"/>
  <c r="G1360" s="1"/>
  <c r="K1358"/>
  <c r="K1360" s="1"/>
  <c r="M1372"/>
  <c r="M1371"/>
  <c r="M1373" s="1"/>
  <c r="I1372"/>
  <c r="I1371"/>
  <c r="I1373" s="1"/>
  <c r="D1371"/>
  <c r="D1373" s="1"/>
  <c r="F1371"/>
  <c r="F1373" s="1"/>
  <c r="H1371"/>
  <c r="H1373" s="1"/>
  <c r="J1371"/>
  <c r="J1373" s="1"/>
  <c r="L1371"/>
  <c r="L1373" s="1"/>
  <c r="N1371"/>
  <c r="N1373" s="1"/>
  <c r="I1368"/>
  <c r="M1368"/>
  <c r="C1371"/>
  <c r="C1373" s="1"/>
  <c r="E1371"/>
  <c r="E1373" s="1"/>
  <c r="G1371"/>
  <c r="G1373" s="1"/>
  <c r="K1371"/>
  <c r="K1373" s="1"/>
  <c r="M1385"/>
  <c r="M1384"/>
  <c r="M1386" s="1"/>
  <c r="I1385"/>
  <c r="I1384"/>
  <c r="I1386" s="1"/>
  <c r="D1384"/>
  <c r="D1386" s="1"/>
  <c r="F1384"/>
  <c r="F1386" s="1"/>
  <c r="H1384"/>
  <c r="H1386" s="1"/>
  <c r="J1384"/>
  <c r="J1386" s="1"/>
  <c r="L1384"/>
  <c r="L1386" s="1"/>
  <c r="N1384"/>
  <c r="N1386" s="1"/>
  <c r="I1381"/>
  <c r="M1381"/>
  <c r="C1384"/>
  <c r="C1386" s="1"/>
  <c r="E1384"/>
  <c r="E1386" s="1"/>
  <c r="G1384"/>
  <c r="G1386" s="1"/>
  <c r="K1384"/>
  <c r="K1386" s="1"/>
  <c r="M1398"/>
  <c r="M1397"/>
  <c r="M1399" s="1"/>
  <c r="I1398"/>
  <c r="I1397"/>
  <c r="I1399" s="1"/>
  <c r="D1397"/>
  <c r="D1399" s="1"/>
  <c r="F1397"/>
  <c r="F1399" s="1"/>
  <c r="H1397"/>
  <c r="H1399" s="1"/>
  <c r="J1397"/>
  <c r="J1399" s="1"/>
  <c r="L1397"/>
  <c r="L1399" s="1"/>
  <c r="N1397"/>
  <c r="N1399" s="1"/>
  <c r="I1394"/>
  <c r="M1394"/>
  <c r="C1397"/>
  <c r="C1399" s="1"/>
  <c r="E1397"/>
  <c r="E1399" s="1"/>
  <c r="G1397"/>
  <c r="G1399" s="1"/>
  <c r="K1397"/>
  <c r="K1399" s="1"/>
  <c r="M1411"/>
  <c r="M1410"/>
  <c r="M1412" s="1"/>
  <c r="I1411"/>
  <c r="I1410"/>
  <c r="I1412" s="1"/>
  <c r="D1410"/>
  <c r="D1412" s="1"/>
  <c r="F1410"/>
  <c r="F1412" s="1"/>
  <c r="H1410"/>
  <c r="H1412" s="1"/>
  <c r="J1410"/>
  <c r="J1412" s="1"/>
  <c r="L1410"/>
  <c r="L1412" s="1"/>
  <c r="N1410"/>
  <c r="N1412" s="1"/>
  <c r="I1407"/>
  <c r="M1407"/>
  <c r="C1410"/>
  <c r="C1412" s="1"/>
  <c r="E1410"/>
  <c r="E1412" s="1"/>
  <c r="G1410"/>
  <c r="G1412" s="1"/>
  <c r="M1424"/>
  <c r="M1423"/>
  <c r="M1425" s="1"/>
  <c r="I1424"/>
  <c r="I1423"/>
  <c r="I1425" s="1"/>
  <c r="D1423"/>
  <c r="D1425" s="1"/>
  <c r="F1423"/>
  <c r="F1425" s="1"/>
  <c r="H1423"/>
  <c r="H1425" s="1"/>
  <c r="J1423"/>
  <c r="J1425" s="1"/>
  <c r="L1423"/>
  <c r="L1425" s="1"/>
  <c r="N1423"/>
  <c r="N1425" s="1"/>
  <c r="I1420"/>
  <c r="M1420"/>
  <c r="C1423"/>
  <c r="C1425" s="1"/>
  <c r="E1423"/>
  <c r="E1425" s="1"/>
  <c r="G1423"/>
  <c r="G1425" s="1"/>
  <c r="K1423"/>
  <c r="K1425" s="1"/>
  <c r="I1437"/>
  <c r="I1436"/>
  <c r="I1438" s="1"/>
  <c r="D1436"/>
  <c r="D1438" s="1"/>
  <c r="F1436"/>
  <c r="F1438" s="1"/>
  <c r="H1436"/>
  <c r="H1438" s="1"/>
  <c r="J1436"/>
  <c r="J1438" s="1"/>
  <c r="L1436"/>
  <c r="L1438" s="1"/>
  <c r="N1436"/>
  <c r="N1438" s="1"/>
  <c r="I1433"/>
  <c r="C1436"/>
  <c r="C1438" s="1"/>
  <c r="E1436"/>
  <c r="E1438" s="1"/>
  <c r="G1436"/>
  <c r="G1438" s="1"/>
  <c r="K1436"/>
  <c r="K1438" s="1"/>
  <c r="M1436"/>
  <c r="M1438" s="1"/>
  <c r="M1450"/>
  <c r="M1449"/>
  <c r="M1451" s="1"/>
  <c r="I1450"/>
  <c r="I1449"/>
  <c r="I1451" s="1"/>
  <c r="D1449"/>
  <c r="D1451" s="1"/>
  <c r="F1449"/>
  <c r="F1451" s="1"/>
  <c r="H1449"/>
  <c r="H1451" s="1"/>
  <c r="J1449"/>
  <c r="J1451" s="1"/>
  <c r="L1449"/>
  <c r="L1451" s="1"/>
  <c r="N1449"/>
  <c r="N1451" s="1"/>
  <c r="I1446"/>
  <c r="M1446"/>
  <c r="C1449"/>
  <c r="C1451" s="1"/>
  <c r="E1449"/>
  <c r="E1451" s="1"/>
  <c r="G1449"/>
  <c r="G1451" s="1"/>
  <c r="K1449"/>
  <c r="K1451" s="1"/>
  <c r="I1463"/>
  <c r="I1462"/>
  <c r="I1464" s="1"/>
  <c r="M1463"/>
  <c r="M1462"/>
  <c r="M1464" s="1"/>
  <c r="D1462"/>
  <c r="D1464" s="1"/>
  <c r="F1462"/>
  <c r="F1464" s="1"/>
  <c r="H1462"/>
  <c r="H1464" s="1"/>
  <c r="J1462"/>
  <c r="J1464" s="1"/>
  <c r="L1462"/>
  <c r="L1464" s="1"/>
  <c r="N1462"/>
  <c r="N1464" s="1"/>
  <c r="I1459"/>
  <c r="M1459"/>
  <c r="C1462"/>
  <c r="C1464" s="1"/>
  <c r="E1462"/>
  <c r="E1464" s="1"/>
  <c r="G1462"/>
  <c r="G1464" s="1"/>
  <c r="K1462"/>
  <c r="K1464" s="1"/>
  <c r="I1476"/>
  <c r="I1475"/>
  <c r="I1477" s="1"/>
  <c r="I1472"/>
  <c r="C1475"/>
  <c r="C1477" s="1"/>
  <c r="E1475"/>
  <c r="E1477" s="1"/>
  <c r="G1475"/>
  <c r="G1477" s="1"/>
  <c r="K1475"/>
  <c r="K1477" s="1"/>
  <c r="M1475"/>
  <c r="M1477" s="1"/>
  <c r="D1475"/>
  <c r="D1477" s="1"/>
  <c r="F1475"/>
  <c r="F1477" s="1"/>
  <c r="H1475"/>
  <c r="H1477" s="1"/>
  <c r="J1475"/>
  <c r="J1477" s="1"/>
  <c r="L1475"/>
  <c r="L1477" s="1"/>
  <c r="N1475"/>
  <c r="N1477" s="1"/>
  <c r="M1489"/>
  <c r="M1488"/>
  <c r="M1490" s="1"/>
  <c r="I1489"/>
  <c r="I1488"/>
  <c r="I1490" s="1"/>
  <c r="D1488"/>
  <c r="D1490" s="1"/>
  <c r="F1488"/>
  <c r="F1490" s="1"/>
  <c r="H1488"/>
  <c r="H1490" s="1"/>
  <c r="J1488"/>
  <c r="J1490" s="1"/>
  <c r="L1488"/>
  <c r="L1490" s="1"/>
  <c r="N1488"/>
  <c r="N1490" s="1"/>
  <c r="I1485"/>
  <c r="M1485"/>
  <c r="C1488"/>
  <c r="C1490" s="1"/>
  <c r="E1488"/>
  <c r="E1490" s="1"/>
  <c r="G1488"/>
  <c r="G1490" s="1"/>
  <c r="K1488"/>
  <c r="K1490" s="1"/>
  <c r="M1502"/>
  <c r="M1501"/>
  <c r="M1503" s="1"/>
  <c r="I1502"/>
  <c r="I1501"/>
  <c r="I1503" s="1"/>
  <c r="D1501"/>
  <c r="D1503" s="1"/>
  <c r="F1501"/>
  <c r="F1503" s="1"/>
  <c r="H1501"/>
  <c r="H1503" s="1"/>
  <c r="J1501"/>
  <c r="J1503" s="1"/>
  <c r="L1501"/>
  <c r="L1503" s="1"/>
  <c r="N1501"/>
  <c r="N1503" s="1"/>
  <c r="I1498"/>
  <c r="M1498"/>
  <c r="C1501"/>
  <c r="C1503" s="1"/>
  <c r="E1501"/>
  <c r="E1503" s="1"/>
  <c r="G1501"/>
  <c r="G1503" s="1"/>
  <c r="K1501"/>
  <c r="K1503" s="1"/>
  <c r="M1515"/>
  <c r="M1514"/>
  <c r="M1516" s="1"/>
  <c r="I1515"/>
  <c r="I1514"/>
  <c r="I1516" s="1"/>
  <c r="D1514"/>
  <c r="D1516" s="1"/>
  <c r="F1514"/>
  <c r="F1516" s="1"/>
  <c r="H1514"/>
  <c r="H1516" s="1"/>
  <c r="J1514"/>
  <c r="J1516" s="1"/>
  <c r="L1514"/>
  <c r="L1516" s="1"/>
  <c r="N1514"/>
  <c r="N1516" s="1"/>
  <c r="I1511"/>
  <c r="M1511"/>
  <c r="C1514"/>
  <c r="C1516" s="1"/>
  <c r="E1514"/>
  <c r="E1516" s="1"/>
  <c r="G1514"/>
  <c r="G1516" s="1"/>
  <c r="K1514"/>
  <c r="K1516" s="1"/>
  <c r="M1528"/>
  <c r="M1527"/>
  <c r="M1529" s="1"/>
  <c r="I1528"/>
  <c r="I1527"/>
  <c r="I1529" s="1"/>
  <c r="D1527"/>
  <c r="D1529" s="1"/>
  <c r="F1527"/>
  <c r="F1529" s="1"/>
  <c r="H1527"/>
  <c r="H1529" s="1"/>
  <c r="J1527"/>
  <c r="J1529" s="1"/>
  <c r="L1527"/>
  <c r="L1529" s="1"/>
  <c r="N1527"/>
  <c r="N1529" s="1"/>
  <c r="I1524"/>
  <c r="M1524"/>
  <c r="C1527"/>
  <c r="C1529" s="1"/>
  <c r="E1527"/>
  <c r="E1529" s="1"/>
  <c r="G1527"/>
  <c r="G1529" s="1"/>
  <c r="K1527"/>
  <c r="K1529" s="1"/>
  <c r="M1541"/>
  <c r="M1540"/>
  <c r="M1542" s="1"/>
  <c r="I1541"/>
  <c r="I1540"/>
  <c r="I1542" s="1"/>
  <c r="D1540"/>
  <c r="D1542" s="1"/>
  <c r="F1540"/>
  <c r="F1542" s="1"/>
  <c r="H1540"/>
  <c r="H1542" s="1"/>
  <c r="J1540"/>
  <c r="J1542" s="1"/>
  <c r="L1540"/>
  <c r="L1542" s="1"/>
  <c r="N1540"/>
  <c r="N1542" s="1"/>
  <c r="I1537"/>
  <c r="M1537"/>
  <c r="C1540"/>
  <c r="C1542" s="1"/>
  <c r="E1540"/>
  <c r="E1542" s="1"/>
  <c r="G1540"/>
  <c r="G1542" s="1"/>
  <c r="K1540"/>
  <c r="K1542" s="1"/>
  <c r="N1552"/>
  <c r="N1554" s="1"/>
  <c r="L1552"/>
  <c r="L1554" s="1"/>
  <c r="K1552"/>
  <c r="K1554" s="1"/>
  <c r="J1552"/>
  <c r="J1554" s="1"/>
  <c r="H1554"/>
  <c r="G1554"/>
  <c r="F1552"/>
  <c r="F1554" s="1"/>
  <c r="E1552"/>
  <c r="E1554" s="1"/>
  <c r="D1552"/>
  <c r="D1554" s="1"/>
  <c r="C1554"/>
  <c r="N1551"/>
  <c r="M1551"/>
  <c r="K1551"/>
  <c r="I1551"/>
  <c r="H1551"/>
  <c r="G1551"/>
  <c r="N1550"/>
  <c r="L1550"/>
  <c r="K1550"/>
  <c r="J1550"/>
  <c r="H1550"/>
  <c r="G1550"/>
  <c r="F1550"/>
  <c r="E1550"/>
  <c r="D1550"/>
  <c r="C1550"/>
  <c r="M1549"/>
  <c r="M1552" s="1"/>
  <c r="I1549"/>
  <c r="I1552" s="1"/>
  <c r="N1548"/>
  <c r="M1548"/>
  <c r="L1548"/>
  <c r="K1548"/>
  <c r="J1548"/>
  <c r="I1548"/>
  <c r="H1548"/>
  <c r="G1548"/>
  <c r="F1548"/>
  <c r="E1548"/>
  <c r="D1548"/>
  <c r="C1548"/>
  <c r="L1565"/>
  <c r="L1567" s="1"/>
  <c r="H1565"/>
  <c r="H1567" s="1"/>
  <c r="G1565"/>
  <c r="G1567" s="1"/>
  <c r="C1565"/>
  <c r="C1567" s="1"/>
  <c r="N1565"/>
  <c r="N1567" s="1"/>
  <c r="K1565"/>
  <c r="K1567" s="1"/>
  <c r="J1565"/>
  <c r="J1567" s="1"/>
  <c r="F1565"/>
  <c r="F1567" s="1"/>
  <c r="E1565"/>
  <c r="E1567" s="1"/>
  <c r="D1565"/>
  <c r="D1567" s="1"/>
  <c r="N1564"/>
  <c r="M1564"/>
  <c r="K1564"/>
  <c r="I1564"/>
  <c r="H1564"/>
  <c r="G1564"/>
  <c r="N1563"/>
  <c r="L1563"/>
  <c r="K1563"/>
  <c r="J1563"/>
  <c r="H1563"/>
  <c r="G1563"/>
  <c r="F1563"/>
  <c r="E1563"/>
  <c r="D1563"/>
  <c r="C1563"/>
  <c r="M1562"/>
  <c r="M1565" s="1"/>
  <c r="I1562"/>
  <c r="I1565" s="1"/>
  <c r="N1561"/>
  <c r="M1561"/>
  <c r="L1561"/>
  <c r="K1561"/>
  <c r="J1561"/>
  <c r="I1561"/>
  <c r="H1561"/>
  <c r="G1561"/>
  <c r="F1561"/>
  <c r="E1561"/>
  <c r="D1561"/>
  <c r="C1561"/>
  <c r="H1578"/>
  <c r="H1580" s="1"/>
  <c r="N1578"/>
  <c r="N1580" s="1"/>
  <c r="L1578"/>
  <c r="L1580" s="1"/>
  <c r="K1578"/>
  <c r="K1580" s="1"/>
  <c r="J1578"/>
  <c r="J1580" s="1"/>
  <c r="G1578"/>
  <c r="G1580" s="1"/>
  <c r="F1578"/>
  <c r="F1580" s="1"/>
  <c r="E1578"/>
  <c r="E1580" s="1"/>
  <c r="D1578"/>
  <c r="D1580" s="1"/>
  <c r="C1578"/>
  <c r="C1580" s="1"/>
  <c r="N1577"/>
  <c r="M1577"/>
  <c r="K1577"/>
  <c r="I1577"/>
  <c r="H1577"/>
  <c r="G1577"/>
  <c r="N1576"/>
  <c r="L1576"/>
  <c r="K1576"/>
  <c r="J1576"/>
  <c r="H1576"/>
  <c r="G1576"/>
  <c r="F1576"/>
  <c r="E1576"/>
  <c r="D1576"/>
  <c r="C1576"/>
  <c r="M1575"/>
  <c r="M1578" s="1"/>
  <c r="I1575"/>
  <c r="I1578" s="1"/>
  <c r="N1574"/>
  <c r="M1574"/>
  <c r="L1574"/>
  <c r="K1574"/>
  <c r="J1574"/>
  <c r="I1574"/>
  <c r="H1574"/>
  <c r="G1574"/>
  <c r="F1574"/>
  <c r="E1574"/>
  <c r="D1574"/>
  <c r="C1574"/>
  <c r="N1591"/>
  <c r="N1593" s="1"/>
  <c r="L1591"/>
  <c r="L1593" s="1"/>
  <c r="K1591"/>
  <c r="K1593" s="1"/>
  <c r="J1591"/>
  <c r="J1593" s="1"/>
  <c r="H1591"/>
  <c r="H1593" s="1"/>
  <c r="G1591"/>
  <c r="G1593" s="1"/>
  <c r="F1591"/>
  <c r="F1593" s="1"/>
  <c r="E1591"/>
  <c r="E1593" s="1"/>
  <c r="D1591"/>
  <c r="D1593" s="1"/>
  <c r="C1591"/>
  <c r="C1593" s="1"/>
  <c r="N1590"/>
  <c r="M1590"/>
  <c r="K1590"/>
  <c r="I1590"/>
  <c r="H1590"/>
  <c r="G1590"/>
  <c r="N1589"/>
  <c r="L1589"/>
  <c r="K1589"/>
  <c r="J1589"/>
  <c r="H1589"/>
  <c r="G1589"/>
  <c r="F1589"/>
  <c r="E1589"/>
  <c r="D1589"/>
  <c r="C1589"/>
  <c r="M1588"/>
  <c r="M1591" s="1"/>
  <c r="I1588"/>
  <c r="I1591" s="1"/>
  <c r="N1587"/>
  <c r="M1587"/>
  <c r="L1587"/>
  <c r="K1587"/>
  <c r="J1587"/>
  <c r="I1587"/>
  <c r="H1587"/>
  <c r="G1587"/>
  <c r="F1587"/>
  <c r="E1587"/>
  <c r="D1587"/>
  <c r="C1587"/>
  <c r="N1604"/>
  <c r="N1606" s="1"/>
  <c r="L1604"/>
  <c r="L1606" s="1"/>
  <c r="K1604"/>
  <c r="K1606" s="1"/>
  <c r="J1604"/>
  <c r="J1606" s="1"/>
  <c r="H1604"/>
  <c r="H1606" s="1"/>
  <c r="G1604"/>
  <c r="G1606" s="1"/>
  <c r="F1604"/>
  <c r="F1606" s="1"/>
  <c r="E1604"/>
  <c r="E1606" s="1"/>
  <c r="D1604"/>
  <c r="D1606" s="1"/>
  <c r="C1604"/>
  <c r="C1606" s="1"/>
  <c r="N1603"/>
  <c r="M1603"/>
  <c r="K1603"/>
  <c r="I1603"/>
  <c r="H1603"/>
  <c r="G1603"/>
  <c r="N1602"/>
  <c r="L1602"/>
  <c r="K1602"/>
  <c r="J1602"/>
  <c r="H1602"/>
  <c r="G1602"/>
  <c r="F1602"/>
  <c r="E1602"/>
  <c r="D1602"/>
  <c r="C1602"/>
  <c r="M1601"/>
  <c r="M1604" s="1"/>
  <c r="I1601"/>
  <c r="I1604" s="1"/>
  <c r="N1600"/>
  <c r="M1600"/>
  <c r="L1600"/>
  <c r="K1600"/>
  <c r="J1600"/>
  <c r="I1600"/>
  <c r="H1600"/>
  <c r="G1600"/>
  <c r="F1600"/>
  <c r="E1600"/>
  <c r="D1600"/>
  <c r="C1600"/>
  <c r="N1617"/>
  <c r="N1619" s="1"/>
  <c r="L1617"/>
  <c r="L1619" s="1"/>
  <c r="K1617"/>
  <c r="K1619" s="1"/>
  <c r="J1617"/>
  <c r="J1619" s="1"/>
  <c r="H1617"/>
  <c r="H1619" s="1"/>
  <c r="G1617"/>
  <c r="G1619" s="1"/>
  <c r="F1617"/>
  <c r="F1619" s="1"/>
  <c r="E1617"/>
  <c r="E1619" s="1"/>
  <c r="D1617"/>
  <c r="D1619" s="1"/>
  <c r="C1617"/>
  <c r="C1619" s="1"/>
  <c r="N1616"/>
  <c r="M1616"/>
  <c r="K1616"/>
  <c r="I1616"/>
  <c r="H1616"/>
  <c r="G1616"/>
  <c r="N1615"/>
  <c r="L1615"/>
  <c r="K1615"/>
  <c r="J1615"/>
  <c r="H1615"/>
  <c r="G1615"/>
  <c r="F1615"/>
  <c r="E1615"/>
  <c r="D1615"/>
  <c r="C1615"/>
  <c r="M1614"/>
  <c r="M1617" s="1"/>
  <c r="I1614"/>
  <c r="I1617" s="1"/>
  <c r="N1613"/>
  <c r="M1613"/>
  <c r="L1613"/>
  <c r="K1613"/>
  <c r="J1613"/>
  <c r="I1613"/>
  <c r="H1613"/>
  <c r="G1613"/>
  <c r="F1613"/>
  <c r="E1613"/>
  <c r="D1613"/>
  <c r="C1613"/>
  <c r="N1630"/>
  <c r="N1632" s="1"/>
  <c r="L1630"/>
  <c r="L1632" s="1"/>
  <c r="K1630"/>
  <c r="K1632" s="1"/>
  <c r="J1630"/>
  <c r="J1632" s="1"/>
  <c r="H1630"/>
  <c r="H1632" s="1"/>
  <c r="G1630"/>
  <c r="G1632" s="1"/>
  <c r="F1630"/>
  <c r="F1632" s="1"/>
  <c r="E1630"/>
  <c r="E1632" s="1"/>
  <c r="D1630"/>
  <c r="D1632" s="1"/>
  <c r="C1630"/>
  <c r="C1632" s="1"/>
  <c r="N1629"/>
  <c r="M1629"/>
  <c r="K1629"/>
  <c r="I1629"/>
  <c r="H1629"/>
  <c r="G1629"/>
  <c r="N1628"/>
  <c r="L1628"/>
  <c r="K1628"/>
  <c r="J1628"/>
  <c r="H1628"/>
  <c r="G1628"/>
  <c r="F1628"/>
  <c r="E1628"/>
  <c r="D1628"/>
  <c r="C1628"/>
  <c r="M1627"/>
  <c r="M1630" s="1"/>
  <c r="I1627"/>
  <c r="I1630" s="1"/>
  <c r="N1626"/>
  <c r="M1626"/>
  <c r="L1626"/>
  <c r="K1626"/>
  <c r="J1626"/>
  <c r="I1626"/>
  <c r="H1626"/>
  <c r="G1626"/>
  <c r="F1626"/>
  <c r="E1626"/>
  <c r="D1626"/>
  <c r="C1626"/>
  <c r="N1643"/>
  <c r="N1645" s="1"/>
  <c r="L1643"/>
  <c r="L1645" s="1"/>
  <c r="K1643"/>
  <c r="K1645" s="1"/>
  <c r="J1643"/>
  <c r="J1645" s="1"/>
  <c r="H1643"/>
  <c r="H1645" s="1"/>
  <c r="G1643"/>
  <c r="G1645" s="1"/>
  <c r="F1643"/>
  <c r="F1645" s="1"/>
  <c r="E1643"/>
  <c r="E1645" s="1"/>
  <c r="D1643"/>
  <c r="D1645" s="1"/>
  <c r="C1643"/>
  <c r="C1645" s="1"/>
  <c r="N1642"/>
  <c r="M1642"/>
  <c r="K1642"/>
  <c r="I1642"/>
  <c r="H1642"/>
  <c r="G1642"/>
  <c r="N1641"/>
  <c r="L1641"/>
  <c r="K1641"/>
  <c r="J1641"/>
  <c r="H1641"/>
  <c r="G1641"/>
  <c r="F1641"/>
  <c r="E1641"/>
  <c r="D1641"/>
  <c r="C1641"/>
  <c r="M1640"/>
  <c r="M1643" s="1"/>
  <c r="I1640"/>
  <c r="I1643" s="1"/>
  <c r="N1639"/>
  <c r="M1639"/>
  <c r="L1639"/>
  <c r="K1639"/>
  <c r="J1639"/>
  <c r="I1639"/>
  <c r="H1639"/>
  <c r="G1639"/>
  <c r="F1639"/>
  <c r="E1639"/>
  <c r="D1639"/>
  <c r="C1639"/>
  <c r="K1656"/>
  <c r="K1658" s="1"/>
  <c r="N1656"/>
  <c r="N1658" s="1"/>
  <c r="L1656"/>
  <c r="L1658" s="1"/>
  <c r="J1656"/>
  <c r="J1658" s="1"/>
  <c r="H1656"/>
  <c r="H1658" s="1"/>
  <c r="G1656"/>
  <c r="G1658" s="1"/>
  <c r="F1656"/>
  <c r="F1658" s="1"/>
  <c r="E1656"/>
  <c r="E1658" s="1"/>
  <c r="D1656"/>
  <c r="D1658" s="1"/>
  <c r="C1656"/>
  <c r="C1658" s="1"/>
  <c r="N1655"/>
  <c r="M1655"/>
  <c r="K1655"/>
  <c r="I1655"/>
  <c r="H1655"/>
  <c r="G1655"/>
  <c r="N1654"/>
  <c r="L1654"/>
  <c r="K1654"/>
  <c r="J1654"/>
  <c r="H1654"/>
  <c r="G1654"/>
  <c r="F1654"/>
  <c r="E1654"/>
  <c r="D1654"/>
  <c r="C1654"/>
  <c r="M1653"/>
  <c r="M1654" s="1"/>
  <c r="I1653"/>
  <c r="I1656" s="1"/>
  <c r="N1652"/>
  <c r="M1652"/>
  <c r="L1652"/>
  <c r="K1652"/>
  <c r="J1652"/>
  <c r="I1652"/>
  <c r="H1652"/>
  <c r="G1652"/>
  <c r="F1652"/>
  <c r="E1652"/>
  <c r="D1652"/>
  <c r="C1652"/>
  <c r="L1669"/>
  <c r="L1671" s="1"/>
  <c r="J1669"/>
  <c r="J1671" s="1"/>
  <c r="G1669"/>
  <c r="G1671" s="1"/>
  <c r="H1669"/>
  <c r="H1671" s="1"/>
  <c r="N1669"/>
  <c r="N1671" s="1"/>
  <c r="K1669"/>
  <c r="K1671" s="1"/>
  <c r="F1669"/>
  <c r="F1671" s="1"/>
  <c r="E1669"/>
  <c r="E1671" s="1"/>
  <c r="D1669"/>
  <c r="D1671" s="1"/>
  <c r="C1669"/>
  <c r="C1671" s="1"/>
  <c r="N1668"/>
  <c r="M1668"/>
  <c r="K1668"/>
  <c r="I1668"/>
  <c r="H1668"/>
  <c r="G1668"/>
  <c r="N1667"/>
  <c r="L1667"/>
  <c r="K1667"/>
  <c r="J1667"/>
  <c r="H1667"/>
  <c r="G1667"/>
  <c r="F1667"/>
  <c r="E1667"/>
  <c r="D1667"/>
  <c r="C1667"/>
  <c r="M1666"/>
  <c r="M1669" s="1"/>
  <c r="M1671" s="1"/>
  <c r="I1666"/>
  <c r="I1669" s="1"/>
  <c r="N1665"/>
  <c r="M1665"/>
  <c r="L1665"/>
  <c r="K1665"/>
  <c r="J1665"/>
  <c r="I1665"/>
  <c r="H1665"/>
  <c r="G1665"/>
  <c r="F1665"/>
  <c r="E1665"/>
  <c r="D1665"/>
  <c r="C1665"/>
  <c r="G1682"/>
  <c r="G1684" s="1"/>
  <c r="H1682"/>
  <c r="H1684" s="1"/>
  <c r="N1682"/>
  <c r="N1684" s="1"/>
  <c r="L1682"/>
  <c r="L1684" s="1"/>
  <c r="J1682"/>
  <c r="J1684" s="1"/>
  <c r="K1682"/>
  <c r="K1684" s="1"/>
  <c r="F1682"/>
  <c r="F1684" s="1"/>
  <c r="E1682"/>
  <c r="E1684" s="1"/>
  <c r="D1682"/>
  <c r="D1684" s="1"/>
  <c r="C1682"/>
  <c r="C1684" s="1"/>
  <c r="N1681"/>
  <c r="M1681"/>
  <c r="K1681"/>
  <c r="I1681"/>
  <c r="H1681"/>
  <c r="G1681"/>
  <c r="N1680"/>
  <c r="L1680"/>
  <c r="K1680"/>
  <c r="J1680"/>
  <c r="H1680"/>
  <c r="G1680"/>
  <c r="F1680"/>
  <c r="E1680"/>
  <c r="D1680"/>
  <c r="C1680"/>
  <c r="M1679"/>
  <c r="M1682" s="1"/>
  <c r="I1679"/>
  <c r="I1682" s="1"/>
  <c r="N1678"/>
  <c r="M1678"/>
  <c r="L1678"/>
  <c r="K1678"/>
  <c r="J1678"/>
  <c r="I1678"/>
  <c r="H1678"/>
  <c r="G1678"/>
  <c r="F1678"/>
  <c r="E1678"/>
  <c r="D1678"/>
  <c r="C1678"/>
  <c r="N1695"/>
  <c r="N1697" s="1"/>
  <c r="L1695"/>
  <c r="L1697" s="1"/>
  <c r="K1695"/>
  <c r="K1697" s="1"/>
  <c r="J1695"/>
  <c r="J1697" s="1"/>
  <c r="H1695"/>
  <c r="H1697" s="1"/>
  <c r="G1695"/>
  <c r="G1697" s="1"/>
  <c r="F1695"/>
  <c r="F1697" s="1"/>
  <c r="E1695"/>
  <c r="E1697" s="1"/>
  <c r="D1695"/>
  <c r="D1697" s="1"/>
  <c r="C1695"/>
  <c r="C1697" s="1"/>
  <c r="N1694"/>
  <c r="M1694"/>
  <c r="K1694"/>
  <c r="I1694"/>
  <c r="H1694"/>
  <c r="G1694"/>
  <c r="N1693"/>
  <c r="L1693"/>
  <c r="K1693"/>
  <c r="J1693"/>
  <c r="H1693"/>
  <c r="G1693"/>
  <c r="F1693"/>
  <c r="E1693"/>
  <c r="D1693"/>
  <c r="C1693"/>
  <c r="M1692"/>
  <c r="M1695" s="1"/>
  <c r="I1692"/>
  <c r="I1695" s="1"/>
  <c r="N1691"/>
  <c r="M1691"/>
  <c r="L1691"/>
  <c r="K1691"/>
  <c r="J1691"/>
  <c r="I1691"/>
  <c r="H1691"/>
  <c r="G1691"/>
  <c r="F1691"/>
  <c r="E1691"/>
  <c r="D1691"/>
  <c r="C1691"/>
  <c r="L1708"/>
  <c r="G1708"/>
  <c r="H1708"/>
  <c r="H1710" s="1"/>
  <c r="N1708"/>
  <c r="N1710" s="1"/>
  <c r="L1710"/>
  <c r="K1708"/>
  <c r="K1710" s="1"/>
  <c r="J1708"/>
  <c r="J1710" s="1"/>
  <c r="G1710"/>
  <c r="F1708"/>
  <c r="F1710" s="1"/>
  <c r="E1708"/>
  <c r="E1710" s="1"/>
  <c r="D1708"/>
  <c r="D1710" s="1"/>
  <c r="C1708"/>
  <c r="C1710" s="1"/>
  <c r="N1707"/>
  <c r="M1707"/>
  <c r="K1707"/>
  <c r="I1707"/>
  <c r="H1707"/>
  <c r="G1707"/>
  <c r="N1706"/>
  <c r="L1706"/>
  <c r="K1706"/>
  <c r="J1706"/>
  <c r="H1706"/>
  <c r="G1706"/>
  <c r="F1706"/>
  <c r="E1706"/>
  <c r="D1706"/>
  <c r="C1706"/>
  <c r="M1705"/>
  <c r="M1708" s="1"/>
  <c r="I1705"/>
  <c r="I1708" s="1"/>
  <c r="N1704"/>
  <c r="M1704"/>
  <c r="L1704"/>
  <c r="K1704"/>
  <c r="J1704"/>
  <c r="I1704"/>
  <c r="H1704"/>
  <c r="G1704"/>
  <c r="F1704"/>
  <c r="E1704"/>
  <c r="D1704"/>
  <c r="C1704"/>
  <c r="N1721"/>
  <c r="N1723" s="1"/>
  <c r="L1721"/>
  <c r="L1723" s="1"/>
  <c r="K1721"/>
  <c r="K1723" s="1"/>
  <c r="J1721"/>
  <c r="J1723" s="1"/>
  <c r="H1721"/>
  <c r="H1723" s="1"/>
  <c r="G1721"/>
  <c r="G1723" s="1"/>
  <c r="F1721"/>
  <c r="F1723" s="1"/>
  <c r="E1721"/>
  <c r="E1723" s="1"/>
  <c r="D1721"/>
  <c r="D1723" s="1"/>
  <c r="C1721"/>
  <c r="C1723" s="1"/>
  <c r="N1720"/>
  <c r="M1720"/>
  <c r="K1720"/>
  <c r="I1720"/>
  <c r="H1720"/>
  <c r="G1720"/>
  <c r="N1719"/>
  <c r="L1719"/>
  <c r="K1719"/>
  <c r="J1719"/>
  <c r="H1719"/>
  <c r="G1719"/>
  <c r="F1719"/>
  <c r="E1719"/>
  <c r="D1719"/>
  <c r="C1719"/>
  <c r="M1718"/>
  <c r="M1721" s="1"/>
  <c r="I1718"/>
  <c r="I1721" s="1"/>
  <c r="N1717"/>
  <c r="M1717"/>
  <c r="L1717"/>
  <c r="K1717"/>
  <c r="J1717"/>
  <c r="I1717"/>
  <c r="H1717"/>
  <c r="G1717"/>
  <c r="F1717"/>
  <c r="E1717"/>
  <c r="D1717"/>
  <c r="C1717"/>
  <c r="H1267" l="1"/>
  <c r="H1269" s="1"/>
  <c r="K1410"/>
  <c r="K1412" s="1"/>
  <c r="K1163"/>
  <c r="K1165" s="1"/>
  <c r="K1332"/>
  <c r="K1334" s="1"/>
  <c r="K1254"/>
  <c r="K1256" s="1"/>
  <c r="K1072"/>
  <c r="K1074" s="1"/>
  <c r="H1345"/>
  <c r="H1347" s="1"/>
  <c r="M1554"/>
  <c r="M1553"/>
  <c r="M1555" s="1"/>
  <c r="I1554"/>
  <c r="I1553"/>
  <c r="I1555" s="1"/>
  <c r="D1553"/>
  <c r="D1555" s="1"/>
  <c r="F1553"/>
  <c r="F1555" s="1"/>
  <c r="H1553"/>
  <c r="H1555" s="1"/>
  <c r="J1553"/>
  <c r="J1555" s="1"/>
  <c r="L1553"/>
  <c r="L1555" s="1"/>
  <c r="N1553"/>
  <c r="N1555" s="1"/>
  <c r="I1550"/>
  <c r="M1550"/>
  <c r="C1553"/>
  <c r="C1555" s="1"/>
  <c r="E1553"/>
  <c r="E1555" s="1"/>
  <c r="G1553"/>
  <c r="G1555" s="1"/>
  <c r="K1553"/>
  <c r="K1555" s="1"/>
  <c r="M1567"/>
  <c r="M1566"/>
  <c r="M1568" s="1"/>
  <c r="I1567"/>
  <c r="I1566"/>
  <c r="I1568" s="1"/>
  <c r="D1566"/>
  <c r="D1568" s="1"/>
  <c r="F1566"/>
  <c r="F1568" s="1"/>
  <c r="H1566"/>
  <c r="H1568" s="1"/>
  <c r="J1566"/>
  <c r="J1568" s="1"/>
  <c r="L1566"/>
  <c r="L1568" s="1"/>
  <c r="N1566"/>
  <c r="N1568" s="1"/>
  <c r="I1563"/>
  <c r="M1563"/>
  <c r="C1566"/>
  <c r="C1568" s="1"/>
  <c r="E1566"/>
  <c r="E1568" s="1"/>
  <c r="G1566"/>
  <c r="G1568" s="1"/>
  <c r="K1566"/>
  <c r="K1568" s="1"/>
  <c r="M1680"/>
  <c r="M1667"/>
  <c r="M1656"/>
  <c r="M1658" s="1"/>
  <c r="I1580"/>
  <c r="I1579"/>
  <c r="I1581" s="1"/>
  <c r="M1580"/>
  <c r="M1579"/>
  <c r="M1581" s="1"/>
  <c r="D1579"/>
  <c r="D1581" s="1"/>
  <c r="F1579"/>
  <c r="F1581" s="1"/>
  <c r="H1579"/>
  <c r="H1581" s="1"/>
  <c r="J1579"/>
  <c r="J1581" s="1"/>
  <c r="L1579"/>
  <c r="L1581" s="1"/>
  <c r="N1579"/>
  <c r="N1581" s="1"/>
  <c r="I1576"/>
  <c r="M1576"/>
  <c r="C1579"/>
  <c r="C1581" s="1"/>
  <c r="E1579"/>
  <c r="E1581" s="1"/>
  <c r="G1579"/>
  <c r="G1581" s="1"/>
  <c r="K1579"/>
  <c r="K1581" s="1"/>
  <c r="M1593"/>
  <c r="M1592"/>
  <c r="M1594" s="1"/>
  <c r="I1593"/>
  <c r="I1592"/>
  <c r="I1594" s="1"/>
  <c r="D1592"/>
  <c r="D1594" s="1"/>
  <c r="F1592"/>
  <c r="F1594" s="1"/>
  <c r="H1592"/>
  <c r="H1594" s="1"/>
  <c r="J1592"/>
  <c r="J1594" s="1"/>
  <c r="L1592"/>
  <c r="L1594" s="1"/>
  <c r="N1592"/>
  <c r="N1594" s="1"/>
  <c r="I1589"/>
  <c r="M1589"/>
  <c r="C1592"/>
  <c r="C1594" s="1"/>
  <c r="E1592"/>
  <c r="E1594" s="1"/>
  <c r="G1592"/>
  <c r="G1594" s="1"/>
  <c r="K1592"/>
  <c r="K1594" s="1"/>
  <c r="M1606"/>
  <c r="M1605"/>
  <c r="M1607" s="1"/>
  <c r="I1606"/>
  <c r="I1605"/>
  <c r="I1607" s="1"/>
  <c r="D1605"/>
  <c r="D1607" s="1"/>
  <c r="F1605"/>
  <c r="F1607" s="1"/>
  <c r="H1605"/>
  <c r="H1607" s="1"/>
  <c r="J1605"/>
  <c r="J1607" s="1"/>
  <c r="L1605"/>
  <c r="L1607" s="1"/>
  <c r="N1605"/>
  <c r="N1607" s="1"/>
  <c r="I1602"/>
  <c r="M1602"/>
  <c r="C1605"/>
  <c r="C1607" s="1"/>
  <c r="E1605"/>
  <c r="E1607" s="1"/>
  <c r="G1605"/>
  <c r="G1607" s="1"/>
  <c r="K1605"/>
  <c r="K1607" s="1"/>
  <c r="M1619"/>
  <c r="M1618"/>
  <c r="M1620" s="1"/>
  <c r="I1619"/>
  <c r="I1618"/>
  <c r="I1620" s="1"/>
  <c r="D1618"/>
  <c r="D1620" s="1"/>
  <c r="F1618"/>
  <c r="F1620" s="1"/>
  <c r="H1618"/>
  <c r="H1620" s="1"/>
  <c r="J1618"/>
  <c r="J1620" s="1"/>
  <c r="L1618"/>
  <c r="L1620" s="1"/>
  <c r="N1618"/>
  <c r="N1620" s="1"/>
  <c r="I1615"/>
  <c r="M1615"/>
  <c r="C1618"/>
  <c r="C1620" s="1"/>
  <c r="E1618"/>
  <c r="E1620" s="1"/>
  <c r="G1618"/>
  <c r="G1620" s="1"/>
  <c r="K1618"/>
  <c r="K1620" s="1"/>
  <c r="M1632"/>
  <c r="M1631"/>
  <c r="M1633" s="1"/>
  <c r="I1632"/>
  <c r="I1631"/>
  <c r="I1633" s="1"/>
  <c r="D1631"/>
  <c r="D1633" s="1"/>
  <c r="F1631"/>
  <c r="F1633" s="1"/>
  <c r="H1631"/>
  <c r="H1633" s="1"/>
  <c r="J1631"/>
  <c r="J1633" s="1"/>
  <c r="L1631"/>
  <c r="L1633" s="1"/>
  <c r="N1631"/>
  <c r="N1633" s="1"/>
  <c r="I1628"/>
  <c r="M1628"/>
  <c r="C1631"/>
  <c r="C1633" s="1"/>
  <c r="E1631"/>
  <c r="E1633" s="1"/>
  <c r="G1631"/>
  <c r="G1633" s="1"/>
  <c r="K1631"/>
  <c r="K1633" s="1"/>
  <c r="M1645"/>
  <c r="M1644"/>
  <c r="M1646" s="1"/>
  <c r="I1645"/>
  <c r="I1644"/>
  <c r="I1646" s="1"/>
  <c r="D1644"/>
  <c r="D1646" s="1"/>
  <c r="F1644"/>
  <c r="F1646" s="1"/>
  <c r="H1644"/>
  <c r="H1646" s="1"/>
  <c r="J1644"/>
  <c r="J1646" s="1"/>
  <c r="L1644"/>
  <c r="L1646" s="1"/>
  <c r="N1644"/>
  <c r="N1646" s="1"/>
  <c r="I1641"/>
  <c r="M1641"/>
  <c r="C1644"/>
  <c r="C1646" s="1"/>
  <c r="E1644"/>
  <c r="E1646" s="1"/>
  <c r="G1644"/>
  <c r="G1646" s="1"/>
  <c r="K1644"/>
  <c r="K1646" s="1"/>
  <c r="I1658"/>
  <c r="I1657"/>
  <c r="I1659" s="1"/>
  <c r="I1654"/>
  <c r="C1657"/>
  <c r="C1659" s="1"/>
  <c r="E1657"/>
  <c r="E1659" s="1"/>
  <c r="G1657"/>
  <c r="G1659" s="1"/>
  <c r="K1657"/>
  <c r="K1659" s="1"/>
  <c r="M1657"/>
  <c r="M1659" s="1"/>
  <c r="D1657"/>
  <c r="D1659" s="1"/>
  <c r="F1657"/>
  <c r="F1659" s="1"/>
  <c r="H1657"/>
  <c r="H1659" s="1"/>
  <c r="J1657"/>
  <c r="J1659" s="1"/>
  <c r="L1657"/>
  <c r="L1659" s="1"/>
  <c r="N1657"/>
  <c r="N1659" s="1"/>
  <c r="I1671"/>
  <c r="I1670"/>
  <c r="I1672" s="1"/>
  <c r="I1667"/>
  <c r="C1670"/>
  <c r="C1672" s="1"/>
  <c r="E1670"/>
  <c r="E1672" s="1"/>
  <c r="G1670"/>
  <c r="G1672" s="1"/>
  <c r="K1670"/>
  <c r="K1672" s="1"/>
  <c r="M1670"/>
  <c r="M1672" s="1"/>
  <c r="D1670"/>
  <c r="D1672" s="1"/>
  <c r="F1670"/>
  <c r="F1672" s="1"/>
  <c r="H1670"/>
  <c r="H1672" s="1"/>
  <c r="J1670"/>
  <c r="J1672" s="1"/>
  <c r="L1670"/>
  <c r="L1672" s="1"/>
  <c r="N1670"/>
  <c r="N1672" s="1"/>
  <c r="I1684"/>
  <c r="I1683"/>
  <c r="I1685" s="1"/>
  <c r="M1684"/>
  <c r="M1683"/>
  <c r="M1685" s="1"/>
  <c r="D1683"/>
  <c r="D1685" s="1"/>
  <c r="F1683"/>
  <c r="F1685" s="1"/>
  <c r="H1683"/>
  <c r="H1685" s="1"/>
  <c r="J1683"/>
  <c r="J1685" s="1"/>
  <c r="L1683"/>
  <c r="L1685" s="1"/>
  <c r="N1683"/>
  <c r="N1685" s="1"/>
  <c r="I1680"/>
  <c r="C1683"/>
  <c r="C1685" s="1"/>
  <c r="E1683"/>
  <c r="E1685" s="1"/>
  <c r="G1683"/>
  <c r="G1685" s="1"/>
  <c r="K1683"/>
  <c r="K1685" s="1"/>
  <c r="M1697"/>
  <c r="M1696"/>
  <c r="M1698" s="1"/>
  <c r="I1697"/>
  <c r="I1696"/>
  <c r="I1698" s="1"/>
  <c r="D1696"/>
  <c r="D1698" s="1"/>
  <c r="F1696"/>
  <c r="F1698" s="1"/>
  <c r="H1696"/>
  <c r="H1698" s="1"/>
  <c r="J1696"/>
  <c r="J1698" s="1"/>
  <c r="L1696"/>
  <c r="L1698" s="1"/>
  <c r="N1696"/>
  <c r="N1698" s="1"/>
  <c r="I1693"/>
  <c r="M1693"/>
  <c r="C1696"/>
  <c r="C1698" s="1"/>
  <c r="E1696"/>
  <c r="E1698" s="1"/>
  <c r="G1696"/>
  <c r="G1698" s="1"/>
  <c r="K1696"/>
  <c r="K1698" s="1"/>
  <c r="M1710"/>
  <c r="M1709"/>
  <c r="M1711" s="1"/>
  <c r="I1710"/>
  <c r="I1709"/>
  <c r="I1711" s="1"/>
  <c r="D1709"/>
  <c r="D1711" s="1"/>
  <c r="F1709"/>
  <c r="F1711" s="1"/>
  <c r="H1709"/>
  <c r="H1711" s="1"/>
  <c r="J1709"/>
  <c r="J1711" s="1"/>
  <c r="L1709"/>
  <c r="L1711" s="1"/>
  <c r="N1709"/>
  <c r="N1711" s="1"/>
  <c r="I1706"/>
  <c r="M1706"/>
  <c r="C1709"/>
  <c r="C1711" s="1"/>
  <c r="E1709"/>
  <c r="E1711" s="1"/>
  <c r="G1709"/>
  <c r="G1711" s="1"/>
  <c r="K1709"/>
  <c r="K1711" s="1"/>
  <c r="M1723"/>
  <c r="M1722"/>
  <c r="M1724" s="1"/>
  <c r="I1723"/>
  <c r="I1722"/>
  <c r="I1724" s="1"/>
  <c r="D1722"/>
  <c r="D1724" s="1"/>
  <c r="F1722"/>
  <c r="F1724" s="1"/>
  <c r="H1722"/>
  <c r="H1724" s="1"/>
  <c r="J1722"/>
  <c r="J1724" s="1"/>
  <c r="L1722"/>
  <c r="L1724" s="1"/>
  <c r="N1722"/>
  <c r="N1724" s="1"/>
  <c r="I1719"/>
  <c r="M1719"/>
  <c r="C1722"/>
  <c r="C1724" s="1"/>
  <c r="E1722"/>
  <c r="E1724" s="1"/>
  <c r="G1722"/>
  <c r="G1724" s="1"/>
  <c r="K1722"/>
  <c r="K1724" s="1"/>
  <c r="L1734" l="1"/>
  <c r="L1736" s="1"/>
  <c r="G1734"/>
  <c r="G1736" s="1"/>
  <c r="H1734"/>
  <c r="H1736" s="1"/>
  <c r="D1734"/>
  <c r="D1736" s="1"/>
  <c r="N1734"/>
  <c r="N1736" s="1"/>
  <c r="K1734"/>
  <c r="K1736" s="1"/>
  <c r="J1734"/>
  <c r="J1736" s="1"/>
  <c r="F1734"/>
  <c r="F1736" s="1"/>
  <c r="E1734"/>
  <c r="E1736" s="1"/>
  <c r="C1734"/>
  <c r="C1736" s="1"/>
  <c r="N1733"/>
  <c r="M1733"/>
  <c r="K1733"/>
  <c r="I1733"/>
  <c r="H1733"/>
  <c r="G1733"/>
  <c r="N1732"/>
  <c r="L1732"/>
  <c r="K1732"/>
  <c r="J1732"/>
  <c r="H1732"/>
  <c r="G1732"/>
  <c r="F1732"/>
  <c r="E1732"/>
  <c r="D1732"/>
  <c r="C1732"/>
  <c r="M1731"/>
  <c r="M1734" s="1"/>
  <c r="I1731"/>
  <c r="I1734" s="1"/>
  <c r="N1730"/>
  <c r="M1730"/>
  <c r="L1730"/>
  <c r="K1730"/>
  <c r="J1730"/>
  <c r="I1730"/>
  <c r="H1730"/>
  <c r="G1730"/>
  <c r="F1730"/>
  <c r="E1730"/>
  <c r="D1730"/>
  <c r="C1730"/>
  <c r="I1744"/>
  <c r="I1747" s="1"/>
  <c r="I1749" s="1"/>
  <c r="M1744"/>
  <c r="M1745" s="1"/>
  <c r="C1745"/>
  <c r="D1745"/>
  <c r="E1745"/>
  <c r="F1745"/>
  <c r="G1745"/>
  <c r="H1745"/>
  <c r="I1745"/>
  <c r="K1745"/>
  <c r="L1745"/>
  <c r="N1745"/>
  <c r="J1745"/>
  <c r="L1747"/>
  <c r="L1749" s="1"/>
  <c r="G1743"/>
  <c r="E1747"/>
  <c r="D1747"/>
  <c r="N1747"/>
  <c r="N1749" s="1"/>
  <c r="K1747"/>
  <c r="K1749" s="1"/>
  <c r="J1747"/>
  <c r="J1749" s="1"/>
  <c r="H1747"/>
  <c r="H1749" s="1"/>
  <c r="G1747"/>
  <c r="G1749" s="1"/>
  <c r="F1747"/>
  <c r="F1749" s="1"/>
  <c r="E1749"/>
  <c r="D1749"/>
  <c r="C1747"/>
  <c r="C1749" s="1"/>
  <c r="N1746"/>
  <c r="M1746"/>
  <c r="K1746"/>
  <c r="I1746"/>
  <c r="H1746"/>
  <c r="G1746"/>
  <c r="N1743"/>
  <c r="M1743"/>
  <c r="L1743"/>
  <c r="K1743"/>
  <c r="J1743"/>
  <c r="I1743"/>
  <c r="H1743"/>
  <c r="F1743"/>
  <c r="E1743"/>
  <c r="D1743"/>
  <c r="C1743"/>
  <c r="E1760"/>
  <c r="E1762" s="1"/>
  <c r="D1760"/>
  <c r="D1762" s="1"/>
  <c r="C1760"/>
  <c r="C1762" s="1"/>
  <c r="N1760"/>
  <c r="N1762" s="1"/>
  <c r="L1760"/>
  <c r="L1762" s="1"/>
  <c r="K1760"/>
  <c r="K1762" s="1"/>
  <c r="J1760"/>
  <c r="J1762" s="1"/>
  <c r="I1760"/>
  <c r="I1762" s="1"/>
  <c r="H1760"/>
  <c r="H1762" s="1"/>
  <c r="G1760"/>
  <c r="G1762" s="1"/>
  <c r="F1760"/>
  <c r="F1762" s="1"/>
  <c r="N1759"/>
  <c r="M1759"/>
  <c r="K1759"/>
  <c r="I1759"/>
  <c r="H1759"/>
  <c r="G1759"/>
  <c r="N1758"/>
  <c r="L1758"/>
  <c r="K1758"/>
  <c r="J1758"/>
  <c r="I1758"/>
  <c r="H1758"/>
  <c r="G1758"/>
  <c r="F1758"/>
  <c r="E1758"/>
  <c r="D1758"/>
  <c r="C1758"/>
  <c r="M1757"/>
  <c r="M1760" s="1"/>
  <c r="N1756"/>
  <c r="M1756"/>
  <c r="L1756"/>
  <c r="K1756"/>
  <c r="J1756"/>
  <c r="I1756"/>
  <c r="H1756"/>
  <c r="G1756"/>
  <c r="F1756"/>
  <c r="E1756"/>
  <c r="D1756"/>
  <c r="C1756"/>
  <c r="K1773"/>
  <c r="K1775" s="1"/>
  <c r="G1773"/>
  <c r="G1775" s="1"/>
  <c r="H1773"/>
  <c r="H1775" s="1"/>
  <c r="E1773"/>
  <c r="E1775" s="1"/>
  <c r="D1773"/>
  <c r="D1775" s="1"/>
  <c r="N1773"/>
  <c r="N1775" s="1"/>
  <c r="L1773"/>
  <c r="L1775" s="1"/>
  <c r="J1773"/>
  <c r="J1775" s="1"/>
  <c r="I1773"/>
  <c r="I1775" s="1"/>
  <c r="F1773"/>
  <c r="F1775" s="1"/>
  <c r="C1773"/>
  <c r="C1775" s="1"/>
  <c r="N1772"/>
  <c r="M1772"/>
  <c r="K1772"/>
  <c r="I1772"/>
  <c r="H1772"/>
  <c r="G1772"/>
  <c r="N1771"/>
  <c r="L1771"/>
  <c r="K1771"/>
  <c r="J1771"/>
  <c r="I1771"/>
  <c r="H1771"/>
  <c r="G1771"/>
  <c r="F1771"/>
  <c r="E1771"/>
  <c r="D1771"/>
  <c r="C1771"/>
  <c r="M1770"/>
  <c r="M1773" s="1"/>
  <c r="N1769"/>
  <c r="M1769"/>
  <c r="L1769"/>
  <c r="K1769"/>
  <c r="J1769"/>
  <c r="I1769"/>
  <c r="H1769"/>
  <c r="G1769"/>
  <c r="F1769"/>
  <c r="E1769"/>
  <c r="D1769"/>
  <c r="C1769"/>
  <c r="J1748" l="1"/>
  <c r="J1750" s="1"/>
  <c r="M1747"/>
  <c r="M1749" s="1"/>
  <c r="M1736"/>
  <c r="M1735"/>
  <c r="M1737" s="1"/>
  <c r="I1736"/>
  <c r="I1735"/>
  <c r="I1737" s="1"/>
  <c r="D1735"/>
  <c r="D1737" s="1"/>
  <c r="F1735"/>
  <c r="F1737" s="1"/>
  <c r="H1735"/>
  <c r="H1737" s="1"/>
  <c r="J1735"/>
  <c r="J1737" s="1"/>
  <c r="L1735"/>
  <c r="L1737" s="1"/>
  <c r="N1735"/>
  <c r="N1737" s="1"/>
  <c r="I1732"/>
  <c r="M1732"/>
  <c r="C1735"/>
  <c r="C1737" s="1"/>
  <c r="E1735"/>
  <c r="E1737" s="1"/>
  <c r="G1735"/>
  <c r="G1737" s="1"/>
  <c r="K1735"/>
  <c r="K1737" s="1"/>
  <c r="D1748"/>
  <c r="D1750" s="1"/>
  <c r="F1748"/>
  <c r="F1750" s="1"/>
  <c r="H1748"/>
  <c r="H1750" s="1"/>
  <c r="L1748"/>
  <c r="L1750" s="1"/>
  <c r="N1748"/>
  <c r="N1750" s="1"/>
  <c r="C1748"/>
  <c r="C1750" s="1"/>
  <c r="E1748"/>
  <c r="E1750" s="1"/>
  <c r="G1748"/>
  <c r="G1750" s="1"/>
  <c r="I1748"/>
  <c r="I1750" s="1"/>
  <c r="K1748"/>
  <c r="K1750" s="1"/>
  <c r="M1762"/>
  <c r="M1761"/>
  <c r="M1763" s="1"/>
  <c r="D1761"/>
  <c r="D1763" s="1"/>
  <c r="F1761"/>
  <c r="F1763" s="1"/>
  <c r="H1761"/>
  <c r="H1763" s="1"/>
  <c r="J1761"/>
  <c r="J1763" s="1"/>
  <c r="L1761"/>
  <c r="L1763" s="1"/>
  <c r="N1761"/>
  <c r="N1763" s="1"/>
  <c r="M1758"/>
  <c r="C1761"/>
  <c r="C1763" s="1"/>
  <c r="E1761"/>
  <c r="E1763" s="1"/>
  <c r="G1761"/>
  <c r="G1763" s="1"/>
  <c r="I1761"/>
  <c r="I1763" s="1"/>
  <c r="K1761"/>
  <c r="K1763" s="1"/>
  <c r="M1775"/>
  <c r="M1774"/>
  <c r="M1776" s="1"/>
  <c r="D1774"/>
  <c r="D1776" s="1"/>
  <c r="F1774"/>
  <c r="F1776" s="1"/>
  <c r="H1774"/>
  <c r="H1776" s="1"/>
  <c r="J1774"/>
  <c r="J1776" s="1"/>
  <c r="L1774"/>
  <c r="L1776" s="1"/>
  <c r="N1774"/>
  <c r="N1776" s="1"/>
  <c r="M1771"/>
  <c r="C1774"/>
  <c r="C1776" s="1"/>
  <c r="E1774"/>
  <c r="E1776" s="1"/>
  <c r="G1774"/>
  <c r="G1776" s="1"/>
  <c r="I1774"/>
  <c r="I1776" s="1"/>
  <c r="K1774"/>
  <c r="K1776" s="1"/>
  <c r="B12" i="11"/>
  <c r="C12"/>
  <c r="H12"/>
  <c r="H1786" i="1"/>
  <c r="H1788" s="1"/>
  <c r="K1786"/>
  <c r="K1788" s="1"/>
  <c r="J1786"/>
  <c r="J1788" s="1"/>
  <c r="D1786"/>
  <c r="D1788" s="1"/>
  <c r="N1786"/>
  <c r="N1788" s="1"/>
  <c r="L1786"/>
  <c r="L1788" s="1"/>
  <c r="I1786"/>
  <c r="I1788" s="1"/>
  <c r="G1786"/>
  <c r="G1788" s="1"/>
  <c r="F1786"/>
  <c r="F1788" s="1"/>
  <c r="E1786"/>
  <c r="E1788" s="1"/>
  <c r="C1786"/>
  <c r="C1788" s="1"/>
  <c r="N1785"/>
  <c r="M1785"/>
  <c r="K1785"/>
  <c r="I1785"/>
  <c r="H1785"/>
  <c r="G1785"/>
  <c r="N1784"/>
  <c r="L1784"/>
  <c r="K1784"/>
  <c r="J1784"/>
  <c r="I1784"/>
  <c r="H1784"/>
  <c r="G1784"/>
  <c r="F1784"/>
  <c r="E1784"/>
  <c r="D1784"/>
  <c r="C1784"/>
  <c r="M1783"/>
  <c r="M1786" s="1"/>
  <c r="N1782"/>
  <c r="M1782"/>
  <c r="L1782"/>
  <c r="K1782"/>
  <c r="J1782"/>
  <c r="I1782"/>
  <c r="H1782"/>
  <c r="G1782"/>
  <c r="F1782"/>
  <c r="E1782"/>
  <c r="D1782"/>
  <c r="C1782"/>
  <c r="D1799"/>
  <c r="D1801" s="1"/>
  <c r="L1799"/>
  <c r="K1799"/>
  <c r="G1799"/>
  <c r="H1799"/>
  <c r="H1801" s="1"/>
  <c r="E1799"/>
  <c r="E1801" s="1"/>
  <c r="N1799"/>
  <c r="N1801" s="1"/>
  <c r="L1801"/>
  <c r="K1801"/>
  <c r="J1799"/>
  <c r="J1801" s="1"/>
  <c r="I1799"/>
  <c r="I1801" s="1"/>
  <c r="G1801"/>
  <c r="F1799"/>
  <c r="F1801" s="1"/>
  <c r="C1799"/>
  <c r="C1801" s="1"/>
  <c r="N1798"/>
  <c r="M1798"/>
  <c r="K1798"/>
  <c r="I1798"/>
  <c r="H1798"/>
  <c r="G1798"/>
  <c r="N1797"/>
  <c r="L1797"/>
  <c r="K1797"/>
  <c r="J1797"/>
  <c r="I1797"/>
  <c r="H1797"/>
  <c r="G1797"/>
  <c r="F1797"/>
  <c r="E1797"/>
  <c r="D1797"/>
  <c r="C1797"/>
  <c r="M1796"/>
  <c r="M1799" s="1"/>
  <c r="N1795"/>
  <c r="M1795"/>
  <c r="L1795"/>
  <c r="K1795"/>
  <c r="J1795"/>
  <c r="I1795"/>
  <c r="H1795"/>
  <c r="G1795"/>
  <c r="F1795"/>
  <c r="E1795"/>
  <c r="D1795"/>
  <c r="C1795"/>
  <c r="K1812"/>
  <c r="H1812"/>
  <c r="N1812"/>
  <c r="N1814" s="1"/>
  <c r="L1812"/>
  <c r="L1814" s="1"/>
  <c r="K1814"/>
  <c r="J1812"/>
  <c r="J1814" s="1"/>
  <c r="I1812"/>
  <c r="I1814" s="1"/>
  <c r="H1814"/>
  <c r="G1812"/>
  <c r="G1814" s="1"/>
  <c r="F1812"/>
  <c r="F1814" s="1"/>
  <c r="E1812"/>
  <c r="E1814" s="1"/>
  <c r="D1812"/>
  <c r="D1814" s="1"/>
  <c r="C1812"/>
  <c r="C1814" s="1"/>
  <c r="N1811"/>
  <c r="M1811"/>
  <c r="K1811"/>
  <c r="I1811"/>
  <c r="H1811"/>
  <c r="G1811"/>
  <c r="N1810"/>
  <c r="L1810"/>
  <c r="K1810"/>
  <c r="J1810"/>
  <c r="I1810"/>
  <c r="H1810"/>
  <c r="G1810"/>
  <c r="F1810"/>
  <c r="E1810"/>
  <c r="D1810"/>
  <c r="C1810"/>
  <c r="M1809"/>
  <c r="M1812" s="1"/>
  <c r="N1808"/>
  <c r="M1808"/>
  <c r="L1808"/>
  <c r="K1808"/>
  <c r="J1808"/>
  <c r="I1808"/>
  <c r="H1808"/>
  <c r="G1808"/>
  <c r="F1808"/>
  <c r="E1808"/>
  <c r="D1808"/>
  <c r="C1808"/>
  <c r="H1823"/>
  <c r="H1825"/>
  <c r="H1827" s="1"/>
  <c r="N1825"/>
  <c r="N1827" s="1"/>
  <c r="L1825"/>
  <c r="L1827" s="1"/>
  <c r="K1825"/>
  <c r="K1827" s="1"/>
  <c r="J1825"/>
  <c r="J1827" s="1"/>
  <c r="I1825"/>
  <c r="I1827" s="1"/>
  <c r="G1825"/>
  <c r="G1827" s="1"/>
  <c r="F1825"/>
  <c r="F1827" s="1"/>
  <c r="E1825"/>
  <c r="E1827" s="1"/>
  <c r="D1825"/>
  <c r="D1827" s="1"/>
  <c r="C1825"/>
  <c r="C1827" s="1"/>
  <c r="N1824"/>
  <c r="M1824"/>
  <c r="K1824"/>
  <c r="I1824"/>
  <c r="H1824"/>
  <c r="G1824"/>
  <c r="N1823"/>
  <c r="L1823"/>
  <c r="K1823"/>
  <c r="J1823"/>
  <c r="I1823"/>
  <c r="G1823"/>
  <c r="F1823"/>
  <c r="E1823"/>
  <c r="D1823"/>
  <c r="C1823"/>
  <c r="M1822"/>
  <c r="M1825" s="1"/>
  <c r="M1827" s="1"/>
  <c r="N1821"/>
  <c r="M1821"/>
  <c r="L1821"/>
  <c r="K1821"/>
  <c r="J1821"/>
  <c r="I1821"/>
  <c r="H1821"/>
  <c r="G1821"/>
  <c r="F1821"/>
  <c r="E1821"/>
  <c r="D1821"/>
  <c r="C1821"/>
  <c r="K1838"/>
  <c r="K1840" s="1"/>
  <c r="E1838"/>
  <c r="F1838"/>
  <c r="F1840" s="1"/>
  <c r="D1838"/>
  <c r="D1840" s="1"/>
  <c r="C1838"/>
  <c r="C1840" s="1"/>
  <c r="N1838"/>
  <c r="N1840" s="1"/>
  <c r="L1838"/>
  <c r="L1840" s="1"/>
  <c r="J1838"/>
  <c r="J1840" s="1"/>
  <c r="I1838"/>
  <c r="I1840" s="1"/>
  <c r="H1838"/>
  <c r="H1840" s="1"/>
  <c r="G1838"/>
  <c r="G1840" s="1"/>
  <c r="E1840"/>
  <c r="N1837"/>
  <c r="M1837"/>
  <c r="K1837"/>
  <c r="I1837"/>
  <c r="H1837"/>
  <c r="G1837"/>
  <c r="N1836"/>
  <c r="L1836"/>
  <c r="K1836"/>
  <c r="J1836"/>
  <c r="I1836"/>
  <c r="H1836"/>
  <c r="G1836"/>
  <c r="F1836"/>
  <c r="E1836"/>
  <c r="D1836"/>
  <c r="C1836"/>
  <c r="M1835"/>
  <c r="M1838" s="1"/>
  <c r="N1834"/>
  <c r="M1834"/>
  <c r="L1834"/>
  <c r="K1834"/>
  <c r="J1834"/>
  <c r="I1834"/>
  <c r="H1834"/>
  <c r="G1834"/>
  <c r="F1834"/>
  <c r="E1834"/>
  <c r="D1834"/>
  <c r="C1834"/>
  <c r="G1851"/>
  <c r="G1853" s="1"/>
  <c r="N1851"/>
  <c r="N1853" s="1"/>
  <c r="L1851"/>
  <c r="L1853" s="1"/>
  <c r="K1851"/>
  <c r="K1853" s="1"/>
  <c r="J1851"/>
  <c r="J1853" s="1"/>
  <c r="I1851"/>
  <c r="I1853" s="1"/>
  <c r="H1851"/>
  <c r="H1853" s="1"/>
  <c r="F1851"/>
  <c r="F1853" s="1"/>
  <c r="E1851"/>
  <c r="E1853" s="1"/>
  <c r="D1851"/>
  <c r="D1853" s="1"/>
  <c r="C1851"/>
  <c r="C1853" s="1"/>
  <c r="N1850"/>
  <c r="M1850"/>
  <c r="K1850"/>
  <c r="I1850"/>
  <c r="H1850"/>
  <c r="G1850"/>
  <c r="N1849"/>
  <c r="L1849"/>
  <c r="K1849"/>
  <c r="J1849"/>
  <c r="I1849"/>
  <c r="H1849"/>
  <c r="G1849"/>
  <c r="F1849"/>
  <c r="E1849"/>
  <c r="D1849"/>
  <c r="C1849"/>
  <c r="M1848"/>
  <c r="M1851" s="1"/>
  <c r="N1847"/>
  <c r="M1847"/>
  <c r="L1847"/>
  <c r="K1847"/>
  <c r="J1847"/>
  <c r="I1847"/>
  <c r="H1847"/>
  <c r="G1847"/>
  <c r="F1847"/>
  <c r="E1847"/>
  <c r="D1847"/>
  <c r="C1847"/>
  <c r="N1864"/>
  <c r="N1866" s="1"/>
  <c r="L1864"/>
  <c r="L1866" s="1"/>
  <c r="K1864"/>
  <c r="K1866" s="1"/>
  <c r="J1864"/>
  <c r="J1866" s="1"/>
  <c r="I1864"/>
  <c r="I1866" s="1"/>
  <c r="H1864"/>
  <c r="H1866" s="1"/>
  <c r="G1864"/>
  <c r="G1866" s="1"/>
  <c r="F1864"/>
  <c r="F1866" s="1"/>
  <c r="E1864"/>
  <c r="E1866" s="1"/>
  <c r="D1864"/>
  <c r="D1866" s="1"/>
  <c r="C1864"/>
  <c r="C1866" s="1"/>
  <c r="N1863"/>
  <c r="M1863"/>
  <c r="K1863"/>
  <c r="I1863"/>
  <c r="H1863"/>
  <c r="G1863"/>
  <c r="N1862"/>
  <c r="L1862"/>
  <c r="K1862"/>
  <c r="J1862"/>
  <c r="I1862"/>
  <c r="H1862"/>
  <c r="G1862"/>
  <c r="F1862"/>
  <c r="E1862"/>
  <c r="D1862"/>
  <c r="C1862"/>
  <c r="M1861"/>
  <c r="M1864" s="1"/>
  <c r="N1860"/>
  <c r="M1860"/>
  <c r="L1860"/>
  <c r="K1860"/>
  <c r="J1860"/>
  <c r="I1860"/>
  <c r="H1860"/>
  <c r="G1860"/>
  <c r="F1860"/>
  <c r="E1860"/>
  <c r="D1860"/>
  <c r="C1860"/>
  <c r="N1877"/>
  <c r="N1879" s="1"/>
  <c r="L1877"/>
  <c r="L1879" s="1"/>
  <c r="K1877"/>
  <c r="K1879" s="1"/>
  <c r="J1877"/>
  <c r="J1879" s="1"/>
  <c r="I1877"/>
  <c r="I1879" s="1"/>
  <c r="H1877"/>
  <c r="H1879" s="1"/>
  <c r="G1877"/>
  <c r="G1879" s="1"/>
  <c r="F1877"/>
  <c r="F1879" s="1"/>
  <c r="E1877"/>
  <c r="E1879" s="1"/>
  <c r="D1877"/>
  <c r="D1879" s="1"/>
  <c r="C1877"/>
  <c r="C1879" s="1"/>
  <c r="N1876"/>
  <c r="M1876"/>
  <c r="K1876"/>
  <c r="I1876"/>
  <c r="H1876"/>
  <c r="G1876"/>
  <c r="N1875"/>
  <c r="L1875"/>
  <c r="K1875"/>
  <c r="J1875"/>
  <c r="I1875"/>
  <c r="H1875"/>
  <c r="G1875"/>
  <c r="F1875"/>
  <c r="E1875"/>
  <c r="D1875"/>
  <c r="C1875"/>
  <c r="M1874"/>
  <c r="M1877" s="1"/>
  <c r="N1873"/>
  <c r="M1873"/>
  <c r="L1873"/>
  <c r="K1873"/>
  <c r="J1873"/>
  <c r="I1873"/>
  <c r="H1873"/>
  <c r="G1873"/>
  <c r="F1873"/>
  <c r="E1873"/>
  <c r="D1873"/>
  <c r="C1873"/>
  <c r="N1890"/>
  <c r="N1892" s="1"/>
  <c r="L1890"/>
  <c r="L1892" s="1"/>
  <c r="K1890"/>
  <c r="K1892" s="1"/>
  <c r="J1890"/>
  <c r="J1892" s="1"/>
  <c r="I1890"/>
  <c r="I1892" s="1"/>
  <c r="H1890"/>
  <c r="H1892" s="1"/>
  <c r="G1890"/>
  <c r="G1892" s="1"/>
  <c r="F1890"/>
  <c r="F1892" s="1"/>
  <c r="E1890"/>
  <c r="E1892" s="1"/>
  <c r="D1890"/>
  <c r="D1892" s="1"/>
  <c r="C1890"/>
  <c r="C1892" s="1"/>
  <c r="N1889"/>
  <c r="M1889"/>
  <c r="K1889"/>
  <c r="I1889"/>
  <c r="H1889"/>
  <c r="G1889"/>
  <c r="N1888"/>
  <c r="L1888"/>
  <c r="K1888"/>
  <c r="J1888"/>
  <c r="I1888"/>
  <c r="H1888"/>
  <c r="G1888"/>
  <c r="F1888"/>
  <c r="E1888"/>
  <c r="D1888"/>
  <c r="C1888"/>
  <c r="M1887"/>
  <c r="M1890" s="1"/>
  <c r="N1886"/>
  <c r="M1886"/>
  <c r="L1886"/>
  <c r="K1886"/>
  <c r="J1886"/>
  <c r="I1886"/>
  <c r="H1886"/>
  <c r="G1886"/>
  <c r="F1886"/>
  <c r="E1886"/>
  <c r="D1886"/>
  <c r="C1886"/>
  <c r="N1903"/>
  <c r="N1905" s="1"/>
  <c r="L1903"/>
  <c r="L1905" s="1"/>
  <c r="K1903"/>
  <c r="K1905" s="1"/>
  <c r="J1903"/>
  <c r="J1905" s="1"/>
  <c r="I1903"/>
  <c r="I1905" s="1"/>
  <c r="H1903"/>
  <c r="H1905" s="1"/>
  <c r="G1903"/>
  <c r="G1905" s="1"/>
  <c r="F1903"/>
  <c r="F1905" s="1"/>
  <c r="E1903"/>
  <c r="E1905" s="1"/>
  <c r="D1903"/>
  <c r="D1905" s="1"/>
  <c r="C1903"/>
  <c r="C1905" s="1"/>
  <c r="N1902"/>
  <c r="M1902"/>
  <c r="K1902"/>
  <c r="I1902"/>
  <c r="H1902"/>
  <c r="G1902"/>
  <c r="N1901"/>
  <c r="L1901"/>
  <c r="K1901"/>
  <c r="J1901"/>
  <c r="I1901"/>
  <c r="H1901"/>
  <c r="G1901"/>
  <c r="F1901"/>
  <c r="E1901"/>
  <c r="D1901"/>
  <c r="C1901"/>
  <c r="M1900"/>
  <c r="M1903" s="1"/>
  <c r="N1899"/>
  <c r="M1899"/>
  <c r="L1899"/>
  <c r="K1899"/>
  <c r="J1899"/>
  <c r="I1899"/>
  <c r="H1899"/>
  <c r="G1899"/>
  <c r="F1899"/>
  <c r="E1899"/>
  <c r="D1899"/>
  <c r="C1899"/>
  <c r="N1916"/>
  <c r="N1918" s="1"/>
  <c r="L1916"/>
  <c r="L1918" s="1"/>
  <c r="K1916"/>
  <c r="K1918" s="1"/>
  <c r="J1916"/>
  <c r="J1918" s="1"/>
  <c r="I1916"/>
  <c r="I1918" s="1"/>
  <c r="H1916"/>
  <c r="H1918" s="1"/>
  <c r="G1916"/>
  <c r="G1918" s="1"/>
  <c r="F1916"/>
  <c r="F1918" s="1"/>
  <c r="E1916"/>
  <c r="E1918" s="1"/>
  <c r="D1916"/>
  <c r="D1918" s="1"/>
  <c r="C1916"/>
  <c r="C1918" s="1"/>
  <c r="N1915"/>
  <c r="M1915"/>
  <c r="K1915"/>
  <c r="I1915"/>
  <c r="H1915"/>
  <c r="G1915"/>
  <c r="N1914"/>
  <c r="L1914"/>
  <c r="K1914"/>
  <c r="J1914"/>
  <c r="I1914"/>
  <c r="H1914"/>
  <c r="G1914"/>
  <c r="F1914"/>
  <c r="E1914"/>
  <c r="D1914"/>
  <c r="C1914"/>
  <c r="M1913"/>
  <c r="M1916" s="1"/>
  <c r="N1912"/>
  <c r="M1912"/>
  <c r="L1912"/>
  <c r="K1912"/>
  <c r="J1912"/>
  <c r="I1912"/>
  <c r="H1912"/>
  <c r="G1912"/>
  <c r="F1912"/>
  <c r="E1912"/>
  <c r="D1912"/>
  <c r="C1912"/>
  <c r="M1748" l="1"/>
  <c r="M1750" s="1"/>
  <c r="M1810"/>
  <c r="M1788"/>
  <c r="M1787"/>
  <c r="M1789" s="1"/>
  <c r="D1787"/>
  <c r="D1789" s="1"/>
  <c r="F1787"/>
  <c r="F1789" s="1"/>
  <c r="H1787"/>
  <c r="H1789" s="1"/>
  <c r="J1787"/>
  <c r="J1789" s="1"/>
  <c r="L1787"/>
  <c r="L1789" s="1"/>
  <c r="N1787"/>
  <c r="N1789" s="1"/>
  <c r="M1784"/>
  <c r="C1787"/>
  <c r="C1789" s="1"/>
  <c r="E1787"/>
  <c r="E1789" s="1"/>
  <c r="G1787"/>
  <c r="G1789" s="1"/>
  <c r="I1787"/>
  <c r="I1789" s="1"/>
  <c r="K1787"/>
  <c r="K1789" s="1"/>
  <c r="M1801"/>
  <c r="M1800"/>
  <c r="M1802" s="1"/>
  <c r="D1800"/>
  <c r="D1802" s="1"/>
  <c r="F1800"/>
  <c r="F1802" s="1"/>
  <c r="H1800"/>
  <c r="H1802" s="1"/>
  <c r="J1800"/>
  <c r="J1802" s="1"/>
  <c r="L1800"/>
  <c r="L1802" s="1"/>
  <c r="N1800"/>
  <c r="N1802" s="1"/>
  <c r="M1797"/>
  <c r="C1800"/>
  <c r="C1802" s="1"/>
  <c r="E1800"/>
  <c r="E1802" s="1"/>
  <c r="G1800"/>
  <c r="G1802" s="1"/>
  <c r="I1800"/>
  <c r="I1802" s="1"/>
  <c r="K1800"/>
  <c r="K1802" s="1"/>
  <c r="M1814"/>
  <c r="M1813"/>
  <c r="M1815" s="1"/>
  <c r="D1813"/>
  <c r="D1815" s="1"/>
  <c r="F1813"/>
  <c r="F1815" s="1"/>
  <c r="H1813"/>
  <c r="H1815" s="1"/>
  <c r="J1813"/>
  <c r="J1815" s="1"/>
  <c r="L1813"/>
  <c r="L1815" s="1"/>
  <c r="N1813"/>
  <c r="N1815" s="1"/>
  <c r="C1813"/>
  <c r="C1815" s="1"/>
  <c r="E1813"/>
  <c r="E1815" s="1"/>
  <c r="G1813"/>
  <c r="G1815" s="1"/>
  <c r="I1813"/>
  <c r="I1815" s="1"/>
  <c r="K1813"/>
  <c r="K1815" s="1"/>
  <c r="M1823"/>
  <c r="C1826"/>
  <c r="C1828" s="1"/>
  <c r="E1826"/>
  <c r="E1828" s="1"/>
  <c r="G1826"/>
  <c r="G1828" s="1"/>
  <c r="I1826"/>
  <c r="I1828" s="1"/>
  <c r="K1826"/>
  <c r="K1828" s="1"/>
  <c r="M1826"/>
  <c r="M1828" s="1"/>
  <c r="D1826"/>
  <c r="D1828" s="1"/>
  <c r="F1826"/>
  <c r="F1828" s="1"/>
  <c r="H1826"/>
  <c r="H1828" s="1"/>
  <c r="J1826"/>
  <c r="J1828" s="1"/>
  <c r="L1826"/>
  <c r="L1828" s="1"/>
  <c r="N1826"/>
  <c r="N1828" s="1"/>
  <c r="M1840"/>
  <c r="M1839"/>
  <c r="M1841" s="1"/>
  <c r="D1839"/>
  <c r="D1841" s="1"/>
  <c r="F1839"/>
  <c r="F1841" s="1"/>
  <c r="H1839"/>
  <c r="H1841" s="1"/>
  <c r="J1839"/>
  <c r="J1841" s="1"/>
  <c r="L1839"/>
  <c r="L1841" s="1"/>
  <c r="N1839"/>
  <c r="N1841" s="1"/>
  <c r="M1836"/>
  <c r="C1839"/>
  <c r="C1841" s="1"/>
  <c r="E1839"/>
  <c r="E1841" s="1"/>
  <c r="G1839"/>
  <c r="G1841" s="1"/>
  <c r="I1839"/>
  <c r="I1841" s="1"/>
  <c r="K1839"/>
  <c r="K1841" s="1"/>
  <c r="M1853"/>
  <c r="M1852"/>
  <c r="M1854" s="1"/>
  <c r="D1852"/>
  <c r="D1854" s="1"/>
  <c r="F1852"/>
  <c r="F1854" s="1"/>
  <c r="H1852"/>
  <c r="H1854" s="1"/>
  <c r="J1852"/>
  <c r="J1854" s="1"/>
  <c r="L1852"/>
  <c r="L1854" s="1"/>
  <c r="N1852"/>
  <c r="N1854" s="1"/>
  <c r="M1849"/>
  <c r="C1852"/>
  <c r="C1854" s="1"/>
  <c r="E1852"/>
  <c r="E1854" s="1"/>
  <c r="G1852"/>
  <c r="G1854" s="1"/>
  <c r="I1852"/>
  <c r="I1854" s="1"/>
  <c r="K1852"/>
  <c r="K1854" s="1"/>
  <c r="M1866"/>
  <c r="M1865"/>
  <c r="M1867" s="1"/>
  <c r="D1865"/>
  <c r="D1867" s="1"/>
  <c r="F1865"/>
  <c r="F1867" s="1"/>
  <c r="H1865"/>
  <c r="H1867" s="1"/>
  <c r="J1865"/>
  <c r="J1867" s="1"/>
  <c r="L1865"/>
  <c r="L1867" s="1"/>
  <c r="N1865"/>
  <c r="N1867" s="1"/>
  <c r="M1862"/>
  <c r="C1865"/>
  <c r="C1867" s="1"/>
  <c r="E1865"/>
  <c r="E1867" s="1"/>
  <c r="G1865"/>
  <c r="G1867" s="1"/>
  <c r="I1865"/>
  <c r="I1867" s="1"/>
  <c r="K1865"/>
  <c r="K1867" s="1"/>
  <c r="M1879"/>
  <c r="M1878"/>
  <c r="M1880" s="1"/>
  <c r="D1878"/>
  <c r="D1880" s="1"/>
  <c r="F1878"/>
  <c r="F1880" s="1"/>
  <c r="H1878"/>
  <c r="H1880" s="1"/>
  <c r="J1878"/>
  <c r="J1880" s="1"/>
  <c r="L1878"/>
  <c r="L1880" s="1"/>
  <c r="N1878"/>
  <c r="N1880" s="1"/>
  <c r="M1875"/>
  <c r="C1878"/>
  <c r="C1880" s="1"/>
  <c r="E1878"/>
  <c r="E1880" s="1"/>
  <c r="G1878"/>
  <c r="G1880" s="1"/>
  <c r="I1878"/>
  <c r="I1880" s="1"/>
  <c r="K1878"/>
  <c r="K1880" s="1"/>
  <c r="M1892"/>
  <c r="M1891"/>
  <c r="M1893" s="1"/>
  <c r="D1891"/>
  <c r="D1893" s="1"/>
  <c r="F1891"/>
  <c r="F1893" s="1"/>
  <c r="H1891"/>
  <c r="H1893" s="1"/>
  <c r="J1891"/>
  <c r="J1893" s="1"/>
  <c r="L1891"/>
  <c r="L1893" s="1"/>
  <c r="N1891"/>
  <c r="N1893" s="1"/>
  <c r="M1888"/>
  <c r="C1891"/>
  <c r="C1893" s="1"/>
  <c r="E1891"/>
  <c r="E1893" s="1"/>
  <c r="G1891"/>
  <c r="G1893" s="1"/>
  <c r="I1891"/>
  <c r="I1893" s="1"/>
  <c r="K1891"/>
  <c r="K1893" s="1"/>
  <c r="M1905"/>
  <c r="M1904"/>
  <c r="M1906" s="1"/>
  <c r="D1904"/>
  <c r="D1906" s="1"/>
  <c r="F1904"/>
  <c r="F1906" s="1"/>
  <c r="H1904"/>
  <c r="H1906" s="1"/>
  <c r="J1904"/>
  <c r="J1906" s="1"/>
  <c r="L1904"/>
  <c r="L1906" s="1"/>
  <c r="N1904"/>
  <c r="N1906" s="1"/>
  <c r="M1901"/>
  <c r="C1904"/>
  <c r="C1906" s="1"/>
  <c r="E1904"/>
  <c r="E1906" s="1"/>
  <c r="G1904"/>
  <c r="G1906" s="1"/>
  <c r="I1904"/>
  <c r="I1906" s="1"/>
  <c r="K1904"/>
  <c r="K1906" s="1"/>
  <c r="M1918"/>
  <c r="M1917"/>
  <c r="M1919" s="1"/>
  <c r="D1917"/>
  <c r="D1919" s="1"/>
  <c r="F1917"/>
  <c r="F1919" s="1"/>
  <c r="H1917"/>
  <c r="H1919" s="1"/>
  <c r="J1917"/>
  <c r="J1919" s="1"/>
  <c r="L1917"/>
  <c r="L1919" s="1"/>
  <c r="N1917"/>
  <c r="N1919" s="1"/>
  <c r="M1914"/>
  <c r="C1917"/>
  <c r="C1919" s="1"/>
  <c r="E1917"/>
  <c r="E1919" s="1"/>
  <c r="G1917"/>
  <c r="G1919" s="1"/>
  <c r="I1917"/>
  <c r="I1919" s="1"/>
  <c r="K1917"/>
  <c r="K1919" s="1"/>
  <c r="L1929"/>
  <c r="L1931" s="1"/>
  <c r="H1929"/>
  <c r="H1931" s="1"/>
  <c r="N1929"/>
  <c r="N1931" s="1"/>
  <c r="K1929"/>
  <c r="K1931" s="1"/>
  <c r="J1929"/>
  <c r="J1931" s="1"/>
  <c r="I1929"/>
  <c r="I1931" s="1"/>
  <c r="G1929"/>
  <c r="G1931" s="1"/>
  <c r="F1929"/>
  <c r="F1931" s="1"/>
  <c r="E1929"/>
  <c r="E1931" s="1"/>
  <c r="D1929"/>
  <c r="D1931" s="1"/>
  <c r="C1929"/>
  <c r="C1931" s="1"/>
  <c r="N1928"/>
  <c r="M1928"/>
  <c r="K1928"/>
  <c r="I1928"/>
  <c r="H1928"/>
  <c r="G1928"/>
  <c r="N1927"/>
  <c r="L1927"/>
  <c r="K1927"/>
  <c r="J1927"/>
  <c r="I1927"/>
  <c r="H1927"/>
  <c r="G1927"/>
  <c r="F1927"/>
  <c r="E1927"/>
  <c r="D1927"/>
  <c r="C1927"/>
  <c r="M1926"/>
  <c r="M1929" s="1"/>
  <c r="N1925"/>
  <c r="M1925"/>
  <c r="L1925"/>
  <c r="K1925"/>
  <c r="J1925"/>
  <c r="I1925"/>
  <c r="H1925"/>
  <c r="G1925"/>
  <c r="F1925"/>
  <c r="E1925"/>
  <c r="D1925"/>
  <c r="C1925"/>
  <c r="L1942"/>
  <c r="L1944" s="1"/>
  <c r="K1942"/>
  <c r="K1944" s="1"/>
  <c r="J1942"/>
  <c r="J1944" s="1"/>
  <c r="H1942"/>
  <c r="H1944" s="1"/>
  <c r="G1942"/>
  <c r="F1942"/>
  <c r="F1944" s="1"/>
  <c r="N1942"/>
  <c r="N1944" s="1"/>
  <c r="I1942"/>
  <c r="I1944" s="1"/>
  <c r="G1944"/>
  <c r="E1942"/>
  <c r="E1944" s="1"/>
  <c r="D1942"/>
  <c r="D1944" s="1"/>
  <c r="C1942"/>
  <c r="C1944" s="1"/>
  <c r="N1941"/>
  <c r="M1941"/>
  <c r="K1941"/>
  <c r="I1941"/>
  <c r="H1941"/>
  <c r="G1941"/>
  <c r="N1940"/>
  <c r="L1940"/>
  <c r="K1940"/>
  <c r="J1940"/>
  <c r="I1940"/>
  <c r="H1940"/>
  <c r="G1940"/>
  <c r="F1940"/>
  <c r="E1940"/>
  <c r="D1940"/>
  <c r="C1940"/>
  <c r="M1939"/>
  <c r="M1942" s="1"/>
  <c r="N1938"/>
  <c r="M1938"/>
  <c r="L1938"/>
  <c r="K1938"/>
  <c r="J1938"/>
  <c r="I1938"/>
  <c r="H1938"/>
  <c r="G1938"/>
  <c r="F1938"/>
  <c r="E1938"/>
  <c r="D1938"/>
  <c r="C1938"/>
  <c r="J1955"/>
  <c r="J1957" s="1"/>
  <c r="H1955"/>
  <c r="H1957" s="1"/>
  <c r="N1955"/>
  <c r="N1957" s="1"/>
  <c r="L1955"/>
  <c r="L1957" s="1"/>
  <c r="K1955"/>
  <c r="K1957" s="1"/>
  <c r="I1955"/>
  <c r="I1957" s="1"/>
  <c r="G1955"/>
  <c r="G1957" s="1"/>
  <c r="F1955"/>
  <c r="F1957" s="1"/>
  <c r="E1955"/>
  <c r="E1957" s="1"/>
  <c r="D1955"/>
  <c r="D1957" s="1"/>
  <c r="C1955"/>
  <c r="C1957" s="1"/>
  <c r="N1954"/>
  <c r="M1954"/>
  <c r="K1954"/>
  <c r="I1954"/>
  <c r="H1954"/>
  <c r="G1954"/>
  <c r="N1953"/>
  <c r="L1953"/>
  <c r="K1953"/>
  <c r="J1953"/>
  <c r="I1953"/>
  <c r="H1953"/>
  <c r="G1953"/>
  <c r="F1953"/>
  <c r="E1953"/>
  <c r="D1953"/>
  <c r="C1953"/>
  <c r="M1952"/>
  <c r="M1955" s="1"/>
  <c r="N1951"/>
  <c r="M1951"/>
  <c r="L1951"/>
  <c r="K1951"/>
  <c r="J1951"/>
  <c r="I1951"/>
  <c r="H1951"/>
  <c r="G1951"/>
  <c r="F1951"/>
  <c r="E1951"/>
  <c r="D1951"/>
  <c r="C1951"/>
  <c r="H1968"/>
  <c r="H1970" s="1"/>
  <c r="J1968"/>
  <c r="J1970" s="1"/>
  <c r="I1968"/>
  <c r="I1970" s="1"/>
  <c r="N1968"/>
  <c r="N1970" s="1"/>
  <c r="L1968"/>
  <c r="L1970" s="1"/>
  <c r="K1968"/>
  <c r="K1970" s="1"/>
  <c r="G1968"/>
  <c r="G1970" s="1"/>
  <c r="F1968"/>
  <c r="F1970" s="1"/>
  <c r="E1968"/>
  <c r="E1970" s="1"/>
  <c r="D1968"/>
  <c r="D1970" s="1"/>
  <c r="C1968"/>
  <c r="C1970" s="1"/>
  <c r="N1967"/>
  <c r="M1967"/>
  <c r="K1967"/>
  <c r="I1967"/>
  <c r="H1967"/>
  <c r="G1967"/>
  <c r="N1966"/>
  <c r="L1966"/>
  <c r="K1966"/>
  <c r="J1966"/>
  <c r="I1966"/>
  <c r="H1966"/>
  <c r="G1966"/>
  <c r="F1966"/>
  <c r="E1966"/>
  <c r="D1966"/>
  <c r="C1966"/>
  <c r="M1965"/>
  <c r="M1968" s="1"/>
  <c r="N1964"/>
  <c r="M1964"/>
  <c r="L1964"/>
  <c r="K1964"/>
  <c r="J1964"/>
  <c r="I1964"/>
  <c r="H1964"/>
  <c r="G1964"/>
  <c r="F1964"/>
  <c r="E1964"/>
  <c r="D1964"/>
  <c r="C1964"/>
  <c r="N1981"/>
  <c r="N1983" s="1"/>
  <c r="L1981"/>
  <c r="L1983" s="1"/>
  <c r="K1981"/>
  <c r="K1983" s="1"/>
  <c r="J1981"/>
  <c r="J1983" s="1"/>
  <c r="I1981"/>
  <c r="I1983" s="1"/>
  <c r="H1981"/>
  <c r="H1983" s="1"/>
  <c r="G1981"/>
  <c r="G1983" s="1"/>
  <c r="F1981"/>
  <c r="F1983" s="1"/>
  <c r="E1981"/>
  <c r="E1983" s="1"/>
  <c r="D1981"/>
  <c r="D1983" s="1"/>
  <c r="C1981"/>
  <c r="C1983" s="1"/>
  <c r="N1980"/>
  <c r="M1980"/>
  <c r="K1980"/>
  <c r="I1980"/>
  <c r="H1980"/>
  <c r="G1980"/>
  <c r="N1979"/>
  <c r="L1979"/>
  <c r="K1979"/>
  <c r="J1979"/>
  <c r="I1979"/>
  <c r="H1979"/>
  <c r="G1979"/>
  <c r="F1979"/>
  <c r="E1979"/>
  <c r="D1979"/>
  <c r="C1979"/>
  <c r="M1978"/>
  <c r="M1981" s="1"/>
  <c r="N1977"/>
  <c r="M1977"/>
  <c r="L1977"/>
  <c r="K1977"/>
  <c r="J1977"/>
  <c r="I1977"/>
  <c r="H1977"/>
  <c r="G1977"/>
  <c r="F1977"/>
  <c r="E1977"/>
  <c r="D1977"/>
  <c r="C1977"/>
  <c r="C1994"/>
  <c r="C1996" s="1"/>
  <c r="I1994"/>
  <c r="H1994"/>
  <c r="N1994"/>
  <c r="N1996" s="1"/>
  <c r="L1994"/>
  <c r="L1996" s="1"/>
  <c r="K1994"/>
  <c r="K1996" s="1"/>
  <c r="J1994"/>
  <c r="J1996" s="1"/>
  <c r="I1996"/>
  <c r="H1996"/>
  <c r="G1994"/>
  <c r="G1996" s="1"/>
  <c r="F1994"/>
  <c r="F1996" s="1"/>
  <c r="E1994"/>
  <c r="E1996" s="1"/>
  <c r="D1994"/>
  <c r="D1996" s="1"/>
  <c r="N1993"/>
  <c r="M1993"/>
  <c r="K1993"/>
  <c r="I1993"/>
  <c r="H1993"/>
  <c r="G1993"/>
  <c r="N1992"/>
  <c r="L1992"/>
  <c r="K1992"/>
  <c r="J1992"/>
  <c r="I1992"/>
  <c r="H1992"/>
  <c r="G1992"/>
  <c r="F1992"/>
  <c r="E1992"/>
  <c r="D1992"/>
  <c r="C1992"/>
  <c r="M1991"/>
  <c r="M1994" s="1"/>
  <c r="N1990"/>
  <c r="M1990"/>
  <c r="L1990"/>
  <c r="K1990"/>
  <c r="J1990"/>
  <c r="I1990"/>
  <c r="H1990"/>
  <c r="G1990"/>
  <c r="F1990"/>
  <c r="E1990"/>
  <c r="D1990"/>
  <c r="C1990"/>
  <c r="H2007"/>
  <c r="N2007"/>
  <c r="N2009" s="1"/>
  <c r="L2007"/>
  <c r="L2009" s="1"/>
  <c r="K2007"/>
  <c r="K2009" s="1"/>
  <c r="J2007"/>
  <c r="J2009" s="1"/>
  <c r="I2007"/>
  <c r="I2009" s="1"/>
  <c r="H2009"/>
  <c r="G2007"/>
  <c r="G2009" s="1"/>
  <c r="F2007"/>
  <c r="F2009" s="1"/>
  <c r="E2007"/>
  <c r="E2009" s="1"/>
  <c r="D2007"/>
  <c r="D2009" s="1"/>
  <c r="C2007"/>
  <c r="C2009" s="1"/>
  <c r="N2006"/>
  <c r="M2006"/>
  <c r="K2006"/>
  <c r="I2006"/>
  <c r="H2006"/>
  <c r="G2006"/>
  <c r="N2005"/>
  <c r="L2005"/>
  <c r="K2005"/>
  <c r="J2005"/>
  <c r="I2005"/>
  <c r="H2005"/>
  <c r="G2005"/>
  <c r="F2005"/>
  <c r="E2005"/>
  <c r="D2005"/>
  <c r="C2005"/>
  <c r="M2004"/>
  <c r="M2007" s="1"/>
  <c r="N2003"/>
  <c r="M2003"/>
  <c r="L2003"/>
  <c r="K2003"/>
  <c r="J2003"/>
  <c r="I2003"/>
  <c r="H2003"/>
  <c r="G2003"/>
  <c r="F2003"/>
  <c r="E2003"/>
  <c r="D2003"/>
  <c r="C2003"/>
  <c r="H2020"/>
  <c r="N2020"/>
  <c r="N2022" s="1"/>
  <c r="L2020"/>
  <c r="L2022" s="1"/>
  <c r="K2020"/>
  <c r="K2022" s="1"/>
  <c r="J2020"/>
  <c r="J2022" s="1"/>
  <c r="I2020"/>
  <c r="I2022" s="1"/>
  <c r="H2022"/>
  <c r="G2020"/>
  <c r="G2022" s="1"/>
  <c r="F2020"/>
  <c r="F2022" s="1"/>
  <c r="E2020"/>
  <c r="E2022" s="1"/>
  <c r="D2020"/>
  <c r="D2022" s="1"/>
  <c r="C2020"/>
  <c r="C2022" s="1"/>
  <c r="N2019"/>
  <c r="M2019"/>
  <c r="K2019"/>
  <c r="I2019"/>
  <c r="H2019"/>
  <c r="G2019"/>
  <c r="N2018"/>
  <c r="L2018"/>
  <c r="K2018"/>
  <c r="J2018"/>
  <c r="I2018"/>
  <c r="H2018"/>
  <c r="G2018"/>
  <c r="F2018"/>
  <c r="E2018"/>
  <c r="D2018"/>
  <c r="C2018"/>
  <c r="M2017"/>
  <c r="M2020" s="1"/>
  <c r="N2016"/>
  <c r="M2016"/>
  <c r="L2016"/>
  <c r="K2016"/>
  <c r="J2016"/>
  <c r="I2016"/>
  <c r="H2016"/>
  <c r="G2016"/>
  <c r="F2016"/>
  <c r="E2016"/>
  <c r="D2016"/>
  <c r="C2016"/>
  <c r="H2033"/>
  <c r="H2035" s="1"/>
  <c r="E2033"/>
  <c r="E2035" s="1"/>
  <c r="F2033"/>
  <c r="F2035" s="1"/>
  <c r="L2033"/>
  <c r="D2033"/>
  <c r="D2035" s="1"/>
  <c r="C2033"/>
  <c r="C2035" s="1"/>
  <c r="N2033"/>
  <c r="N2035" s="1"/>
  <c r="L2035"/>
  <c r="K2033"/>
  <c r="K2035" s="1"/>
  <c r="J2033"/>
  <c r="J2035" s="1"/>
  <c r="I2033"/>
  <c r="I2035" s="1"/>
  <c r="G2033"/>
  <c r="G2035" s="1"/>
  <c r="N2032"/>
  <c r="M2032"/>
  <c r="K2032"/>
  <c r="I2032"/>
  <c r="H2032"/>
  <c r="G2032"/>
  <c r="N2031"/>
  <c r="L2031"/>
  <c r="K2031"/>
  <c r="J2031"/>
  <c r="I2031"/>
  <c r="H2031"/>
  <c r="G2031"/>
  <c r="F2031"/>
  <c r="E2031"/>
  <c r="D2031"/>
  <c r="C2031"/>
  <c r="M2030"/>
  <c r="M2033" s="1"/>
  <c r="N2029"/>
  <c r="M2029"/>
  <c r="L2029"/>
  <c r="K2029"/>
  <c r="J2029"/>
  <c r="I2029"/>
  <c r="H2029"/>
  <c r="G2029"/>
  <c r="F2029"/>
  <c r="E2029"/>
  <c r="D2029"/>
  <c r="C2029"/>
  <c r="G2046"/>
  <c r="H2046"/>
  <c r="K2046"/>
  <c r="K2048" s="1"/>
  <c r="N2046"/>
  <c r="N2048" s="1"/>
  <c r="L2046"/>
  <c r="L2048" s="1"/>
  <c r="J2046"/>
  <c r="J2048" s="1"/>
  <c r="I2046"/>
  <c r="I2048" s="1"/>
  <c r="H2048"/>
  <c r="G2048"/>
  <c r="F2046"/>
  <c r="F2048" s="1"/>
  <c r="E2046"/>
  <c r="E2048" s="1"/>
  <c r="D2046"/>
  <c r="D2048" s="1"/>
  <c r="C2046"/>
  <c r="C2048" s="1"/>
  <c r="N2045"/>
  <c r="M2045"/>
  <c r="K2045"/>
  <c r="I2045"/>
  <c r="H2045"/>
  <c r="G2045"/>
  <c r="N2044"/>
  <c r="L2044"/>
  <c r="K2044"/>
  <c r="J2044"/>
  <c r="I2044"/>
  <c r="H2044"/>
  <c r="G2044"/>
  <c r="F2044"/>
  <c r="E2044"/>
  <c r="D2044"/>
  <c r="C2044"/>
  <c r="M2043"/>
  <c r="M2046" s="1"/>
  <c r="N2042"/>
  <c r="M2042"/>
  <c r="L2042"/>
  <c r="K2042"/>
  <c r="J2042"/>
  <c r="I2042"/>
  <c r="H2042"/>
  <c r="G2042"/>
  <c r="F2042"/>
  <c r="E2042"/>
  <c r="D2042"/>
  <c r="C2042"/>
  <c r="H2059"/>
  <c r="H2061" s="1"/>
  <c r="K2059"/>
  <c r="K2061" s="1"/>
  <c r="C2059"/>
  <c r="C2061" s="1"/>
  <c r="N2059"/>
  <c r="N2061" s="1"/>
  <c r="L2059"/>
  <c r="L2061" s="1"/>
  <c r="J2059"/>
  <c r="J2061" s="1"/>
  <c r="I2059"/>
  <c r="I2061" s="1"/>
  <c r="G2059"/>
  <c r="G2061" s="1"/>
  <c r="F2059"/>
  <c r="F2061" s="1"/>
  <c r="E2059"/>
  <c r="E2061" s="1"/>
  <c r="D2059"/>
  <c r="D2061" s="1"/>
  <c r="N2058"/>
  <c r="M2058"/>
  <c r="K2058"/>
  <c r="I2058"/>
  <c r="H2058"/>
  <c r="G2058"/>
  <c r="N2057"/>
  <c r="L2057"/>
  <c r="K2057"/>
  <c r="J2057"/>
  <c r="I2057"/>
  <c r="H2057"/>
  <c r="G2057"/>
  <c r="F2057"/>
  <c r="E2057"/>
  <c r="D2057"/>
  <c r="C2057"/>
  <c r="M2056"/>
  <c r="M2057" s="1"/>
  <c r="N2055"/>
  <c r="M2055"/>
  <c r="L2055"/>
  <c r="K2055"/>
  <c r="J2055"/>
  <c r="I2055"/>
  <c r="H2055"/>
  <c r="G2055"/>
  <c r="F2055"/>
  <c r="E2055"/>
  <c r="D2055"/>
  <c r="C2055"/>
  <c r="K2072"/>
  <c r="H2072"/>
  <c r="N2072"/>
  <c r="N2074" s="1"/>
  <c r="L2072"/>
  <c r="L2074" s="1"/>
  <c r="K2074"/>
  <c r="J2072"/>
  <c r="J2074" s="1"/>
  <c r="I2072"/>
  <c r="I2074" s="1"/>
  <c r="H2074"/>
  <c r="G2072"/>
  <c r="G2074" s="1"/>
  <c r="F2072"/>
  <c r="F2074" s="1"/>
  <c r="E2072"/>
  <c r="E2074" s="1"/>
  <c r="D2072"/>
  <c r="D2074" s="1"/>
  <c r="C2072"/>
  <c r="C2074" s="1"/>
  <c r="N2071"/>
  <c r="M2071"/>
  <c r="K2071"/>
  <c r="I2071"/>
  <c r="H2071"/>
  <c r="G2071"/>
  <c r="N2070"/>
  <c r="L2070"/>
  <c r="K2070"/>
  <c r="J2070"/>
  <c r="I2070"/>
  <c r="H2070"/>
  <c r="G2070"/>
  <c r="F2070"/>
  <c r="E2070"/>
  <c r="D2070"/>
  <c r="C2070"/>
  <c r="M2069"/>
  <c r="M2072" s="1"/>
  <c r="N2068"/>
  <c r="M2068"/>
  <c r="L2068"/>
  <c r="K2068"/>
  <c r="J2068"/>
  <c r="I2068"/>
  <c r="H2068"/>
  <c r="G2068"/>
  <c r="F2068"/>
  <c r="E2068"/>
  <c r="D2068"/>
  <c r="C2068"/>
  <c r="K2085"/>
  <c r="K2087" s="1"/>
  <c r="J2085"/>
  <c r="J2087" s="1"/>
  <c r="G2085"/>
  <c r="G2087" s="1"/>
  <c r="H2085"/>
  <c r="H2087" s="1"/>
  <c r="D2085"/>
  <c r="D2087" s="1"/>
  <c r="N2085"/>
  <c r="N2087" s="1"/>
  <c r="L2085"/>
  <c r="L2087" s="1"/>
  <c r="I2085"/>
  <c r="I2087" s="1"/>
  <c r="F2085"/>
  <c r="F2087" s="1"/>
  <c r="E2085"/>
  <c r="E2087" s="1"/>
  <c r="C2085"/>
  <c r="C2087" s="1"/>
  <c r="N2084"/>
  <c r="M2084"/>
  <c r="K2084"/>
  <c r="I2084"/>
  <c r="H2084"/>
  <c r="G2084"/>
  <c r="N2083"/>
  <c r="L2083"/>
  <c r="K2083"/>
  <c r="J2083"/>
  <c r="I2083"/>
  <c r="H2083"/>
  <c r="G2083"/>
  <c r="F2083"/>
  <c r="E2083"/>
  <c r="D2083"/>
  <c r="C2083"/>
  <c r="M2082"/>
  <c r="M2085" s="1"/>
  <c r="M2087" s="1"/>
  <c r="N2081"/>
  <c r="M2081"/>
  <c r="L2081"/>
  <c r="K2081"/>
  <c r="J2081"/>
  <c r="I2081"/>
  <c r="H2081"/>
  <c r="G2081"/>
  <c r="F2081"/>
  <c r="E2081"/>
  <c r="D2081"/>
  <c r="C2081"/>
  <c r="K2098"/>
  <c r="H2098"/>
  <c r="N2098"/>
  <c r="N2100" s="1"/>
  <c r="L2098"/>
  <c r="L2100" s="1"/>
  <c r="K2100"/>
  <c r="J2098"/>
  <c r="J2100" s="1"/>
  <c r="I2098"/>
  <c r="I2100" s="1"/>
  <c r="H2100"/>
  <c r="G2098"/>
  <c r="G2100" s="1"/>
  <c r="F2098"/>
  <c r="F2100" s="1"/>
  <c r="E2098"/>
  <c r="E2100" s="1"/>
  <c r="D2098"/>
  <c r="D2100" s="1"/>
  <c r="C2098"/>
  <c r="C2100" s="1"/>
  <c r="N2097"/>
  <c r="M2097"/>
  <c r="K2097"/>
  <c r="I2097"/>
  <c r="H2097"/>
  <c r="G2097"/>
  <c r="N2096"/>
  <c r="L2096"/>
  <c r="K2096"/>
  <c r="J2096"/>
  <c r="I2096"/>
  <c r="H2096"/>
  <c r="G2096"/>
  <c r="F2096"/>
  <c r="E2096"/>
  <c r="D2096"/>
  <c r="C2096"/>
  <c r="M2095"/>
  <c r="M2098" s="1"/>
  <c r="N2094"/>
  <c r="M2094"/>
  <c r="L2094"/>
  <c r="K2094"/>
  <c r="J2094"/>
  <c r="I2094"/>
  <c r="H2094"/>
  <c r="G2094"/>
  <c r="F2094"/>
  <c r="E2094"/>
  <c r="D2094"/>
  <c r="C2094"/>
  <c r="K2111"/>
  <c r="H2111"/>
  <c r="N2111"/>
  <c r="N2113" s="1"/>
  <c r="L2111"/>
  <c r="L2113" s="1"/>
  <c r="K2113"/>
  <c r="J2111"/>
  <c r="J2113" s="1"/>
  <c r="I2111"/>
  <c r="I2113" s="1"/>
  <c r="H2113"/>
  <c r="G2111"/>
  <c r="G2113" s="1"/>
  <c r="F2111"/>
  <c r="F2113" s="1"/>
  <c r="E2111"/>
  <c r="E2113" s="1"/>
  <c r="D2111"/>
  <c r="D2113" s="1"/>
  <c r="C2111"/>
  <c r="C2113" s="1"/>
  <c r="N2110"/>
  <c r="M2110"/>
  <c r="K2110"/>
  <c r="I2110"/>
  <c r="H2110"/>
  <c r="G2110"/>
  <c r="N2109"/>
  <c r="L2109"/>
  <c r="K2109"/>
  <c r="J2109"/>
  <c r="I2109"/>
  <c r="H2109"/>
  <c r="G2109"/>
  <c r="F2109"/>
  <c r="E2109"/>
  <c r="D2109"/>
  <c r="C2109"/>
  <c r="M2108"/>
  <c r="M2111" s="1"/>
  <c r="N2107"/>
  <c r="M2107"/>
  <c r="L2107"/>
  <c r="K2107"/>
  <c r="J2107"/>
  <c r="I2107"/>
  <c r="H2107"/>
  <c r="G2107"/>
  <c r="F2107"/>
  <c r="E2107"/>
  <c r="D2107"/>
  <c r="C2107"/>
  <c r="J2124"/>
  <c r="N2124"/>
  <c r="N2126" s="1"/>
  <c r="L2124"/>
  <c r="L2126" s="1"/>
  <c r="K2124"/>
  <c r="K2126" s="1"/>
  <c r="J2126"/>
  <c r="I2124"/>
  <c r="I2126" s="1"/>
  <c r="H2124"/>
  <c r="H2126" s="1"/>
  <c r="G2124"/>
  <c r="G2126" s="1"/>
  <c r="F2124"/>
  <c r="F2126" s="1"/>
  <c r="E2124"/>
  <c r="E2126" s="1"/>
  <c r="D2124"/>
  <c r="D2126" s="1"/>
  <c r="C2124"/>
  <c r="C2126" s="1"/>
  <c r="N2123"/>
  <c r="M2123"/>
  <c r="K2123"/>
  <c r="I2123"/>
  <c r="H2123"/>
  <c r="G2123"/>
  <c r="N2122"/>
  <c r="L2122"/>
  <c r="K2122"/>
  <c r="J2122"/>
  <c r="I2122"/>
  <c r="H2122"/>
  <c r="G2122"/>
  <c r="F2122"/>
  <c r="E2122"/>
  <c r="D2122"/>
  <c r="C2122"/>
  <c r="M2121"/>
  <c r="M2124" s="1"/>
  <c r="N2120"/>
  <c r="M2120"/>
  <c r="L2120"/>
  <c r="K2120"/>
  <c r="J2120"/>
  <c r="I2120"/>
  <c r="H2120"/>
  <c r="G2120"/>
  <c r="F2120"/>
  <c r="E2120"/>
  <c r="D2120"/>
  <c r="C2120"/>
  <c r="E2137"/>
  <c r="E2139" s="1"/>
  <c r="D2137"/>
  <c r="D2139" s="1"/>
  <c r="N2137"/>
  <c r="N2139" s="1"/>
  <c r="L2137"/>
  <c r="L2139" s="1"/>
  <c r="K2137"/>
  <c r="K2139" s="1"/>
  <c r="J2137"/>
  <c r="J2139" s="1"/>
  <c r="I2137"/>
  <c r="I2139" s="1"/>
  <c r="H2137"/>
  <c r="H2139" s="1"/>
  <c r="G2137"/>
  <c r="G2139" s="1"/>
  <c r="F2137"/>
  <c r="F2139" s="1"/>
  <c r="C2137"/>
  <c r="C2139" s="1"/>
  <c r="N2136"/>
  <c r="M2136"/>
  <c r="K2136"/>
  <c r="I2136"/>
  <c r="H2136"/>
  <c r="G2136"/>
  <c r="N2135"/>
  <c r="L2135"/>
  <c r="K2135"/>
  <c r="J2135"/>
  <c r="I2135"/>
  <c r="H2135"/>
  <c r="G2135"/>
  <c r="F2135"/>
  <c r="E2135"/>
  <c r="D2135"/>
  <c r="C2135"/>
  <c r="M2134"/>
  <c r="M2137" s="1"/>
  <c r="M2139" s="1"/>
  <c r="N2133"/>
  <c r="M2133"/>
  <c r="L2133"/>
  <c r="K2133"/>
  <c r="J2133"/>
  <c r="I2133"/>
  <c r="H2133"/>
  <c r="G2133"/>
  <c r="F2133"/>
  <c r="E2133"/>
  <c r="D2133"/>
  <c r="C2133"/>
  <c r="J2150"/>
  <c r="J2152" s="1"/>
  <c r="E2150"/>
  <c r="E2152" s="1"/>
  <c r="F2150"/>
  <c r="F2152" s="1"/>
  <c r="D2150"/>
  <c r="D2152" s="1"/>
  <c r="N2150"/>
  <c r="N2152" s="1"/>
  <c r="L2150"/>
  <c r="L2152" s="1"/>
  <c r="K2150"/>
  <c r="K2152" s="1"/>
  <c r="I2150"/>
  <c r="I2152" s="1"/>
  <c r="H2150"/>
  <c r="H2152" s="1"/>
  <c r="G2150"/>
  <c r="G2152" s="1"/>
  <c r="C2150"/>
  <c r="C2152" s="1"/>
  <c r="N2149"/>
  <c r="M2149"/>
  <c r="K2149"/>
  <c r="I2149"/>
  <c r="H2149"/>
  <c r="G2149"/>
  <c r="N2148"/>
  <c r="L2148"/>
  <c r="K2148"/>
  <c r="J2148"/>
  <c r="I2148"/>
  <c r="H2148"/>
  <c r="G2148"/>
  <c r="F2148"/>
  <c r="E2148"/>
  <c r="D2148"/>
  <c r="C2148"/>
  <c r="M2147"/>
  <c r="M2150" s="1"/>
  <c r="N2146"/>
  <c r="M2146"/>
  <c r="L2146"/>
  <c r="K2146"/>
  <c r="J2146"/>
  <c r="I2146"/>
  <c r="H2146"/>
  <c r="G2146"/>
  <c r="F2146"/>
  <c r="E2146"/>
  <c r="D2146"/>
  <c r="C2146"/>
  <c r="H2163"/>
  <c r="H2165" s="1"/>
  <c r="E2163"/>
  <c r="E2165" s="1"/>
  <c r="N2163"/>
  <c r="N2165" s="1"/>
  <c r="L2163"/>
  <c r="L2165" s="1"/>
  <c r="K2163"/>
  <c r="K2165" s="1"/>
  <c r="J2163"/>
  <c r="J2165" s="1"/>
  <c r="I2163"/>
  <c r="I2165" s="1"/>
  <c r="G2163"/>
  <c r="G2165" s="1"/>
  <c r="F2163"/>
  <c r="F2165" s="1"/>
  <c r="D2163"/>
  <c r="D2165" s="1"/>
  <c r="C2163"/>
  <c r="C2165" s="1"/>
  <c r="N2162"/>
  <c r="M2162"/>
  <c r="K2162"/>
  <c r="I2162"/>
  <c r="H2162"/>
  <c r="G2162"/>
  <c r="N2161"/>
  <c r="L2161"/>
  <c r="K2161"/>
  <c r="J2161"/>
  <c r="I2161"/>
  <c r="H2161"/>
  <c r="G2161"/>
  <c r="F2161"/>
  <c r="E2161"/>
  <c r="D2161"/>
  <c r="C2161"/>
  <c r="M2160"/>
  <c r="M2163" s="1"/>
  <c r="N2159"/>
  <c r="M2159"/>
  <c r="L2159"/>
  <c r="K2159"/>
  <c r="J2159"/>
  <c r="I2159"/>
  <c r="H2159"/>
  <c r="G2159"/>
  <c r="F2159"/>
  <c r="E2159"/>
  <c r="D2159"/>
  <c r="C2159"/>
  <c r="N2176"/>
  <c r="N2178" s="1"/>
  <c r="L2176"/>
  <c r="L2178" s="1"/>
  <c r="K2176"/>
  <c r="K2178" s="1"/>
  <c r="J2176"/>
  <c r="J2178" s="1"/>
  <c r="I2176"/>
  <c r="I2178" s="1"/>
  <c r="H2176"/>
  <c r="H2178" s="1"/>
  <c r="G2176"/>
  <c r="G2178" s="1"/>
  <c r="F2176"/>
  <c r="F2178" s="1"/>
  <c r="E2176"/>
  <c r="E2178" s="1"/>
  <c r="D2176"/>
  <c r="D2178" s="1"/>
  <c r="C2176"/>
  <c r="C2178" s="1"/>
  <c r="N2175"/>
  <c r="M2175"/>
  <c r="K2175"/>
  <c r="I2175"/>
  <c r="H2175"/>
  <c r="G2175"/>
  <c r="N2174"/>
  <c r="L2174"/>
  <c r="K2174"/>
  <c r="J2174"/>
  <c r="I2174"/>
  <c r="H2174"/>
  <c r="G2174"/>
  <c r="F2174"/>
  <c r="E2174"/>
  <c r="D2174"/>
  <c r="C2174"/>
  <c r="M2173"/>
  <c r="M2176" s="1"/>
  <c r="N2172"/>
  <c r="M2172"/>
  <c r="L2172"/>
  <c r="K2172"/>
  <c r="J2172"/>
  <c r="I2172"/>
  <c r="H2172"/>
  <c r="G2172"/>
  <c r="F2172"/>
  <c r="E2172"/>
  <c r="D2172"/>
  <c r="C2172"/>
  <c r="F2189"/>
  <c r="F2191" s="1"/>
  <c r="C2189"/>
  <c r="C2191" s="1"/>
  <c r="N2189"/>
  <c r="N2191" s="1"/>
  <c r="L2189"/>
  <c r="L2191" s="1"/>
  <c r="K2189"/>
  <c r="K2191" s="1"/>
  <c r="J2189"/>
  <c r="J2191" s="1"/>
  <c r="I2189"/>
  <c r="I2191" s="1"/>
  <c r="H2189"/>
  <c r="H2191" s="1"/>
  <c r="G2189"/>
  <c r="G2191" s="1"/>
  <c r="E2189"/>
  <c r="E2191" s="1"/>
  <c r="D2189"/>
  <c r="D2191" s="1"/>
  <c r="N2188"/>
  <c r="M2188"/>
  <c r="K2188"/>
  <c r="I2188"/>
  <c r="H2188"/>
  <c r="G2188"/>
  <c r="N2187"/>
  <c r="L2187"/>
  <c r="K2187"/>
  <c r="J2187"/>
  <c r="I2187"/>
  <c r="H2187"/>
  <c r="G2187"/>
  <c r="F2187"/>
  <c r="E2187"/>
  <c r="D2187"/>
  <c r="C2187"/>
  <c r="M2186"/>
  <c r="M2189" s="1"/>
  <c r="N2185"/>
  <c r="M2185"/>
  <c r="L2185"/>
  <c r="K2185"/>
  <c r="J2185"/>
  <c r="I2185"/>
  <c r="H2185"/>
  <c r="G2185"/>
  <c r="F2185"/>
  <c r="E2185"/>
  <c r="D2185"/>
  <c r="C2185"/>
  <c r="N2202"/>
  <c r="N2204" s="1"/>
  <c r="L2202"/>
  <c r="L2204" s="1"/>
  <c r="K2202"/>
  <c r="K2204" s="1"/>
  <c r="J2202"/>
  <c r="J2204" s="1"/>
  <c r="I2202"/>
  <c r="I2204" s="1"/>
  <c r="H2202"/>
  <c r="H2204" s="1"/>
  <c r="G2202"/>
  <c r="G2204" s="1"/>
  <c r="F2202"/>
  <c r="F2204" s="1"/>
  <c r="E2202"/>
  <c r="E2204" s="1"/>
  <c r="D2202"/>
  <c r="D2204" s="1"/>
  <c r="C2202"/>
  <c r="C2204" s="1"/>
  <c r="N2201"/>
  <c r="M2201"/>
  <c r="K2201"/>
  <c r="I2201"/>
  <c r="H2201"/>
  <c r="G2201"/>
  <c r="N2200"/>
  <c r="L2200"/>
  <c r="K2200"/>
  <c r="J2200"/>
  <c r="I2200"/>
  <c r="H2200"/>
  <c r="G2200"/>
  <c r="F2200"/>
  <c r="E2200"/>
  <c r="D2200"/>
  <c r="C2200"/>
  <c r="M2199"/>
  <c r="M2202" s="1"/>
  <c r="N2198"/>
  <c r="M2198"/>
  <c r="L2198"/>
  <c r="K2198"/>
  <c r="J2198"/>
  <c r="I2198"/>
  <c r="H2198"/>
  <c r="G2198"/>
  <c r="F2198"/>
  <c r="E2198"/>
  <c r="D2198"/>
  <c r="C2198"/>
  <c r="E2215"/>
  <c r="E2217" s="1"/>
  <c r="D2215"/>
  <c r="D2217" s="1"/>
  <c r="C2215"/>
  <c r="C2217" s="1"/>
  <c r="N2215"/>
  <c r="N2217" s="1"/>
  <c r="L2215"/>
  <c r="L2217" s="1"/>
  <c r="K2215"/>
  <c r="K2217" s="1"/>
  <c r="J2215"/>
  <c r="J2217" s="1"/>
  <c r="I2215"/>
  <c r="I2217" s="1"/>
  <c r="H2215"/>
  <c r="H2217" s="1"/>
  <c r="G2215"/>
  <c r="G2217" s="1"/>
  <c r="F2215"/>
  <c r="F2217" s="1"/>
  <c r="N2214"/>
  <c r="M2214"/>
  <c r="K2214"/>
  <c r="I2214"/>
  <c r="H2214"/>
  <c r="G2214"/>
  <c r="N2213"/>
  <c r="L2213"/>
  <c r="K2213"/>
  <c r="J2213"/>
  <c r="I2213"/>
  <c r="H2213"/>
  <c r="G2213"/>
  <c r="F2213"/>
  <c r="E2213"/>
  <c r="D2213"/>
  <c r="C2213"/>
  <c r="M2212"/>
  <c r="M2215" s="1"/>
  <c r="M2217" s="1"/>
  <c r="N2211"/>
  <c r="M2211"/>
  <c r="L2211"/>
  <c r="K2211"/>
  <c r="J2211"/>
  <c r="I2211"/>
  <c r="H2211"/>
  <c r="G2211"/>
  <c r="F2211"/>
  <c r="E2211"/>
  <c r="D2211"/>
  <c r="C2211"/>
  <c r="H2228"/>
  <c r="H2230" s="1"/>
  <c r="E2228"/>
  <c r="E2230" s="1"/>
  <c r="D2228"/>
  <c r="D2230" s="1"/>
  <c r="C2228"/>
  <c r="N2228"/>
  <c r="N2230" s="1"/>
  <c r="L2228"/>
  <c r="L2230" s="1"/>
  <c r="K2228"/>
  <c r="K2230" s="1"/>
  <c r="J2228"/>
  <c r="J2230" s="1"/>
  <c r="I2228"/>
  <c r="I2230" s="1"/>
  <c r="G2228"/>
  <c r="G2230" s="1"/>
  <c r="F2228"/>
  <c r="F2230" s="1"/>
  <c r="C2230"/>
  <c r="N2227"/>
  <c r="M2227"/>
  <c r="K2227"/>
  <c r="I2227"/>
  <c r="H2227"/>
  <c r="G2227"/>
  <c r="N2226"/>
  <c r="L2226"/>
  <c r="K2226"/>
  <c r="J2226"/>
  <c r="I2226"/>
  <c r="H2226"/>
  <c r="G2226"/>
  <c r="F2226"/>
  <c r="E2226"/>
  <c r="D2226"/>
  <c r="C2226"/>
  <c r="M2225"/>
  <c r="M2228" s="1"/>
  <c r="N2224"/>
  <c r="M2224"/>
  <c r="L2224"/>
  <c r="K2224"/>
  <c r="J2224"/>
  <c r="I2224"/>
  <c r="H2224"/>
  <c r="G2224"/>
  <c r="F2224"/>
  <c r="E2224"/>
  <c r="D2224"/>
  <c r="C2224"/>
  <c r="H2241"/>
  <c r="F2241"/>
  <c r="F2243" s="1"/>
  <c r="J2241"/>
  <c r="J2243" s="1"/>
  <c r="C2241"/>
  <c r="C2243" s="1"/>
  <c r="N2241"/>
  <c r="N2243" s="1"/>
  <c r="L2241"/>
  <c r="L2243" s="1"/>
  <c r="K2241"/>
  <c r="K2243" s="1"/>
  <c r="I2241"/>
  <c r="I2243" s="1"/>
  <c r="H2243"/>
  <c r="G2241"/>
  <c r="G2243" s="1"/>
  <c r="E2241"/>
  <c r="E2243" s="1"/>
  <c r="D2241"/>
  <c r="D2243" s="1"/>
  <c r="N2240"/>
  <c r="M2240"/>
  <c r="K2240"/>
  <c r="I2240"/>
  <c r="H2240"/>
  <c r="G2240"/>
  <c r="N2239"/>
  <c r="L2239"/>
  <c r="K2239"/>
  <c r="J2239"/>
  <c r="I2239"/>
  <c r="H2239"/>
  <c r="G2239"/>
  <c r="F2239"/>
  <c r="E2239"/>
  <c r="D2239"/>
  <c r="C2239"/>
  <c r="M2238"/>
  <c r="M2241" s="1"/>
  <c r="N2237"/>
  <c r="M2237"/>
  <c r="L2237"/>
  <c r="K2237"/>
  <c r="J2237"/>
  <c r="I2237"/>
  <c r="H2237"/>
  <c r="G2237"/>
  <c r="F2237"/>
  <c r="E2237"/>
  <c r="D2237"/>
  <c r="C2237"/>
  <c r="I2254"/>
  <c r="I2255" s="1"/>
  <c r="N2254"/>
  <c r="N2256" s="1"/>
  <c r="L2254"/>
  <c r="L2256" s="1"/>
  <c r="K2254"/>
  <c r="K2256" s="1"/>
  <c r="J2254"/>
  <c r="J2256" s="1"/>
  <c r="H2254"/>
  <c r="H2256" s="1"/>
  <c r="G2254"/>
  <c r="G2256" s="1"/>
  <c r="F2254"/>
  <c r="F2256" s="1"/>
  <c r="E2254"/>
  <c r="E2256" s="1"/>
  <c r="D2254"/>
  <c r="D2256" s="1"/>
  <c r="C2254"/>
  <c r="C2256" s="1"/>
  <c r="N2253"/>
  <c r="M2253"/>
  <c r="K2253"/>
  <c r="I2253"/>
  <c r="H2253"/>
  <c r="G2253"/>
  <c r="N2252"/>
  <c r="L2252"/>
  <c r="K2252"/>
  <c r="J2252"/>
  <c r="I2252"/>
  <c r="H2252"/>
  <c r="G2252"/>
  <c r="F2252"/>
  <c r="E2252"/>
  <c r="D2252"/>
  <c r="C2252"/>
  <c r="M2251"/>
  <c r="M2254" s="1"/>
  <c r="N2250"/>
  <c r="M2250"/>
  <c r="L2250"/>
  <c r="K2250"/>
  <c r="J2250"/>
  <c r="I2250"/>
  <c r="H2250"/>
  <c r="G2250"/>
  <c r="F2250"/>
  <c r="E2250"/>
  <c r="D2250"/>
  <c r="C2250"/>
  <c r="N2267"/>
  <c r="N2269" s="1"/>
  <c r="L2267"/>
  <c r="L2269" s="1"/>
  <c r="K2267"/>
  <c r="K2269" s="1"/>
  <c r="J2267"/>
  <c r="J2269" s="1"/>
  <c r="I2267"/>
  <c r="I2269" s="1"/>
  <c r="H2267"/>
  <c r="H2269" s="1"/>
  <c r="G2267"/>
  <c r="G2269" s="1"/>
  <c r="F2267"/>
  <c r="F2269" s="1"/>
  <c r="E2267"/>
  <c r="E2269" s="1"/>
  <c r="D2267"/>
  <c r="D2269" s="1"/>
  <c r="C2267"/>
  <c r="C2269" s="1"/>
  <c r="N2266"/>
  <c r="M2266"/>
  <c r="K2266"/>
  <c r="I2266"/>
  <c r="H2266"/>
  <c r="G2266"/>
  <c r="N2265"/>
  <c r="L2265"/>
  <c r="K2265"/>
  <c r="J2265"/>
  <c r="I2265"/>
  <c r="H2265"/>
  <c r="G2265"/>
  <c r="F2265"/>
  <c r="E2265"/>
  <c r="D2265"/>
  <c r="C2265"/>
  <c r="M2264"/>
  <c r="M2267" s="1"/>
  <c r="N2263"/>
  <c r="M2263"/>
  <c r="L2263"/>
  <c r="K2263"/>
  <c r="J2263"/>
  <c r="I2263"/>
  <c r="H2263"/>
  <c r="G2263"/>
  <c r="F2263"/>
  <c r="E2263"/>
  <c r="D2263"/>
  <c r="C2263"/>
  <c r="J2280"/>
  <c r="J2282" s="1"/>
  <c r="N2280"/>
  <c r="N2282" s="1"/>
  <c r="L2280"/>
  <c r="L2282" s="1"/>
  <c r="K2280"/>
  <c r="K2282" s="1"/>
  <c r="I2280"/>
  <c r="I2282" s="1"/>
  <c r="H2280"/>
  <c r="H2282" s="1"/>
  <c r="G2280"/>
  <c r="G2282" s="1"/>
  <c r="F2280"/>
  <c r="F2282" s="1"/>
  <c r="E2280"/>
  <c r="E2282" s="1"/>
  <c r="D2280"/>
  <c r="D2282" s="1"/>
  <c r="C2280"/>
  <c r="C2282" s="1"/>
  <c r="N2279"/>
  <c r="M2279"/>
  <c r="K2279"/>
  <c r="I2279"/>
  <c r="H2279"/>
  <c r="G2279"/>
  <c r="N2278"/>
  <c r="L2278"/>
  <c r="K2278"/>
  <c r="J2278"/>
  <c r="I2278"/>
  <c r="H2278"/>
  <c r="G2278"/>
  <c r="F2278"/>
  <c r="E2278"/>
  <c r="D2278"/>
  <c r="C2278"/>
  <c r="M2277"/>
  <c r="M2280" s="1"/>
  <c r="N2276"/>
  <c r="M2276"/>
  <c r="L2276"/>
  <c r="K2276"/>
  <c r="J2276"/>
  <c r="I2276"/>
  <c r="H2276"/>
  <c r="G2276"/>
  <c r="F2276"/>
  <c r="E2276"/>
  <c r="D2276"/>
  <c r="C2276"/>
  <c r="I2256" l="1"/>
  <c r="M2083"/>
  <c r="M2018"/>
  <c r="M2256"/>
  <c r="M2255"/>
  <c r="M2257" s="1"/>
  <c r="D2255"/>
  <c r="D2257" s="1"/>
  <c r="F2255"/>
  <c r="F2257" s="1"/>
  <c r="H2255"/>
  <c r="H2257" s="1"/>
  <c r="K2255"/>
  <c r="N2255"/>
  <c r="N2257" s="1"/>
  <c r="M2213"/>
  <c r="M2135"/>
  <c r="M2059"/>
  <c r="M2061" s="1"/>
  <c r="M2252"/>
  <c r="C2255"/>
  <c r="C2257" s="1"/>
  <c r="E2255"/>
  <c r="E2257" s="1"/>
  <c r="G2255"/>
  <c r="G2257" s="1"/>
  <c r="J2255"/>
  <c r="J2257" s="1"/>
  <c r="L2255"/>
  <c r="L2257" s="1"/>
  <c r="M1931"/>
  <c r="M1930"/>
  <c r="M1932" s="1"/>
  <c r="D1930"/>
  <c r="D1932" s="1"/>
  <c r="F1930"/>
  <c r="F1932" s="1"/>
  <c r="H1930"/>
  <c r="H1932" s="1"/>
  <c r="J1930"/>
  <c r="J1932" s="1"/>
  <c r="L1930"/>
  <c r="L1932" s="1"/>
  <c r="N1930"/>
  <c r="N1932" s="1"/>
  <c r="M1927"/>
  <c r="C1930"/>
  <c r="C1932" s="1"/>
  <c r="E1930"/>
  <c r="E1932" s="1"/>
  <c r="G1930"/>
  <c r="G1932" s="1"/>
  <c r="I1930"/>
  <c r="I1932" s="1"/>
  <c r="K1930"/>
  <c r="K1932" s="1"/>
  <c r="M1944"/>
  <c r="M1943"/>
  <c r="M1945" s="1"/>
  <c r="D1943"/>
  <c r="D1945" s="1"/>
  <c r="F1943"/>
  <c r="F1945" s="1"/>
  <c r="H1943"/>
  <c r="H1945" s="1"/>
  <c r="J1943"/>
  <c r="J1945" s="1"/>
  <c r="L1943"/>
  <c r="L1945" s="1"/>
  <c r="N1943"/>
  <c r="N1945" s="1"/>
  <c r="M1940"/>
  <c r="C1943"/>
  <c r="C1945" s="1"/>
  <c r="E1943"/>
  <c r="E1945" s="1"/>
  <c r="G1943"/>
  <c r="G1945" s="1"/>
  <c r="I1943"/>
  <c r="I1945" s="1"/>
  <c r="K1943"/>
  <c r="K1945" s="1"/>
  <c r="M1957"/>
  <c r="M1956"/>
  <c r="M1958" s="1"/>
  <c r="D1956"/>
  <c r="D1958" s="1"/>
  <c r="F1956"/>
  <c r="F1958" s="1"/>
  <c r="H1956"/>
  <c r="H1958" s="1"/>
  <c r="J1956"/>
  <c r="J1958" s="1"/>
  <c r="L1956"/>
  <c r="L1958" s="1"/>
  <c r="N1956"/>
  <c r="N1958" s="1"/>
  <c r="M1953"/>
  <c r="C1956"/>
  <c r="C1958" s="1"/>
  <c r="E1956"/>
  <c r="E1958" s="1"/>
  <c r="G1956"/>
  <c r="G1958" s="1"/>
  <c r="I1956"/>
  <c r="I1958" s="1"/>
  <c r="K1956"/>
  <c r="K1958" s="1"/>
  <c r="M1970"/>
  <c r="M1969"/>
  <c r="M1971" s="1"/>
  <c r="D1969"/>
  <c r="D1971" s="1"/>
  <c r="F1969"/>
  <c r="F1971" s="1"/>
  <c r="H1969"/>
  <c r="H1971" s="1"/>
  <c r="J1969"/>
  <c r="J1971" s="1"/>
  <c r="L1969"/>
  <c r="L1971" s="1"/>
  <c r="N1969"/>
  <c r="N1971" s="1"/>
  <c r="M1966"/>
  <c r="C1969"/>
  <c r="C1971" s="1"/>
  <c r="E1969"/>
  <c r="E1971" s="1"/>
  <c r="G1969"/>
  <c r="G1971" s="1"/>
  <c r="I1969"/>
  <c r="I1971" s="1"/>
  <c r="K1969"/>
  <c r="K1971" s="1"/>
  <c r="M1983"/>
  <c r="M1982"/>
  <c r="M1984" s="1"/>
  <c r="D1982"/>
  <c r="D1984" s="1"/>
  <c r="F1982"/>
  <c r="F1984" s="1"/>
  <c r="H1982"/>
  <c r="H1984" s="1"/>
  <c r="J1982"/>
  <c r="J1984" s="1"/>
  <c r="L1982"/>
  <c r="L1984" s="1"/>
  <c r="N1982"/>
  <c r="N1984" s="1"/>
  <c r="M1979"/>
  <c r="C1982"/>
  <c r="C1984" s="1"/>
  <c r="E1982"/>
  <c r="E1984" s="1"/>
  <c r="G1982"/>
  <c r="G1984" s="1"/>
  <c r="I1982"/>
  <c r="I1984" s="1"/>
  <c r="K1982"/>
  <c r="K1984" s="1"/>
  <c r="M1996"/>
  <c r="M1995"/>
  <c r="M1997" s="1"/>
  <c r="D1995"/>
  <c r="D1997" s="1"/>
  <c r="F1995"/>
  <c r="F1997" s="1"/>
  <c r="H1995"/>
  <c r="H1997" s="1"/>
  <c r="J1995"/>
  <c r="J1997" s="1"/>
  <c r="L1995"/>
  <c r="L1997" s="1"/>
  <c r="N1995"/>
  <c r="N1997" s="1"/>
  <c r="M1992"/>
  <c r="C1995"/>
  <c r="C1997" s="1"/>
  <c r="E1995"/>
  <c r="E1997" s="1"/>
  <c r="G1995"/>
  <c r="G1997" s="1"/>
  <c r="I1995"/>
  <c r="I1997" s="1"/>
  <c r="K1995"/>
  <c r="K1997" s="1"/>
  <c r="M2009"/>
  <c r="M2008"/>
  <c r="M2010" s="1"/>
  <c r="D2008"/>
  <c r="D2010" s="1"/>
  <c r="F2008"/>
  <c r="F2010" s="1"/>
  <c r="H2008"/>
  <c r="H2010" s="1"/>
  <c r="J2008"/>
  <c r="J2010" s="1"/>
  <c r="L2008"/>
  <c r="L2010" s="1"/>
  <c r="N2008"/>
  <c r="N2010" s="1"/>
  <c r="M2005"/>
  <c r="C2008"/>
  <c r="C2010" s="1"/>
  <c r="E2008"/>
  <c r="E2010" s="1"/>
  <c r="G2008"/>
  <c r="G2010" s="1"/>
  <c r="I2008"/>
  <c r="I2010" s="1"/>
  <c r="K2008"/>
  <c r="K2010" s="1"/>
  <c r="M2022"/>
  <c r="M2021"/>
  <c r="M2023" s="1"/>
  <c r="D2021"/>
  <c r="D2023" s="1"/>
  <c r="F2021"/>
  <c r="F2023" s="1"/>
  <c r="H2021"/>
  <c r="H2023" s="1"/>
  <c r="J2021"/>
  <c r="J2023" s="1"/>
  <c r="L2021"/>
  <c r="L2023" s="1"/>
  <c r="N2021"/>
  <c r="N2023" s="1"/>
  <c r="C2021"/>
  <c r="C2023" s="1"/>
  <c r="E2021"/>
  <c r="E2023" s="1"/>
  <c r="G2021"/>
  <c r="G2023" s="1"/>
  <c r="I2021"/>
  <c r="I2023" s="1"/>
  <c r="K2021"/>
  <c r="K2023" s="1"/>
  <c r="M2035"/>
  <c r="M2034"/>
  <c r="M2036" s="1"/>
  <c r="D2034"/>
  <c r="D2036" s="1"/>
  <c r="F2034"/>
  <c r="F2036" s="1"/>
  <c r="H2034"/>
  <c r="H2036" s="1"/>
  <c r="J2034"/>
  <c r="J2036" s="1"/>
  <c r="L2034"/>
  <c r="L2036" s="1"/>
  <c r="N2034"/>
  <c r="N2036" s="1"/>
  <c r="M2031"/>
  <c r="C2034"/>
  <c r="C2036" s="1"/>
  <c r="E2034"/>
  <c r="E2036" s="1"/>
  <c r="G2034"/>
  <c r="G2036" s="1"/>
  <c r="I2034"/>
  <c r="I2036" s="1"/>
  <c r="K2034"/>
  <c r="K2036" s="1"/>
  <c r="M2048"/>
  <c r="M2047"/>
  <c r="M2049" s="1"/>
  <c r="D2047"/>
  <c r="D2049" s="1"/>
  <c r="F2047"/>
  <c r="F2049" s="1"/>
  <c r="H2047"/>
  <c r="H2049" s="1"/>
  <c r="J2047"/>
  <c r="J2049" s="1"/>
  <c r="L2047"/>
  <c r="L2049" s="1"/>
  <c r="N2047"/>
  <c r="N2049" s="1"/>
  <c r="M2044"/>
  <c r="C2047"/>
  <c r="C2049" s="1"/>
  <c r="E2047"/>
  <c r="E2049" s="1"/>
  <c r="G2047"/>
  <c r="G2049" s="1"/>
  <c r="I2047"/>
  <c r="I2049" s="1"/>
  <c r="K2047"/>
  <c r="K2049" s="1"/>
  <c r="C2060"/>
  <c r="C2062" s="1"/>
  <c r="E2060"/>
  <c r="E2062" s="1"/>
  <c r="G2060"/>
  <c r="G2062" s="1"/>
  <c r="I2060"/>
  <c r="I2062" s="1"/>
  <c r="K2060"/>
  <c r="K2062" s="1"/>
  <c r="D2060"/>
  <c r="D2062" s="1"/>
  <c r="F2060"/>
  <c r="F2062" s="1"/>
  <c r="H2060"/>
  <c r="H2062" s="1"/>
  <c r="J2060"/>
  <c r="J2062" s="1"/>
  <c r="L2060"/>
  <c r="L2062" s="1"/>
  <c r="N2060"/>
  <c r="N2062" s="1"/>
  <c r="M2074"/>
  <c r="M2073"/>
  <c r="M2075" s="1"/>
  <c r="D2073"/>
  <c r="D2075" s="1"/>
  <c r="F2073"/>
  <c r="F2075" s="1"/>
  <c r="H2073"/>
  <c r="H2075" s="1"/>
  <c r="J2073"/>
  <c r="J2075" s="1"/>
  <c r="L2073"/>
  <c r="L2075" s="1"/>
  <c r="N2073"/>
  <c r="N2075" s="1"/>
  <c r="M2070"/>
  <c r="C2073"/>
  <c r="C2075" s="1"/>
  <c r="E2073"/>
  <c r="E2075" s="1"/>
  <c r="G2073"/>
  <c r="G2075" s="1"/>
  <c r="I2073"/>
  <c r="I2075" s="1"/>
  <c r="K2073"/>
  <c r="K2075" s="1"/>
  <c r="C2086"/>
  <c r="C2088" s="1"/>
  <c r="E2086"/>
  <c r="E2088" s="1"/>
  <c r="G2086"/>
  <c r="G2088" s="1"/>
  <c r="I2086"/>
  <c r="I2088" s="1"/>
  <c r="K2086"/>
  <c r="K2088" s="1"/>
  <c r="M2086"/>
  <c r="M2088" s="1"/>
  <c r="D2086"/>
  <c r="D2088" s="1"/>
  <c r="F2086"/>
  <c r="F2088" s="1"/>
  <c r="H2086"/>
  <c r="H2088" s="1"/>
  <c r="J2086"/>
  <c r="J2088" s="1"/>
  <c r="L2086"/>
  <c r="L2088" s="1"/>
  <c r="N2086"/>
  <c r="N2088" s="1"/>
  <c r="M2100"/>
  <c r="M2099"/>
  <c r="M2101" s="1"/>
  <c r="D2099"/>
  <c r="D2101" s="1"/>
  <c r="F2099"/>
  <c r="F2101" s="1"/>
  <c r="H2099"/>
  <c r="H2101" s="1"/>
  <c r="J2099"/>
  <c r="J2101" s="1"/>
  <c r="L2099"/>
  <c r="L2101" s="1"/>
  <c r="N2099"/>
  <c r="N2101" s="1"/>
  <c r="M2096"/>
  <c r="C2099"/>
  <c r="C2101" s="1"/>
  <c r="E2099"/>
  <c r="E2101" s="1"/>
  <c r="G2099"/>
  <c r="G2101" s="1"/>
  <c r="I2099"/>
  <c r="I2101" s="1"/>
  <c r="K2099"/>
  <c r="K2101" s="1"/>
  <c r="M2113"/>
  <c r="M2112"/>
  <c r="M2114" s="1"/>
  <c r="D2112"/>
  <c r="D2114" s="1"/>
  <c r="F2112"/>
  <c r="F2114" s="1"/>
  <c r="H2112"/>
  <c r="H2114" s="1"/>
  <c r="J2112"/>
  <c r="J2114" s="1"/>
  <c r="L2112"/>
  <c r="L2114" s="1"/>
  <c r="N2112"/>
  <c r="N2114" s="1"/>
  <c r="M2109"/>
  <c r="C2112"/>
  <c r="C2114" s="1"/>
  <c r="E2112"/>
  <c r="E2114" s="1"/>
  <c r="G2112"/>
  <c r="G2114" s="1"/>
  <c r="I2112"/>
  <c r="I2114" s="1"/>
  <c r="K2112"/>
  <c r="K2114" s="1"/>
  <c r="M2126"/>
  <c r="M2125"/>
  <c r="M2127" s="1"/>
  <c r="D2125"/>
  <c r="D2127" s="1"/>
  <c r="F2125"/>
  <c r="F2127" s="1"/>
  <c r="H2125"/>
  <c r="H2127" s="1"/>
  <c r="J2125"/>
  <c r="J2127" s="1"/>
  <c r="L2125"/>
  <c r="L2127" s="1"/>
  <c r="N2125"/>
  <c r="N2127" s="1"/>
  <c r="M2122"/>
  <c r="C2125"/>
  <c r="C2127" s="1"/>
  <c r="E2125"/>
  <c r="E2127" s="1"/>
  <c r="G2125"/>
  <c r="G2127" s="1"/>
  <c r="I2125"/>
  <c r="I2127" s="1"/>
  <c r="K2125"/>
  <c r="K2127" s="1"/>
  <c r="C2138"/>
  <c r="C2140" s="1"/>
  <c r="E2138"/>
  <c r="E2140" s="1"/>
  <c r="G2138"/>
  <c r="G2140" s="1"/>
  <c r="I2138"/>
  <c r="I2140" s="1"/>
  <c r="K2138"/>
  <c r="K2140" s="1"/>
  <c r="M2138"/>
  <c r="M2140" s="1"/>
  <c r="D2138"/>
  <c r="D2140" s="1"/>
  <c r="F2138"/>
  <c r="F2140" s="1"/>
  <c r="H2138"/>
  <c r="H2140" s="1"/>
  <c r="J2138"/>
  <c r="J2140" s="1"/>
  <c r="L2138"/>
  <c r="L2140" s="1"/>
  <c r="N2138"/>
  <c r="N2140" s="1"/>
  <c r="M2152"/>
  <c r="M2151"/>
  <c r="M2153" s="1"/>
  <c r="D2151"/>
  <c r="D2153" s="1"/>
  <c r="F2151"/>
  <c r="F2153" s="1"/>
  <c r="H2151"/>
  <c r="H2153" s="1"/>
  <c r="J2151"/>
  <c r="J2153" s="1"/>
  <c r="L2151"/>
  <c r="L2153" s="1"/>
  <c r="N2151"/>
  <c r="N2153" s="1"/>
  <c r="M2148"/>
  <c r="C2151"/>
  <c r="C2153" s="1"/>
  <c r="E2151"/>
  <c r="E2153" s="1"/>
  <c r="G2151"/>
  <c r="G2153" s="1"/>
  <c r="I2151"/>
  <c r="I2153" s="1"/>
  <c r="K2151"/>
  <c r="K2153" s="1"/>
  <c r="M2165"/>
  <c r="M2164"/>
  <c r="M2166" s="1"/>
  <c r="D2164"/>
  <c r="D2166" s="1"/>
  <c r="F2164"/>
  <c r="F2166" s="1"/>
  <c r="H2164"/>
  <c r="H2166" s="1"/>
  <c r="J2164"/>
  <c r="J2166" s="1"/>
  <c r="L2164"/>
  <c r="L2166" s="1"/>
  <c r="N2164"/>
  <c r="N2166" s="1"/>
  <c r="M2161"/>
  <c r="C2164"/>
  <c r="C2166" s="1"/>
  <c r="E2164"/>
  <c r="E2166" s="1"/>
  <c r="G2164"/>
  <c r="G2166" s="1"/>
  <c r="I2164"/>
  <c r="I2166" s="1"/>
  <c r="K2164"/>
  <c r="K2166" s="1"/>
  <c r="M2178"/>
  <c r="M2177"/>
  <c r="M2179" s="1"/>
  <c r="D2177"/>
  <c r="D2179" s="1"/>
  <c r="F2177"/>
  <c r="F2179" s="1"/>
  <c r="H2177"/>
  <c r="H2179" s="1"/>
  <c r="J2177"/>
  <c r="J2179" s="1"/>
  <c r="L2177"/>
  <c r="L2179" s="1"/>
  <c r="N2177"/>
  <c r="N2179" s="1"/>
  <c r="M2174"/>
  <c r="C2177"/>
  <c r="C2179" s="1"/>
  <c r="E2177"/>
  <c r="E2179" s="1"/>
  <c r="G2177"/>
  <c r="G2179" s="1"/>
  <c r="I2177"/>
  <c r="I2179" s="1"/>
  <c r="K2177"/>
  <c r="K2179" s="1"/>
  <c r="M2191"/>
  <c r="M2190"/>
  <c r="M2192" s="1"/>
  <c r="D2190"/>
  <c r="D2192" s="1"/>
  <c r="F2190"/>
  <c r="F2192" s="1"/>
  <c r="H2190"/>
  <c r="H2192" s="1"/>
  <c r="J2190"/>
  <c r="J2192" s="1"/>
  <c r="L2190"/>
  <c r="L2192" s="1"/>
  <c r="N2190"/>
  <c r="N2192" s="1"/>
  <c r="M2187"/>
  <c r="C2190"/>
  <c r="C2192" s="1"/>
  <c r="E2190"/>
  <c r="E2192" s="1"/>
  <c r="G2190"/>
  <c r="G2192" s="1"/>
  <c r="I2190"/>
  <c r="I2192" s="1"/>
  <c r="K2190"/>
  <c r="K2192" s="1"/>
  <c r="M2204"/>
  <c r="M2203"/>
  <c r="M2205" s="1"/>
  <c r="D2203"/>
  <c r="D2205" s="1"/>
  <c r="F2203"/>
  <c r="F2205" s="1"/>
  <c r="H2203"/>
  <c r="H2205" s="1"/>
  <c r="J2203"/>
  <c r="J2205" s="1"/>
  <c r="L2203"/>
  <c r="L2205" s="1"/>
  <c r="N2203"/>
  <c r="N2205" s="1"/>
  <c r="M2200"/>
  <c r="C2203"/>
  <c r="C2205" s="1"/>
  <c r="E2203"/>
  <c r="E2205" s="1"/>
  <c r="G2203"/>
  <c r="G2205" s="1"/>
  <c r="I2203"/>
  <c r="I2205" s="1"/>
  <c r="K2203"/>
  <c r="K2205" s="1"/>
  <c r="C2216"/>
  <c r="C2218" s="1"/>
  <c r="E2216"/>
  <c r="E2218" s="1"/>
  <c r="G2216"/>
  <c r="G2218" s="1"/>
  <c r="I2216"/>
  <c r="I2218" s="1"/>
  <c r="K2216"/>
  <c r="K2218" s="1"/>
  <c r="M2216"/>
  <c r="M2218" s="1"/>
  <c r="D2216"/>
  <c r="D2218" s="1"/>
  <c r="F2216"/>
  <c r="F2218" s="1"/>
  <c r="H2216"/>
  <c r="H2218" s="1"/>
  <c r="J2216"/>
  <c r="J2218" s="1"/>
  <c r="L2216"/>
  <c r="L2218" s="1"/>
  <c r="N2216"/>
  <c r="N2218" s="1"/>
  <c r="M2230"/>
  <c r="M2229"/>
  <c r="M2231" s="1"/>
  <c r="D2229"/>
  <c r="D2231" s="1"/>
  <c r="F2229"/>
  <c r="F2231" s="1"/>
  <c r="H2229"/>
  <c r="H2231" s="1"/>
  <c r="J2229"/>
  <c r="J2231" s="1"/>
  <c r="L2229"/>
  <c r="L2231" s="1"/>
  <c r="N2229"/>
  <c r="N2231" s="1"/>
  <c r="M2226"/>
  <c r="C2229"/>
  <c r="C2231" s="1"/>
  <c r="E2229"/>
  <c r="E2231" s="1"/>
  <c r="G2229"/>
  <c r="G2231" s="1"/>
  <c r="I2229"/>
  <c r="I2231" s="1"/>
  <c r="K2229"/>
  <c r="K2231" s="1"/>
  <c r="M2243"/>
  <c r="M2242"/>
  <c r="M2244" s="1"/>
  <c r="D2242"/>
  <c r="D2244" s="1"/>
  <c r="F2242"/>
  <c r="F2244" s="1"/>
  <c r="H2242"/>
  <c r="H2244" s="1"/>
  <c r="J2242"/>
  <c r="J2244" s="1"/>
  <c r="L2242"/>
  <c r="L2244" s="1"/>
  <c r="N2242"/>
  <c r="N2244" s="1"/>
  <c r="M2239"/>
  <c r="C2242"/>
  <c r="C2244" s="1"/>
  <c r="E2242"/>
  <c r="E2244" s="1"/>
  <c r="G2242"/>
  <c r="G2244" s="1"/>
  <c r="I2242"/>
  <c r="I2244" s="1"/>
  <c r="K2242"/>
  <c r="K2244" s="1"/>
  <c r="I2257"/>
  <c r="K2257"/>
  <c r="M2269"/>
  <c r="M2268"/>
  <c r="M2270" s="1"/>
  <c r="D2268"/>
  <c r="D2270" s="1"/>
  <c r="F2268"/>
  <c r="F2270" s="1"/>
  <c r="H2268"/>
  <c r="H2270" s="1"/>
  <c r="J2268"/>
  <c r="J2270" s="1"/>
  <c r="L2268"/>
  <c r="L2270" s="1"/>
  <c r="N2268"/>
  <c r="N2270" s="1"/>
  <c r="M2265"/>
  <c r="C2268"/>
  <c r="C2270" s="1"/>
  <c r="E2268"/>
  <c r="E2270" s="1"/>
  <c r="G2268"/>
  <c r="G2270" s="1"/>
  <c r="I2268"/>
  <c r="I2270" s="1"/>
  <c r="K2268"/>
  <c r="K2270" s="1"/>
  <c r="M2278"/>
  <c r="M2282"/>
  <c r="M2281"/>
  <c r="M2283" s="1"/>
  <c r="D2281"/>
  <c r="D2283" s="1"/>
  <c r="F2281"/>
  <c r="F2283" s="1"/>
  <c r="H2281"/>
  <c r="H2283" s="1"/>
  <c r="J2281"/>
  <c r="J2283" s="1"/>
  <c r="L2281"/>
  <c r="L2283" s="1"/>
  <c r="N2281"/>
  <c r="N2283" s="1"/>
  <c r="C2281"/>
  <c r="C2283" s="1"/>
  <c r="E2281"/>
  <c r="E2283" s="1"/>
  <c r="G2281"/>
  <c r="G2283" s="1"/>
  <c r="I2281"/>
  <c r="I2283" s="1"/>
  <c r="K2281"/>
  <c r="K2283" s="1"/>
  <c r="N2293"/>
  <c r="N2295" s="1"/>
  <c r="L2293"/>
  <c r="L2295" s="1"/>
  <c r="K2293"/>
  <c r="K2295" s="1"/>
  <c r="J2293"/>
  <c r="J2295" s="1"/>
  <c r="I2293"/>
  <c r="I2295" s="1"/>
  <c r="H2293"/>
  <c r="H2295" s="1"/>
  <c r="G2293"/>
  <c r="G2295" s="1"/>
  <c r="F2293"/>
  <c r="F2295" s="1"/>
  <c r="E2293"/>
  <c r="E2295" s="1"/>
  <c r="D2293"/>
  <c r="D2295" s="1"/>
  <c r="C2293"/>
  <c r="C2295" s="1"/>
  <c r="N2292"/>
  <c r="M2292"/>
  <c r="K2292"/>
  <c r="I2292"/>
  <c r="H2292"/>
  <c r="G2292"/>
  <c r="N2291"/>
  <c r="L2291"/>
  <c r="K2291"/>
  <c r="J2291"/>
  <c r="I2291"/>
  <c r="H2291"/>
  <c r="G2291"/>
  <c r="F2291"/>
  <c r="E2291"/>
  <c r="D2291"/>
  <c r="C2291"/>
  <c r="M2290"/>
  <c r="M2293" s="1"/>
  <c r="N2289"/>
  <c r="M2289"/>
  <c r="L2289"/>
  <c r="K2289"/>
  <c r="J2289"/>
  <c r="I2289"/>
  <c r="H2289"/>
  <c r="G2289"/>
  <c r="F2289"/>
  <c r="E2289"/>
  <c r="D2289"/>
  <c r="C2289"/>
  <c r="N2306"/>
  <c r="N2308" s="1"/>
  <c r="L2306"/>
  <c r="L2308" s="1"/>
  <c r="K2306"/>
  <c r="K2308" s="1"/>
  <c r="J2306"/>
  <c r="J2308" s="1"/>
  <c r="I2306"/>
  <c r="I2308" s="1"/>
  <c r="H2306"/>
  <c r="H2308" s="1"/>
  <c r="G2306"/>
  <c r="G2308" s="1"/>
  <c r="F2306"/>
  <c r="F2308" s="1"/>
  <c r="E2306"/>
  <c r="E2308" s="1"/>
  <c r="D2306"/>
  <c r="D2308" s="1"/>
  <c r="C2306"/>
  <c r="C2308" s="1"/>
  <c r="N2305"/>
  <c r="M2305"/>
  <c r="K2305"/>
  <c r="I2305"/>
  <c r="H2305"/>
  <c r="G2305"/>
  <c r="N2304"/>
  <c r="L2304"/>
  <c r="K2304"/>
  <c r="J2304"/>
  <c r="I2304"/>
  <c r="H2304"/>
  <c r="G2304"/>
  <c r="F2304"/>
  <c r="E2304"/>
  <c r="D2304"/>
  <c r="C2304"/>
  <c r="M2303"/>
  <c r="M2306" s="1"/>
  <c r="N2302"/>
  <c r="M2302"/>
  <c r="L2302"/>
  <c r="K2302"/>
  <c r="J2302"/>
  <c r="I2302"/>
  <c r="H2302"/>
  <c r="G2302"/>
  <c r="F2302"/>
  <c r="E2302"/>
  <c r="D2302"/>
  <c r="C2302"/>
  <c r="M2060" l="1"/>
  <c r="M2062" s="1"/>
  <c r="M2291"/>
  <c r="M2295"/>
  <c r="M2294"/>
  <c r="M2296" s="1"/>
  <c r="D2294"/>
  <c r="D2296" s="1"/>
  <c r="F2294"/>
  <c r="F2296" s="1"/>
  <c r="H2294"/>
  <c r="H2296" s="1"/>
  <c r="J2294"/>
  <c r="J2296" s="1"/>
  <c r="L2294"/>
  <c r="L2296" s="1"/>
  <c r="N2294"/>
  <c r="N2296" s="1"/>
  <c r="C2294"/>
  <c r="C2296" s="1"/>
  <c r="E2294"/>
  <c r="E2296" s="1"/>
  <c r="G2294"/>
  <c r="G2296" s="1"/>
  <c r="I2294"/>
  <c r="I2296" s="1"/>
  <c r="K2294"/>
  <c r="K2296" s="1"/>
  <c r="M2308"/>
  <c r="M2307"/>
  <c r="M2309" s="1"/>
  <c r="D2307"/>
  <c r="D2309" s="1"/>
  <c r="F2307"/>
  <c r="F2309" s="1"/>
  <c r="H2307"/>
  <c r="H2309" s="1"/>
  <c r="J2307"/>
  <c r="J2309" s="1"/>
  <c r="L2307"/>
  <c r="L2309" s="1"/>
  <c r="N2307"/>
  <c r="N2309" s="1"/>
  <c r="M2304"/>
  <c r="C2307"/>
  <c r="C2309" s="1"/>
  <c r="E2307"/>
  <c r="E2309" s="1"/>
  <c r="G2307"/>
  <c r="G2309" s="1"/>
  <c r="I2307"/>
  <c r="I2309" s="1"/>
  <c r="K2307"/>
  <c r="K2309" s="1"/>
  <c r="G30" i="3" l="1"/>
  <c r="W2" i="10" l="1"/>
  <c r="S2"/>
  <c r="AP2" i="9"/>
  <c r="AH2"/>
  <c r="W2" i="7"/>
  <c r="U4" s="1"/>
  <c r="S2"/>
  <c r="Q4" s="1"/>
  <c r="W2" i="4"/>
  <c r="U5" l="1"/>
  <c r="U4"/>
  <c r="U7"/>
  <c r="U6"/>
  <c r="U9"/>
  <c r="U8"/>
  <c r="U11"/>
  <c r="U10"/>
  <c r="U13"/>
  <c r="U12"/>
  <c r="U15"/>
  <c r="U14"/>
  <c r="AN4" i="9"/>
  <c r="AF4"/>
  <c r="U17" i="4"/>
  <c r="U16"/>
  <c r="U6" i="7"/>
  <c r="U5"/>
  <c r="Q6"/>
  <c r="Q5"/>
  <c r="AN5" i="9"/>
  <c r="AF5"/>
  <c r="AN6"/>
  <c r="AF6"/>
  <c r="U19" i="4"/>
  <c r="U18"/>
  <c r="Q8" i="7"/>
  <c r="Q7"/>
  <c r="U8"/>
  <c r="U7"/>
  <c r="AN7" i="9"/>
  <c r="AF7"/>
  <c r="AN8"/>
  <c r="AF8"/>
  <c r="U21" i="4"/>
  <c r="U20"/>
  <c r="Q10" i="7"/>
  <c r="Q9"/>
  <c r="U10"/>
  <c r="U9"/>
  <c r="AN9" i="9"/>
  <c r="AF9"/>
  <c r="AN10"/>
  <c r="AF10"/>
  <c r="U23" i="4"/>
  <c r="U22"/>
  <c r="AN11" i="9"/>
  <c r="AF11"/>
  <c r="Q12" i="7"/>
  <c r="U12"/>
  <c r="U25" i="4"/>
  <c r="U24"/>
  <c r="AN12" i="9"/>
  <c r="AF12"/>
  <c r="U14" i="7"/>
  <c r="U13"/>
  <c r="Q14"/>
  <c r="Q13"/>
  <c r="AN13" i="9"/>
  <c r="AF13"/>
  <c r="U27" i="4"/>
  <c r="U26"/>
  <c r="AN14" i="9"/>
  <c r="AF14"/>
  <c r="Q16" i="7"/>
  <c r="Q15"/>
  <c r="U16"/>
  <c r="U15"/>
  <c r="AN15" i="9"/>
  <c r="AF15"/>
  <c r="U29" i="4"/>
  <c r="U28"/>
  <c r="AN16" i="9"/>
  <c r="AF16"/>
  <c r="U18" i="7"/>
  <c r="U17"/>
  <c r="Q18"/>
  <c r="Q17"/>
  <c r="AN17" i="9"/>
  <c r="AF17"/>
  <c r="U31" i="4"/>
  <c r="U30"/>
  <c r="AN18" i="9"/>
  <c r="AF18"/>
  <c r="U20" i="7"/>
  <c r="U19"/>
  <c r="Q20"/>
  <c r="Q19"/>
  <c r="U22"/>
  <c r="U21"/>
  <c r="Q22"/>
  <c r="Q21"/>
  <c r="AN19" i="9"/>
  <c r="AF19"/>
  <c r="AN20"/>
  <c r="AF20"/>
  <c r="AN21"/>
  <c r="AF21"/>
  <c r="U33" i="4"/>
  <c r="U32"/>
  <c r="U35"/>
  <c r="U34"/>
  <c r="AN22" i="9"/>
  <c r="AF22"/>
  <c r="AN23"/>
  <c r="AF23"/>
  <c r="U24" i="7"/>
  <c r="U23"/>
  <c r="Q24"/>
  <c r="Q23"/>
  <c r="U37" i="4"/>
  <c r="U36"/>
  <c r="AN24" i="9"/>
  <c r="AF24"/>
  <c r="U26" i="7"/>
  <c r="U25"/>
  <c r="Q26"/>
  <c r="Q25"/>
  <c r="AN25" i="9"/>
  <c r="AF25"/>
  <c r="U39" i="4"/>
  <c r="U38"/>
  <c r="U28" i="7"/>
  <c r="U27"/>
  <c r="Q28"/>
  <c r="Q27"/>
  <c r="AN26" i="9"/>
  <c r="AF26"/>
  <c r="AN27"/>
  <c r="AF27"/>
  <c r="U41" i="4"/>
  <c r="U40"/>
  <c r="AN28" i="9"/>
  <c r="AF28"/>
  <c r="U30" i="7"/>
  <c r="U29"/>
  <c r="Q30"/>
  <c r="Q29"/>
  <c r="AN29" i="9"/>
  <c r="AF29"/>
  <c r="U43" i="4"/>
  <c r="U42"/>
  <c r="AN30" i="9"/>
  <c r="AF30"/>
  <c r="U32" i="7"/>
  <c r="U31"/>
  <c r="Q32"/>
  <c r="Q31"/>
  <c r="AN31" i="9"/>
  <c r="AF31"/>
  <c r="U45" i="4"/>
  <c r="U44"/>
  <c r="AN32" i="9"/>
  <c r="AF32"/>
  <c r="U34" i="7"/>
  <c r="U33"/>
  <c r="Q34"/>
  <c r="Q33"/>
  <c r="AN33" i="9"/>
  <c r="AF33"/>
  <c r="U47" i="4"/>
  <c r="U46"/>
  <c r="AN34" i="9"/>
  <c r="AF34"/>
  <c r="U36" i="7"/>
  <c r="U35"/>
  <c r="Q36"/>
  <c r="Q35"/>
  <c r="AN35" i="9"/>
  <c r="AF35"/>
  <c r="AN36"/>
  <c r="AF36"/>
  <c r="U49" i="4"/>
  <c r="U48"/>
  <c r="U38" i="7"/>
  <c r="U37"/>
  <c r="Q38"/>
  <c r="Q37"/>
  <c r="AN37" i="9"/>
  <c r="AF37"/>
  <c r="U51" i="4"/>
  <c r="U50"/>
  <c r="U40" i="7"/>
  <c r="U39"/>
  <c r="Q40"/>
  <c r="Q39"/>
  <c r="AN38" i="9"/>
  <c r="AF38"/>
  <c r="AN39"/>
  <c r="AF39"/>
  <c r="U53" i="4"/>
  <c r="U52"/>
  <c r="AN40" i="9"/>
  <c r="AF40"/>
  <c r="U42" i="7"/>
  <c r="U41"/>
  <c r="Q42"/>
  <c r="Q41"/>
  <c r="AN41" i="9"/>
  <c r="AF41"/>
  <c r="U55" i="4"/>
  <c r="U54"/>
  <c r="AN42" i="9"/>
  <c r="AF42"/>
  <c r="U44" i="7"/>
  <c r="U43"/>
  <c r="Q44"/>
  <c r="Q43"/>
  <c r="AN43" i="9"/>
  <c r="AF43"/>
  <c r="U57" i="4"/>
  <c r="U56"/>
  <c r="U59"/>
  <c r="U3"/>
  <c r="AN44" i="9"/>
  <c r="AF44"/>
  <c r="U46" i="7"/>
  <c r="U45"/>
  <c r="Q46"/>
  <c r="Q45"/>
  <c r="AN45" i="9"/>
  <c r="AF45"/>
  <c r="AN46"/>
  <c r="AF46"/>
  <c r="U48" i="7"/>
  <c r="U47"/>
  <c r="Q48"/>
  <c r="Q47"/>
  <c r="AN47" i="9"/>
  <c r="AF47"/>
  <c r="U61" i="4"/>
  <c r="U60"/>
  <c r="AN48" i="9"/>
  <c r="AF48"/>
  <c r="U50" i="7"/>
  <c r="U49"/>
  <c r="Q50"/>
  <c r="Q49"/>
  <c r="AN49" i="9"/>
  <c r="AF49"/>
  <c r="U63" i="4"/>
  <c r="U62"/>
  <c r="AN50" i="9"/>
  <c r="AF50"/>
  <c r="U52" i="7"/>
  <c r="U51"/>
  <c r="Q52"/>
  <c r="Q51"/>
  <c r="AN51" i="9"/>
  <c r="AF51"/>
  <c r="U65" i="4"/>
  <c r="U64"/>
  <c r="U54" i="7"/>
  <c r="U53"/>
  <c r="Q54"/>
  <c r="Q53"/>
  <c r="AN52" i="9"/>
  <c r="AF52"/>
  <c r="AN53"/>
  <c r="AF53"/>
  <c r="U67" i="4"/>
  <c r="U66"/>
  <c r="AN54" i="9"/>
  <c r="AF54"/>
  <c r="U69" i="4"/>
  <c r="U68"/>
  <c r="U56" i="7"/>
  <c r="U55"/>
  <c r="Q56"/>
  <c r="Q55"/>
  <c r="AN56" i="9"/>
  <c r="AF56"/>
  <c r="AN55"/>
  <c r="AF55"/>
  <c r="Q58" i="7"/>
  <c r="Q57"/>
  <c r="AN57" i="9"/>
  <c r="AF57"/>
  <c r="U71" i="4"/>
  <c r="U70"/>
  <c r="U58" i="7"/>
  <c r="U57"/>
  <c r="AN58" i="9"/>
  <c r="AF58"/>
  <c r="Q60" i="7"/>
  <c r="Q59"/>
  <c r="U60"/>
  <c r="U59"/>
  <c r="AN59" i="9"/>
  <c r="AF59"/>
  <c r="U73" i="4"/>
  <c r="U72"/>
  <c r="AN60" i="9"/>
  <c r="AF60"/>
  <c r="U62" i="7"/>
  <c r="U61"/>
  <c r="Q62"/>
  <c r="Q61"/>
  <c r="AN3" i="9"/>
  <c r="AF3"/>
  <c r="U58" i="4"/>
  <c r="U74"/>
  <c r="AN61" i="9"/>
  <c r="AF61"/>
  <c r="U3" i="7"/>
  <c r="U63"/>
  <c r="Q3"/>
  <c r="Q63"/>
  <c r="AN63" i="9"/>
  <c r="AF63"/>
  <c r="U75" i="4"/>
  <c r="U76"/>
  <c r="AN62" i="9"/>
  <c r="AF62"/>
  <c r="Q66" i="7"/>
  <c r="Q64"/>
  <c r="U66"/>
  <c r="U64"/>
  <c r="AN64" i="9"/>
  <c r="AF64"/>
  <c r="U79" i="4"/>
  <c r="U77"/>
  <c r="AN66" i="9"/>
  <c r="AF66"/>
  <c r="U67" i="7"/>
  <c r="Q67"/>
  <c r="AN67" i="9"/>
  <c r="AF67"/>
  <c r="U81" i="4"/>
  <c r="U80"/>
  <c r="U69" i="7"/>
  <c r="U68"/>
  <c r="Q69"/>
  <c r="Q68"/>
  <c r="AN68" i="9"/>
  <c r="AF68"/>
  <c r="AN69"/>
  <c r="AF69"/>
  <c r="U83" i="4"/>
  <c r="U82"/>
  <c r="U71" i="7"/>
  <c r="U70"/>
  <c r="Q71"/>
  <c r="Q70"/>
  <c r="AN70" i="9"/>
  <c r="AF70"/>
  <c r="AN71"/>
  <c r="AF71"/>
  <c r="U85" i="4"/>
  <c r="U84"/>
  <c r="U73" i="7"/>
  <c r="U72"/>
  <c r="Q73"/>
  <c r="Q72"/>
  <c r="AN72" i="9"/>
  <c r="AF72"/>
  <c r="AN73"/>
  <c r="AF73"/>
  <c r="U87" i="4"/>
  <c r="U86"/>
  <c r="U75" i="7"/>
  <c r="U74"/>
  <c r="Q75"/>
  <c r="Q74"/>
  <c r="AN65" i="9"/>
  <c r="AF65"/>
  <c r="AN75"/>
  <c r="AF75"/>
  <c r="U89" i="4"/>
  <c r="U88"/>
  <c r="Q77" i="7"/>
  <c r="Q76"/>
  <c r="U77"/>
  <c r="U76"/>
  <c r="AN76" i="9"/>
  <c r="AF76"/>
  <c r="Q79" i="7"/>
  <c r="Q78"/>
  <c r="U79"/>
  <c r="U78"/>
  <c r="AN77" i="9"/>
  <c r="AF77"/>
  <c r="AN78"/>
  <c r="AF78"/>
  <c r="U91" i="4"/>
  <c r="U90"/>
  <c r="AN74" i="9"/>
  <c r="AF74"/>
  <c r="U93" i="4"/>
  <c r="U92"/>
  <c r="U81" i="7"/>
  <c r="U80"/>
  <c r="Q81"/>
  <c r="Q80"/>
  <c r="AN80" i="9"/>
  <c r="AF80"/>
  <c r="AN81"/>
  <c r="AF81"/>
  <c r="U95" i="4"/>
  <c r="U94"/>
  <c r="Q83" i="7"/>
  <c r="Q82"/>
  <c r="U83"/>
  <c r="U82"/>
  <c r="AN82" i="9"/>
  <c r="AF82"/>
  <c r="AN83"/>
  <c r="AF83"/>
  <c r="U97" i="4"/>
  <c r="U96"/>
  <c r="U85" i="7"/>
  <c r="U84"/>
  <c r="Q85"/>
  <c r="Q84"/>
  <c r="AN84" i="9"/>
  <c r="AF84"/>
  <c r="AN85"/>
  <c r="AF85"/>
  <c r="U87" i="7"/>
  <c r="U86"/>
  <c r="Q87"/>
  <c r="Q86"/>
  <c r="AN86" i="9"/>
  <c r="AF86"/>
  <c r="AN87"/>
  <c r="AF87"/>
  <c r="U100" i="4"/>
  <c r="U99"/>
  <c r="U89" i="7"/>
  <c r="U88"/>
  <c r="Q89"/>
  <c r="Q88"/>
  <c r="AN88" i="9"/>
  <c r="AF88"/>
  <c r="AN89"/>
  <c r="AF89"/>
  <c r="U102" i="4"/>
  <c r="U101"/>
  <c r="Q91" i="7"/>
  <c r="Q90"/>
  <c r="U91"/>
  <c r="U90"/>
  <c r="AN90" i="9"/>
  <c r="AF90"/>
  <c r="AN91"/>
  <c r="AF91"/>
  <c r="U104" i="4"/>
  <c r="U103"/>
  <c r="U93" i="7"/>
  <c r="U92"/>
  <c r="Q93"/>
  <c r="Q92"/>
  <c r="AN92" i="9"/>
  <c r="AF92"/>
  <c r="AN93"/>
  <c r="AF93"/>
  <c r="U106" i="4"/>
  <c r="U105"/>
  <c r="U95" i="7"/>
  <c r="U94"/>
  <c r="Q95"/>
  <c r="Q94"/>
  <c r="AN94" i="9"/>
  <c r="AF94"/>
  <c r="AN95"/>
  <c r="AF95"/>
  <c r="U108" i="4"/>
  <c r="U107"/>
  <c r="U97" i="7"/>
  <c r="U96"/>
  <c r="Q97"/>
  <c r="Q96"/>
  <c r="AN96" i="9"/>
  <c r="AF96"/>
  <c r="AN97"/>
  <c r="AF97"/>
  <c r="U110" i="4"/>
  <c r="U109"/>
  <c r="U99" i="7"/>
  <c r="U98"/>
  <c r="Q99"/>
  <c r="Q98"/>
  <c r="AN98" i="9"/>
  <c r="AF98"/>
  <c r="AN99"/>
  <c r="AF99"/>
  <c r="U112" i="4"/>
  <c r="U111"/>
  <c r="U104" i="7"/>
  <c r="U100"/>
  <c r="Q104"/>
  <c r="Q100"/>
  <c r="AN100" i="9"/>
  <c r="AF100"/>
  <c r="U102" i="7"/>
  <c r="U103"/>
  <c r="Q102"/>
  <c r="Q103"/>
  <c r="U65"/>
  <c r="U101"/>
  <c r="Q65"/>
  <c r="Q101"/>
  <c r="AN101" i="9"/>
  <c r="AF101"/>
  <c r="AN104"/>
  <c r="AF104"/>
  <c r="AN103"/>
  <c r="AF103"/>
  <c r="AN102"/>
  <c r="AF102"/>
  <c r="U116" i="4"/>
  <c r="U113"/>
  <c r="U114"/>
  <c r="U115"/>
  <c r="AN79" i="9"/>
  <c r="AF79"/>
  <c r="U118" i="4"/>
  <c r="U78"/>
  <c r="U107" i="7"/>
  <c r="U106"/>
  <c r="Q107"/>
  <c r="Q106"/>
  <c r="AN106" i="9"/>
  <c r="AF106"/>
  <c r="U120" i="4"/>
  <c r="U119"/>
  <c r="AN107" i="9"/>
  <c r="AF107"/>
  <c r="U109" i="7"/>
  <c r="U108"/>
  <c r="Q109"/>
  <c r="Q108"/>
  <c r="AN108" i="9"/>
  <c r="AF108"/>
  <c r="AN109"/>
  <c r="AF109"/>
  <c r="U122" i="4"/>
  <c r="U121"/>
  <c r="U111" i="7"/>
  <c r="U110"/>
  <c r="Q111"/>
  <c r="Q110"/>
  <c r="AN110" i="9"/>
  <c r="AF110"/>
  <c r="AN111"/>
  <c r="AF111"/>
  <c r="U124" i="4"/>
  <c r="U123"/>
  <c r="U113" i="7"/>
  <c r="U112"/>
  <c r="Q113"/>
  <c r="Q112"/>
  <c r="AN112" i="9"/>
  <c r="AF112"/>
  <c r="AN113"/>
  <c r="AF113"/>
  <c r="U126" i="4"/>
  <c r="U125"/>
  <c r="U115" i="7"/>
  <c r="U114"/>
  <c r="Q115"/>
  <c r="Q114"/>
  <c r="AN114" i="9"/>
  <c r="AF114"/>
  <c r="AN115"/>
  <c r="AF115"/>
  <c r="U128" i="4"/>
  <c r="U127"/>
  <c r="U117" i="7"/>
  <c r="U116"/>
  <c r="Q117"/>
  <c r="Q116"/>
  <c r="AN116" i="9"/>
  <c r="AF116"/>
  <c r="AN117"/>
  <c r="AF117"/>
  <c r="U130" i="4"/>
  <c r="U129"/>
  <c r="U119" i="7"/>
  <c r="U118"/>
  <c r="Q119"/>
  <c r="Q118"/>
  <c r="AN118" i="9"/>
  <c r="AF118"/>
  <c r="AN119"/>
  <c r="AF119"/>
  <c r="U132" i="4"/>
  <c r="U131"/>
  <c r="U121" i="7"/>
  <c r="U120"/>
  <c r="Q121"/>
  <c r="Q120"/>
  <c r="AN120" i="9"/>
  <c r="AF120"/>
  <c r="AN121"/>
  <c r="AF121"/>
  <c r="U134" i="4"/>
  <c r="U133"/>
  <c r="U123" i="7"/>
  <c r="U122"/>
  <c r="Q123"/>
  <c r="Q122"/>
  <c r="AN122" i="9"/>
  <c r="AF122"/>
  <c r="AN123"/>
  <c r="AF123"/>
  <c r="U136" i="4"/>
  <c r="U135"/>
  <c r="U125" i="7"/>
  <c r="U124"/>
  <c r="Q125"/>
  <c r="Q124"/>
  <c r="AN124" i="9"/>
  <c r="AF124"/>
  <c r="AN125"/>
  <c r="AF125"/>
  <c r="U138" i="4"/>
  <c r="U137"/>
  <c r="U127" i="7"/>
  <c r="U126"/>
  <c r="Q127"/>
  <c r="Q126"/>
  <c r="AN126" i="9"/>
  <c r="AF126"/>
  <c r="AN127"/>
  <c r="AF127"/>
  <c r="U140" i="4"/>
  <c r="U139"/>
  <c r="U129" i="7"/>
  <c r="U128"/>
  <c r="Q129"/>
  <c r="Q128"/>
  <c r="AN128" i="9"/>
  <c r="AF128"/>
  <c r="AN129"/>
  <c r="AF129"/>
  <c r="U142" i="4"/>
  <c r="U141"/>
  <c r="U131" i="7"/>
  <c r="U130"/>
  <c r="Q131"/>
  <c r="Q130"/>
  <c r="AN130" i="9"/>
  <c r="AF130"/>
  <c r="U143" i="4"/>
  <c r="AN131" i="9"/>
  <c r="AF131"/>
  <c r="U145" i="4"/>
  <c r="U144"/>
  <c r="U133" i="7"/>
  <c r="U132"/>
  <c r="Q133"/>
  <c r="Q132"/>
  <c r="AN132" i="9"/>
  <c r="AF132"/>
  <c r="AN133"/>
  <c r="AF133"/>
  <c r="U147" i="4"/>
  <c r="U146"/>
  <c r="U135" i="7"/>
  <c r="U134"/>
  <c r="Q135"/>
  <c r="Q134"/>
  <c r="AN134" i="9"/>
  <c r="AF134"/>
  <c r="AN135"/>
  <c r="AF135"/>
  <c r="Q137" i="7"/>
  <c r="Q136"/>
  <c r="AN136" i="9"/>
  <c r="AF136"/>
  <c r="U149" i="4"/>
  <c r="U148"/>
  <c r="U137" i="7"/>
  <c r="U136"/>
  <c r="AN137" i="9"/>
  <c r="AF137"/>
  <c r="U151" i="4"/>
  <c r="U150"/>
  <c r="U139" i="7"/>
  <c r="U138"/>
  <c r="Q139"/>
  <c r="Q138"/>
  <c r="AN138" i="9"/>
  <c r="AF138"/>
  <c r="AN139"/>
  <c r="AF139"/>
  <c r="U105" i="7"/>
  <c r="U140"/>
  <c r="Q105"/>
  <c r="Q140"/>
  <c r="AN140" i="9"/>
  <c r="AF140"/>
  <c r="U153" i="4"/>
  <c r="U152"/>
  <c r="AN141" i="9"/>
  <c r="AF141"/>
  <c r="U143" i="7"/>
  <c r="U142"/>
  <c r="Q143"/>
  <c r="Q142"/>
  <c r="AN142" i="9"/>
  <c r="AF142"/>
  <c r="U155" i="4"/>
  <c r="U154"/>
  <c r="AN143" i="9"/>
  <c r="AF143"/>
  <c r="U145" i="7"/>
  <c r="U144"/>
  <c r="Q145"/>
  <c r="Q144"/>
  <c r="AN144" i="9"/>
  <c r="AF144"/>
  <c r="U157" i="4"/>
  <c r="U156"/>
  <c r="AN145" i="9"/>
  <c r="AF145"/>
  <c r="U147" i="7"/>
  <c r="U146"/>
  <c r="Q147"/>
  <c r="Q146"/>
  <c r="AN146" i="9"/>
  <c r="AF146"/>
  <c r="U159" i="4"/>
  <c r="U158"/>
  <c r="AN147" i="9"/>
  <c r="AF147"/>
  <c r="U149" i="7"/>
  <c r="U148"/>
  <c r="Q149"/>
  <c r="Q148"/>
  <c r="AN148" i="9"/>
  <c r="AF148"/>
  <c r="U161" i="4"/>
  <c r="U160"/>
  <c r="AN105" i="9"/>
  <c r="AF105"/>
  <c r="U163" i="4"/>
  <c r="U162"/>
  <c r="U141" i="7"/>
  <c r="U151"/>
  <c r="U150"/>
  <c r="Q141"/>
  <c r="Q151"/>
  <c r="Q150"/>
  <c r="AN151" i="9"/>
  <c r="AF151"/>
  <c r="AN150"/>
  <c r="AF150"/>
  <c r="U152" i="7"/>
  <c r="Q152"/>
  <c r="AN149" i="9"/>
  <c r="AF149"/>
  <c r="U164" i="4"/>
  <c r="U117"/>
  <c r="AN152" i="9"/>
  <c r="AF152"/>
  <c r="U154" i="7"/>
  <c r="U153"/>
  <c r="Q154"/>
  <c r="Q153"/>
  <c r="AN153" i="9"/>
  <c r="AF153"/>
  <c r="U166" i="4"/>
  <c r="U165"/>
  <c r="AN154" i="9"/>
  <c r="AF154"/>
  <c r="U156" i="7"/>
  <c r="U155"/>
  <c r="Q156"/>
  <c r="Q155"/>
  <c r="AN155" i="9"/>
  <c r="AF155"/>
  <c r="U168" i="4"/>
  <c r="U167"/>
  <c r="AN156" i="9"/>
  <c r="AF156"/>
  <c r="Q158" i="7"/>
  <c r="Q157"/>
  <c r="U158"/>
  <c r="U157"/>
  <c r="AN157" i="9"/>
  <c r="AF157"/>
  <c r="U170" i="4"/>
  <c r="U169"/>
  <c r="AN158" i="9"/>
  <c r="AF158"/>
  <c r="U5" i="10"/>
  <c r="U4"/>
  <c r="U3"/>
  <c r="Q5"/>
  <c r="Q4"/>
  <c r="Q3"/>
  <c r="Q159" i="7"/>
  <c r="U171" i="4"/>
  <c r="AF159" i="9"/>
  <c r="AN159"/>
  <c r="U159" i="7"/>
  <c r="L14" i="4"/>
  <c r="B6" i="7"/>
  <c r="G12"/>
  <c r="B12"/>
  <c r="I14"/>
  <c r="I8"/>
  <c r="M12"/>
  <c r="L14"/>
  <c r="B4"/>
  <c r="J8"/>
  <c r="K8"/>
  <c r="J10"/>
  <c r="E16"/>
  <c r="J16"/>
  <c r="I12"/>
  <c r="G10"/>
  <c r="L10"/>
  <c r="I16"/>
  <c r="J6"/>
  <c r="L12"/>
  <c r="F14"/>
  <c r="H16"/>
  <c r="K4"/>
  <c r="G6"/>
  <c r="M14"/>
  <c r="M4"/>
  <c r="M10"/>
  <c r="J4"/>
  <c r="F4"/>
  <c r="E14"/>
  <c r="H12"/>
  <c r="D8"/>
  <c r="K16"/>
  <c r="B16"/>
  <c r="G4"/>
  <c r="D4"/>
  <c r="E8"/>
  <c r="I6"/>
  <c r="L6"/>
  <c r="D10"/>
  <c r="K6"/>
  <c r="H6"/>
  <c r="D12"/>
  <c r="F6"/>
  <c r="C14"/>
  <c r="K14"/>
  <c r="G16"/>
  <c r="D14"/>
  <c r="N16" i="9"/>
  <c r="M8" i="7"/>
  <c r="K12"/>
  <c r="D16"/>
  <c r="E6"/>
  <c r="B8"/>
  <c r="H10"/>
  <c r="J12"/>
  <c r="C10"/>
  <c r="G14"/>
  <c r="H14"/>
  <c r="L16"/>
  <c r="J14"/>
  <c r="E12"/>
  <c r="N11" i="9"/>
  <c r="I10" i="7"/>
  <c r="H8"/>
  <c r="F16"/>
  <c r="E10"/>
  <c r="L4"/>
  <c r="C8"/>
  <c r="B10"/>
  <c r="G8"/>
  <c r="F10"/>
  <c r="E4"/>
  <c r="L8"/>
  <c r="F12"/>
  <c r="C6"/>
  <c r="B14"/>
  <c r="M16"/>
  <c r="M6"/>
  <c r="C4"/>
  <c r="F8"/>
  <c r="C16"/>
  <c r="D6"/>
  <c r="I4"/>
  <c r="H4"/>
  <c r="C12"/>
  <c r="K10"/>
  <c r="Z2" i="2" l="1"/>
  <c r="X4" s="1"/>
  <c r="I4" i="5"/>
  <c r="J4"/>
  <c r="H4" s="1"/>
  <c r="I5"/>
  <c r="J5"/>
  <c r="I6"/>
  <c r="J6"/>
  <c r="H6" s="1"/>
  <c r="I7"/>
  <c r="J7"/>
  <c r="I8"/>
  <c r="J8"/>
  <c r="H8" s="1"/>
  <c r="I9"/>
  <c r="J9"/>
  <c r="I10"/>
  <c r="J10"/>
  <c r="H10" s="1"/>
  <c r="I11"/>
  <c r="J11"/>
  <c r="I12"/>
  <c r="J12"/>
  <c r="H12" s="1"/>
  <c r="I13"/>
  <c r="J13"/>
  <c r="I14"/>
  <c r="J14"/>
  <c r="H14" s="1"/>
  <c r="I15"/>
  <c r="J15"/>
  <c r="I16"/>
  <c r="H16" s="1"/>
  <c r="J16"/>
  <c r="I17"/>
  <c r="H17" s="1"/>
  <c r="J17"/>
  <c r="I18"/>
  <c r="J18"/>
  <c r="I19"/>
  <c r="J19"/>
  <c r="I20"/>
  <c r="I4" i="6"/>
  <c r="J4"/>
  <c r="I5"/>
  <c r="J5"/>
  <c r="I6"/>
  <c r="J6"/>
  <c r="I7"/>
  <c r="J7"/>
  <c r="I8"/>
  <c r="J8"/>
  <c r="I9"/>
  <c r="J9"/>
  <c r="I10"/>
  <c r="J10"/>
  <c r="I11"/>
  <c r="J11"/>
  <c r="I12"/>
  <c r="J12"/>
  <c r="I13"/>
  <c r="J13"/>
  <c r="I14"/>
  <c r="J14"/>
  <c r="I15"/>
  <c r="J15"/>
  <c r="I16"/>
  <c r="J16"/>
  <c r="I17"/>
  <c r="J17"/>
  <c r="I18"/>
  <c r="J18"/>
  <c r="G34" i="3"/>
  <c r="G36"/>
  <c r="AD2" i="9"/>
  <c r="AL2"/>
  <c r="V2" i="2"/>
  <c r="T4" s="1"/>
  <c r="M14" i="4"/>
  <c r="E9" i="7"/>
  <c r="J5"/>
  <c r="I13"/>
  <c r="N4" i="9"/>
  <c r="N8"/>
  <c r="G7" i="7"/>
  <c r="E5"/>
  <c r="C13"/>
  <c r="H9"/>
  <c r="N6" i="9"/>
  <c r="C9" i="7"/>
  <c r="N9" i="9"/>
  <c r="N14"/>
  <c r="I7" i="7"/>
  <c r="F13"/>
  <c r="J7"/>
  <c r="L9"/>
  <c r="B13"/>
  <c r="K9"/>
  <c r="N12" i="9"/>
  <c r="K5" i="7"/>
  <c r="N7" i="9"/>
  <c r="G5" i="7"/>
  <c r="I5"/>
  <c r="F9"/>
  <c r="B7"/>
  <c r="K7"/>
  <c r="L13"/>
  <c r="M7"/>
  <c r="C5"/>
  <c r="H7"/>
  <c r="I9"/>
  <c r="H5"/>
  <c r="D9"/>
  <c r="M9"/>
  <c r="J13"/>
  <c r="L5"/>
  <c r="D7"/>
  <c r="B5"/>
  <c r="N5" i="9"/>
  <c r="K13" i="7"/>
  <c r="L7"/>
  <c r="F7"/>
  <c r="N10" i="9"/>
  <c r="H13" i="7"/>
  <c r="G9"/>
  <c r="B9"/>
  <c r="N13" i="9"/>
  <c r="J9" i="7"/>
  <c r="D5"/>
  <c r="D13"/>
  <c r="F5"/>
  <c r="E7"/>
  <c r="M5"/>
  <c r="G13"/>
  <c r="E13"/>
  <c r="C7"/>
  <c r="M13"/>
  <c r="Q5" i="4" l="1"/>
  <c r="Q4"/>
  <c r="Q7"/>
  <c r="Q6"/>
  <c r="Q9"/>
  <c r="Q8"/>
  <c r="Q11"/>
  <c r="Q10"/>
  <c r="Q13"/>
  <c r="Q12"/>
  <c r="T6" i="2"/>
  <c r="T5"/>
  <c r="X6"/>
  <c r="X5"/>
  <c r="T8"/>
  <c r="T7"/>
  <c r="X8"/>
  <c r="X7"/>
  <c r="T10"/>
  <c r="T9"/>
  <c r="X10"/>
  <c r="X9"/>
  <c r="T12"/>
  <c r="T11"/>
  <c r="X12"/>
  <c r="X11"/>
  <c r="T14"/>
  <c r="T13"/>
  <c r="X14"/>
  <c r="X13"/>
  <c r="T15"/>
  <c r="T16"/>
  <c r="X15"/>
  <c r="X16"/>
  <c r="H16" i="6"/>
  <c r="H14"/>
  <c r="H12"/>
  <c r="H10"/>
  <c r="H8"/>
  <c r="H6"/>
  <c r="AB5" i="9"/>
  <c r="AB4"/>
  <c r="AJ5"/>
  <c r="AJ4"/>
  <c r="T17" i="2"/>
  <c r="X17"/>
  <c r="AB7" i="9"/>
  <c r="AB6"/>
  <c r="AJ7"/>
  <c r="AJ6"/>
  <c r="T19" i="2"/>
  <c r="T18"/>
  <c r="X19"/>
  <c r="X18"/>
  <c r="AB9" i="9"/>
  <c r="AB8"/>
  <c r="AJ9"/>
  <c r="AJ8"/>
  <c r="T21" i="2"/>
  <c r="T20"/>
  <c r="X21"/>
  <c r="X20"/>
  <c r="AB11" i="9"/>
  <c r="AB10"/>
  <c r="AJ11"/>
  <c r="AJ10"/>
  <c r="T23" i="2"/>
  <c r="T22"/>
  <c r="X23"/>
  <c r="X22"/>
  <c r="AB12" i="9"/>
  <c r="AJ12"/>
  <c r="T25" i="2"/>
  <c r="T24"/>
  <c r="X25"/>
  <c r="X24"/>
  <c r="H19" i="5"/>
  <c r="AB14" i="9"/>
  <c r="AB13"/>
  <c r="AJ14"/>
  <c r="AJ13"/>
  <c r="T27" i="2"/>
  <c r="T26"/>
  <c r="X27"/>
  <c r="X26"/>
  <c r="AJ16" i="9"/>
  <c r="AJ15"/>
  <c r="AB16"/>
  <c r="AB15"/>
  <c r="T29" i="2"/>
  <c r="T28"/>
  <c r="X29"/>
  <c r="X28"/>
  <c r="H17" i="6"/>
  <c r="H15"/>
  <c r="H13"/>
  <c r="H11"/>
  <c r="H9"/>
  <c r="H7"/>
  <c r="H5"/>
  <c r="H4"/>
  <c r="H18" i="5"/>
  <c r="H15"/>
  <c r="H13"/>
  <c r="H11"/>
  <c r="H9"/>
  <c r="H7"/>
  <c r="H5"/>
  <c r="AB18" i="9"/>
  <c r="AB17"/>
  <c r="AJ18"/>
  <c r="AJ17"/>
  <c r="X31" i="2"/>
  <c r="X30"/>
  <c r="T31"/>
  <c r="T30"/>
  <c r="AB20" i="9"/>
  <c r="AB19"/>
  <c r="AJ20"/>
  <c r="AJ19"/>
  <c r="AB22"/>
  <c r="AB21"/>
  <c r="AJ22"/>
  <c r="AJ21"/>
  <c r="X33" i="2"/>
  <c r="X32"/>
  <c r="T33"/>
  <c r="T32"/>
  <c r="X35"/>
  <c r="X34"/>
  <c r="T35"/>
  <c r="T34"/>
  <c r="AB24" i="9"/>
  <c r="AB23"/>
  <c r="AJ24"/>
  <c r="AJ23"/>
  <c r="X37" i="2"/>
  <c r="X36"/>
  <c r="T37"/>
  <c r="T36"/>
  <c r="AB26" i="9"/>
  <c r="AB25"/>
  <c r="AJ26"/>
  <c r="AJ25"/>
  <c r="X39" i="2"/>
  <c r="X38"/>
  <c r="T39"/>
  <c r="T38"/>
  <c r="AB28" i="9"/>
  <c r="AB27"/>
  <c r="AJ28"/>
  <c r="AJ27"/>
  <c r="X41" i="2"/>
  <c r="X40"/>
  <c r="T41"/>
  <c r="T40"/>
  <c r="AB30" i="9"/>
  <c r="AB29"/>
  <c r="AJ30"/>
  <c r="AJ29"/>
  <c r="X43" i="2"/>
  <c r="X42"/>
  <c r="T43"/>
  <c r="T42"/>
  <c r="AB32" i="9"/>
  <c r="AB31"/>
  <c r="AJ32"/>
  <c r="AJ31"/>
  <c r="X44" i="2"/>
  <c r="T44"/>
  <c r="AB34" i="9"/>
  <c r="AB33"/>
  <c r="AJ34"/>
  <c r="AJ33"/>
  <c r="X46" i="2"/>
  <c r="X45"/>
  <c r="T46"/>
  <c r="T45"/>
  <c r="AB36" i="9"/>
  <c r="AB35"/>
  <c r="AJ36"/>
  <c r="AJ35"/>
  <c r="X48" i="2"/>
  <c r="X47"/>
  <c r="T48"/>
  <c r="T47"/>
  <c r="AB38" i="9"/>
  <c r="AB37"/>
  <c r="AJ38"/>
  <c r="AJ37"/>
  <c r="X50" i="2"/>
  <c r="X49"/>
  <c r="T50"/>
  <c r="T49"/>
  <c r="AB40" i="9"/>
  <c r="AB39"/>
  <c r="AJ40"/>
  <c r="AJ39"/>
  <c r="X52" i="2"/>
  <c r="X51"/>
  <c r="T52"/>
  <c r="T51"/>
  <c r="AB42" i="9"/>
  <c r="AB41"/>
  <c r="AJ42"/>
  <c r="AJ41"/>
  <c r="T54" i="2"/>
  <c r="T53"/>
  <c r="X54"/>
  <c r="X53"/>
  <c r="AJ44" i="9"/>
  <c r="AJ43"/>
  <c r="AB44"/>
  <c r="AB43"/>
  <c r="T56" i="2"/>
  <c r="T55"/>
  <c r="X56"/>
  <c r="X55"/>
  <c r="Q3" i="4"/>
  <c r="T58" i="2"/>
  <c r="T57"/>
  <c r="X58"/>
  <c r="X57"/>
  <c r="AJ46" i="9"/>
  <c r="AJ45"/>
  <c r="AB46"/>
  <c r="AB45"/>
  <c r="AJ48"/>
  <c r="AJ47"/>
  <c r="AB48"/>
  <c r="AB47"/>
  <c r="T60" i="2"/>
  <c r="T59"/>
  <c r="X60"/>
  <c r="X59"/>
  <c r="T61"/>
  <c r="X61"/>
  <c r="AJ50" i="9"/>
  <c r="AJ49"/>
  <c r="AB50"/>
  <c r="AB49"/>
  <c r="T62" i="2"/>
  <c r="X62"/>
  <c r="AJ52" i="9"/>
  <c r="AJ51"/>
  <c r="AB52"/>
  <c r="AB51"/>
  <c r="T64" i="2"/>
  <c r="T63"/>
  <c r="X64"/>
  <c r="X63"/>
  <c r="AJ54" i="9"/>
  <c r="AJ53"/>
  <c r="AB54"/>
  <c r="AB53"/>
  <c r="T66" i="2"/>
  <c r="T65"/>
  <c r="X66"/>
  <c r="X65"/>
  <c r="T69"/>
  <c r="T67"/>
  <c r="T68"/>
  <c r="AJ56" i="9"/>
  <c r="AJ55"/>
  <c r="AB56"/>
  <c r="AB55"/>
  <c r="X69" i="2"/>
  <c r="X67"/>
  <c r="X68"/>
  <c r="AJ58" i="9"/>
  <c r="AJ57"/>
  <c r="AB58"/>
  <c r="AB57"/>
  <c r="T71" i="2"/>
  <c r="T70"/>
  <c r="X71"/>
  <c r="X70"/>
  <c r="AJ60" i="9"/>
  <c r="AJ59"/>
  <c r="AB60"/>
  <c r="AB59"/>
  <c r="X73" i="2"/>
  <c r="X72"/>
  <c r="T73"/>
  <c r="T72"/>
  <c r="AB61" i="9"/>
  <c r="AB3"/>
  <c r="AJ61"/>
  <c r="AJ3"/>
  <c r="X75" i="2"/>
  <c r="X74"/>
  <c r="T75"/>
  <c r="T74"/>
  <c r="AB62" i="9"/>
  <c r="AB63"/>
  <c r="AJ62"/>
  <c r="AJ63"/>
  <c r="X77" i="2"/>
  <c r="X3"/>
  <c r="T77"/>
  <c r="T3"/>
  <c r="AJ66" i="9"/>
  <c r="AJ64"/>
  <c r="AB66"/>
  <c r="AB64"/>
  <c r="T79" i="2"/>
  <c r="T78"/>
  <c r="X79"/>
  <c r="X78"/>
  <c r="AJ67" i="9"/>
  <c r="AB67"/>
  <c r="AJ69"/>
  <c r="AJ68"/>
  <c r="AB69"/>
  <c r="AB68"/>
  <c r="T76" i="2"/>
  <c r="T80"/>
  <c r="X76"/>
  <c r="X80"/>
  <c r="AJ71" i="9"/>
  <c r="AJ70"/>
  <c r="AB71"/>
  <c r="AB70"/>
  <c r="X83" i="2"/>
  <c r="X82"/>
  <c r="T83"/>
  <c r="T82"/>
  <c r="AJ73" i="9"/>
  <c r="AJ72"/>
  <c r="AB73"/>
  <c r="AB72"/>
  <c r="T85" i="2"/>
  <c r="T84"/>
  <c r="X85"/>
  <c r="X84"/>
  <c r="AJ75" i="9"/>
  <c r="AJ65"/>
  <c r="AB75"/>
  <c r="AB65"/>
  <c r="T87" i="2"/>
  <c r="T81"/>
  <c r="X87"/>
  <c r="X81"/>
  <c r="AJ77" i="9"/>
  <c r="AJ76"/>
  <c r="AB77"/>
  <c r="AB76"/>
  <c r="T89" i="2"/>
  <c r="T88"/>
  <c r="X89"/>
  <c r="X88"/>
  <c r="AB74" i="9"/>
  <c r="AB78"/>
  <c r="AJ74"/>
  <c r="AJ78"/>
  <c r="T91" i="2"/>
  <c r="T90"/>
  <c r="X91"/>
  <c r="X90"/>
  <c r="AJ81" i="9"/>
  <c r="AJ80"/>
  <c r="AB81"/>
  <c r="AB80"/>
  <c r="T93" i="2"/>
  <c r="T92"/>
  <c r="X93"/>
  <c r="X92"/>
  <c r="AJ83" i="9"/>
  <c r="AJ82"/>
  <c r="AB83"/>
  <c r="AB82"/>
  <c r="T95" i="2"/>
  <c r="T94"/>
  <c r="X95"/>
  <c r="X94"/>
  <c r="AJ85" i="9"/>
  <c r="AJ84"/>
  <c r="AB85"/>
  <c r="AB84"/>
  <c r="T97" i="2"/>
  <c r="T96"/>
  <c r="X97"/>
  <c r="X96"/>
  <c r="AJ87" i="9"/>
  <c r="AJ86"/>
  <c r="AB87"/>
  <c r="AB86"/>
  <c r="T99" i="2"/>
  <c r="T98"/>
  <c r="X99"/>
  <c r="X98"/>
  <c r="AJ89" i="9"/>
  <c r="AJ88"/>
  <c r="AB89"/>
  <c r="AB88"/>
  <c r="X101" i="2"/>
  <c r="X100"/>
  <c r="T101"/>
  <c r="T100"/>
  <c r="AJ91" i="9"/>
  <c r="AJ90"/>
  <c r="AB91"/>
  <c r="AB90"/>
  <c r="X103" i="2"/>
  <c r="X102"/>
  <c r="T103"/>
  <c r="T102"/>
  <c r="AJ93" i="9"/>
  <c r="AJ92"/>
  <c r="AB93"/>
  <c r="AB92"/>
  <c r="T105" i="2"/>
  <c r="T104"/>
  <c r="X105"/>
  <c r="X104"/>
  <c r="AJ95" i="9"/>
  <c r="AJ94"/>
  <c r="AB95"/>
  <c r="AB94"/>
  <c r="T107" i="2"/>
  <c r="T106"/>
  <c r="X107"/>
  <c r="X106"/>
  <c r="AJ97" i="9"/>
  <c r="AJ96"/>
  <c r="AB97"/>
  <c r="AB96"/>
  <c r="T109" i="2"/>
  <c r="T108"/>
  <c r="X109"/>
  <c r="X108"/>
  <c r="AJ99" i="9"/>
  <c r="AJ98"/>
  <c r="AB99"/>
  <c r="AB98"/>
  <c r="X111" i="2"/>
  <c r="X110"/>
  <c r="T111"/>
  <c r="T110"/>
  <c r="AJ101" i="9"/>
  <c r="AJ100"/>
  <c r="AB101"/>
  <c r="AB100"/>
  <c r="T115" i="2"/>
  <c r="T112"/>
  <c r="X115"/>
  <c r="X112"/>
  <c r="AJ103" i="9"/>
  <c r="AJ104"/>
  <c r="AB103"/>
  <c r="AB104"/>
  <c r="AJ79"/>
  <c r="AJ102"/>
  <c r="AB79"/>
  <c r="AB102"/>
  <c r="T113" i="2"/>
  <c r="T114"/>
  <c r="X113"/>
  <c r="X114"/>
  <c r="T116"/>
  <c r="T86"/>
  <c r="X116"/>
  <c r="X86"/>
  <c r="T119"/>
  <c r="T118"/>
  <c r="AJ107" i="9"/>
  <c r="AJ106"/>
  <c r="AB107"/>
  <c r="AB106"/>
  <c r="X119" i="2"/>
  <c r="X118"/>
  <c r="T121"/>
  <c r="T120"/>
  <c r="AJ109" i="9"/>
  <c r="AJ108"/>
  <c r="AB109"/>
  <c r="AB108"/>
  <c r="X121" i="2"/>
  <c r="X120"/>
  <c r="AJ111" i="9"/>
  <c r="AJ110"/>
  <c r="AB111"/>
  <c r="AB110"/>
  <c r="X123" i="2"/>
  <c r="X122"/>
  <c r="T123"/>
  <c r="T122"/>
  <c r="AJ113" i="9"/>
  <c r="AJ112"/>
  <c r="AB113"/>
  <c r="AB112"/>
  <c r="T125" i="2"/>
  <c r="T124"/>
  <c r="X125"/>
  <c r="X124"/>
  <c r="AJ115" i="9"/>
  <c r="AJ114"/>
  <c r="AB115"/>
  <c r="AB114"/>
  <c r="T127" i="2"/>
  <c r="T126"/>
  <c r="X127"/>
  <c r="X126"/>
  <c r="AJ117" i="9"/>
  <c r="AJ116"/>
  <c r="AB117"/>
  <c r="AB116"/>
  <c r="T129" i="2"/>
  <c r="T128"/>
  <c r="X129"/>
  <c r="X128"/>
  <c r="AJ119" i="9"/>
  <c r="AJ118"/>
  <c r="AB119"/>
  <c r="AB118"/>
  <c r="T131" i="2"/>
  <c r="T130"/>
  <c r="X131"/>
  <c r="X130"/>
  <c r="AJ121" i="9"/>
  <c r="AJ120"/>
  <c r="AB121"/>
  <c r="AB120"/>
  <c r="T133" i="2"/>
  <c r="T132"/>
  <c r="X133"/>
  <c r="X132"/>
  <c r="AB123" i="9"/>
  <c r="AB122"/>
  <c r="AJ123"/>
  <c r="AJ122"/>
  <c r="T135" i="2"/>
  <c r="T134"/>
  <c r="X135"/>
  <c r="X134"/>
  <c r="AJ125" i="9"/>
  <c r="AJ124"/>
  <c r="AB125"/>
  <c r="AB124"/>
  <c r="T137" i="2"/>
  <c r="T136"/>
  <c r="X137"/>
  <c r="X136"/>
  <c r="AJ127" i="9"/>
  <c r="AJ126"/>
  <c r="AB127"/>
  <c r="AB126"/>
  <c r="T139" i="2"/>
  <c r="T138"/>
  <c r="X139"/>
  <c r="X138"/>
  <c r="AJ129" i="9"/>
  <c r="AJ128"/>
  <c r="AB129"/>
  <c r="AB128"/>
  <c r="T141" i="2"/>
  <c r="T140"/>
  <c r="X141"/>
  <c r="X140"/>
  <c r="AJ131" i="9"/>
  <c r="AJ130"/>
  <c r="AB131"/>
  <c r="AB130"/>
  <c r="T142" i="2"/>
  <c r="T143"/>
  <c r="X142"/>
  <c r="X143"/>
  <c r="AJ133" i="9"/>
  <c r="AJ132"/>
  <c r="AB133"/>
  <c r="AB132"/>
  <c r="T145" i="2"/>
  <c r="T144"/>
  <c r="X145"/>
  <c r="X144"/>
  <c r="T147"/>
  <c r="T146"/>
  <c r="AJ135" i="9"/>
  <c r="AJ134"/>
  <c r="AB135"/>
  <c r="AB134"/>
  <c r="X147" i="2"/>
  <c r="X146"/>
  <c r="T149"/>
  <c r="T148"/>
  <c r="AJ137" i="9"/>
  <c r="AJ136"/>
  <c r="AB137"/>
  <c r="AB136"/>
  <c r="X149" i="2"/>
  <c r="X148"/>
  <c r="T151"/>
  <c r="T150"/>
  <c r="AJ139" i="9"/>
  <c r="AJ138"/>
  <c r="AB139"/>
  <c r="AB138"/>
  <c r="X151" i="2"/>
  <c r="X150"/>
  <c r="AJ141" i="9"/>
  <c r="AJ140"/>
  <c r="AB141"/>
  <c r="AB140"/>
  <c r="T153" i="2"/>
  <c r="T152"/>
  <c r="X153"/>
  <c r="X152"/>
  <c r="AJ143" i="9"/>
  <c r="AJ142"/>
  <c r="AB143"/>
  <c r="AB142"/>
  <c r="T155" i="2"/>
  <c r="T154"/>
  <c r="X155"/>
  <c r="X154"/>
  <c r="AJ145" i="9"/>
  <c r="AJ144"/>
  <c r="AB145"/>
  <c r="AB144"/>
  <c r="T157" i="2"/>
  <c r="T156"/>
  <c r="X157"/>
  <c r="X156"/>
  <c r="AJ147" i="9"/>
  <c r="AJ146"/>
  <c r="AB147"/>
  <c r="AB146"/>
  <c r="T159" i="2"/>
  <c r="T158"/>
  <c r="X159"/>
  <c r="X158"/>
  <c r="AJ105" i="9"/>
  <c r="AJ148"/>
  <c r="AB105"/>
  <c r="AB148"/>
  <c r="T161" i="2"/>
  <c r="T160"/>
  <c r="X161"/>
  <c r="X160"/>
  <c r="T117"/>
  <c r="T162"/>
  <c r="AJ151" i="9"/>
  <c r="AJ150"/>
  <c r="AB151"/>
  <c r="AB150"/>
  <c r="X117" i="2"/>
  <c r="X162"/>
  <c r="J20" i="5"/>
  <c r="AB152" i="9"/>
  <c r="AB149"/>
  <c r="AJ152"/>
  <c r="AJ149"/>
  <c r="T164" i="2"/>
  <c r="T163"/>
  <c r="X164"/>
  <c r="X163"/>
  <c r="AB154" i="9"/>
  <c r="AB153"/>
  <c r="AJ154"/>
  <c r="AJ153"/>
  <c r="T166" i="2"/>
  <c r="T165"/>
  <c r="X166"/>
  <c r="X165"/>
  <c r="AB156" i="9"/>
  <c r="AB155"/>
  <c r="AJ156"/>
  <c r="AJ155"/>
  <c r="T168" i="2"/>
  <c r="T167"/>
  <c r="X168"/>
  <c r="X167"/>
  <c r="AB158" i="9"/>
  <c r="AB157"/>
  <c r="AJ158"/>
  <c r="AJ157"/>
  <c r="T170" i="2"/>
  <c r="T169"/>
  <c r="X170"/>
  <c r="X169"/>
  <c r="AJ159" i="9"/>
  <c r="AB159"/>
  <c r="T171" i="2"/>
  <c r="X171"/>
  <c r="H18" i="6" l="1"/>
  <c r="H20" i="5"/>
  <c r="M5" i="4"/>
  <c r="E5"/>
  <c r="H5"/>
  <c r="K5"/>
  <c r="C5"/>
  <c r="F5"/>
  <c r="B4"/>
  <c r="J4"/>
  <c r="G4"/>
  <c r="D4"/>
  <c r="L4"/>
  <c r="I4"/>
  <c r="K7"/>
  <c r="C7"/>
  <c r="F7"/>
  <c r="M7"/>
  <c r="E7"/>
  <c r="H7"/>
  <c r="B6"/>
  <c r="J6"/>
  <c r="G6"/>
  <c r="D6"/>
  <c r="L6"/>
  <c r="I6"/>
  <c r="E8"/>
  <c r="M8"/>
  <c r="H8"/>
  <c r="C8"/>
  <c r="K8"/>
  <c r="F8"/>
  <c r="K9"/>
  <c r="C9"/>
  <c r="F9"/>
  <c r="M9"/>
  <c r="E9"/>
  <c r="H9"/>
  <c r="I11"/>
  <c r="L11"/>
  <c r="D11"/>
  <c r="G11"/>
  <c r="J11"/>
  <c r="B11"/>
  <c r="M13"/>
  <c r="B10"/>
  <c r="J10"/>
  <c r="G10"/>
  <c r="D10"/>
  <c r="L10"/>
  <c r="I10"/>
  <c r="M12"/>
  <c r="L13"/>
  <c r="J13"/>
  <c r="H13"/>
  <c r="F13"/>
  <c r="D13"/>
  <c r="B13"/>
  <c r="H12"/>
  <c r="E12"/>
  <c r="B12"/>
  <c r="J12"/>
  <c r="K12"/>
  <c r="F14"/>
  <c r="C14"/>
  <c r="K14"/>
  <c r="H14"/>
  <c r="I14"/>
  <c r="I15"/>
  <c r="L15"/>
  <c r="D15"/>
  <c r="G15"/>
  <c r="J15"/>
  <c r="B15"/>
  <c r="L4" i="2"/>
  <c r="D4"/>
  <c r="K4"/>
  <c r="C4"/>
  <c r="J4"/>
  <c r="B4"/>
  <c r="I4"/>
  <c r="P6"/>
  <c r="H6"/>
  <c r="O6"/>
  <c r="G6"/>
  <c r="N6"/>
  <c r="F6"/>
  <c r="M6"/>
  <c r="E6"/>
  <c r="L8"/>
  <c r="D8"/>
  <c r="K8"/>
  <c r="C8"/>
  <c r="J8"/>
  <c r="B8"/>
  <c r="I8"/>
  <c r="P10"/>
  <c r="H10"/>
  <c r="O10"/>
  <c r="G10"/>
  <c r="N10"/>
  <c r="F10"/>
  <c r="M10"/>
  <c r="E10"/>
  <c r="L12"/>
  <c r="D12"/>
  <c r="K12"/>
  <c r="C12"/>
  <c r="J12"/>
  <c r="B12"/>
  <c r="I12"/>
  <c r="P14"/>
  <c r="H14"/>
  <c r="O14"/>
  <c r="G14"/>
  <c r="N14"/>
  <c r="F14"/>
  <c r="M14"/>
  <c r="E14"/>
  <c r="O16"/>
  <c r="M16"/>
  <c r="K16"/>
  <c r="I16"/>
  <c r="G16"/>
  <c r="E16"/>
  <c r="C16"/>
  <c r="I3"/>
  <c r="K17"/>
  <c r="K21"/>
  <c r="K25"/>
  <c r="K28"/>
  <c r="K33"/>
  <c r="K37"/>
  <c r="K41"/>
  <c r="K44"/>
  <c r="K48"/>
  <c r="B3" i="4"/>
  <c r="I5"/>
  <c r="L5"/>
  <c r="D5"/>
  <c r="G5"/>
  <c r="J5"/>
  <c r="B5"/>
  <c r="F4"/>
  <c r="C4"/>
  <c r="K4"/>
  <c r="H4"/>
  <c r="E4"/>
  <c r="M4"/>
  <c r="G7"/>
  <c r="J7"/>
  <c r="B7"/>
  <c r="I7"/>
  <c r="L7"/>
  <c r="D7"/>
  <c r="F6"/>
  <c r="C6"/>
  <c r="K6"/>
  <c r="H6"/>
  <c r="E6"/>
  <c r="M6"/>
  <c r="I8"/>
  <c r="D8"/>
  <c r="L8"/>
  <c r="G8"/>
  <c r="B8"/>
  <c r="J8"/>
  <c r="G9"/>
  <c r="J9"/>
  <c r="B9"/>
  <c r="I9"/>
  <c r="L9"/>
  <c r="D9"/>
  <c r="E11"/>
  <c r="H11"/>
  <c r="K11"/>
  <c r="C11"/>
  <c r="F11"/>
  <c r="M11"/>
  <c r="C23"/>
  <c r="F10"/>
  <c r="C10"/>
  <c r="K10"/>
  <c r="H10"/>
  <c r="E10"/>
  <c r="M10"/>
  <c r="C12"/>
  <c r="K13"/>
  <c r="I13"/>
  <c r="G13"/>
  <c r="E13"/>
  <c r="C13"/>
  <c r="D12"/>
  <c r="L12"/>
  <c r="I12"/>
  <c r="F12"/>
  <c r="G12"/>
  <c r="B14"/>
  <c r="J14"/>
  <c r="G14"/>
  <c r="D14"/>
  <c r="E14"/>
  <c r="M15"/>
  <c r="E15"/>
  <c r="H15"/>
  <c r="K15"/>
  <c r="C15"/>
  <c r="F15"/>
  <c r="P4" i="2"/>
  <c r="H4"/>
  <c r="O4"/>
  <c r="G4"/>
  <c r="N4"/>
  <c r="F4"/>
  <c r="M4"/>
  <c r="E4"/>
  <c r="L6"/>
  <c r="D6"/>
  <c r="K6"/>
  <c r="C6"/>
  <c r="J6"/>
  <c r="B6"/>
  <c r="I6"/>
  <c r="P8"/>
  <c r="H8"/>
  <c r="O8"/>
  <c r="G8"/>
  <c r="N8"/>
  <c r="F8"/>
  <c r="M8"/>
  <c r="E8"/>
  <c r="L10"/>
  <c r="D10"/>
  <c r="K10"/>
  <c r="C10"/>
  <c r="J10"/>
  <c r="B10"/>
  <c r="I10"/>
  <c r="P12"/>
  <c r="H12"/>
  <c r="O12"/>
  <c r="G12"/>
  <c r="N12"/>
  <c r="F12"/>
  <c r="M12"/>
  <c r="E12"/>
  <c r="L14"/>
  <c r="D14"/>
  <c r="K14"/>
  <c r="C14"/>
  <c r="J14"/>
  <c r="B14"/>
  <c r="I14"/>
  <c r="P16"/>
  <c r="N16"/>
  <c r="L16"/>
  <c r="J16"/>
  <c r="H16"/>
  <c r="F16"/>
  <c r="D16"/>
  <c r="B16"/>
  <c r="H3"/>
  <c r="K19"/>
  <c r="K23"/>
  <c r="K26"/>
  <c r="K31"/>
  <c r="K35"/>
  <c r="K39"/>
  <c r="K43"/>
  <c r="K46"/>
  <c r="K50"/>
  <c r="K54"/>
  <c r="K58"/>
  <c r="K64"/>
  <c r="K67"/>
  <c r="K73"/>
  <c r="K77"/>
  <c r="K76"/>
  <c r="K85"/>
  <c r="K89"/>
  <c r="K93"/>
  <c r="K97"/>
  <c r="K101"/>
  <c r="K105"/>
  <c r="K109"/>
  <c r="K115"/>
  <c r="K116"/>
  <c r="K121"/>
  <c r="K125"/>
  <c r="K129"/>
  <c r="K133"/>
  <c r="K137"/>
  <c r="K141"/>
  <c r="K144"/>
  <c r="K148"/>
  <c r="K152"/>
  <c r="K156"/>
  <c r="K160"/>
  <c r="K164"/>
  <c r="K168"/>
  <c r="K20"/>
  <c r="K24"/>
  <c r="K29"/>
  <c r="K32"/>
  <c r="K36"/>
  <c r="K40"/>
  <c r="K45"/>
  <c r="K49"/>
  <c r="K53"/>
  <c r="K57"/>
  <c r="K61"/>
  <c r="K63"/>
  <c r="K69"/>
  <c r="K70"/>
  <c r="K74"/>
  <c r="K78"/>
  <c r="K82"/>
  <c r="K81"/>
  <c r="K90"/>
  <c r="K94"/>
  <c r="K98"/>
  <c r="K102"/>
  <c r="K106"/>
  <c r="K110"/>
  <c r="K114"/>
  <c r="K118"/>
  <c r="K122"/>
  <c r="K126"/>
  <c r="K130"/>
  <c r="K134"/>
  <c r="K138"/>
  <c r="K143"/>
  <c r="K147"/>
  <c r="K151"/>
  <c r="K155"/>
  <c r="K159"/>
  <c r="K117"/>
  <c r="K165"/>
  <c r="K169"/>
  <c r="K171"/>
  <c r="I19"/>
  <c r="I23"/>
  <c r="I26"/>
  <c r="I31"/>
  <c r="I35"/>
  <c r="I39"/>
  <c r="I43"/>
  <c r="I46"/>
  <c r="I50"/>
  <c r="I54"/>
  <c r="I58"/>
  <c r="I64"/>
  <c r="I67"/>
  <c r="I73"/>
  <c r="I77"/>
  <c r="I76"/>
  <c r="I85"/>
  <c r="I89"/>
  <c r="I93"/>
  <c r="I97"/>
  <c r="I101"/>
  <c r="I105"/>
  <c r="I109"/>
  <c r="I115"/>
  <c r="I116"/>
  <c r="I121"/>
  <c r="I125"/>
  <c r="I129"/>
  <c r="I133"/>
  <c r="I137"/>
  <c r="I141"/>
  <c r="I144"/>
  <c r="I148"/>
  <c r="I152"/>
  <c r="I156"/>
  <c r="I160"/>
  <c r="I164"/>
  <c r="I18"/>
  <c r="I22"/>
  <c r="I27"/>
  <c r="I30"/>
  <c r="I34"/>
  <c r="I38"/>
  <c r="I42"/>
  <c r="I47"/>
  <c r="I51"/>
  <c r="I55"/>
  <c r="I59"/>
  <c r="I62"/>
  <c r="I65"/>
  <c r="I68"/>
  <c r="I72"/>
  <c r="K56"/>
  <c r="K66"/>
  <c r="K75"/>
  <c r="K83"/>
  <c r="K91"/>
  <c r="K99"/>
  <c r="K107"/>
  <c r="K113"/>
  <c r="K123"/>
  <c r="K131"/>
  <c r="K139"/>
  <c r="K146"/>
  <c r="K154"/>
  <c r="K162"/>
  <c r="K18"/>
  <c r="K27"/>
  <c r="K34"/>
  <c r="K42"/>
  <c r="K51"/>
  <c r="K59"/>
  <c r="K65"/>
  <c r="K72"/>
  <c r="K80"/>
  <c r="K88"/>
  <c r="K96"/>
  <c r="K104"/>
  <c r="K112"/>
  <c r="K120"/>
  <c r="K128"/>
  <c r="K136"/>
  <c r="K145"/>
  <c r="K153"/>
  <c r="K161"/>
  <c r="K167"/>
  <c r="I17"/>
  <c r="I25"/>
  <c r="I33"/>
  <c r="I41"/>
  <c r="I48"/>
  <c r="I56"/>
  <c r="I66"/>
  <c r="I75"/>
  <c r="I83"/>
  <c r="I91"/>
  <c r="I99"/>
  <c r="I107"/>
  <c r="I113"/>
  <c r="I123"/>
  <c r="I131"/>
  <c r="I139"/>
  <c r="I146"/>
  <c r="I154"/>
  <c r="I162"/>
  <c r="I20"/>
  <c r="I29"/>
  <c r="I36"/>
  <c r="I45"/>
  <c r="I53"/>
  <c r="I61"/>
  <c r="I69"/>
  <c r="I74"/>
  <c r="I80"/>
  <c r="I84"/>
  <c r="I88"/>
  <c r="I92"/>
  <c r="I96"/>
  <c r="I100"/>
  <c r="I104"/>
  <c r="I108"/>
  <c r="I112"/>
  <c r="I86"/>
  <c r="I120"/>
  <c r="I124"/>
  <c r="I128"/>
  <c r="I132"/>
  <c r="I136"/>
  <c r="I140"/>
  <c r="I145"/>
  <c r="I149"/>
  <c r="I153"/>
  <c r="I157"/>
  <c r="I161"/>
  <c r="I163"/>
  <c r="I167"/>
  <c r="I168"/>
  <c r="I171"/>
  <c r="I5" i="9"/>
  <c r="P4"/>
  <c r="K5"/>
  <c r="E5"/>
  <c r="I16" i="4"/>
  <c r="D17"/>
  <c r="W5" i="9"/>
  <c r="F17" i="2"/>
  <c r="X4" i="9"/>
  <c r="K16" i="4"/>
  <c r="U4" i="9"/>
  <c r="G5"/>
  <c r="D16" i="4"/>
  <c r="C17" i="2"/>
  <c r="D17"/>
  <c r="G16" i="4"/>
  <c r="Y4" i="9"/>
  <c r="M16" i="4"/>
  <c r="G17" i="2"/>
  <c r="D4" i="9"/>
  <c r="J16" i="4"/>
  <c r="O4" i="9"/>
  <c r="W4"/>
  <c r="K17" i="4"/>
  <c r="E17"/>
  <c r="C16"/>
  <c r="M4" i="9"/>
  <c r="M5"/>
  <c r="Q4"/>
  <c r="M17" i="4"/>
  <c r="L5" i="9"/>
  <c r="J4"/>
  <c r="V5"/>
  <c r="L4"/>
  <c r="H16" i="4"/>
  <c r="L17" i="2"/>
  <c r="F4" i="9"/>
  <c r="H5"/>
  <c r="C5"/>
  <c r="B17" i="4"/>
  <c r="V4" i="9"/>
  <c r="F5"/>
  <c r="K52" i="2"/>
  <c r="K60"/>
  <c r="K71"/>
  <c r="K79"/>
  <c r="K87"/>
  <c r="K95"/>
  <c r="K103"/>
  <c r="K111"/>
  <c r="K119"/>
  <c r="K127"/>
  <c r="K135"/>
  <c r="K142"/>
  <c r="K150"/>
  <c r="K158"/>
  <c r="K166"/>
  <c r="K22"/>
  <c r="K30"/>
  <c r="K38"/>
  <c r="K47"/>
  <c r="K55"/>
  <c r="K62"/>
  <c r="K68"/>
  <c r="K3"/>
  <c r="K84"/>
  <c r="K92"/>
  <c r="K100"/>
  <c r="K108"/>
  <c r="K86"/>
  <c r="K124"/>
  <c r="K132"/>
  <c r="K140"/>
  <c r="K149"/>
  <c r="K157"/>
  <c r="K163"/>
  <c r="K170"/>
  <c r="I21"/>
  <c r="I28"/>
  <c r="I37"/>
  <c r="I44"/>
  <c r="I52"/>
  <c r="I60"/>
  <c r="I71"/>
  <c r="I79"/>
  <c r="I87"/>
  <c r="I95"/>
  <c r="I103"/>
  <c r="I111"/>
  <c r="I119"/>
  <c r="I127"/>
  <c r="I135"/>
  <c r="I142"/>
  <c r="I150"/>
  <c r="I158"/>
  <c r="I166"/>
  <c r="I24"/>
  <c r="I32"/>
  <c r="I40"/>
  <c r="I49"/>
  <c r="I57"/>
  <c r="I63"/>
  <c r="I70"/>
  <c r="I78"/>
  <c r="I82"/>
  <c r="I81"/>
  <c r="I90"/>
  <c r="I94"/>
  <c r="I98"/>
  <c r="I102"/>
  <c r="I106"/>
  <c r="I110"/>
  <c r="I114"/>
  <c r="I118"/>
  <c r="I122"/>
  <c r="I126"/>
  <c r="I130"/>
  <c r="I134"/>
  <c r="I138"/>
  <c r="I143"/>
  <c r="I147"/>
  <c r="I151"/>
  <c r="I155"/>
  <c r="I159"/>
  <c r="I117"/>
  <c r="I165"/>
  <c r="I169"/>
  <c r="I170"/>
  <c r="O17"/>
  <c r="Z5" i="9"/>
  <c r="B17" i="2"/>
  <c r="S4" i="9"/>
  <c r="L17" i="4"/>
  <c r="C4" i="9"/>
  <c r="H17" i="4"/>
  <c r="G17"/>
  <c r="P17" i="2"/>
  <c r="H17"/>
  <c r="C17" i="4"/>
  <c r="B4" i="9"/>
  <c r="J5"/>
  <c r="N17" i="2"/>
  <c r="E17"/>
  <c r="F16" i="4"/>
  <c r="I4" i="9"/>
  <c r="O5"/>
  <c r="G4"/>
  <c r="U5"/>
  <c r="E16" i="4"/>
  <c r="M17" i="2"/>
  <c r="E4" i="9"/>
  <c r="B5"/>
  <c r="Z4"/>
  <c r="T5"/>
  <c r="Y5"/>
  <c r="D5"/>
  <c r="F17" i="4"/>
  <c r="Q5" i="9"/>
  <c r="S5"/>
  <c r="J17" i="4"/>
  <c r="R4" i="9"/>
  <c r="B16" i="4"/>
  <c r="K4" i="9"/>
  <c r="I17" i="4"/>
  <c r="P5" i="9"/>
  <c r="L16" i="4"/>
  <c r="X5" i="9"/>
  <c r="H4"/>
  <c r="T4"/>
  <c r="R5"/>
  <c r="L5" i="2"/>
  <c r="D5"/>
  <c r="K5"/>
  <c r="C5"/>
  <c r="J5"/>
  <c r="B5"/>
  <c r="I5"/>
  <c r="N7"/>
  <c r="F7"/>
  <c r="M7"/>
  <c r="E7"/>
  <c r="L7"/>
  <c r="D7"/>
  <c r="K7"/>
  <c r="C7"/>
  <c r="L9"/>
  <c r="D9"/>
  <c r="K9"/>
  <c r="C9"/>
  <c r="J9"/>
  <c r="B9"/>
  <c r="I9"/>
  <c r="P11"/>
  <c r="H11"/>
  <c r="O11"/>
  <c r="G11"/>
  <c r="N11"/>
  <c r="F11"/>
  <c r="M11"/>
  <c r="E11"/>
  <c r="L13"/>
  <c r="D13"/>
  <c r="K13"/>
  <c r="C13"/>
  <c r="J13"/>
  <c r="B13"/>
  <c r="I13"/>
  <c r="P15"/>
  <c r="H15"/>
  <c r="O15"/>
  <c r="G15"/>
  <c r="N15"/>
  <c r="F15"/>
  <c r="M15"/>
  <c r="E15"/>
  <c r="J169"/>
  <c r="J117"/>
  <c r="J155"/>
  <c r="J147"/>
  <c r="J138"/>
  <c r="J130"/>
  <c r="J122"/>
  <c r="J114"/>
  <c r="J106"/>
  <c r="J98"/>
  <c r="J90"/>
  <c r="J82"/>
  <c r="J74"/>
  <c r="J69"/>
  <c r="J61"/>
  <c r="J53"/>
  <c r="J45"/>
  <c r="J36"/>
  <c r="J29"/>
  <c r="J20"/>
  <c r="J160"/>
  <c r="J152"/>
  <c r="J144"/>
  <c r="J137"/>
  <c r="J129"/>
  <c r="J121"/>
  <c r="J115"/>
  <c r="J105"/>
  <c r="J97"/>
  <c r="J89"/>
  <c r="J76"/>
  <c r="J73"/>
  <c r="J64"/>
  <c r="J54"/>
  <c r="J46"/>
  <c r="J39"/>
  <c r="J31"/>
  <c r="J23"/>
  <c r="J171"/>
  <c r="J167"/>
  <c r="J161"/>
  <c r="J153"/>
  <c r="J145"/>
  <c r="J136"/>
  <c r="J128"/>
  <c r="J120"/>
  <c r="J112"/>
  <c r="J104"/>
  <c r="J96"/>
  <c r="J88"/>
  <c r="J80"/>
  <c r="J72"/>
  <c r="J65"/>
  <c r="J59"/>
  <c r="J51"/>
  <c r="J42"/>
  <c r="J34"/>
  <c r="J27"/>
  <c r="J18"/>
  <c r="J162"/>
  <c r="J154"/>
  <c r="J146"/>
  <c r="J139"/>
  <c r="J123"/>
  <c r="J107"/>
  <c r="J91"/>
  <c r="J75"/>
  <c r="J56"/>
  <c r="J41"/>
  <c r="J25"/>
  <c r="J135"/>
  <c r="J119"/>
  <c r="J103"/>
  <c r="J87"/>
  <c r="J71"/>
  <c r="J52"/>
  <c r="J37"/>
  <c r="P5"/>
  <c r="H5"/>
  <c r="O5"/>
  <c r="G5"/>
  <c r="N5"/>
  <c r="F5"/>
  <c r="M5"/>
  <c r="E5"/>
  <c r="J7"/>
  <c r="B7"/>
  <c r="I7"/>
  <c r="P7"/>
  <c r="H7"/>
  <c r="O7"/>
  <c r="G7"/>
  <c r="P9"/>
  <c r="H9"/>
  <c r="O9"/>
  <c r="G9"/>
  <c r="N9"/>
  <c r="F9"/>
  <c r="M9"/>
  <c r="E9"/>
  <c r="L11"/>
  <c r="D11"/>
  <c r="K11"/>
  <c r="C11"/>
  <c r="J11"/>
  <c r="B11"/>
  <c r="I11"/>
  <c r="P13"/>
  <c r="H13"/>
  <c r="O13"/>
  <c r="G13"/>
  <c r="N13"/>
  <c r="F13"/>
  <c r="M13"/>
  <c r="E13"/>
  <c r="L15"/>
  <c r="D15"/>
  <c r="K15"/>
  <c r="C15"/>
  <c r="J15"/>
  <c r="B15"/>
  <c r="I15"/>
  <c r="J170"/>
  <c r="J165"/>
  <c r="J159"/>
  <c r="J151"/>
  <c r="J143"/>
  <c r="J134"/>
  <c r="J126"/>
  <c r="J118"/>
  <c r="J110"/>
  <c r="J102"/>
  <c r="J94"/>
  <c r="J81"/>
  <c r="J78"/>
  <c r="J70"/>
  <c r="J63"/>
  <c r="J57"/>
  <c r="J49"/>
  <c r="J40"/>
  <c r="J32"/>
  <c r="J24"/>
  <c r="J164"/>
  <c r="J156"/>
  <c r="J148"/>
  <c r="J141"/>
  <c r="J133"/>
  <c r="J125"/>
  <c r="J116"/>
  <c r="J109"/>
  <c r="J101"/>
  <c r="J93"/>
  <c r="J85"/>
  <c r="J77"/>
  <c r="J67"/>
  <c r="J58"/>
  <c r="J50"/>
  <c r="J43"/>
  <c r="J35"/>
  <c r="J26"/>
  <c r="J19"/>
  <c r="J168"/>
  <c r="J163"/>
  <c r="J157"/>
  <c r="J149"/>
  <c r="J140"/>
  <c r="J132"/>
  <c r="J124"/>
  <c r="J86"/>
  <c r="J108"/>
  <c r="J100"/>
  <c r="J92"/>
  <c r="J84"/>
  <c r="J3"/>
  <c r="J68"/>
  <c r="J62"/>
  <c r="J55"/>
  <c r="J47"/>
  <c r="J38"/>
  <c r="J30"/>
  <c r="J22"/>
  <c r="J166"/>
  <c r="J158"/>
  <c r="J150"/>
  <c r="J142"/>
  <c r="J131"/>
  <c r="J113"/>
  <c r="J99"/>
  <c r="J83"/>
  <c r="J66"/>
  <c r="J48"/>
  <c r="J33"/>
  <c r="J17"/>
  <c r="J127"/>
  <c r="J111"/>
  <c r="J95"/>
  <c r="J79"/>
  <c r="J60"/>
  <c r="J44"/>
  <c r="J28"/>
  <c r="J21"/>
  <c r="D12" i="11" l="1"/>
  <c r="D8"/>
  <c r="E9"/>
  <c r="C9"/>
  <c r="D10"/>
  <c r="G9"/>
  <c r="G8"/>
  <c r="D9"/>
  <c r="D11"/>
  <c r="G11"/>
  <c r="F8"/>
  <c r="F10"/>
  <c r="F9"/>
  <c r="G10"/>
  <c r="C8"/>
  <c r="E10"/>
  <c r="H11"/>
  <c r="B11"/>
  <c r="H9"/>
  <c r="C11"/>
  <c r="C10"/>
  <c r="H8"/>
  <c r="B9"/>
  <c r="G12"/>
  <c r="H10"/>
  <c r="E8"/>
  <c r="E12"/>
  <c r="E11"/>
  <c r="F12"/>
  <c r="B8"/>
  <c r="B10"/>
  <c r="F11"/>
  <c r="B11" i="9" l="1"/>
  <c r="K11"/>
  <c r="M35" i="7"/>
  <c r="I18"/>
  <c r="V7" i="9"/>
  <c r="D19" i="4"/>
  <c r="O20" i="2"/>
  <c r="C25"/>
  <c r="P24"/>
  <c r="E25"/>
  <c r="I27" i="4"/>
  <c r="Q13" i="9"/>
  <c r="B7"/>
  <c r="C19" i="4"/>
  <c r="C54" i="7"/>
  <c r="L25" i="4"/>
  <c r="X11" i="9"/>
  <c r="T11"/>
  <c r="N33"/>
  <c r="N25"/>
  <c r="G10"/>
  <c r="L7"/>
  <c r="X17"/>
  <c r="U12"/>
  <c r="N24" i="2"/>
  <c r="W10" i="9"/>
  <c r="C25" i="7"/>
  <c r="B25"/>
  <c r="H25" i="2"/>
  <c r="K7" i="9"/>
  <c r="H26" i="4"/>
  <c r="C23" i="2"/>
  <c r="M31" i="7"/>
  <c r="C24" i="2"/>
  <c r="P7" i="9"/>
  <c r="H19" i="2"/>
  <c r="G23" i="4"/>
  <c r="L23"/>
  <c r="J8" i="9"/>
  <c r="M33" i="7"/>
  <c r="B22"/>
  <c r="V11" i="9"/>
  <c r="U7"/>
  <c r="V6"/>
  <c r="C10"/>
  <c r="D24" i="2"/>
  <c r="O8" i="9"/>
  <c r="F151" i="7"/>
  <c r="W21" i="9"/>
  <c r="U10"/>
  <c r="L22" i="2"/>
  <c r="Q6" i="9"/>
  <c r="F23" i="4"/>
  <c r="N26" i="9"/>
  <c r="T6"/>
  <c r="D15" i="7"/>
  <c r="G26"/>
  <c r="L22" i="4"/>
  <c r="J25"/>
  <c r="E29"/>
  <c r="I23"/>
  <c r="F28" i="7"/>
  <c r="H22" i="4"/>
  <c r="H11" i="9"/>
  <c r="X16"/>
  <c r="R11"/>
  <c r="K12"/>
  <c r="L29" i="7"/>
  <c r="G18" i="9"/>
  <c r="K14"/>
  <c r="F20" i="4"/>
  <c r="D22"/>
  <c r="J20" i="7"/>
  <c r="C22" i="2"/>
  <c r="D11" i="9"/>
  <c r="X14"/>
  <c r="J22"/>
  <c r="H25" i="7"/>
  <c r="L20" i="4"/>
  <c r="Q8" i="9"/>
  <c r="G15" i="7"/>
  <c r="J20" i="4"/>
  <c r="C12" i="9"/>
  <c r="E27" i="4"/>
  <c r="H21" i="7"/>
  <c r="Z13" i="9"/>
  <c r="J21" i="4"/>
  <c r="G20"/>
  <c r="G29" i="7"/>
  <c r="K21" i="4"/>
  <c r="Q11" i="9"/>
  <c r="B29" i="2"/>
  <c r="F22" i="4"/>
  <c r="C30" i="7"/>
  <c r="J32"/>
  <c r="L25" i="2"/>
  <c r="H20"/>
  <c r="L18" i="4"/>
  <c r="B33" i="7"/>
  <c r="J22" i="4"/>
  <c r="G20" i="2"/>
  <c r="T13" i="9"/>
  <c r="C31" i="2"/>
  <c r="C11" i="9"/>
  <c r="D12"/>
  <c r="L28" i="7"/>
  <c r="I24"/>
  <c r="L21" i="2"/>
  <c r="J9" i="9"/>
  <c r="H18" i="7"/>
  <c r="D27"/>
  <c r="M12" i="9"/>
  <c r="F20" i="2"/>
  <c r="B17" i="7"/>
  <c r="H21" i="9"/>
  <c r="Q12"/>
  <c r="O19" i="2"/>
  <c r="B30" i="4"/>
  <c r="D16" i="9"/>
  <c r="G25" i="2"/>
  <c r="E23" i="7"/>
  <c r="I28" i="4"/>
  <c r="R14" i="9"/>
  <c r="F24" i="4"/>
  <c r="I33" i="7"/>
  <c r="F25" i="2"/>
  <c r="B19" i="9"/>
  <c r="L23" i="2"/>
  <c r="S11" i="9"/>
  <c r="B37" i="7"/>
  <c r="K16" i="9"/>
  <c r="G42" i="7"/>
  <c r="B15" i="9"/>
  <c r="M26" i="4"/>
  <c r="I41" i="7"/>
  <c r="M25" i="4"/>
  <c r="W12" i="9"/>
  <c r="U18"/>
  <c r="F30" i="7"/>
  <c r="S28" i="9"/>
  <c r="C34" i="7"/>
  <c r="C28"/>
  <c r="N24" i="9"/>
  <c r="H12"/>
  <c r="D10"/>
  <c r="B23" i="7"/>
  <c r="U11" i="9"/>
  <c r="P23" i="2"/>
  <c r="U13" i="9"/>
  <c r="I11"/>
  <c r="K30" i="7"/>
  <c r="X12" i="9"/>
  <c r="J24" i="4"/>
  <c r="J13" i="9"/>
  <c r="P22" i="2"/>
  <c r="G22" i="4"/>
  <c r="N29" i="9"/>
  <c r="E25" i="4"/>
  <c r="O14" i="9"/>
  <c r="G27" i="4"/>
  <c r="M18" i="2"/>
  <c r="X10" i="9"/>
  <c r="E6"/>
  <c r="J42" i="7"/>
  <c r="Y11" i="9"/>
  <c r="B20" i="2"/>
  <c r="B40" i="7"/>
  <c r="E67"/>
  <c r="D18" i="2"/>
  <c r="H10" i="9"/>
  <c r="Z7"/>
  <c r="H23" i="2"/>
  <c r="L18"/>
  <c r="M23"/>
  <c r="H27"/>
  <c r="B28" i="4"/>
  <c r="D25"/>
  <c r="I8" i="9"/>
  <c r="I26" i="7"/>
  <c r="F132" i="4"/>
  <c r="M23"/>
  <c r="L20" i="2"/>
  <c r="E38" i="7"/>
  <c r="H28"/>
  <c r="B23" i="2"/>
  <c r="W11" i="9"/>
  <c r="J23" i="7"/>
  <c r="L39"/>
  <c r="O6" i="9"/>
  <c r="O12"/>
  <c r="H19" i="4"/>
  <c r="M19"/>
  <c r="O22" i="2"/>
  <c r="G21"/>
  <c r="G7" i="9"/>
  <c r="O10"/>
  <c r="K44" i="4"/>
  <c r="F11" i="9"/>
  <c r="I7"/>
  <c r="W6"/>
  <c r="Z12"/>
  <c r="B21" i="2"/>
  <c r="L31"/>
  <c r="N23"/>
  <c r="C27"/>
  <c r="B10" i="9"/>
  <c r="H7"/>
  <c r="E7"/>
  <c r="E22" i="2"/>
  <c r="J18" i="4"/>
  <c r="O9" i="9"/>
  <c r="N21" i="2"/>
  <c r="P9" i="9"/>
  <c r="H22" i="2"/>
  <c r="I24" i="4"/>
  <c r="D37" i="7"/>
  <c r="E10" i="9"/>
  <c r="J19" i="4"/>
  <c r="F8" i="9"/>
  <c r="I12"/>
  <c r="G18" i="4"/>
  <c r="C22"/>
  <c r="M22" i="2"/>
  <c r="I21" i="4"/>
  <c r="B20"/>
  <c r="E11" i="9"/>
  <c r="E23" i="2"/>
  <c r="X9" i="9"/>
  <c r="B18" i="4"/>
  <c r="H23"/>
  <c r="B23"/>
  <c r="E20"/>
  <c r="H8" i="9"/>
  <c r="L24" i="4"/>
  <c r="O21" i="2"/>
  <c r="U8" i="9"/>
  <c r="W7"/>
  <c r="R10"/>
  <c r="F24" i="2"/>
  <c r="I18" i="4"/>
  <c r="Z6" i="9"/>
  <c r="E21" i="2"/>
  <c r="Z10" i="9"/>
  <c r="F9"/>
  <c r="Q7"/>
  <c r="E24" i="4"/>
  <c r="L10" i="9"/>
  <c r="D18" i="4"/>
  <c r="H9" i="9"/>
  <c r="E13"/>
  <c r="G24" i="2"/>
  <c r="X6" i="9"/>
  <c r="L11"/>
  <c r="D27" i="2"/>
  <c r="M34"/>
  <c r="M53" i="9"/>
  <c r="F7"/>
  <c r="G25" i="4"/>
  <c r="C14" i="9"/>
  <c r="B19" i="4"/>
  <c r="I20"/>
  <c r="B16" i="9"/>
  <c r="W13"/>
  <c r="E18" i="2"/>
  <c r="M7" i="9"/>
  <c r="E12"/>
  <c r="E22" i="4"/>
  <c r="L19"/>
  <c r="P8" i="9"/>
  <c r="T16"/>
  <c r="B22" i="4"/>
  <c r="H21"/>
  <c r="F21"/>
  <c r="E23"/>
  <c r="M20" i="2"/>
  <c r="J7" i="9"/>
  <c r="C8"/>
  <c r="J22" i="7"/>
  <c r="O23" i="2"/>
  <c r="B21" i="4"/>
  <c r="S9" i="9"/>
  <c r="V10"/>
  <c r="P10"/>
  <c r="D7"/>
  <c r="B8"/>
  <c r="K25" i="4"/>
  <c r="L12" i="9"/>
  <c r="C7"/>
  <c r="Z8"/>
  <c r="G19" i="2"/>
  <c r="F36" i="7"/>
  <c r="C26"/>
  <c r="R12" i="9"/>
  <c r="Z15"/>
  <c r="E19" i="7"/>
  <c r="F21" i="2"/>
  <c r="M18" i="4"/>
  <c r="E18"/>
  <c r="V18" i="9"/>
  <c r="M18"/>
  <c r="Y8"/>
  <c r="E15"/>
  <c r="E40" i="7"/>
  <c r="B22" i="2"/>
  <c r="D6" i="9"/>
  <c r="K18" i="4"/>
  <c r="M15" i="7"/>
  <c r="E27"/>
  <c r="L8" i="9"/>
  <c r="G51" i="7"/>
  <c r="M38" i="4"/>
  <c r="B19" i="2"/>
  <c r="X7" i="9"/>
  <c r="S7"/>
  <c r="S10"/>
  <c r="M41" i="7"/>
  <c r="P38" i="2"/>
  <c r="Y6" i="9"/>
  <c r="G21" i="4"/>
  <c r="P21" i="2"/>
  <c r="G23"/>
  <c r="V8" i="9"/>
  <c r="L6"/>
  <c r="H24" i="4"/>
  <c r="E24" i="2"/>
  <c r="F6" i="9"/>
  <c r="K6"/>
  <c r="G24" i="4"/>
  <c r="F12" i="9"/>
  <c r="L9"/>
  <c r="I6"/>
  <c r="N22" i="2"/>
  <c r="K22" i="4"/>
  <c r="O18" i="2"/>
  <c r="H6" i="9"/>
  <c r="H21" i="2"/>
  <c r="T10" i="9"/>
  <c r="C6"/>
  <c r="C20" i="4"/>
  <c r="K10" i="9"/>
  <c r="C20" i="2"/>
  <c r="D22"/>
  <c r="K76" i="9"/>
  <c r="B25" i="2"/>
  <c r="H25" i="4"/>
  <c r="M6" i="9"/>
  <c r="D20" i="4"/>
  <c r="Z14" i="9"/>
  <c r="K24" i="4"/>
  <c r="D21" i="2"/>
  <c r="M9" i="9"/>
  <c r="D21" i="4"/>
  <c r="O24" i="2"/>
  <c r="C18" i="4"/>
  <c r="N20" i="2"/>
  <c r="B24"/>
  <c r="C29" i="4"/>
  <c r="Q10" i="9"/>
  <c r="W8"/>
  <c r="E8"/>
  <c r="F10"/>
  <c r="R7"/>
  <c r="F18" i="4"/>
  <c r="J23"/>
  <c r="B24" i="7"/>
  <c r="M21" i="2"/>
  <c r="Q9" i="9"/>
  <c r="M20" i="4"/>
  <c r="L24" i="2"/>
  <c r="O7" i="9"/>
  <c r="G19" i="4"/>
  <c r="I40" i="9"/>
  <c r="P11"/>
  <c r="D23" i="4"/>
  <c r="I19"/>
  <c r="C9" i="9"/>
  <c r="I22" i="4"/>
  <c r="L20" i="9"/>
  <c r="Y7"/>
  <c r="P20"/>
  <c r="P26"/>
  <c r="C50" i="7"/>
  <c r="D8" i="9"/>
  <c r="T7"/>
  <c r="V12"/>
  <c r="S12"/>
  <c r="C38" i="7"/>
  <c r="L20"/>
  <c r="J31"/>
  <c r="J38"/>
  <c r="V9" i="9"/>
  <c r="M19" i="2"/>
  <c r="J12" i="9"/>
  <c r="D25" i="2"/>
  <c r="N40" i="9"/>
  <c r="Q25"/>
  <c r="P12"/>
  <c r="J15"/>
  <c r="C19" i="2"/>
  <c r="L19"/>
  <c r="M11" i="9"/>
  <c r="D24" i="4"/>
  <c r="J6" i="9"/>
  <c r="M24" i="4"/>
  <c r="F22" i="2"/>
  <c r="P20"/>
  <c r="P19"/>
  <c r="R8" i="9"/>
  <c r="I25" i="4"/>
  <c r="F23" i="2"/>
  <c r="G6" i="9"/>
  <c r="K23" i="4"/>
  <c r="T12" i="9"/>
  <c r="B15" i="7"/>
  <c r="D20" i="2"/>
  <c r="F19"/>
  <c r="N19"/>
  <c r="F19" i="7"/>
  <c r="E19" i="2"/>
  <c r="U9" i="9"/>
  <c r="E14"/>
  <c r="J30" i="7"/>
  <c r="Y10" i="9"/>
  <c r="S6"/>
  <c r="H20" i="4"/>
  <c r="E17" i="7"/>
  <c r="D9" i="9"/>
  <c r="M21" i="4"/>
  <c r="F41" i="7"/>
  <c r="E28" i="4"/>
  <c r="J11" i="9"/>
  <c r="R6"/>
  <c r="U6"/>
  <c r="H24" i="2"/>
  <c r="P25"/>
  <c r="I9" i="9"/>
  <c r="I23" i="7"/>
  <c r="E18"/>
  <c r="C24" i="4"/>
  <c r="K20"/>
  <c r="B6" i="9"/>
  <c r="B24" i="4"/>
  <c r="H18"/>
  <c r="G9" i="9"/>
  <c r="N32" i="2"/>
  <c r="C21" i="4"/>
  <c r="R18" i="9"/>
  <c r="O13"/>
  <c r="E21" i="4"/>
  <c r="D19" i="2"/>
  <c r="C42" i="4"/>
  <c r="X8" i="9"/>
  <c r="J26"/>
  <c r="K9"/>
  <c r="K23" i="7"/>
  <c r="V17" i="9"/>
  <c r="E9"/>
  <c r="T8"/>
  <c r="O41" i="2"/>
  <c r="K31" i="4"/>
  <c r="M24" i="2"/>
  <c r="F19" i="4"/>
  <c r="E26" i="2"/>
  <c r="I27" i="7"/>
  <c r="B9" i="9"/>
  <c r="P18" i="2"/>
  <c r="D23"/>
  <c r="L38" i="7"/>
  <c r="G22" i="2"/>
  <c r="E19" i="4"/>
  <c r="D34" i="7"/>
  <c r="M27" i="4"/>
  <c r="Y9" i="9"/>
  <c r="K8"/>
  <c r="U63"/>
  <c r="V14"/>
  <c r="G8"/>
  <c r="C21" i="2"/>
  <c r="B25" i="4"/>
  <c r="K33" i="7"/>
  <c r="I52" i="4"/>
  <c r="G11" i="9"/>
  <c r="B29" i="7"/>
  <c r="Y14" i="9"/>
  <c r="B12"/>
  <c r="F18" i="2"/>
  <c r="C18"/>
  <c r="H24" i="7"/>
  <c r="B13" i="9"/>
  <c r="Y12"/>
  <c r="K22" i="7"/>
  <c r="F45" i="2"/>
  <c r="O11" i="9"/>
  <c r="T9"/>
  <c r="H18" i="2"/>
  <c r="G28" i="4"/>
  <c r="I30" i="7"/>
  <c r="C25" i="4"/>
  <c r="K36" i="7"/>
  <c r="L99"/>
  <c r="M22" i="4"/>
  <c r="W9" i="9"/>
  <c r="S8"/>
  <c r="V65"/>
  <c r="B34" i="7"/>
  <c r="M10" i="9"/>
  <c r="C26" i="4"/>
  <c r="N31" i="9"/>
  <c r="L26" i="7"/>
  <c r="S14" i="9"/>
  <c r="R23"/>
  <c r="F32" i="4"/>
  <c r="B24" i="9"/>
  <c r="K27"/>
  <c r="K131" i="4"/>
  <c r="J30" i="9"/>
  <c r="M61" i="7"/>
  <c r="E79"/>
  <c r="F17"/>
  <c r="J128" i="9"/>
  <c r="L25"/>
  <c r="M42" i="7"/>
  <c r="R25" i="9"/>
  <c r="B27" i="2"/>
  <c r="K58" i="9"/>
  <c r="G3"/>
  <c r="C65"/>
  <c r="J28" i="7"/>
  <c r="H36"/>
  <c r="C40"/>
  <c r="J34" i="9"/>
  <c r="S36"/>
  <c r="O30" i="2"/>
  <c r="K49" i="7"/>
  <c r="G70"/>
  <c r="M99" i="9"/>
  <c r="H51" i="7"/>
  <c r="F45" i="4"/>
  <c r="H78" i="2"/>
  <c r="C30"/>
  <c r="D29" i="7"/>
  <c r="E144" i="9"/>
  <c r="X28"/>
  <c r="J122" i="7"/>
  <c r="E36"/>
  <c r="R35" i="9"/>
  <c r="P25"/>
  <c r="C31" i="7"/>
  <c r="J26"/>
  <c r="Z149" i="9"/>
  <c r="J47" i="4"/>
  <c r="D18" i="7"/>
  <c r="R37" i="9"/>
  <c r="K80" i="7"/>
  <c r="E39"/>
  <c r="T105" i="9"/>
  <c r="G106" i="4"/>
  <c r="D54" i="2"/>
  <c r="C76" i="4"/>
  <c r="Z26" i="9"/>
  <c r="L37" i="4"/>
  <c r="N41" i="2"/>
  <c r="D155"/>
  <c r="Q14" i="9"/>
  <c r="G18" i="7"/>
  <c r="M30" i="2"/>
  <c r="V42" i="9"/>
  <c r="K3" i="7"/>
  <c r="J166" i="4"/>
  <c r="J32" i="9"/>
  <c r="N50"/>
  <c r="R15"/>
  <c r="J15" i="7"/>
  <c r="H22" i="9"/>
  <c r="F14"/>
  <c r="I34" i="7"/>
  <c r="D43" i="9"/>
  <c r="H66" i="2"/>
  <c r="W153" i="9"/>
  <c r="I88"/>
  <c r="L47" i="7"/>
  <c r="L32"/>
  <c r="L40" i="4"/>
  <c r="I16" i="9"/>
  <c r="Z21"/>
  <c r="G62" i="7"/>
  <c r="G45"/>
  <c r="C24"/>
  <c r="B14" i="9"/>
  <c r="R16"/>
  <c r="L25" i="7"/>
  <c r="E30" i="2"/>
  <c r="F21" i="9"/>
  <c r="D34" i="4"/>
  <c r="G47" i="2"/>
  <c r="D36"/>
  <c r="K60" i="7"/>
  <c r="H30" i="9"/>
  <c r="B31" i="7"/>
  <c r="M55"/>
  <c r="K41"/>
  <c r="P31" i="9"/>
  <c r="E34" i="2"/>
  <c r="E22" i="7"/>
  <c r="M26" i="2"/>
  <c r="E42" i="4"/>
  <c r="M27" i="9"/>
  <c r="W37"/>
  <c r="F30"/>
  <c r="K98"/>
  <c r="Z27"/>
  <c r="D72" i="7"/>
  <c r="I22"/>
  <c r="B42" i="9"/>
  <c r="O126"/>
  <c r="I55"/>
  <c r="J39"/>
  <c r="I73" i="7"/>
  <c r="J36"/>
  <c r="I82" i="9"/>
  <c r="Q20"/>
  <c r="K58" i="7"/>
  <c r="F25"/>
  <c r="Y40" i="9"/>
  <c r="E126" i="7"/>
  <c r="B45"/>
  <c r="D32"/>
  <c r="H17"/>
  <c r="C17" i="9"/>
  <c r="K120" i="7"/>
  <c r="R36" i="9"/>
  <c r="G37" i="2"/>
  <c r="H164"/>
  <c r="L57" i="9"/>
  <c r="J60" i="7"/>
  <c r="N18" i="2"/>
  <c r="H37"/>
  <c r="H45" i="7"/>
  <c r="P14" i="9"/>
  <c r="X41"/>
  <c r="V28"/>
  <c r="M80" i="2"/>
  <c r="M76" i="4"/>
  <c r="H27" i="9"/>
  <c r="R42"/>
  <c r="B48" i="4"/>
  <c r="D35" i="7"/>
  <c r="Q29" i="9"/>
  <c r="R45"/>
  <c r="L150" i="2"/>
  <c r="O29" i="9"/>
  <c r="H63" i="2"/>
  <c r="F18" i="9"/>
  <c r="F24" i="7"/>
  <c r="F33"/>
  <c r="I29"/>
  <c r="W58" i="9"/>
  <c r="P16"/>
  <c r="F50" i="4"/>
  <c r="I27" i="9"/>
  <c r="D86" i="7"/>
  <c r="D54" i="4"/>
  <c r="D41" i="9"/>
  <c r="E43" i="2"/>
  <c r="E93" i="4"/>
  <c r="H52" i="2"/>
  <c r="G77" i="7"/>
  <c r="M64" i="4"/>
  <c r="X30" i="9"/>
  <c r="C136" i="4"/>
  <c r="D52" i="2"/>
  <c r="H31" i="7"/>
  <c r="G48"/>
  <c r="H17" i="9"/>
  <c r="L17"/>
  <c r="P107" i="2"/>
  <c r="W24" i="9"/>
  <c r="L35" i="7"/>
  <c r="E108"/>
  <c r="E35"/>
  <c r="H80" i="4"/>
  <c r="B43" i="2"/>
  <c r="N31"/>
  <c r="C55" i="4"/>
  <c r="P23" i="9"/>
  <c r="K20"/>
  <c r="O165" i="2"/>
  <c r="E51" i="4"/>
  <c r="F18" i="7"/>
  <c r="L120" i="4"/>
  <c r="G23" i="9"/>
  <c r="M32" i="4"/>
  <c r="I50" i="7"/>
  <c r="E42" i="2"/>
  <c r="B37" i="9"/>
  <c r="D26" i="2"/>
  <c r="X57" i="9"/>
  <c r="R20"/>
  <c r="U26"/>
  <c r="N25" i="2"/>
  <c r="M29"/>
  <c r="E32"/>
  <c r="D19" i="7"/>
  <c r="H53"/>
  <c r="K19" i="4"/>
  <c r="M8" i="9"/>
  <c r="N32"/>
  <c r="B30" i="7"/>
  <c r="J34" i="4"/>
  <c r="L32" i="9"/>
  <c r="R28"/>
  <c r="F53" i="4"/>
  <c r="F85" i="7"/>
  <c r="K29" i="9"/>
  <c r="B72" i="7"/>
  <c r="B57" i="4"/>
  <c r="C37" i="7"/>
  <c r="H42"/>
  <c r="L61"/>
  <c r="J67"/>
  <c r="D43"/>
  <c r="S30" i="9"/>
  <c r="C30" i="4"/>
  <c r="F25"/>
  <c r="D25" i="9"/>
  <c r="M28"/>
  <c r="K39"/>
  <c r="I29"/>
  <c r="C33" i="4"/>
  <c r="L38"/>
  <c r="V21" i="9"/>
  <c r="D24"/>
  <c r="D48"/>
  <c r="E69" i="2"/>
  <c r="X21" i="9"/>
  <c r="E28"/>
  <c r="D31" i="7"/>
  <c r="C20"/>
  <c r="L14" i="9"/>
  <c r="U27"/>
  <c r="N44" i="2"/>
  <c r="O43"/>
  <c r="E31" i="9"/>
  <c r="C27" i="7"/>
  <c r="I37"/>
  <c r="L51" i="4"/>
  <c r="I31"/>
  <c r="J30"/>
  <c r="B54"/>
  <c r="G66" i="7"/>
  <c r="G41" i="2"/>
  <c r="S41" i="9"/>
  <c r="Q19"/>
  <c r="X18"/>
  <c r="K28" i="7"/>
  <c r="I29" i="4"/>
  <c r="C34" i="2"/>
  <c r="E21" i="9"/>
  <c r="C48"/>
  <c r="D132" i="4"/>
  <c r="H33"/>
  <c r="M23" i="7"/>
  <c r="H30" i="2"/>
  <c r="H49"/>
  <c r="N28" i="9"/>
  <c r="J71" i="7"/>
  <c r="F20" i="9"/>
  <c r="L28" i="4"/>
  <c r="M45" i="7"/>
  <c r="E72"/>
  <c r="B43" i="9"/>
  <c r="B48" i="7"/>
  <c r="F35"/>
  <c r="E47" i="4"/>
  <c r="T14" i="9"/>
  <c r="D41" i="7"/>
  <c r="C74" i="4"/>
  <c r="H133" i="2"/>
  <c r="F81" i="7"/>
  <c r="D45" i="4"/>
  <c r="J25" i="7"/>
  <c r="D28"/>
  <c r="E63"/>
  <c r="G14" i="9"/>
  <c r="G22"/>
  <c r="Q28"/>
  <c r="I86" i="7"/>
  <c r="B38" i="4"/>
  <c r="B97" i="2"/>
  <c r="D86" i="4"/>
  <c r="P96" i="2"/>
  <c r="M22" i="7"/>
  <c r="C19"/>
  <c r="D39" i="4"/>
  <c r="M25" i="7"/>
  <c r="B36" i="9"/>
  <c r="X13"/>
  <c r="G12"/>
  <c r="I10"/>
  <c r="C29" i="2"/>
  <c r="L26" i="4"/>
  <c r="F42" i="2"/>
  <c r="X22" i="9"/>
  <c r="W14"/>
  <c r="E36" i="4"/>
  <c r="D82"/>
  <c r="U35" i="9"/>
  <c r="D42" i="7"/>
  <c r="D75" i="4"/>
  <c r="J32"/>
  <c r="D40" i="7"/>
  <c r="M37"/>
  <c r="J40" i="4"/>
  <c r="L33" i="7"/>
  <c r="M25" i="2"/>
  <c r="G18"/>
  <c r="E21" i="7"/>
  <c r="J10" i="9"/>
  <c r="E32" i="7"/>
  <c r="D27" i="4"/>
  <c r="B34"/>
  <c r="L81" i="7"/>
  <c r="M39" i="2"/>
  <c r="F43"/>
  <c r="C32" i="4"/>
  <c r="J33" i="7"/>
  <c r="M69" i="4"/>
  <c r="L27" i="2"/>
  <c r="S15" i="9"/>
  <c r="M26" i="7"/>
  <c r="L124"/>
  <c r="G16" i="9"/>
  <c r="B17"/>
  <c r="O53" i="2"/>
  <c r="M155" i="7"/>
  <c r="N69" i="9"/>
  <c r="N40" i="2"/>
  <c r="C48"/>
  <c r="H34" i="4"/>
  <c r="L47"/>
  <c r="L67"/>
  <c r="D79" i="9"/>
  <c r="F73" i="4"/>
  <c r="C65"/>
  <c r="H34" i="7"/>
  <c r="C30" i="9"/>
  <c r="M34"/>
  <c r="D57" i="4"/>
  <c r="J47" i="7"/>
  <c r="M18"/>
  <c r="I30" i="9"/>
  <c r="N26" i="2"/>
  <c r="M75" i="7"/>
  <c r="K15" i="9"/>
  <c r="P85"/>
  <c r="R46"/>
  <c r="L62" i="7"/>
  <c r="D77"/>
  <c r="Q39" i="9"/>
  <c r="O42" i="2"/>
  <c r="D59"/>
  <c r="N41" i="9"/>
  <c r="F152" i="2"/>
  <c r="K41" i="4"/>
  <c r="N39" i="9"/>
  <c r="H18"/>
  <c r="C36" i="2"/>
  <c r="S39" i="9"/>
  <c r="I35" i="4"/>
  <c r="K31" i="7"/>
  <c r="E49" i="2"/>
  <c r="N17" i="9"/>
  <c r="H20"/>
  <c r="L95" i="4"/>
  <c r="D32"/>
  <c r="S29" i="9"/>
  <c r="M23"/>
  <c r="B31" i="2"/>
  <c r="D52" i="4"/>
  <c r="R22" i="9"/>
  <c r="B128" i="4"/>
  <c r="M25" i="9"/>
  <c r="B35"/>
  <c r="G34"/>
  <c r="L22"/>
  <c r="E36" i="2"/>
  <c r="Y98" i="9"/>
  <c r="D28" i="2"/>
  <c r="I3" i="4"/>
  <c r="X45" i="9"/>
  <c r="F129" i="4"/>
  <c r="N30" i="9"/>
  <c r="C59" i="2"/>
  <c r="G20" i="7"/>
  <c r="M89" i="4"/>
  <c r="B28" i="2"/>
  <c r="F47" i="7"/>
  <c r="M59"/>
  <c r="B37" i="4"/>
  <c r="J42"/>
  <c r="M42"/>
  <c r="R62" i="9"/>
  <c r="F50" i="7"/>
  <c r="K74" i="9"/>
  <c r="F140" i="4"/>
  <c r="V63" i="9"/>
  <c r="K56" i="4"/>
  <c r="I87"/>
  <c r="K67" i="9"/>
  <c r="C65" i="2"/>
  <c r="G25" i="7"/>
  <c r="D24"/>
  <c r="E62"/>
  <c r="D95" i="9"/>
  <c r="B22"/>
  <c r="B39" i="4"/>
  <c r="U67" i="9"/>
  <c r="K26"/>
  <c r="D69" i="7"/>
  <c r="C28" i="4"/>
  <c r="F81" i="2"/>
  <c r="T27" i="9"/>
  <c r="H34"/>
  <c r="H162" i="4"/>
  <c r="Y76" i="9"/>
  <c r="I89" i="7"/>
  <c r="N34" i="9"/>
  <c r="I26" i="4"/>
  <c r="F64" i="7"/>
  <c r="D14" i="9"/>
  <c r="H37" i="7"/>
  <c r="D67"/>
  <c r="Z35" i="9"/>
  <c r="F40" i="2"/>
  <c r="D34"/>
  <c r="C42"/>
  <c r="H69" i="4"/>
  <c r="M36" i="9"/>
  <c r="C32" i="7"/>
  <c r="R24" i="9"/>
  <c r="D60" i="7"/>
  <c r="L23" i="9"/>
  <c r="H14"/>
  <c r="E18"/>
  <c r="L26"/>
  <c r="I39" i="4"/>
  <c r="K26"/>
  <c r="B42" i="7"/>
  <c r="I31"/>
  <c r="K24"/>
  <c r="L54" i="4"/>
  <c r="O27" i="2"/>
  <c r="H93" i="4"/>
  <c r="B26" i="2"/>
  <c r="H27" i="4"/>
  <c r="G21" i="7"/>
  <c r="C17"/>
  <c r="E48"/>
  <c r="W29" i="9"/>
  <c r="J111" i="4"/>
  <c r="K36"/>
  <c r="C38" i="2"/>
  <c r="N29"/>
  <c r="I47" i="4"/>
  <c r="O38" i="2"/>
  <c r="R80" i="9"/>
  <c r="O97"/>
  <c r="S32"/>
  <c r="L42" i="2"/>
  <c r="R17" i="9"/>
  <c r="D73" i="7"/>
  <c r="D142" i="4"/>
  <c r="N21" i="9"/>
  <c r="L95" i="2"/>
  <c r="D17" i="7"/>
  <c r="G30" i="2"/>
  <c r="G47" i="4"/>
  <c r="I38" i="7"/>
  <c r="L52" i="4"/>
  <c r="D83" i="7"/>
  <c r="E29"/>
  <c r="L47" i="2"/>
  <c r="D35"/>
  <c r="D108"/>
  <c r="H40" i="7"/>
  <c r="F29" i="2"/>
  <c r="T40" i="9"/>
  <c r="F33"/>
  <c r="F117" i="2"/>
  <c r="E86" i="7"/>
  <c r="H33"/>
  <c r="Q32" i="9"/>
  <c r="M26"/>
  <c r="K34"/>
  <c r="D29" i="4"/>
  <c r="V15" i="9"/>
  <c r="N55"/>
  <c r="G41" i="7"/>
  <c r="R54" i="9"/>
  <c r="G45"/>
  <c r="K63" i="7"/>
  <c r="H30"/>
  <c r="F91" i="2"/>
  <c r="Q16" i="9"/>
  <c r="G36" i="4"/>
  <c r="E19" i="9"/>
  <c r="M53" i="4"/>
  <c r="L62" i="2"/>
  <c r="P69"/>
  <c r="L48"/>
  <c r="E41" i="7"/>
  <c r="N23" i="9"/>
  <c r="O28"/>
  <c r="E39" i="2"/>
  <c r="L63" i="7"/>
  <c r="F59" i="2"/>
  <c r="C44" i="4"/>
  <c r="G45"/>
  <c r="C42" i="9"/>
  <c r="P24"/>
  <c r="H38" i="4"/>
  <c r="O148" i="9"/>
  <c r="L75"/>
  <c r="E72" i="2"/>
  <c r="K32" i="4"/>
  <c r="H99" i="2"/>
  <c r="K15" i="7"/>
  <c r="G36" i="2"/>
  <c r="M142" i="9"/>
  <c r="R56"/>
  <c r="L74"/>
  <c r="B32" i="4"/>
  <c r="L15" i="7"/>
  <c r="F21"/>
  <c r="D88"/>
  <c r="B30" i="2"/>
  <c r="G27" i="7"/>
  <c r="I30" i="4"/>
  <c r="I15" i="7"/>
  <c r="W17" i="9"/>
  <c r="W15"/>
  <c r="D41" i="4"/>
  <c r="Z17" i="9"/>
  <c r="L36" i="4"/>
  <c r="H44"/>
  <c r="E39"/>
  <c r="I32" i="9"/>
  <c r="G30" i="4"/>
  <c r="O34" i="9"/>
  <c r="I67" i="7"/>
  <c r="N66" i="2"/>
  <c r="C39" i="7"/>
  <c r="J24"/>
  <c r="F37" i="2"/>
  <c r="H69"/>
  <c r="Q90" i="9"/>
  <c r="F30" i="2"/>
  <c r="M27"/>
  <c r="L16" i="9"/>
  <c r="M35" i="2"/>
  <c r="B66" i="9"/>
  <c r="M17"/>
  <c r="M29" i="4"/>
  <c r="B70" i="2"/>
  <c r="J66" i="4"/>
  <c r="N116" i="9"/>
  <c r="D33"/>
  <c r="C27" i="4"/>
  <c r="O77" i="2"/>
  <c r="B36" i="4"/>
  <c r="D17" i="9"/>
  <c r="F64" i="4"/>
  <c r="D38"/>
  <c r="L24" i="9"/>
  <c r="H65" i="4"/>
  <c r="E66" i="7"/>
  <c r="G34" i="2"/>
  <c r="I32" i="7"/>
  <c r="F38" i="2"/>
  <c r="F79"/>
  <c r="O21" i="9"/>
  <c r="I57"/>
  <c r="S34"/>
  <c r="M123" i="2"/>
  <c r="O3" i="9"/>
  <c r="I20" i="7"/>
  <c r="F16" i="9"/>
  <c r="G30" i="7"/>
  <c r="L48" i="4"/>
  <c r="K35" i="9"/>
  <c r="B55"/>
  <c r="C66" i="7"/>
  <c r="K45"/>
  <c r="C35" i="9"/>
  <c r="X39"/>
  <c r="G59"/>
  <c r="N19"/>
  <c r="L42" i="7"/>
  <c r="B21"/>
  <c r="O17" i="9"/>
  <c r="X33"/>
  <c r="C41" i="7"/>
  <c r="J35"/>
  <c r="G35"/>
  <c r="B32" i="2"/>
  <c r="F23" i="7"/>
  <c r="L21" i="9"/>
  <c r="Y17"/>
  <c r="N73" i="2"/>
  <c r="E81" i="9"/>
  <c r="G35" i="4"/>
  <c r="K39"/>
  <c r="M30"/>
  <c r="J63" i="7"/>
  <c r="E38" i="2"/>
  <c r="P17" i="9"/>
  <c r="K42" i="7"/>
  <c r="G45" i="2"/>
  <c r="G113" i="7"/>
  <c r="O39" i="2"/>
  <c r="Y13" i="9"/>
  <c r="G19" i="7"/>
  <c r="B58" i="2"/>
  <c r="M40" i="7"/>
  <c r="L21"/>
  <c r="C61"/>
  <c r="L70" i="2"/>
  <c r="P119"/>
  <c r="Y75" i="9"/>
  <c r="F80" i="4"/>
  <c r="G42" i="2"/>
  <c r="V31" i="9"/>
  <c r="K19" i="7"/>
  <c r="G49" i="2"/>
  <c r="Y33" i="9"/>
  <c r="C35" i="4"/>
  <c r="C46" i="7"/>
  <c r="D80" i="4"/>
  <c r="J52" i="9"/>
  <c r="P37" i="2"/>
  <c r="B36" i="7"/>
  <c r="C32" i="9"/>
  <c r="J64" i="4"/>
  <c r="D162"/>
  <c r="R136" i="9"/>
  <c r="B55" i="2"/>
  <c r="G36" i="9"/>
  <c r="D66" i="7"/>
  <c r="O25" i="2"/>
  <c r="H15" i="9"/>
  <c r="I17" i="7"/>
  <c r="U17" i="9"/>
  <c r="D40"/>
  <c r="D15"/>
  <c r="F88" i="4"/>
  <c r="C100"/>
  <c r="I20" i="9"/>
  <c r="P22"/>
  <c r="G17"/>
  <c r="K136"/>
  <c r="D28" i="4"/>
  <c r="F34" i="2"/>
  <c r="W51" i="9"/>
  <c r="K30"/>
  <c r="J39" i="7"/>
  <c r="O28" i="2"/>
  <c r="G25" i="9"/>
  <c r="B26"/>
  <c r="H39" i="2"/>
  <c r="B33"/>
  <c r="V16" i="9"/>
  <c r="S23"/>
  <c r="B67" i="2"/>
  <c r="E46" i="4"/>
  <c r="Q30" i="9"/>
  <c r="F67" i="7"/>
  <c r="D30" i="4"/>
  <c r="L89" i="9"/>
  <c r="M71" i="2"/>
  <c r="J37" i="9"/>
  <c r="B31" i="4"/>
  <c r="F72" i="2"/>
  <c r="E35"/>
  <c r="G159" i="7"/>
  <c r="J69"/>
  <c r="X15" i="9"/>
  <c r="J27" i="4"/>
  <c r="E33" i="7"/>
  <c r="C33" i="2"/>
  <c r="I40" i="7"/>
  <c r="O24" i="9"/>
  <c r="Z54"/>
  <c r="H26" i="7"/>
  <c r="E26"/>
  <c r="M53"/>
  <c r="I35"/>
  <c r="M39"/>
  <c r="C36"/>
  <c r="H28" i="4"/>
  <c r="G54" i="2"/>
  <c r="B54" i="7"/>
  <c r="I72"/>
  <c r="M31" i="4"/>
  <c r="Q18" i="9"/>
  <c r="K50" i="7"/>
  <c r="T38" i="9"/>
  <c r="N45"/>
  <c r="T36"/>
  <c r="L75" i="4"/>
  <c r="G3"/>
  <c r="G34" i="7"/>
  <c r="H93" i="9"/>
  <c r="W26"/>
  <c r="H35" i="4"/>
  <c r="K27"/>
  <c r="H16" i="9"/>
  <c r="L66" i="4"/>
  <c r="C21" i="9"/>
  <c r="E20" i="2"/>
  <c r="B18"/>
  <c r="K27" i="7"/>
  <c r="P36" i="2"/>
  <c r="K17" i="9"/>
  <c r="G39" i="2"/>
  <c r="L90" i="7"/>
  <c r="C63"/>
  <c r="L92"/>
  <c r="O161" i="2"/>
  <c r="L104" i="9"/>
  <c r="P21"/>
  <c r="H25"/>
  <c r="B27" i="4"/>
  <c r="G37" i="7"/>
  <c r="C19" i="9"/>
  <c r="P110"/>
  <c r="Z11"/>
  <c r="L35" i="2"/>
  <c r="D47"/>
  <c r="S13" i="9"/>
  <c r="B46" i="7"/>
  <c r="D21"/>
  <c r="W16" i="9"/>
  <c r="M33" i="2"/>
  <c r="S100" i="9"/>
  <c r="B53" i="7"/>
  <c r="V35" i="9"/>
  <c r="H76" i="7"/>
  <c r="K40"/>
  <c r="M40" i="4"/>
  <c r="H51"/>
  <c r="F27" i="2"/>
  <c r="D30" i="7"/>
  <c r="E69"/>
  <c r="L113" i="4"/>
  <c r="I64"/>
  <c r="X19" i="9"/>
  <c r="L163" i="4"/>
  <c r="O20" i="9"/>
  <c r="H49" i="4"/>
  <c r="E31" i="7"/>
  <c r="J26" i="4"/>
  <c r="U24" i="9"/>
  <c r="J19"/>
  <c r="R13"/>
  <c r="R52"/>
  <c r="I87"/>
  <c r="B39" i="7"/>
  <c r="L34"/>
  <c r="G24" i="9"/>
  <c r="B45" i="4"/>
  <c r="F15" i="7"/>
  <c r="F35" i="4"/>
  <c r="I54" i="9"/>
  <c r="G35" i="2"/>
  <c r="O87"/>
  <c r="U32" i="9"/>
  <c r="G84"/>
  <c r="F34" i="7"/>
  <c r="N37" i="9"/>
  <c r="Q31"/>
  <c r="D39" i="2"/>
  <c r="H44" i="7"/>
  <c r="I15" i="9"/>
  <c r="N56"/>
  <c r="F56"/>
  <c r="N38" i="2"/>
  <c r="P18" i="9"/>
  <c r="I143"/>
  <c r="M36" i="4"/>
  <c r="I21" i="9"/>
  <c r="H142" i="2"/>
  <c r="O19" i="9"/>
  <c r="I36" i="7"/>
  <c r="U14" i="9"/>
  <c r="F17"/>
  <c r="D29" i="2"/>
  <c r="J43" i="7"/>
  <c r="L32" i="2"/>
  <c r="M31" i="9"/>
  <c r="P121" i="2"/>
  <c r="M3" i="9"/>
  <c r="K59" i="7"/>
  <c r="R26" i="9"/>
  <c r="M77" i="2"/>
  <c r="M16" i="9"/>
  <c r="F158" i="7"/>
  <c r="B57" i="2"/>
  <c r="B34"/>
  <c r="Q15" i="9"/>
  <c r="L21" i="4"/>
  <c r="R9" i="9"/>
  <c r="G29" i="2"/>
  <c r="E27" i="9"/>
  <c r="C31" i="4"/>
  <c r="G29"/>
  <c r="D30" i="2"/>
  <c r="E52" i="4"/>
  <c r="I45" i="7"/>
  <c r="M31" i="2"/>
  <c r="S47" i="9"/>
  <c r="M15"/>
  <c r="P106" i="2"/>
  <c r="P28" i="9"/>
  <c r="X68"/>
  <c r="L31" i="4"/>
  <c r="L61" i="2"/>
  <c r="P6" i="9"/>
  <c r="P27" i="2"/>
  <c r="F26" i="4"/>
  <c r="Z9" i="9"/>
  <c r="B18"/>
  <c r="E44" i="4"/>
  <c r="B106" i="7"/>
  <c r="M162" i="4"/>
  <c r="K47"/>
  <c r="C50"/>
  <c r="K54" i="7"/>
  <c r="N78" i="9"/>
  <c r="E26" i="4"/>
  <c r="E67" i="9"/>
  <c r="B26" i="4"/>
  <c r="B26" i="7"/>
  <c r="B20"/>
  <c r="C21"/>
  <c r="D21" i="9"/>
  <c r="K37" i="7"/>
  <c r="F58"/>
  <c r="H84"/>
  <c r="B90"/>
  <c r="C15"/>
  <c r="E55"/>
  <c r="H33" i="2"/>
  <c r="S35" i="9"/>
  <c r="I62"/>
  <c r="F89" i="7"/>
  <c r="J41" i="9"/>
  <c r="K3"/>
  <c r="H26" i="2"/>
  <c r="G33" i="7"/>
  <c r="P41" i="2"/>
  <c r="F42" i="9"/>
  <c r="H41" i="7"/>
  <c r="K60" i="9"/>
  <c r="E40" i="2"/>
  <c r="L80"/>
  <c r="L49" i="9"/>
  <c r="P31" i="2"/>
  <c r="M13" i="9"/>
  <c r="M130" i="2"/>
  <c r="H84"/>
  <c r="C59" i="4"/>
  <c r="D42"/>
  <c r="T29" i="9"/>
  <c r="E48"/>
  <c r="T39"/>
  <c r="M19"/>
  <c r="F66" i="4"/>
  <c r="Z28" i="9"/>
  <c r="T17"/>
  <c r="I17"/>
  <c r="P50" i="2"/>
  <c r="D83" i="9"/>
  <c r="M34" i="7"/>
  <c r="Q82" i="9"/>
  <c r="H22" i="7"/>
  <c r="J16" i="9"/>
  <c r="C35" i="2"/>
  <c r="O15" i="9"/>
  <c r="N20"/>
  <c r="V23"/>
  <c r="I57" i="7"/>
  <c r="B32"/>
  <c r="O40" i="2"/>
  <c r="H59" i="4"/>
  <c r="M32" i="7"/>
  <c r="D36"/>
  <c r="C107"/>
  <c r="M91" i="2"/>
  <c r="W23" i="9"/>
  <c r="E128" i="2"/>
  <c r="D67"/>
  <c r="L66" i="9"/>
  <c r="H29" i="4"/>
  <c r="N102" i="9"/>
  <c r="J34" i="7"/>
  <c r="L30" i="2"/>
  <c r="M148"/>
  <c r="B34" i="9"/>
  <c r="D61" i="2"/>
  <c r="C32"/>
  <c r="E46" i="7"/>
  <c r="M51"/>
  <c r="E104"/>
  <c r="D28" i="9"/>
  <c r="V24"/>
  <c r="M29"/>
  <c r="V67"/>
  <c r="D107" i="4"/>
  <c r="D58" i="9"/>
  <c r="H153" i="2"/>
  <c r="N34"/>
  <c r="E29"/>
  <c r="J29" i="7"/>
  <c r="E68" i="2"/>
  <c r="H30" i="4"/>
  <c r="D38" i="2"/>
  <c r="B92" i="9"/>
  <c r="K52" i="4"/>
  <c r="L43"/>
  <c r="B54" i="2"/>
  <c r="I60" i="7"/>
  <c r="B150" i="2"/>
  <c r="V151" i="9"/>
  <c r="O69" i="2"/>
  <c r="G49" i="9"/>
  <c r="J49" i="7"/>
  <c r="G41" i="9"/>
  <c r="M52"/>
  <c r="G167" i="4"/>
  <c r="G42"/>
  <c r="M28"/>
  <c r="S17" i="9"/>
  <c r="G27"/>
  <c r="G39" i="4"/>
  <c r="Y61" i="9"/>
  <c r="L60" i="2"/>
  <c r="S19" i="9"/>
  <c r="E159" i="2"/>
  <c r="I19" i="9"/>
  <c r="D46" i="4"/>
  <c r="I91"/>
  <c r="D72" i="9"/>
  <c r="S27"/>
  <c r="L13"/>
  <c r="H32" i="2"/>
  <c r="B32" i="9"/>
  <c r="I48" i="7"/>
  <c r="L17"/>
  <c r="B33" i="4"/>
  <c r="H24" i="9"/>
  <c r="G28" i="7"/>
  <c r="N27" i="2"/>
  <c r="L40"/>
  <c r="E42" i="7"/>
  <c r="Z16" i="9"/>
  <c r="H83" i="7"/>
  <c r="H55"/>
  <c r="W18" i="9"/>
  <c r="C40" i="2"/>
  <c r="F40" i="7"/>
  <c r="E31" i="4"/>
  <c r="D27" i="9"/>
  <c r="B25"/>
  <c r="G89" i="2"/>
  <c r="F38" i="9"/>
  <c r="O110" i="2"/>
  <c r="C25" i="9"/>
  <c r="Y23"/>
  <c r="D29"/>
  <c r="I110" i="4"/>
  <c r="B98" i="7"/>
  <c r="C45" i="9"/>
  <c r="D22"/>
  <c r="J29"/>
  <c r="D38" i="7"/>
  <c r="I18" i="9"/>
  <c r="I21" i="7"/>
  <c r="J25" i="9"/>
  <c r="G43" i="2"/>
  <c r="H52" i="4"/>
  <c r="E41" i="9"/>
  <c r="W22"/>
  <c r="F35" i="2"/>
  <c r="I51" i="7"/>
  <c r="T49" i="9"/>
  <c r="G36" i="7"/>
  <c r="Y27" i="9"/>
  <c r="E32" i="4"/>
  <c r="G41"/>
  <c r="C45" i="2"/>
  <c r="B55" i="4"/>
  <c r="G23" i="7"/>
  <c r="M56" i="9"/>
  <c r="F39" i="7"/>
  <c r="J18"/>
  <c r="C45"/>
  <c r="Z24" i="9"/>
  <c r="E39"/>
  <c r="N67"/>
  <c r="G38" i="4"/>
  <c r="H32" i="7"/>
  <c r="C37" i="2"/>
  <c r="Q74" i="9"/>
  <c r="L41" i="4"/>
  <c r="G33" i="9"/>
  <c r="P13"/>
  <c r="M24"/>
  <c r="I101"/>
  <c r="I58" i="7"/>
  <c r="T45" i="9"/>
  <c r="G32" i="7"/>
  <c r="D22"/>
  <c r="K25"/>
  <c r="N30" i="2"/>
  <c r="S52" i="9"/>
  <c r="J50" i="4"/>
  <c r="G22" i="7"/>
  <c r="F42"/>
  <c r="U22" i="9"/>
  <c r="F83" i="4"/>
  <c r="B4" i="10"/>
  <c r="K70" i="4"/>
  <c r="C39" i="2"/>
  <c r="D23" i="7"/>
  <c r="G50" i="4"/>
  <c r="H62" i="7"/>
  <c r="D19" i="9"/>
  <c r="P42"/>
  <c r="H43"/>
  <c r="B78" i="2"/>
  <c r="D104" i="7"/>
  <c r="E37" i="9"/>
  <c r="S22"/>
  <c r="X25"/>
  <c r="O34" i="2"/>
  <c r="O55" i="9"/>
  <c r="F15"/>
  <c r="J21"/>
  <c r="B62" i="4"/>
  <c r="F51" i="2"/>
  <c r="B104" i="4"/>
  <c r="B153" i="9"/>
  <c r="C164" i="2"/>
  <c r="H115" i="4"/>
  <c r="C150" i="7"/>
  <c r="G86" i="4"/>
  <c r="Y126" i="9"/>
  <c r="L149" i="2"/>
  <c r="H109" i="9"/>
  <c r="T154"/>
  <c r="H78"/>
  <c r="I133" i="4"/>
  <c r="B158" i="7"/>
  <c r="J80"/>
  <c r="B49" i="2"/>
  <c r="C120" i="4"/>
  <c r="L19" i="7"/>
  <c r="Y34" i="9"/>
  <c r="F87" i="2"/>
  <c r="R19" i="9"/>
  <c r="I26"/>
  <c r="E38"/>
  <c r="X159"/>
  <c r="F52" i="4"/>
  <c r="T35" i="9"/>
  <c r="H148" i="2"/>
  <c r="L31" i="7"/>
  <c r="K82" i="9"/>
  <c r="B73" i="2"/>
  <c r="F39" i="4"/>
  <c r="D111" i="2"/>
  <c r="I39" i="7"/>
  <c r="F112" i="4"/>
  <c r="O83" i="9"/>
  <c r="M134" i="7"/>
  <c r="J74" i="4"/>
  <c r="D106" i="7"/>
  <c r="D120" i="9"/>
  <c r="H170" i="2"/>
  <c r="M64"/>
  <c r="I152" i="9"/>
  <c r="N148" i="2"/>
  <c r="T3" i="9"/>
  <c r="B65"/>
  <c r="V155"/>
  <c r="C143"/>
  <c r="D44" i="2"/>
  <c r="C45" i="4"/>
  <c r="J31"/>
  <c r="H31" i="9"/>
  <c r="M54"/>
  <c r="W27"/>
  <c r="H100" i="4"/>
  <c r="S31" i="9"/>
  <c r="C55" i="7"/>
  <c r="I33" i="4"/>
  <c r="O30" i="9"/>
  <c r="P29"/>
  <c r="K68" i="7"/>
  <c r="H68"/>
  <c r="U41" i="9"/>
  <c r="E78" i="7"/>
  <c r="L3" i="9"/>
  <c r="C77" i="4"/>
  <c r="G127" i="9"/>
  <c r="H91" i="4"/>
  <c r="D85" i="7"/>
  <c r="N75" i="9"/>
  <c r="L91" i="2"/>
  <c r="G103" i="7"/>
  <c r="M112" i="4"/>
  <c r="E56" i="9"/>
  <c r="Q70"/>
  <c r="E132" i="7"/>
  <c r="B152" i="2"/>
  <c r="M130" i="7"/>
  <c r="K43" i="9"/>
  <c r="U71"/>
  <c r="Y24"/>
  <c r="M64" i="7"/>
  <c r="N50" i="2"/>
  <c r="M140"/>
  <c r="L143" i="7"/>
  <c r="Z19" i="9"/>
  <c r="L34" i="4"/>
  <c r="W25" i="9"/>
  <c r="G40"/>
  <c r="L35" i="4"/>
  <c r="J45"/>
  <c r="B79" i="2"/>
  <c r="C87" i="4"/>
  <c r="O32" i="2"/>
  <c r="F33" i="4"/>
  <c r="O54" i="9"/>
  <c r="P44" i="2"/>
  <c r="H130" i="9"/>
  <c r="G104" i="2"/>
  <c r="B113" i="9"/>
  <c r="I48" i="4"/>
  <c r="O122" i="9"/>
  <c r="H171" i="2"/>
  <c r="P132"/>
  <c r="H61" i="9"/>
  <c r="F107" i="7"/>
  <c r="E123"/>
  <c r="L149"/>
  <c r="J53" i="9"/>
  <c r="B156" i="7"/>
  <c r="C38" i="4"/>
  <c r="J39"/>
  <c r="H81" i="7"/>
  <c r="C69" i="9"/>
  <c r="D95" i="4"/>
  <c r="B124"/>
  <c r="E49" i="7"/>
  <c r="D120" i="4"/>
  <c r="F70" i="2"/>
  <c r="L51"/>
  <c r="Y22" i="9"/>
  <c r="H67"/>
  <c r="L19"/>
  <c r="I54" i="7"/>
  <c r="O16" i="9"/>
  <c r="H52" i="7"/>
  <c r="P40" i="9"/>
  <c r="H28" i="2"/>
  <c r="G95" i="4"/>
  <c r="J154" i="7"/>
  <c r="C48"/>
  <c r="G79" i="2"/>
  <c r="F29" i="9"/>
  <c r="B43" i="4"/>
  <c r="S151" i="9"/>
  <c r="U88"/>
  <c r="T81"/>
  <c r="P38"/>
  <c r="Y159"/>
  <c r="K109"/>
  <c r="Q151"/>
  <c r="C87" i="2"/>
  <c r="B41" i="9"/>
  <c r="H108" i="2"/>
  <c r="C147" i="9"/>
  <c r="H135"/>
  <c r="V119"/>
  <c r="B121"/>
  <c r="I37"/>
  <c r="E62" i="2"/>
  <c r="F43" i="4"/>
  <c r="B29"/>
  <c r="M51" i="2"/>
  <c r="G29" i="9"/>
  <c r="G34" i="4"/>
  <c r="G149" i="7"/>
  <c r="G121" i="4"/>
  <c r="F31" i="2"/>
  <c r="G131" i="4"/>
  <c r="Z18" i="9"/>
  <c r="J45" i="7"/>
  <c r="M151" i="4"/>
  <c r="N48" i="2"/>
  <c r="V49" i="9"/>
  <c r="B47" i="4"/>
  <c r="S69" i="9"/>
  <c r="B75" i="4"/>
  <c r="Q23" i="9"/>
  <c r="K66"/>
  <c r="C79" i="4"/>
  <c r="F75" i="7"/>
  <c r="F44" i="4"/>
  <c r="K83"/>
  <c r="F65"/>
  <c r="H104"/>
  <c r="C122" i="2"/>
  <c r="F126" i="4"/>
  <c r="L70"/>
  <c r="G54" i="9"/>
  <c r="L89" i="2"/>
  <c r="C46" i="4"/>
  <c r="F3"/>
  <c r="J62"/>
  <c r="B35" i="7"/>
  <c r="U30" i="9"/>
  <c r="B156" i="2"/>
  <c r="C23" i="7"/>
  <c r="E83"/>
  <c r="C28" i="9"/>
  <c r="D36"/>
  <c r="M43" i="4"/>
  <c r="J18" i="9"/>
  <c r="G39"/>
  <c r="L3" i="4"/>
  <c r="H78" i="7"/>
  <c r="K37" i="9"/>
  <c r="H70" i="2"/>
  <c r="Y16" i="9"/>
  <c r="P99" i="2"/>
  <c r="G43" i="4"/>
  <c r="B143" i="9"/>
  <c r="G112" i="7"/>
  <c r="V68" i="9"/>
  <c r="D51" i="4"/>
  <c r="D76" i="7"/>
  <c r="E68" i="4"/>
  <c r="T80" i="9"/>
  <c r="T130"/>
  <c r="H103" i="4"/>
  <c r="J3"/>
  <c r="M106" i="2"/>
  <c r="X70" i="9"/>
  <c r="V56"/>
  <c r="I165" i="4"/>
  <c r="S73" i="9"/>
  <c r="C13"/>
  <c r="E33" i="4"/>
  <c r="R27" i="9"/>
  <c r="K13"/>
  <c r="K43" i="4"/>
  <c r="K17" i="7"/>
  <c r="N27" i="9"/>
  <c r="D41" i="2"/>
  <c r="E56"/>
  <c r="N86"/>
  <c r="H88" i="4"/>
  <c r="Z132" i="9"/>
  <c r="O31"/>
  <c r="P37"/>
  <c r="F39" i="2"/>
  <c r="T37" i="9"/>
  <c r="M80" i="7"/>
  <c r="V26" i="9"/>
  <c r="F32"/>
  <c r="F34" i="4"/>
  <c r="E152" i="2"/>
  <c r="K57" i="7"/>
  <c r="G27" i="2"/>
  <c r="I14" i="9"/>
  <c r="Y57"/>
  <c r="C27"/>
  <c r="T25"/>
  <c r="F107" i="4"/>
  <c r="B70" i="9"/>
  <c r="S110"/>
  <c r="F24"/>
  <c r="I81"/>
  <c r="Q114"/>
  <c r="K85" i="7"/>
  <c r="G44" i="2"/>
  <c r="N90"/>
  <c r="G72" i="4"/>
  <c r="B45" i="9"/>
  <c r="E102" i="2"/>
  <c r="L145" i="7"/>
  <c r="I56" i="9"/>
  <c r="H115"/>
  <c r="L155" i="4"/>
  <c r="M87" i="7"/>
  <c r="C60" i="4"/>
  <c r="G109" i="9"/>
  <c r="L99" i="2"/>
  <c r="B136" i="4"/>
  <c r="C138"/>
  <c r="L138" i="9"/>
  <c r="V125"/>
  <c r="J62"/>
  <c r="Y91"/>
  <c r="X121"/>
  <c r="M82" i="2"/>
  <c r="N137"/>
  <c r="F48"/>
  <c r="G48" i="4"/>
  <c r="P67" i="2"/>
  <c r="F28"/>
  <c r="O45"/>
  <c r="D31" i="9"/>
  <c r="M38" i="2"/>
  <c r="G69" i="7"/>
  <c r="G40" i="4"/>
  <c r="E73" i="7"/>
  <c r="M29"/>
  <c r="P78" i="9"/>
  <c r="B115" i="4"/>
  <c r="K33" i="9"/>
  <c r="H41"/>
  <c r="F68" i="4"/>
  <c r="B85" i="2"/>
  <c r="F43" i="7"/>
  <c r="C86" i="9"/>
  <c r="K126" i="7"/>
  <c r="C122" i="4"/>
  <c r="M134"/>
  <c r="H83" i="2"/>
  <c r="I158" i="7"/>
  <c r="G68" i="4"/>
  <c r="B93" i="9"/>
  <c r="J82"/>
  <c r="L86"/>
  <c r="J50"/>
  <c r="K112"/>
  <c r="F141" i="4"/>
  <c r="T144" i="9"/>
  <c r="F13"/>
  <c r="H56" i="7"/>
  <c r="N35" i="2"/>
  <c r="F68" i="9"/>
  <c r="L34"/>
  <c r="K73" i="4"/>
  <c r="L150" i="7"/>
  <c r="N60" i="2"/>
  <c r="D109" i="7"/>
  <c r="Z22" i="9"/>
  <c r="G48" i="2"/>
  <c r="K158" i="7"/>
  <c r="J3"/>
  <c r="Q26" i="9"/>
  <c r="D37" i="2"/>
  <c r="M52" i="4"/>
  <c r="K21" i="7"/>
  <c r="I22" i="9"/>
  <c r="I75" i="7"/>
  <c r="D55" i="4"/>
  <c r="H119" i="7"/>
  <c r="I38" i="9"/>
  <c r="L67" i="2"/>
  <c r="F157"/>
  <c r="Y120" i="9"/>
  <c r="B43" i="7"/>
  <c r="O113" i="9"/>
  <c r="Q79"/>
  <c r="C56" i="4"/>
  <c r="L48" i="7"/>
  <c r="K73"/>
  <c r="X43" i="9"/>
  <c r="C100"/>
  <c r="M33"/>
  <c r="K33" i="4"/>
  <c r="H13" i="9"/>
  <c r="H31" i="2"/>
  <c r="C41" i="4"/>
  <c r="L32"/>
  <c r="G136" i="7"/>
  <c r="Q21" i="9"/>
  <c r="B40" i="4"/>
  <c r="F33" i="2"/>
  <c r="H44"/>
  <c r="I61" i="7"/>
  <c r="K96" i="4"/>
  <c r="D39" i="9"/>
  <c r="I24"/>
  <c r="D63" i="7"/>
  <c r="Y28" i="9"/>
  <c r="I44"/>
  <c r="T26"/>
  <c r="H86" i="2"/>
  <c r="H149" i="7"/>
  <c r="P86" i="9"/>
  <c r="U15"/>
  <c r="L112"/>
  <c r="J152"/>
  <c r="K52"/>
  <c r="E67" i="4"/>
  <c r="G145" i="7"/>
  <c r="I130" i="9"/>
  <c r="H121" i="4"/>
  <c r="D33"/>
  <c r="Y45" i="9"/>
  <c r="E20"/>
  <c r="X103"/>
  <c r="H151" i="4"/>
  <c r="G126"/>
  <c r="D162" i="2"/>
  <c r="B81" i="7"/>
  <c r="L164" i="4"/>
  <c r="H131" i="9"/>
  <c r="I168" i="4"/>
  <c r="H45" i="9"/>
  <c r="E24" i="7"/>
  <c r="G40" i="2"/>
  <c r="B63" i="4"/>
  <c r="D49" i="2"/>
  <c r="J83" i="9"/>
  <c r="N135"/>
  <c r="N54" i="2"/>
  <c r="L85" i="9"/>
  <c r="V48"/>
  <c r="D62" i="4"/>
  <c r="I126" i="7"/>
  <c r="L72" i="4"/>
  <c r="K23" i="9"/>
  <c r="I102" i="4"/>
  <c r="M84"/>
  <c r="L137"/>
  <c r="B44" i="7"/>
  <c r="K149" i="4"/>
  <c r="B66" i="7"/>
  <c r="E35" i="4"/>
  <c r="I60" i="9"/>
  <c r="Z102"/>
  <c r="B18" i="7"/>
  <c r="W40" i="9"/>
  <c r="C39" i="4"/>
  <c r="H128" i="2"/>
  <c r="E40" i="9"/>
  <c r="H74" i="7"/>
  <c r="J83" i="4"/>
  <c r="E68" i="9"/>
  <c r="S67"/>
  <c r="R31"/>
  <c r="O81"/>
  <c r="F147"/>
  <c r="L74" i="7"/>
  <c r="B56"/>
  <c r="H119" i="2"/>
  <c r="H56" i="9"/>
  <c r="K150"/>
  <c r="Y3"/>
  <c r="J41" i="4"/>
  <c r="G53" i="2"/>
  <c r="U21" i="9"/>
  <c r="L39" i="2"/>
  <c r="J33" i="4"/>
  <c r="G47" i="7"/>
  <c r="M81" i="9"/>
  <c r="H73" i="7"/>
  <c r="M46" i="4"/>
  <c r="O68" i="9"/>
  <c r="V134"/>
  <c r="K38"/>
  <c r="F88" i="7"/>
  <c r="Z42" i="9"/>
  <c r="D65" i="2"/>
  <c r="L113"/>
  <c r="E28" i="7"/>
  <c r="K38"/>
  <c r="E71" i="4"/>
  <c r="B27" i="7"/>
  <c r="O36" i="2"/>
  <c r="D52" i="7"/>
  <c r="J68"/>
  <c r="P65" i="2"/>
  <c r="B118" i="4"/>
  <c r="X26" i="9"/>
  <c r="C64" i="4"/>
  <c r="J38"/>
  <c r="I36"/>
  <c r="H37" i="9"/>
  <c r="C113"/>
  <c r="Z73"/>
  <c r="E86"/>
  <c r="F48" i="7"/>
  <c r="V39" i="9"/>
  <c r="W159"/>
  <c r="E52" i="7"/>
  <c r="L37" i="2"/>
  <c r="H38" i="9"/>
  <c r="L63" i="2"/>
  <c r="E55" i="4"/>
  <c r="E28" i="2"/>
  <c r="G40" i="7"/>
  <c r="G21" i="9"/>
  <c r="D53" i="7"/>
  <c r="N36" i="9"/>
  <c r="F58" i="2"/>
  <c r="M48"/>
  <c r="F67" i="9"/>
  <c r="J54" i="7"/>
  <c r="O63" i="9"/>
  <c r="D126" i="4"/>
  <c r="C83" i="9"/>
  <c r="H143" i="7"/>
  <c r="K34" i="4"/>
  <c r="K75" i="7"/>
  <c r="O66" i="2"/>
  <c r="H54" i="4"/>
  <c r="P149" i="9"/>
  <c r="G146" i="2"/>
  <c r="O57"/>
  <c r="M62"/>
  <c r="Y37" i="9"/>
  <c r="B53" i="4"/>
  <c r="H86" i="7"/>
  <c r="L57" i="2"/>
  <c r="Y39" i="9"/>
  <c r="B108" i="7"/>
  <c r="D56"/>
  <c r="D55"/>
  <c r="L127" i="4"/>
  <c r="F54"/>
  <c r="G68" i="2"/>
  <c r="B64" i="7"/>
  <c r="C43" i="4"/>
  <c r="P19" i="9"/>
  <c r="H29" i="7"/>
  <c r="T15" i="9"/>
  <c r="G52" i="4"/>
  <c r="M44" i="2"/>
  <c r="I25" i="7"/>
  <c r="F109" i="4"/>
  <c r="C71" i="7"/>
  <c r="K46" i="4"/>
  <c r="Z139" i="9"/>
  <c r="E126"/>
  <c r="N58" i="2"/>
  <c r="H91"/>
  <c r="F72" i="4"/>
  <c r="P30" i="2"/>
  <c r="U103" i="9"/>
  <c r="E74" i="4"/>
  <c r="Q111" i="9"/>
  <c r="D44"/>
  <c r="F92"/>
  <c r="D82" i="7"/>
  <c r="J53" i="4"/>
  <c r="G46"/>
  <c r="T77" i="9"/>
  <c r="C3" i="7"/>
  <c r="H88"/>
  <c r="H74" i="9"/>
  <c r="K64" i="7"/>
  <c r="N113" i="9"/>
  <c r="E118" i="2"/>
  <c r="I117" i="7"/>
  <c r="O31" i="2"/>
  <c r="L42" i="9"/>
  <c r="W33"/>
  <c r="M80" i="4"/>
  <c r="G28" i="9"/>
  <c r="B21"/>
  <c r="M27" i="7"/>
  <c r="C105"/>
  <c r="B89" i="4"/>
  <c r="B147" i="7"/>
  <c r="R105" i="9"/>
  <c r="T64"/>
  <c r="K159" i="4"/>
  <c r="F38" i="7"/>
  <c r="V159" i="9"/>
  <c r="F139" i="7"/>
  <c r="I66" i="9"/>
  <c r="U69"/>
  <c r="G103"/>
  <c r="G32" i="2"/>
  <c r="L128" i="7"/>
  <c r="E134"/>
  <c r="F98" i="2"/>
  <c r="K89" i="7"/>
  <c r="X157" i="9"/>
  <c r="T20"/>
  <c r="E146" i="4"/>
  <c r="G123"/>
  <c r="I149" i="7"/>
  <c r="B100" i="2"/>
  <c r="M153" i="9"/>
  <c r="U29"/>
  <c r="S107"/>
  <c r="E139" i="7"/>
  <c r="Y97" i="9"/>
  <c r="X74"/>
  <c r="G47"/>
  <c r="B86" i="2"/>
  <c r="C36" i="4"/>
  <c r="C108" i="7"/>
  <c r="B145" i="2"/>
  <c r="Q131" i="9"/>
  <c r="G3" i="2"/>
  <c r="J35" i="9"/>
  <c r="Z44"/>
  <c r="B134" i="7"/>
  <c r="H130" i="4"/>
  <c r="B61" i="7"/>
  <c r="V108" i="9"/>
  <c r="I41" i="4"/>
  <c r="E41" i="2"/>
  <c r="F60" i="7"/>
  <c r="C151"/>
  <c r="H123"/>
  <c r="T85" i="9"/>
  <c r="G38" i="2"/>
  <c r="F69" i="7"/>
  <c r="J49" i="4"/>
  <c r="J122" i="9"/>
  <c r="M78" i="7"/>
  <c r="H35"/>
  <c r="Y84" i="9"/>
  <c r="H15" i="7"/>
  <c r="E34"/>
  <c r="L55" i="4"/>
  <c r="F22" i="9"/>
  <c r="E51"/>
  <c r="I42"/>
  <c r="F25"/>
  <c r="Q56"/>
  <c r="F55" i="7"/>
  <c r="D35" i="4"/>
  <c r="C145" i="9"/>
  <c r="G95" i="2"/>
  <c r="M44" i="4"/>
  <c r="M97" i="7"/>
  <c r="C121"/>
  <c r="L39" i="4"/>
  <c r="O35" i="2"/>
  <c r="G128" i="9"/>
  <c r="D115" i="4"/>
  <c r="U99" i="9"/>
  <c r="I46" i="7"/>
  <c r="C34" i="4"/>
  <c r="P43" i="2"/>
  <c r="C61"/>
  <c r="O29"/>
  <c r="F41" i="9"/>
  <c r="C36"/>
  <c r="Z23"/>
  <c r="H49"/>
  <c r="B23"/>
  <c r="G61" i="4"/>
  <c r="D23" i="9"/>
  <c r="F96" i="7"/>
  <c r="C85" i="4"/>
  <c r="K41" i="9"/>
  <c r="P49"/>
  <c r="K54" i="4"/>
  <c r="M14" i="9"/>
  <c r="E34" i="4"/>
  <c r="C46" i="2"/>
  <c r="C18" i="7"/>
  <c r="P33" i="9"/>
  <c r="E94" i="7"/>
  <c r="B46" i="2"/>
  <c r="Y82" i="9"/>
  <c r="R72"/>
  <c r="G81" i="2"/>
  <c r="E81" i="7"/>
  <c r="C78" i="9"/>
  <c r="M48" i="4"/>
  <c r="H147" i="9"/>
  <c r="X32"/>
  <c r="P59" i="2"/>
  <c r="C73" i="4"/>
  <c r="J118" i="9"/>
  <c r="G80" i="7"/>
  <c r="P27" i="9"/>
  <c r="F22" i="7"/>
  <c r="H39" i="9"/>
  <c r="C62" i="7"/>
  <c r="N139" i="2"/>
  <c r="L22" i="7"/>
  <c r="F96" i="9"/>
  <c r="E45" i="4"/>
  <c r="C23" i="9"/>
  <c r="M45" i="2"/>
  <c r="F44" i="7"/>
  <c r="R98" i="9"/>
  <c r="B41" i="7"/>
  <c r="L29" i="2"/>
  <c r="Z33" i="9"/>
  <c r="D42" i="2"/>
  <c r="S20" i="9"/>
  <c r="C56" i="7"/>
  <c r="J63" i="4"/>
  <c r="M90" i="2"/>
  <c r="M34" i="4"/>
  <c r="C99"/>
  <c r="C106" i="7"/>
  <c r="F62"/>
  <c r="H81" i="4"/>
  <c r="B63" i="7"/>
  <c r="E102"/>
  <c r="N18" i="9"/>
  <c r="C51" i="2"/>
  <c r="F54" i="7"/>
  <c r="T19" i="9"/>
  <c r="F54"/>
  <c r="G49" i="4"/>
  <c r="D78" i="7"/>
  <c r="B98" i="2"/>
  <c r="H100" i="9"/>
  <c r="G97"/>
  <c r="D107"/>
  <c r="X40"/>
  <c r="D89" i="7"/>
  <c r="U38" i="9"/>
  <c r="O49"/>
  <c r="N121" i="2"/>
  <c r="F130" i="4"/>
  <c r="O18" i="9"/>
  <c r="J75" i="4"/>
  <c r="G26"/>
  <c r="H48"/>
  <c r="J37" i="7"/>
  <c r="I28" i="9"/>
  <c r="B75" i="2"/>
  <c r="H90" i="7"/>
  <c r="Z107" i="9"/>
  <c r="C81"/>
  <c r="H38" i="7"/>
  <c r="F81" i="4"/>
  <c r="O44" i="2"/>
  <c r="I42" i="4"/>
  <c r="G83" i="9"/>
  <c r="Y101"/>
  <c r="E52" i="2"/>
  <c r="H47" i="4"/>
  <c r="M35" i="9"/>
  <c r="E24"/>
  <c r="V19"/>
  <c r="C35" i="7"/>
  <c r="E87" i="2"/>
  <c r="C29" i="7"/>
  <c r="C97"/>
  <c r="E22" i="9"/>
  <c r="P3"/>
  <c r="K51" i="7"/>
  <c r="W72" i="9"/>
  <c r="U51"/>
  <c r="K45" i="4"/>
  <c r="T24" i="9"/>
  <c r="K35" i="4"/>
  <c r="P29" i="2"/>
  <c r="S157" i="9"/>
  <c r="X94"/>
  <c r="E40" i="4"/>
  <c r="H61" i="7"/>
  <c r="B130" i="4"/>
  <c r="M102" i="9"/>
  <c r="Z154"/>
  <c r="G95"/>
  <c r="P66"/>
  <c r="E139" i="4"/>
  <c r="C141" i="7"/>
  <c r="F79" i="4"/>
  <c r="I123" i="7"/>
  <c r="R94" i="9"/>
  <c r="L94"/>
  <c r="S26"/>
  <c r="L39"/>
  <c r="N33" i="2"/>
  <c r="C24" i="9"/>
  <c r="K157"/>
  <c r="K151" i="4"/>
  <c r="Z32" i="9"/>
  <c r="X34"/>
  <c r="N39" i="2"/>
  <c r="B41"/>
  <c r="B58" i="9"/>
  <c r="T53"/>
  <c r="X35"/>
  <c r="M90"/>
  <c r="M105" i="2"/>
  <c r="F141" i="9"/>
  <c r="C57" i="7"/>
  <c r="N152" i="2"/>
  <c r="T23" i="9"/>
  <c r="O64" i="2"/>
  <c r="M95"/>
  <c r="J88" i="7"/>
  <c r="D81"/>
  <c r="B38"/>
  <c r="O47" i="9"/>
  <c r="D48" i="7"/>
  <c r="R67" i="9"/>
  <c r="U36"/>
  <c r="E118" i="4"/>
  <c r="L44"/>
  <c r="Q99" i="9"/>
  <c r="K89"/>
  <c r="C60" i="2"/>
  <c r="E46"/>
  <c r="Z49" i="9"/>
  <c r="H42" i="4"/>
  <c r="H23" i="9"/>
  <c r="L151" i="7"/>
  <c r="M38"/>
  <c r="P39" i="9"/>
  <c r="J44" i="4"/>
  <c r="F116" i="9"/>
  <c r="Q84"/>
  <c r="V51"/>
  <c r="H40" i="4"/>
  <c r="F50" i="9"/>
  <c r="H63" i="7"/>
  <c r="B65" i="2"/>
  <c r="B40"/>
  <c r="L52"/>
  <c r="U87" i="9"/>
  <c r="Y58"/>
  <c r="U115"/>
  <c r="H41" i="4"/>
  <c r="B55" i="7"/>
  <c r="E100" i="2"/>
  <c r="O41" i="9"/>
  <c r="G33" i="4"/>
  <c r="K67" i="7"/>
  <c r="S42" i="9"/>
  <c r="U33"/>
  <c r="N105" i="2"/>
  <c r="P152"/>
  <c r="B3"/>
  <c r="J140" i="9"/>
  <c r="Q113"/>
  <c r="I31"/>
  <c r="J40"/>
  <c r="L33" i="4"/>
  <c r="F37" i="7"/>
  <c r="G163" i="4"/>
  <c r="J78" i="9"/>
  <c r="H62" i="2"/>
  <c r="J151" i="7"/>
  <c r="Q36" i="9"/>
  <c r="O33" i="2"/>
  <c r="C22" i="9"/>
  <c r="J81"/>
  <c r="N43" i="2"/>
  <c r="M30" i="9"/>
  <c r="O36"/>
  <c r="M60" i="4"/>
  <c r="F27" i="9"/>
  <c r="U145"/>
  <c r="B135"/>
  <c r="K155" i="4"/>
  <c r="C103"/>
  <c r="I148" i="7"/>
  <c r="N69" i="2"/>
  <c r="I100" i="4"/>
  <c r="K69" i="7"/>
  <c r="E65" i="2"/>
  <c r="H137"/>
  <c r="N67"/>
  <c r="Z67" i="9"/>
  <c r="Z100"/>
  <c r="J24"/>
  <c r="J50" i="7"/>
  <c r="F152"/>
  <c r="W50" i="9"/>
  <c r="G17" i="7"/>
  <c r="B146" i="9"/>
  <c r="W61"/>
  <c r="B129" i="4"/>
  <c r="C33" i="7"/>
  <c r="E89" i="9"/>
  <c r="G39" i="7"/>
  <c r="K74" i="4"/>
  <c r="K34" i="7"/>
  <c r="G38"/>
  <c r="C26" i="2"/>
  <c r="F29" i="7"/>
  <c r="E61" i="2"/>
  <c r="E45" i="7"/>
  <c r="H80"/>
  <c r="C47"/>
  <c r="K61"/>
  <c r="D40" i="2"/>
  <c r="L167" i="4"/>
  <c r="D64" i="7"/>
  <c r="H126"/>
  <c r="L43" i="2"/>
  <c r="B19" i="7"/>
  <c r="D34" i="9"/>
  <c r="N58"/>
  <c r="P54" i="2"/>
  <c r="F120" i="4"/>
  <c r="H103" i="2"/>
  <c r="C44"/>
  <c r="M57" i="4"/>
  <c r="R44" i="9"/>
  <c r="H140" i="4"/>
  <c r="D94" i="7"/>
  <c r="J109" i="9"/>
  <c r="W85"/>
  <c r="F41" i="2"/>
  <c r="T159" i="9"/>
  <c r="S24"/>
  <c r="D102" i="7"/>
  <c r="M49"/>
  <c r="D47" i="9"/>
  <c r="D115"/>
  <c r="B46" i="4"/>
  <c r="E106" i="9"/>
  <c r="G15"/>
  <c r="I107" i="7"/>
  <c r="H84" i="4"/>
  <c r="M48" i="9"/>
  <c r="L36" i="7"/>
  <c r="M109" i="4"/>
  <c r="B59" i="2"/>
  <c r="H40" i="9"/>
  <c r="L35"/>
  <c r="P15"/>
  <c r="C104" i="7"/>
  <c r="P53" i="2"/>
  <c r="Z41" i="9"/>
  <c r="H109" i="2"/>
  <c r="G55"/>
  <c r="J102" i="9"/>
  <c r="I23"/>
  <c r="M55" i="2"/>
  <c r="N51" i="9"/>
  <c r="B150" i="4"/>
  <c r="F94" i="7"/>
  <c r="J86"/>
  <c r="G87"/>
  <c r="S16" i="9"/>
  <c r="M160" i="2"/>
  <c r="S142" i="9"/>
  <c r="R118"/>
  <c r="L29" i="4"/>
  <c r="Z61" i="9"/>
  <c r="J19" i="7"/>
  <c r="P52" i="9"/>
  <c r="C152"/>
  <c r="M51" i="4"/>
  <c r="G87" i="9"/>
  <c r="J74" i="7"/>
  <c r="I118"/>
  <c r="M148" i="4"/>
  <c r="B91" i="2"/>
  <c r="J119" i="9"/>
  <c r="U57"/>
  <c r="I159" i="7"/>
  <c r="W96" i="9"/>
  <c r="F124"/>
  <c r="E159" i="7"/>
  <c r="M113" i="9"/>
  <c r="L105" i="2"/>
  <c r="D87" i="9"/>
  <c r="I170" i="4"/>
  <c r="G109"/>
  <c r="Z112" i="9"/>
  <c r="I49" i="4"/>
  <c r="Y43" i="9"/>
  <c r="H56" i="2"/>
  <c r="H152"/>
  <c r="N53" i="9"/>
  <c r="E90" i="7"/>
  <c r="B122" i="9"/>
  <c r="V157"/>
  <c r="C49" i="7"/>
  <c r="N46" i="2"/>
  <c r="J89" i="4"/>
  <c r="O25" i="9"/>
  <c r="T102"/>
  <c r="D49"/>
  <c r="E37" i="7"/>
  <c r="C101" i="2"/>
  <c r="N160"/>
  <c r="P49"/>
  <c r="Z116" i="9"/>
  <c r="X138"/>
  <c r="P147" i="2"/>
  <c r="D101" i="9"/>
  <c r="I93"/>
  <c r="L127" i="2"/>
  <c r="I126" i="4"/>
  <c r="B119" i="2"/>
  <c r="C149" i="9"/>
  <c r="S121"/>
  <c r="G110" i="7"/>
  <c r="X95" i="9"/>
  <c r="E168" i="4"/>
  <c r="D49" i="7"/>
  <c r="J145" i="4"/>
  <c r="M135" i="7"/>
  <c r="M59" i="9"/>
  <c r="D127" i="7"/>
  <c r="F38" i="4"/>
  <c r="H57" i="7"/>
  <c r="T57" i="9"/>
  <c r="D154" i="7"/>
  <c r="D143" i="4"/>
  <c r="L88" i="9"/>
  <c r="L150"/>
  <c r="F63" i="4"/>
  <c r="M61" i="9"/>
  <c r="F37"/>
  <c r="M140"/>
  <c r="H121" i="2"/>
  <c r="I118" i="4"/>
  <c r="H59" i="7"/>
  <c r="E84"/>
  <c r="E37" i="4"/>
  <c r="N104" i="2"/>
  <c r="G82" i="7"/>
  <c r="C150" i="4"/>
  <c r="C146" i="7"/>
  <c r="P63" i="2"/>
  <c r="E120" i="7"/>
  <c r="O78" i="9"/>
  <c r="P32" i="2"/>
  <c r="M153" i="7"/>
  <c r="F36" i="4"/>
  <c r="Y121" i="9"/>
  <c r="H120" i="2"/>
  <c r="D154"/>
  <c r="Z142" i="9"/>
  <c r="L67"/>
  <c r="I140" i="4"/>
  <c r="V129" i="9"/>
  <c r="L115" i="7"/>
  <c r="T117" i="9"/>
  <c r="L107" i="2"/>
  <c r="P127"/>
  <c r="G86" i="7"/>
  <c r="B125" i="4"/>
  <c r="B109" i="2"/>
  <c r="B143" i="7"/>
  <c r="C139" i="2"/>
  <c r="B148"/>
  <c r="R112" i="9"/>
  <c r="D84" i="2"/>
  <c r="E87" i="9"/>
  <c r="J128" i="4"/>
  <c r="B105" i="2"/>
  <c r="Y69" i="9"/>
  <c r="Q22"/>
  <c r="J59" i="7"/>
  <c r="B149"/>
  <c r="M86"/>
  <c r="F99" i="4"/>
  <c r="B37" i="2"/>
  <c r="K76" i="4"/>
  <c r="P140" i="2"/>
  <c r="W48" i="9"/>
  <c r="F146"/>
  <c r="L157" i="2"/>
  <c r="D52" i="9"/>
  <c r="D124" i="4"/>
  <c r="Q119" i="9"/>
  <c r="H70" i="4"/>
  <c r="K165"/>
  <c r="D129" i="2"/>
  <c r="E112" i="9"/>
  <c r="D99" i="2"/>
  <c r="L69" i="9"/>
  <c r="G118"/>
  <c r="M104" i="4"/>
  <c r="W87" i="9"/>
  <c r="L103" i="2"/>
  <c r="E54" i="7"/>
  <c r="O26" i="2"/>
  <c r="N38" i="9"/>
  <c r="I56" i="7"/>
  <c r="D13" i="9"/>
  <c r="D26" i="7"/>
  <c r="B3"/>
  <c r="T120" i="9"/>
  <c r="D31" i="2"/>
  <c r="Q17" i="9"/>
  <c r="E3" i="7"/>
  <c r="M63"/>
  <c r="Q88" i="9"/>
  <c r="U39"/>
  <c r="D65" i="4"/>
  <c r="B76" i="2"/>
  <c r="I83" i="7"/>
  <c r="P150" i="9"/>
  <c r="B35" i="4"/>
  <c r="E145" i="7"/>
  <c r="Z71" i="9"/>
  <c r="F75" i="4"/>
  <c r="D145" i="2"/>
  <c r="K54" i="9"/>
  <c r="E114"/>
  <c r="E95" i="2"/>
  <c r="O143"/>
  <c r="F155" i="4"/>
  <c r="B35" i="2"/>
  <c r="Q47" i="9"/>
  <c r="H72"/>
  <c r="B39" i="2"/>
  <c r="C131" i="4"/>
  <c r="M108" i="2"/>
  <c r="M17" i="7"/>
  <c r="J23" i="9"/>
  <c r="T21"/>
  <c r="I13"/>
  <c r="C66" i="4"/>
  <c r="E15" i="7"/>
  <c r="L23"/>
  <c r="P47" i="2"/>
  <c r="B85" i="4"/>
  <c r="H60" i="7"/>
  <c r="E97" i="4"/>
  <c r="P72" i="9"/>
  <c r="H46" i="7"/>
  <c r="I52" i="9"/>
  <c r="F59" i="4"/>
  <c r="B48" i="2"/>
  <c r="D147" i="9"/>
  <c r="B40"/>
  <c r="F153" i="7"/>
  <c r="M49" i="4"/>
  <c r="M82" i="9"/>
  <c r="D165" i="2"/>
  <c r="M70" i="7"/>
  <c r="F66"/>
  <c r="F76"/>
  <c r="Q101" i="9"/>
  <c r="Z152"/>
  <c r="B124" i="2"/>
  <c r="G60" i="7"/>
  <c r="F83" i="2"/>
  <c r="F137"/>
  <c r="C117" i="4"/>
  <c r="K44" i="9"/>
  <c r="G117" i="7"/>
  <c r="J91" i="9"/>
  <c r="J14"/>
  <c r="C60"/>
  <c r="J40" i="7"/>
  <c r="O23" i="9"/>
  <c r="F36" i="2"/>
  <c r="L75" i="7"/>
  <c r="J53"/>
  <c r="K77" i="4"/>
  <c r="U16" i="9"/>
  <c r="D40" i="4"/>
  <c r="K38"/>
  <c r="J27" i="7"/>
  <c r="F125" i="4"/>
  <c r="V50" i="9"/>
  <c r="G69" i="2"/>
  <c r="D110" i="4"/>
  <c r="O58" i="9"/>
  <c r="I49" i="7"/>
  <c r="E103"/>
  <c r="W39" i="9"/>
  <c r="H35"/>
  <c r="D146" i="7"/>
  <c r="K113" i="4"/>
  <c r="W121" i="9"/>
  <c r="D101" i="2"/>
  <c r="H155"/>
  <c r="Z140" i="9"/>
  <c r="H147" i="7"/>
  <c r="G118" i="2"/>
  <c r="K84" i="7"/>
  <c r="T127" i="9"/>
  <c r="F90" i="2"/>
  <c r="J58" i="9"/>
  <c r="K66" i="7"/>
  <c r="D50" i="9"/>
  <c r="D151" i="4"/>
  <c r="M92" i="9"/>
  <c r="P130" i="2"/>
  <c r="F80" i="9"/>
  <c r="R81"/>
  <c r="L151" i="2"/>
  <c r="K122" i="4"/>
  <c r="F132" i="9"/>
  <c r="C68" i="2"/>
  <c r="F158" i="9"/>
  <c r="D129" i="4"/>
  <c r="P46" i="9"/>
  <c r="N57" i="2"/>
  <c r="B83" i="7"/>
  <c r="H57" i="2"/>
  <c r="N146"/>
  <c r="M163" i="4"/>
  <c r="B101" i="2"/>
  <c r="M103" i="9"/>
  <c r="Z147"/>
  <c r="V58"/>
  <c r="E119"/>
  <c r="G96" i="2"/>
  <c r="M144" i="4"/>
  <c r="M114" i="9"/>
  <c r="H42"/>
  <c r="G76" i="2"/>
  <c r="B29" i="9"/>
  <c r="K115"/>
  <c r="Q27"/>
  <c r="M58"/>
  <c r="C49" i="4"/>
  <c r="I61"/>
  <c r="B149"/>
  <c r="T22" i="9"/>
  <c r="B68" i="7"/>
  <c r="F79" i="9"/>
  <c r="O74" i="2"/>
  <c r="O132"/>
  <c r="B70" i="4"/>
  <c r="M137"/>
  <c r="F110" i="7"/>
  <c r="K111" i="9"/>
  <c r="B84" i="2"/>
  <c r="D56" i="4"/>
  <c r="D81"/>
  <c r="F78" i="7"/>
  <c r="D137" i="4"/>
  <c r="R130" i="9"/>
  <c r="P79" i="2"/>
  <c r="L42" i="4"/>
  <c r="I110" i="7"/>
  <c r="F132"/>
  <c r="M125" i="9"/>
  <c r="T54"/>
  <c r="T93"/>
  <c r="E73" i="2"/>
  <c r="E108"/>
  <c r="M156" i="7"/>
  <c r="O22" i="9"/>
  <c r="G24" i="7"/>
  <c r="Z29" i="9"/>
  <c r="S96"/>
  <c r="D57" i="7"/>
  <c r="K116" i="9"/>
  <c r="I119" i="7"/>
  <c r="L28" i="2"/>
  <c r="H64"/>
  <c r="G71" i="4"/>
  <c r="O56" i="2"/>
  <c r="E31"/>
  <c r="F28" i="4"/>
  <c r="P42" i="2"/>
  <c r="G83" i="4"/>
  <c r="K145" i="9"/>
  <c r="G99"/>
  <c r="F77" i="2"/>
  <c r="E100" i="7"/>
  <c r="E141" i="9"/>
  <c r="M127" i="4"/>
  <c r="I108" i="7"/>
  <c r="R158" i="9"/>
  <c r="M123" i="7"/>
  <c r="I129" i="4"/>
  <c r="L96" i="9"/>
  <c r="Y41"/>
  <c r="M45" i="4"/>
  <c r="O112" i="9"/>
  <c r="V57"/>
  <c r="U102"/>
  <c r="M58" i="7"/>
  <c r="J66"/>
  <c r="E94" i="2"/>
  <c r="J130" i="4"/>
  <c r="M145" i="9"/>
  <c r="H27" i="7"/>
  <c r="P46" i="2"/>
  <c r="X50" i="9"/>
  <c r="N63"/>
  <c r="E114" i="7"/>
  <c r="J17"/>
  <c r="B112" i="4"/>
  <c r="M70"/>
  <c r="H19" i="9"/>
  <c r="C40"/>
  <c r="J54"/>
  <c r="J46" i="7"/>
  <c r="C81"/>
  <c r="O155" i="2"/>
  <c r="B146" i="7"/>
  <c r="D144" i="4"/>
  <c r="B103" i="9"/>
  <c r="M143" i="2"/>
  <c r="R107" i="9"/>
  <c r="X149"/>
  <c r="G96"/>
  <c r="Y32"/>
  <c r="S60"/>
  <c r="I128" i="7"/>
  <c r="H146" i="4"/>
  <c r="N114" i="2"/>
  <c r="H39" i="7"/>
  <c r="M60"/>
  <c r="E47"/>
  <c r="C47" i="4"/>
  <c r="K161"/>
  <c r="N71" i="9"/>
  <c r="H28"/>
  <c r="X116"/>
  <c r="N98" i="2"/>
  <c r="F20" i="7"/>
  <c r="O157" i="2"/>
  <c r="N52" i="9"/>
  <c r="P33" i="2"/>
  <c r="K19" i="9"/>
  <c r="E58" i="7"/>
  <c r="C34" i="9"/>
  <c r="F51" i="7"/>
  <c r="F41" i="4"/>
  <c r="X58" i="9"/>
  <c r="D91"/>
  <c r="T55"/>
  <c r="H121"/>
  <c r="K53" i="7"/>
  <c r="F87" i="4"/>
  <c r="M98" i="9"/>
  <c r="X105"/>
  <c r="M119" i="2"/>
  <c r="Y71" i="9"/>
  <c r="P150" i="2"/>
  <c r="Y129" i="9"/>
  <c r="V27"/>
  <c r="N49"/>
  <c r="N157" i="2"/>
  <c r="G117" i="9"/>
  <c r="I28" i="7"/>
  <c r="G26" i="2"/>
  <c r="L30" i="7"/>
  <c r="M28"/>
  <c r="N15" i="9"/>
  <c r="E144" i="7"/>
  <c r="F30" i="4"/>
  <c r="V85" i="9"/>
  <c r="Y73"/>
  <c r="B52" i="2"/>
  <c r="N64"/>
  <c r="O129"/>
  <c r="L64" i="7"/>
  <c r="F59"/>
  <c r="F32"/>
  <c r="C58" i="9"/>
  <c r="L50" i="4"/>
  <c r="E43" i="7"/>
  <c r="L46" i="4"/>
  <c r="I42" i="7"/>
  <c r="E50" i="4"/>
  <c r="F93"/>
  <c r="Y25" i="9"/>
  <c r="G110"/>
  <c r="E61" i="4"/>
  <c r="C162"/>
  <c r="L135" i="7"/>
  <c r="C127" i="9"/>
  <c r="R47"/>
  <c r="L45" i="4"/>
  <c r="B76" i="7"/>
  <c r="L40"/>
  <c r="J33" i="9"/>
  <c r="B49" i="4"/>
  <c r="X96" i="9"/>
  <c r="X49"/>
  <c r="S25"/>
  <c r="J29" i="4"/>
  <c r="Z95" i="9"/>
  <c r="F27" i="4"/>
  <c r="B42" i="2"/>
  <c r="M37" i="9"/>
  <c r="D26" i="4"/>
  <c r="W54" i="9"/>
  <c r="E110" i="7"/>
  <c r="K142" i="4"/>
  <c r="M73" i="2"/>
  <c r="E156" i="7"/>
  <c r="L70" i="9"/>
  <c r="L68" i="4"/>
  <c r="I62" i="7"/>
  <c r="M57"/>
  <c r="Y74" i="9"/>
  <c r="H19" i="7"/>
  <c r="I43"/>
  <c r="H154" i="2"/>
  <c r="B31" i="9"/>
  <c r="H92" i="2"/>
  <c r="G54" i="4"/>
  <c r="J17" i="9"/>
  <c r="O66"/>
  <c r="D45" i="7"/>
  <c r="H79" i="2"/>
  <c r="E143" i="9"/>
  <c r="C18"/>
  <c r="E44" i="2"/>
  <c r="G31" i="7"/>
  <c r="Q45" i="9"/>
  <c r="D47" i="7"/>
  <c r="E121" i="4"/>
  <c r="N140" i="2"/>
  <c r="K69" i="4"/>
  <c r="F94" i="9"/>
  <c r="C85" i="2"/>
  <c r="X99" i="9"/>
  <c r="N61" i="2"/>
  <c r="P73"/>
  <c r="G72"/>
  <c r="B125"/>
  <c r="R40" i="9"/>
  <c r="K87" i="7"/>
  <c r="I40" i="4"/>
  <c r="C165" i="2"/>
  <c r="L53" i="7"/>
  <c r="K26"/>
  <c r="Q33" i="9"/>
  <c r="M32" i="2"/>
  <c r="N48" i="9"/>
  <c r="P66" i="2"/>
  <c r="P54" i="9"/>
  <c r="O73"/>
  <c r="C47" i="2"/>
  <c r="W52" i="9"/>
  <c r="F26" i="7"/>
  <c r="B154" i="2"/>
  <c r="I79" i="7"/>
  <c r="E96" i="4"/>
  <c r="C111" i="9"/>
  <c r="G44" i="7"/>
  <c r="I65"/>
  <c r="O40" i="9"/>
  <c r="C155"/>
  <c r="H115" i="2"/>
  <c r="L147" i="7"/>
  <c r="K91" i="4"/>
  <c r="M46" i="2"/>
  <c r="L153" i="4"/>
  <c r="H3" i="9"/>
  <c r="Z150"/>
  <c r="L55" i="7"/>
  <c r="L41" i="2"/>
  <c r="F63"/>
  <c r="K86" i="4"/>
  <c r="G44" i="9"/>
  <c r="H120" i="4"/>
  <c r="I81"/>
  <c r="E142"/>
  <c r="P93" i="2"/>
  <c r="X91" i="9"/>
  <c r="D83" i="2"/>
  <c r="G19" i="9"/>
  <c r="M50" i="7"/>
  <c r="E77" i="2"/>
  <c r="P84"/>
  <c r="I69" i="4"/>
  <c r="G83" i="2"/>
  <c r="J37" i="4"/>
  <c r="E62"/>
  <c r="L60"/>
  <c r="M56"/>
  <c r="J45" i="9"/>
  <c r="I38" i="4"/>
  <c r="W28" i="9"/>
  <c r="M24" i="7"/>
  <c r="R99" i="9"/>
  <c r="C47"/>
  <c r="H132" i="2"/>
  <c r="V38" i="9"/>
  <c r="N143" i="2"/>
  <c r="C52" i="7"/>
  <c r="M169" i="4"/>
  <c r="B60" i="7"/>
  <c r="O54" i="2"/>
  <c r="L31" i="9"/>
  <c r="J100"/>
  <c r="J73"/>
  <c r="F19"/>
  <c r="F45" i="7"/>
  <c r="M47" i="4"/>
  <c r="R21" i="9"/>
  <c r="C48" i="4"/>
  <c r="K32" i="9"/>
  <c r="D46" i="2"/>
  <c r="C22" i="7"/>
  <c r="G155" i="4"/>
  <c r="L101"/>
  <c r="C31" i="9"/>
  <c r="F40"/>
  <c r="D112" i="4"/>
  <c r="M89" i="7"/>
  <c r="I101"/>
  <c r="C168" i="4"/>
  <c r="O27" i="9"/>
  <c r="I81" i="7"/>
  <c r="S33" i="9"/>
  <c r="C20"/>
  <c r="S44"/>
  <c r="W20"/>
  <c r="R61"/>
  <c r="J42"/>
  <c r="E17"/>
  <c r="D106" i="2"/>
  <c r="F149" i="9"/>
  <c r="F26" i="2"/>
  <c r="D93" i="4"/>
  <c r="L45" i="7"/>
  <c r="K85" i="9"/>
  <c r="L55" i="2"/>
  <c r="L65"/>
  <c r="B81" i="9"/>
  <c r="K59" i="4"/>
  <c r="D63" i="2"/>
  <c r="G64" i="4"/>
  <c r="N52" i="2"/>
  <c r="M68" i="7"/>
  <c r="O32" i="9"/>
  <c r="K47" i="7"/>
  <c r="K25" i="9"/>
  <c r="M32"/>
  <c r="F29" i="4"/>
  <c r="L56" i="2"/>
  <c r="H36" i="4"/>
  <c r="K52" i="7"/>
  <c r="G137" i="2"/>
  <c r="G13" i="9"/>
  <c r="I50" i="4"/>
  <c r="K67"/>
  <c r="O135" i="2"/>
  <c r="I43" i="4"/>
  <c r="L57" i="7"/>
  <c r="K22" i="9"/>
  <c r="N51" i="2"/>
  <c r="K144" i="9"/>
  <c r="E59" i="7"/>
  <c r="N49" i="2"/>
  <c r="M73" i="9"/>
  <c r="S45"/>
  <c r="F68" i="2"/>
  <c r="N131" i="9"/>
  <c r="E141" i="4"/>
  <c r="E74" i="9"/>
  <c r="C72" i="7"/>
  <c r="H32" i="4"/>
  <c r="M87" i="2"/>
  <c r="E119" i="4"/>
  <c r="U64" i="9"/>
  <c r="C53" i="2"/>
  <c r="F47"/>
  <c r="X31" i="9"/>
  <c r="Q143"/>
  <c r="J88" i="4"/>
  <c r="L46" i="2"/>
  <c r="H43"/>
  <c r="K32" i="7"/>
  <c r="K48" i="4"/>
  <c r="J41" i="7"/>
  <c r="C64" i="2"/>
  <c r="H90" i="9"/>
  <c r="V40"/>
  <c r="C80" i="4"/>
  <c r="L78" i="7"/>
  <c r="Z3" i="9"/>
  <c r="G62" i="4"/>
  <c r="F113" i="9"/>
  <c r="C68"/>
  <c r="F47" i="4"/>
  <c r="H120" i="9"/>
  <c r="N45" i="2"/>
  <c r="C132"/>
  <c r="C102" i="4"/>
  <c r="C50" i="9"/>
  <c r="G96" i="4"/>
  <c r="E84"/>
  <c r="H40" i="2"/>
  <c r="D48"/>
  <c r="C46" i="9"/>
  <c r="E25"/>
  <c r="H47" i="7"/>
  <c r="D111" i="4"/>
  <c r="E33" i="9"/>
  <c r="G31" i="2"/>
  <c r="D20" i="9"/>
  <c r="L65" i="4"/>
  <c r="M20" i="7"/>
  <c r="D76" i="4"/>
  <c r="I92" i="7"/>
  <c r="G67"/>
  <c r="F49" i="2"/>
  <c r="K123" i="7"/>
  <c r="V53" i="9"/>
  <c r="I52" i="7"/>
  <c r="F129"/>
  <c r="C71" i="2"/>
  <c r="Q62" i="9"/>
  <c r="F71" i="2"/>
  <c r="D73" i="4"/>
  <c r="I99" i="7"/>
  <c r="B69"/>
  <c r="F104"/>
  <c r="B168" i="4"/>
  <c r="M96"/>
  <c r="H34" i="2"/>
  <c r="F156" i="7"/>
  <c r="V29" i="9"/>
  <c r="G32"/>
  <c r="C42" i="7"/>
  <c r="J62"/>
  <c r="L43"/>
  <c r="E74" i="2"/>
  <c r="K57" i="9"/>
  <c r="G31" i="4"/>
  <c r="V22" i="9"/>
  <c r="L34" i="2"/>
  <c r="M104"/>
  <c r="H159"/>
  <c r="H33" i="9"/>
  <c r="B30"/>
  <c r="F154"/>
  <c r="C83" i="7"/>
  <c r="L27" i="4"/>
  <c r="B150" i="9"/>
  <c r="E48" i="4"/>
  <c r="B137"/>
  <c r="T119" i="9"/>
  <c r="R87"/>
  <c r="S54"/>
  <c r="F76" i="2"/>
  <c r="C85" i="7"/>
  <c r="K63" i="4"/>
  <c r="U75" i="9"/>
  <c r="K66" i="4"/>
  <c r="K60"/>
  <c r="K39" i="7"/>
  <c r="I77" i="4"/>
  <c r="K21" i="9"/>
  <c r="H64" i="7"/>
  <c r="M72" i="9"/>
  <c r="N144"/>
  <c r="D33" i="2"/>
  <c r="E33"/>
  <c r="B104"/>
  <c r="E50" i="9"/>
  <c r="H39" i="4"/>
  <c r="P90" i="2"/>
  <c r="T18" i="9"/>
  <c r="K28" i="4"/>
  <c r="K29" i="7"/>
  <c r="P26" i="2"/>
  <c r="H53"/>
  <c r="X23" i="9"/>
  <c r="U25"/>
  <c r="B28" i="7"/>
  <c r="D136" i="2"/>
  <c r="X136" i="9"/>
  <c r="F93"/>
  <c r="U141"/>
  <c r="G93" i="2"/>
  <c r="C157" i="9"/>
  <c r="H118" i="4"/>
  <c r="K116" i="7"/>
  <c r="F158" i="4"/>
  <c r="H139" i="2"/>
  <c r="W151" i="9"/>
  <c r="D145" i="7"/>
  <c r="D43" i="4"/>
  <c r="F106" i="7"/>
  <c r="J36" i="9"/>
  <c r="G28" i="2"/>
  <c r="C93" i="7"/>
  <c r="H74" i="4"/>
  <c r="M151" i="2"/>
  <c r="B129" i="9"/>
  <c r="I84"/>
  <c r="L44"/>
  <c r="O26"/>
  <c r="L15"/>
  <c r="G119"/>
  <c r="L143"/>
  <c r="J31"/>
  <c r="P122" i="2"/>
  <c r="L18" i="7"/>
  <c r="H47" i="2"/>
  <c r="H41"/>
  <c r="P53" i="9"/>
  <c r="Y18"/>
  <c r="M50" i="2"/>
  <c r="H122"/>
  <c r="T101" i="9"/>
  <c r="D85"/>
  <c r="K93" i="7"/>
  <c r="L168" i="4"/>
  <c r="N83" i="2"/>
  <c r="M122"/>
  <c r="D126"/>
  <c r="C169"/>
  <c r="C79" i="9"/>
  <c r="L27"/>
  <c r="E121" i="7"/>
  <c r="D55" i="9"/>
  <c r="E137" i="4"/>
  <c r="C114" i="9"/>
  <c r="T126"/>
  <c r="C62" i="2"/>
  <c r="B103"/>
  <c r="C163" i="4"/>
  <c r="N73" i="9"/>
  <c r="O112" i="2"/>
  <c r="R3" i="9"/>
  <c r="F145"/>
  <c r="N37" i="2"/>
  <c r="I55" i="7"/>
  <c r="E41" i="4"/>
  <c r="M37"/>
  <c r="L26" i="2"/>
  <c r="E32" i="9"/>
  <c r="O37" i="2"/>
  <c r="V20" i="9"/>
  <c r="W3"/>
  <c r="L87" i="7"/>
  <c r="C29" i="9"/>
  <c r="D68" i="7"/>
  <c r="D127" i="4"/>
  <c r="O45" i="9"/>
  <c r="F143"/>
  <c r="O43"/>
  <c r="H23" i="7"/>
  <c r="W101" i="9"/>
  <c r="K53" i="4"/>
  <c r="C41" i="9"/>
  <c r="C43" i="2"/>
  <c r="F57" i="7"/>
  <c r="F37" i="4"/>
  <c r="L110" i="2"/>
  <c r="L49" i="7"/>
  <c r="R154" i="9"/>
  <c r="G44" i="4"/>
  <c r="Y15" i="9"/>
  <c r="K28"/>
  <c r="F148"/>
  <c r="E30" i="7"/>
  <c r="L33" i="2"/>
  <c r="V54" i="9"/>
  <c r="D90"/>
  <c r="M41" i="4"/>
  <c r="L38" i="2"/>
  <c r="L28" i="9"/>
  <c r="H75"/>
  <c r="C90" i="7"/>
  <c r="D20"/>
  <c r="G20" i="9"/>
  <c r="I108" i="4"/>
  <c r="W97" i="9"/>
  <c r="D33" i="7"/>
  <c r="L139" i="2"/>
  <c r="S91" i="9"/>
  <c r="L58" i="2"/>
  <c r="D117" i="7"/>
  <c r="R29" i="9"/>
  <c r="M128" i="7"/>
  <c r="D46"/>
  <c r="L78" i="2"/>
  <c r="G77" i="9"/>
  <c r="L29"/>
  <c r="J122" i="4"/>
  <c r="O113" i="2"/>
  <c r="V13" i="9"/>
  <c r="K31"/>
  <c r="B159" i="7"/>
  <c r="F145"/>
  <c r="E60"/>
  <c r="M47" i="9"/>
  <c r="M67"/>
  <c r="H133"/>
  <c r="I92"/>
  <c r="B83" i="2"/>
  <c r="R33" i="9"/>
  <c r="N36" i="2"/>
  <c r="U49" i="9"/>
  <c r="P43"/>
  <c r="M163" i="2"/>
  <c r="M58"/>
  <c r="B38"/>
  <c r="C28"/>
  <c r="H64" i="9"/>
  <c r="F57"/>
  <c r="O60"/>
  <c r="W19"/>
  <c r="G65" i="2"/>
  <c r="D32" i="9"/>
  <c r="M39" i="4"/>
  <c r="E30"/>
  <c r="O72" i="9"/>
  <c r="E165" i="4"/>
  <c r="G37"/>
  <c r="E38"/>
  <c r="C58" i="7"/>
  <c r="D32" i="2"/>
  <c r="J51" i="4"/>
  <c r="X119" i="9"/>
  <c r="J64" i="7"/>
  <c r="K138" i="9"/>
  <c r="E63"/>
  <c r="C44" i="7"/>
  <c r="H48" i="2"/>
  <c r="M48" i="7"/>
  <c r="V72" i="9"/>
  <c r="L53" i="2"/>
  <c r="D169" i="4"/>
  <c r="H53"/>
  <c r="H129" i="7"/>
  <c r="B49"/>
  <c r="I91" i="9"/>
  <c r="M36" i="7"/>
  <c r="U113" i="9"/>
  <c r="M55"/>
  <c r="B33"/>
  <c r="I107" i="4"/>
  <c r="L45" i="2"/>
  <c r="D37" i="4"/>
  <c r="D70"/>
  <c r="G67" i="2"/>
  <c r="G50"/>
  <c r="C54" i="4"/>
  <c r="N122" i="9"/>
  <c r="P35" i="2"/>
  <c r="M20" i="9"/>
  <c r="K105"/>
  <c r="L124" i="4"/>
  <c r="C161"/>
  <c r="W53" i="9"/>
  <c r="C94"/>
  <c r="Y19"/>
  <c r="K30" i="4"/>
  <c r="U59" i="9"/>
  <c r="O33"/>
  <c r="L36" i="2"/>
  <c r="L33" i="9"/>
  <c r="N112" i="2"/>
  <c r="I39" i="9"/>
  <c r="K40"/>
  <c r="V140"/>
  <c r="N96"/>
  <c r="L159" i="2"/>
  <c r="P144"/>
  <c r="T90" i="9"/>
  <c r="U23"/>
  <c r="E16"/>
  <c r="B53"/>
  <c r="J132"/>
  <c r="J157" i="7"/>
  <c r="C89" i="4"/>
  <c r="G63" i="7"/>
  <c r="J38" i="9"/>
  <c r="K135" i="7"/>
  <c r="M35" i="4"/>
  <c r="G56" i="9"/>
  <c r="G74" i="7"/>
  <c r="B56" i="4"/>
  <c r="U89" i="9"/>
  <c r="Y93"/>
  <c r="Z144"/>
  <c r="C57" i="4"/>
  <c r="F105" i="9"/>
  <c r="E27" i="2"/>
  <c r="F36" i="9"/>
  <c r="V33"/>
  <c r="M30" i="7"/>
  <c r="P30" i="9"/>
  <c r="M83" i="7"/>
  <c r="K73" i="9"/>
  <c r="F152" i="4"/>
  <c r="P40" i="2"/>
  <c r="K29" i="4"/>
  <c r="X110" i="9"/>
  <c r="H50" i="4"/>
  <c r="D150"/>
  <c r="F97" i="2"/>
  <c r="T140" i="9"/>
  <c r="J81" i="4"/>
  <c r="Q42" i="9"/>
  <c r="W56"/>
  <c r="I41"/>
  <c r="H26"/>
  <c r="F26"/>
  <c r="J144" i="7"/>
  <c r="H51" i="9"/>
  <c r="T115"/>
  <c r="J69"/>
  <c r="H100" i="7"/>
  <c r="D58"/>
  <c r="M85" i="9"/>
  <c r="R96"/>
  <c r="M42"/>
  <c r="C133" i="4"/>
  <c r="C74" i="2"/>
  <c r="C100" i="7"/>
  <c r="Z47" i="9"/>
  <c r="P51" i="2"/>
  <c r="H104"/>
  <c r="G31" i="9"/>
  <c r="G133" i="4"/>
  <c r="L53"/>
  <c r="M19" i="7"/>
  <c r="T31" i="9"/>
  <c r="F122" i="4"/>
  <c r="D133" i="7"/>
  <c r="E88" i="2"/>
  <c r="E167" i="4"/>
  <c r="F112" i="9"/>
  <c r="G53" i="7"/>
  <c r="O149" i="9"/>
  <c r="F109" i="2"/>
  <c r="E98" i="9"/>
  <c r="F138" i="7"/>
  <c r="J100" i="4"/>
  <c r="G107" i="2"/>
  <c r="D119"/>
  <c r="I157" i="4"/>
  <c r="Y54" i="9"/>
  <c r="L84" i="4"/>
  <c r="W55" i="9"/>
  <c r="P60"/>
  <c r="G83" i="7"/>
  <c r="D68" i="2"/>
  <c r="D97" i="9"/>
  <c r="G155"/>
  <c r="D83" i="4"/>
  <c r="M152" i="7"/>
  <c r="B106" i="4"/>
  <c r="B44" i="2"/>
  <c r="B141" i="7"/>
  <c r="H89" i="4"/>
  <c r="L139" i="9"/>
  <c r="D153" i="7"/>
  <c r="C95" i="2"/>
  <c r="B108" i="4"/>
  <c r="V106" i="9"/>
  <c r="O109"/>
  <c r="B156"/>
  <c r="B89" i="2"/>
  <c r="K106" i="9"/>
  <c r="F82"/>
  <c r="B93" i="7"/>
  <c r="F106" i="2"/>
  <c r="E107" i="7"/>
  <c r="P130" i="9"/>
  <c r="K79"/>
  <c r="B38"/>
  <c r="R70"/>
  <c r="B136" i="2"/>
  <c r="X112" i="9"/>
  <c r="Z159"/>
  <c r="S134"/>
  <c r="B59" i="4"/>
  <c r="D60"/>
  <c r="L58" i="9"/>
  <c r="J104" i="4"/>
  <c r="I169"/>
  <c r="F95" i="7"/>
  <c r="M143" i="4"/>
  <c r="O81" i="2"/>
  <c r="M113"/>
  <c r="N82" i="9"/>
  <c r="Q66"/>
  <c r="L41" i="7"/>
  <c r="F46" i="4"/>
  <c r="E64" i="7"/>
  <c r="Z113" i="9"/>
  <c r="F121" i="2"/>
  <c r="E46" i="9"/>
  <c r="B91" i="7"/>
  <c r="K147" i="4"/>
  <c r="M43" i="7"/>
  <c r="H36" i="9"/>
  <c r="U121"/>
  <c r="H136" i="2"/>
  <c r="L27" i="7"/>
  <c r="Y21" i="9"/>
  <c r="O155"/>
  <c r="C107" i="4"/>
  <c r="J148" i="9"/>
  <c r="I58"/>
  <c r="P28" i="2"/>
  <c r="B132" i="9"/>
  <c r="L37" i="7"/>
  <c r="Q58" i="9"/>
  <c r="B107" i="7"/>
  <c r="W38" i="9"/>
  <c r="E25" i="7"/>
  <c r="L24"/>
  <c r="B60" i="2"/>
  <c r="C52" i="4"/>
  <c r="J21" i="7"/>
  <c r="M36" i="2"/>
  <c r="P51" i="9"/>
  <c r="M76" i="2"/>
  <c r="B104" i="7"/>
  <c r="C16" i="9"/>
  <c r="B83" i="4"/>
  <c r="U20" i="9"/>
  <c r="C70"/>
  <c r="L76"/>
  <c r="F46" i="7"/>
  <c r="N119" i="2"/>
  <c r="C142" i="9"/>
  <c r="K59"/>
  <c r="Z138"/>
  <c r="O74"/>
  <c r="D78"/>
  <c r="D49" i="4"/>
  <c r="C88"/>
  <c r="L156"/>
  <c r="D50" i="7"/>
  <c r="V135" i="9"/>
  <c r="C51" i="4"/>
  <c r="D146"/>
  <c r="B20" i="9"/>
  <c r="D133" i="2"/>
  <c r="L115" i="4"/>
  <c r="H171"/>
  <c r="F100"/>
  <c r="Z130" i="9"/>
  <c r="V145"/>
  <c r="K147" i="7"/>
  <c r="W30" i="9"/>
  <c r="I47"/>
  <c r="J103"/>
  <c r="G159"/>
  <c r="R121"/>
  <c r="P159" i="2"/>
  <c r="G52" i="9"/>
  <c r="F124" i="2"/>
  <c r="F48" i="4"/>
  <c r="G154" i="2"/>
  <c r="N171"/>
  <c r="E150" i="4"/>
  <c r="C84" i="2"/>
  <c r="F52" i="9"/>
  <c r="I116" i="4"/>
  <c r="F109" i="7"/>
  <c r="I133" i="9"/>
  <c r="S74"/>
  <c r="E58" i="4"/>
  <c r="B90" i="2"/>
  <c r="C103" i="7"/>
  <c r="O120" i="9"/>
  <c r="P139"/>
  <c r="L131" i="2"/>
  <c r="H76" i="4"/>
  <c r="O44" i="9"/>
  <c r="B164" i="2"/>
  <c r="G102" i="7"/>
  <c r="K100"/>
  <c r="E137" i="9"/>
  <c r="B137" i="7"/>
  <c r="G84" i="4"/>
  <c r="J70"/>
  <c r="J135"/>
  <c r="E127" i="2"/>
  <c r="B96" i="4"/>
  <c r="G126" i="9"/>
  <c r="E117" i="4"/>
  <c r="F56"/>
  <c r="B50" i="2"/>
  <c r="P103"/>
  <c r="M93" i="9"/>
  <c r="L134" i="2"/>
  <c r="O117" i="9"/>
  <c r="E70" i="7"/>
  <c r="C158" i="4"/>
  <c r="H133"/>
  <c r="F96"/>
  <c r="F51" i="9"/>
  <c r="S137"/>
  <c r="D109" i="4"/>
  <c r="I54"/>
  <c r="M144" i="2"/>
  <c r="I53" i="7"/>
  <c r="C148" i="4"/>
  <c r="F124" i="7"/>
  <c r="C157"/>
  <c r="O147" i="9"/>
  <c r="P145" i="2"/>
  <c r="S68" i="9"/>
  <c r="K72"/>
  <c r="H46" i="4"/>
  <c r="M66" i="2"/>
  <c r="M3"/>
  <c r="J90" i="4"/>
  <c r="F48" i="9"/>
  <c r="N150" i="2"/>
  <c r="D148" i="9"/>
  <c r="L66" i="2"/>
  <c r="E63"/>
  <c r="E47" i="9"/>
  <c r="M134"/>
  <c r="L115"/>
  <c r="L52"/>
  <c r="F155" i="2"/>
  <c r="E131" i="7"/>
  <c r="H99" i="4"/>
  <c r="I63" i="7"/>
  <c r="G129" i="9"/>
  <c r="K20" i="7"/>
  <c r="K147" i="9"/>
  <c r="E112" i="7"/>
  <c r="Q118" i="9"/>
  <c r="E168" i="2"/>
  <c r="L167"/>
  <c r="C26" i="9"/>
  <c r="T131"/>
  <c r="Q76"/>
  <c r="E93"/>
  <c r="J99"/>
  <c r="Y85"/>
  <c r="G84" i="2"/>
  <c r="E121"/>
  <c r="V34" i="9"/>
  <c r="Y128"/>
  <c r="P148"/>
  <c r="H101" i="2"/>
  <c r="F101"/>
  <c r="P115"/>
  <c r="T137" i="9"/>
  <c r="B101" i="4"/>
  <c r="O107" i="2"/>
  <c r="M67" i="7"/>
  <c r="I127" i="9"/>
  <c r="D115" i="2"/>
  <c r="O126"/>
  <c r="J149" i="9"/>
  <c r="S87"/>
  <c r="M130" i="4"/>
  <c r="M28" i="2"/>
  <c r="R30" i="9"/>
  <c r="D135" i="7"/>
  <c r="G130"/>
  <c r="B89" i="9"/>
  <c r="B157" i="4"/>
  <c r="H117" i="2"/>
  <c r="N147"/>
  <c r="S76" i="9"/>
  <c r="E154" i="7"/>
  <c r="F116"/>
  <c r="K157" i="4"/>
  <c r="M105"/>
  <c r="E73"/>
  <c r="K144"/>
  <c r="D92" i="9"/>
  <c r="H79" i="4"/>
  <c r="M63" i="9"/>
  <c r="W34"/>
  <c r="F105" i="7"/>
  <c r="C118" i="4"/>
  <c r="M74"/>
  <c r="K56" i="7"/>
  <c r="D117" i="2"/>
  <c r="D63" i="9"/>
  <c r="J66"/>
  <c r="M40" i="2"/>
  <c r="D95"/>
  <c r="P67" i="9"/>
  <c r="H37" i="4"/>
  <c r="X60" i="9"/>
  <c r="T153"/>
  <c r="N84"/>
  <c r="H167" i="2"/>
  <c r="F83" i="9"/>
  <c r="S138"/>
  <c r="N86"/>
  <c r="L136" i="2"/>
  <c r="M89" i="9"/>
  <c r="O80"/>
  <c r="M155"/>
  <c r="Q133"/>
  <c r="K76" i="7"/>
  <c r="J111" i="9"/>
  <c r="L131" i="4"/>
  <c r="K93" i="9"/>
  <c r="I120"/>
  <c r="F108" i="2"/>
  <c r="I153" i="7"/>
  <c r="E140"/>
  <c r="L162" i="4"/>
  <c r="N132" i="9"/>
  <c r="P68" i="2"/>
  <c r="F90" i="7"/>
  <c r="D114"/>
  <c r="G130" i="2"/>
  <c r="R89" i="9"/>
  <c r="G158" i="2"/>
  <c r="E140" i="4"/>
  <c r="I99"/>
  <c r="H47" i="9"/>
  <c r="W123"/>
  <c r="Z136"/>
  <c r="L64" i="2"/>
  <c r="H3" i="4"/>
  <c r="C99" i="2"/>
  <c r="S130" i="9"/>
  <c r="H156"/>
  <c r="H141" i="2"/>
  <c r="E112"/>
  <c r="R122" i="9"/>
  <c r="M95" i="7"/>
  <c r="K156" i="4"/>
  <c r="J94"/>
  <c r="D156" i="9"/>
  <c r="E134"/>
  <c r="G146" i="4"/>
  <c r="C107" i="9"/>
  <c r="H116"/>
  <c r="F78" i="2"/>
  <c r="H45"/>
  <c r="G51" i="9"/>
  <c r="G149" i="2"/>
  <c r="H38"/>
  <c r="V136" i="9"/>
  <c r="L150" i="4"/>
  <c r="E113" i="2"/>
  <c r="L116"/>
  <c r="O108" i="9"/>
  <c r="D75" i="7"/>
  <c r="L44"/>
  <c r="B65" i="4"/>
  <c r="S101" i="9"/>
  <c r="B51" i="2"/>
  <c r="Y133" i="9"/>
  <c r="C143" i="7"/>
  <c r="C37" i="4"/>
  <c r="G93"/>
  <c r="X20" i="9"/>
  <c r="I25"/>
  <c r="I129" i="7"/>
  <c r="S158" i="9"/>
  <c r="R39"/>
  <c r="Z119"/>
  <c r="C154" i="2"/>
  <c r="Y108" i="9"/>
  <c r="T41"/>
  <c r="L97" i="2"/>
  <c r="Q81" i="9"/>
  <c r="N95"/>
  <c r="C134" i="4"/>
  <c r="M150" i="9"/>
  <c r="I51"/>
  <c r="W64"/>
  <c r="S95"/>
  <c r="N125" i="2"/>
  <c r="P109"/>
  <c r="N124"/>
  <c r="C156" i="4"/>
  <c r="R71" i="9"/>
  <c r="H134"/>
  <c r="N128"/>
  <c r="X106"/>
  <c r="P58"/>
  <c r="F76" i="4"/>
  <c r="D71" i="9"/>
  <c r="O162" i="2"/>
  <c r="P57"/>
  <c r="P155" i="9"/>
  <c r="K145" i="7"/>
  <c r="Q46" i="9"/>
  <c r="M88" i="4"/>
  <c r="C155"/>
  <c r="K102" i="9"/>
  <c r="D136" i="4"/>
  <c r="F74" i="9"/>
  <c r="F114" i="4"/>
  <c r="F81" i="9"/>
  <c r="F135" i="2"/>
  <c r="E80" i="4"/>
  <c r="E158"/>
  <c r="H72"/>
  <c r="E80" i="9"/>
  <c r="E155"/>
  <c r="G74"/>
  <c r="F134" i="4"/>
  <c r="H144" i="9"/>
  <c r="I131" i="4"/>
  <c r="I142"/>
  <c r="K91" i="7"/>
  <c r="S159" i="9"/>
  <c r="G112"/>
  <c r="L99"/>
  <c r="L66" i="7"/>
  <c r="Q65" i="9"/>
  <c r="G87" i="4"/>
  <c r="K156" i="7"/>
  <c r="L107"/>
  <c r="Z77" i="9"/>
  <c r="C149" i="2"/>
  <c r="D3"/>
  <c r="L153"/>
  <c r="P100"/>
  <c r="E99"/>
  <c r="B69" i="9"/>
  <c r="S86"/>
  <c r="L116" i="4"/>
  <c r="L118" i="2"/>
  <c r="J65" i="4"/>
  <c r="C69" i="7"/>
  <c r="G154" i="9"/>
  <c r="F115" i="2"/>
  <c r="B79" i="4"/>
  <c r="C139" i="9"/>
  <c r="M116" i="7"/>
  <c r="O143" i="9"/>
  <c r="H112" i="2"/>
  <c r="U108" i="9"/>
  <c r="G84" i="7"/>
  <c r="V81" i="9"/>
  <c r="L122"/>
  <c r="Z148"/>
  <c r="P111"/>
  <c r="H111" i="4"/>
  <c r="H104" i="9"/>
  <c r="E95"/>
  <c r="J106" i="4"/>
  <c r="D64"/>
  <c r="S78" i="9"/>
  <c r="J63"/>
  <c r="B78" i="4"/>
  <c r="J73" i="7"/>
  <c r="L30" i="9"/>
  <c r="D159" i="7"/>
  <c r="D70" i="2"/>
  <c r="J120" i="4"/>
  <c r="C150" i="2"/>
  <c r="P157"/>
  <c r="B135" i="7"/>
  <c r="J164" i="4"/>
  <c r="D170"/>
  <c r="L145" i="2"/>
  <c r="D61" i="4"/>
  <c r="G114"/>
  <c r="T112" i="9"/>
  <c r="E116" i="4"/>
  <c r="H127" i="2"/>
  <c r="G92" i="9"/>
  <c r="W133"/>
  <c r="B139" i="2"/>
  <c r="F118" i="7"/>
  <c r="L104"/>
  <c r="T44" i="9"/>
  <c r="V96"/>
  <c r="O141" i="2"/>
  <c r="N114" i="9"/>
  <c r="B60"/>
  <c r="D169" i="2"/>
  <c r="Y146" i="9"/>
  <c r="X61"/>
  <c r="G73"/>
  <c r="I128" i="4"/>
  <c r="O138" i="2"/>
  <c r="L154" i="7"/>
  <c r="E82"/>
  <c r="G63" i="4"/>
  <c r="F167"/>
  <c r="D143" i="7"/>
  <c r="C130" i="2"/>
  <c r="E118" i="7"/>
  <c r="C70" i="2"/>
  <c r="C71" i="4"/>
  <c r="L111" i="7"/>
  <c r="I63" i="4"/>
  <c r="K130" i="7"/>
  <c r="H145"/>
  <c r="H143" i="9"/>
  <c r="T114"/>
  <c r="E115" i="7"/>
  <c r="E93"/>
  <c r="F69" i="2"/>
  <c r="B138" i="4"/>
  <c r="V91" i="9"/>
  <c r="K94" i="7"/>
  <c r="G143"/>
  <c r="F162" i="4"/>
  <c r="R137" i="9"/>
  <c r="V148"/>
  <c r="N140"/>
  <c r="K148" i="4"/>
  <c r="H143" i="2"/>
  <c r="K71" i="7"/>
  <c r="H114" i="9"/>
  <c r="L86" i="2"/>
  <c r="V118" i="9"/>
  <c r="F136"/>
  <c r="R55"/>
  <c r="C102"/>
  <c r="E149" i="2"/>
  <c r="S124" i="9"/>
  <c r="E99" i="7"/>
  <c r="G134" i="9"/>
  <c r="H112" i="7"/>
  <c r="J113"/>
  <c r="F140" i="9"/>
  <c r="W113"/>
  <c r="C128" i="2"/>
  <c r="R68" i="9"/>
  <c r="G32" i="4"/>
  <c r="G62" i="2"/>
  <c r="K134" i="4"/>
  <c r="I137"/>
  <c r="D138"/>
  <c r="C66" i="9"/>
  <c r="J70" i="7"/>
  <c r="I70" i="4"/>
  <c r="W47" i="9"/>
  <c r="C167" i="4"/>
  <c r="E158" i="7"/>
  <c r="P93" i="9"/>
  <c r="M78" i="4"/>
  <c r="O171" i="2"/>
  <c r="F102" i="7"/>
  <c r="H112" i="9"/>
  <c r="W119"/>
  <c r="J60"/>
  <c r="D97" i="7"/>
  <c r="W35" i="9"/>
  <c r="K136" i="7"/>
  <c r="R41" i="9"/>
  <c r="J123"/>
  <c r="H118" i="2"/>
  <c r="F73" i="9"/>
  <c r="I53" i="4"/>
  <c r="E42" i="9"/>
  <c r="R139"/>
  <c r="G106"/>
  <c r="P99"/>
  <c r="S61"/>
  <c r="N139"/>
  <c r="B72"/>
  <c r="U104"/>
  <c r="K75" i="4"/>
  <c r="L52" i="7"/>
  <c r="O46" i="9"/>
  <c r="J108"/>
  <c r="Y78"/>
  <c r="B88" i="4"/>
  <c r="E148" i="7"/>
  <c r="E60" i="2"/>
  <c r="B142" i="7"/>
  <c r="P70" i="9"/>
  <c r="O83" i="2"/>
  <c r="B10" i="10"/>
  <c r="F164" i="2"/>
  <c r="P83"/>
  <c r="K122" i="7"/>
  <c r="I111" i="9"/>
  <c r="M111"/>
  <c r="E133"/>
  <c r="I151"/>
  <c r="O104"/>
  <c r="H86"/>
  <c r="G154" i="4"/>
  <c r="E151" i="9"/>
  <c r="E57"/>
  <c r="V3"/>
  <c r="C82" i="4"/>
  <c r="F160"/>
  <c r="F95" i="9"/>
  <c r="B168" i="2"/>
  <c r="M52" i="7"/>
  <c r="F89" i="9"/>
  <c r="Z40"/>
  <c r="L130" i="7"/>
  <c r="F138" i="2"/>
  <c r="K101" i="4"/>
  <c r="M95" i="9"/>
  <c r="F73" i="2"/>
  <c r="E96" i="7"/>
  <c r="D44"/>
  <c r="Q138" i="9"/>
  <c r="L60" i="7"/>
  <c r="I98"/>
  <c r="O79" i="9"/>
  <c r="C151"/>
  <c r="E99" i="4"/>
  <c r="Z72" i="9"/>
  <c r="W128"/>
  <c r="L118"/>
  <c r="M156"/>
  <c r="Z81"/>
  <c r="B27"/>
  <c r="Q40"/>
  <c r="K24"/>
  <c r="F46" i="2"/>
  <c r="T107" i="9"/>
  <c r="U28"/>
  <c r="V30"/>
  <c r="O136" i="2"/>
  <c r="D54" i="7"/>
  <c r="B36" i="2"/>
  <c r="E37"/>
  <c r="O109"/>
  <c r="B39" i="9"/>
  <c r="K18"/>
  <c r="J28" i="4"/>
  <c r="I59" i="7"/>
  <c r="N101" i="9"/>
  <c r="S105"/>
  <c r="C51" i="7"/>
  <c r="L49" i="4"/>
  <c r="E110" i="2"/>
  <c r="Z30" i="9"/>
  <c r="R129"/>
  <c r="L116"/>
  <c r="B117"/>
  <c r="L3" i="2"/>
  <c r="K46" i="9"/>
  <c r="X36"/>
  <c r="J74"/>
  <c r="N137"/>
  <c r="H20" i="7"/>
  <c r="E54" i="2"/>
  <c r="E83" i="9"/>
  <c r="V66"/>
  <c r="D25" i="7"/>
  <c r="M56" i="2"/>
  <c r="L54"/>
  <c r="F103"/>
  <c r="S40" i="9"/>
  <c r="S63"/>
  <c r="W115"/>
  <c r="K82" i="4"/>
  <c r="E53" i="7"/>
  <c r="O153" i="2"/>
  <c r="S21" i="9"/>
  <c r="G125"/>
  <c r="R50"/>
  <c r="L171" i="4"/>
  <c r="W137" i="9"/>
  <c r="H70" i="7"/>
  <c r="M136" i="2"/>
  <c r="I63" i="9"/>
  <c r="C82" i="2"/>
  <c r="R53" i="9"/>
  <c r="L72" i="7"/>
  <c r="N163" i="2"/>
  <c r="Y140" i="9"/>
  <c r="U124"/>
  <c r="K74" i="7"/>
  <c r="O99" i="2"/>
  <c r="W60" i="9"/>
  <c r="D152" i="7"/>
  <c r="H114" i="4"/>
  <c r="R88" i="9"/>
  <c r="P75"/>
  <c r="W134"/>
  <c r="Q73"/>
  <c r="L90" i="4"/>
  <c r="B152" i="9"/>
  <c r="B139" i="7"/>
  <c r="E127"/>
  <c r="P68" i="9"/>
  <c r="B56"/>
  <c r="V142"/>
  <c r="W150"/>
  <c r="N60"/>
  <c r="I90"/>
  <c r="I84" i="4"/>
  <c r="J115" i="9"/>
  <c r="M156" i="2"/>
  <c r="K103" i="9"/>
  <c r="O59"/>
  <c r="G166" i="4"/>
  <c r="F148" i="2"/>
  <c r="B96" i="9"/>
  <c r="O148" i="2"/>
  <c r="F82" i="4"/>
  <c r="G159"/>
  <c r="B95"/>
  <c r="E169" i="2"/>
  <c r="N61" i="9"/>
  <c r="D141" i="2"/>
  <c r="M54" i="4"/>
  <c r="E66" i="2"/>
  <c r="M69" i="7"/>
  <c r="L151" i="9"/>
  <c r="I87" i="7"/>
  <c r="F154" i="2"/>
  <c r="F159"/>
  <c r="Y151" i="9"/>
  <c r="B28"/>
  <c r="P159"/>
  <c r="J20"/>
  <c r="O125" i="2"/>
  <c r="Z78" i="9"/>
  <c r="B158" i="2"/>
  <c r="S102" i="9"/>
  <c r="N123"/>
  <c r="Y83"/>
  <c r="K137"/>
  <c r="B77" i="2"/>
  <c r="M86"/>
  <c r="B58" i="7"/>
  <c r="D39"/>
  <c r="G122"/>
  <c r="Z143" i="9"/>
  <c r="L65"/>
  <c r="J144" i="4"/>
  <c r="H159" i="9"/>
  <c r="B136" i="7"/>
  <c r="G159" i="2"/>
  <c r="F105" i="4"/>
  <c r="B158" i="9"/>
  <c r="F151" i="4"/>
  <c r="M159" i="7"/>
  <c r="M148"/>
  <c r="N134" i="9"/>
  <c r="L119" i="7"/>
  <c r="L50" i="2"/>
  <c r="J67" i="9"/>
  <c r="C90" i="4"/>
  <c r="L108" i="7"/>
  <c r="O85" i="9"/>
  <c r="M120" i="2"/>
  <c r="H63" i="4"/>
  <c r="P76" i="9"/>
  <c r="M114" i="2"/>
  <c r="E101" i="9"/>
  <c r="I139" i="7"/>
  <c r="H93" i="2"/>
  <c r="B82" i="7"/>
  <c r="B124"/>
  <c r="R138" i="9"/>
  <c r="L106" i="4"/>
  <c r="Q35" i="9"/>
  <c r="B140" i="7"/>
  <c r="B107" i="9"/>
  <c r="X132"/>
  <c r="I132" i="7"/>
  <c r="F171" i="2"/>
  <c r="D71" i="4"/>
  <c r="N129" i="9"/>
  <c r="D112"/>
  <c r="K110" i="7"/>
  <c r="E54" i="9"/>
  <c r="G68" i="7"/>
  <c r="D77" i="4"/>
  <c r="E85" i="9"/>
  <c r="M109"/>
  <c r="J159" i="4"/>
  <c r="F103" i="9"/>
  <c r="B127" i="7"/>
  <c r="B76" i="4"/>
  <c r="I46" i="9"/>
  <c r="U40"/>
  <c r="K98" i="7"/>
  <c r="D139" i="9"/>
  <c r="F140" i="2"/>
  <c r="F28" i="9"/>
  <c r="D86" i="2"/>
  <c r="X38" i="9"/>
  <c r="E129" i="4"/>
  <c r="X27" i="9"/>
  <c r="H58"/>
  <c r="L101" i="2"/>
  <c r="E101" i="4"/>
  <c r="H67"/>
  <c r="Z118" i="9"/>
  <c r="J92"/>
  <c r="Z93"/>
  <c r="Z74"/>
  <c r="J52" i="7"/>
  <c r="O154" i="2"/>
  <c r="F166"/>
  <c r="L132" i="9"/>
  <c r="J106"/>
  <c r="R108"/>
  <c r="L84" i="2"/>
  <c r="H46"/>
  <c r="U110" i="9"/>
  <c r="O146"/>
  <c r="B165" i="4"/>
  <c r="W49" i="9"/>
  <c r="B48"/>
  <c r="N125"/>
  <c r="O133" i="2"/>
  <c r="P81"/>
  <c r="R111" i="9"/>
  <c r="J136"/>
  <c r="M129" i="4"/>
  <c r="F167" i="2"/>
  <c r="B123" i="7"/>
  <c r="I115" i="9"/>
  <c r="R85"/>
  <c r="K156"/>
  <c r="E128" i="4"/>
  <c r="B75" i="9"/>
  <c r="N72"/>
  <c r="D36" i="4"/>
  <c r="E157" i="9"/>
  <c r="U61"/>
  <c r="J128" i="7"/>
  <c r="H82" i="9"/>
  <c r="C100" i="2"/>
  <c r="J140" i="7"/>
  <c r="B123" i="4"/>
  <c r="R86" i="9"/>
  <c r="M74"/>
  <c r="G51" i="4"/>
  <c r="F91" i="9"/>
  <c r="Z55"/>
  <c r="O91"/>
  <c r="C125"/>
  <c r="H121" i="7"/>
  <c r="H66"/>
  <c r="M147" i="9"/>
  <c r="N170" i="2"/>
  <c r="P143" i="9"/>
  <c r="H36" i="2"/>
  <c r="G153" i="7"/>
  <c r="E47" i="2"/>
  <c r="L130" i="4"/>
  <c r="D43" i="2"/>
  <c r="D76"/>
  <c r="I33" i="9"/>
  <c r="H101" i="7"/>
  <c r="F27"/>
  <c r="C106" i="2"/>
  <c r="N44" i="9"/>
  <c r="B109" i="7"/>
  <c r="F80"/>
  <c r="G76" i="9"/>
  <c r="B85" i="7"/>
  <c r="O108" i="2"/>
  <c r="P63" i="9"/>
  <c r="H169" i="4"/>
  <c r="C126" i="7"/>
  <c r="O117" i="2"/>
  <c r="E147" i="7"/>
  <c r="K144"/>
  <c r="R104" i="9"/>
  <c r="C83" i="4"/>
  <c r="N59" i="9"/>
  <c r="T122"/>
  <c r="P64"/>
  <c r="B150" i="7"/>
  <c r="F135"/>
  <c r="E156" i="4"/>
  <c r="I124" i="7"/>
  <c r="D100" i="4"/>
  <c r="B82" i="2"/>
  <c r="H148" i="4"/>
  <c r="F99" i="7"/>
  <c r="K115" i="4"/>
  <c r="I133" i="7"/>
  <c r="L78" i="9"/>
  <c r="K58" i="4"/>
  <c r="B130" i="2"/>
  <c r="B154" i="9"/>
  <c r="E78" i="4"/>
  <c r="G120" i="7"/>
  <c r="F145" i="4"/>
  <c r="K61" i="9"/>
  <c r="D124" i="7"/>
  <c r="C90" i="2"/>
  <c r="O72"/>
  <c r="I171" i="4"/>
  <c r="P167" i="2"/>
  <c r="Q105" i="9"/>
  <c r="M86"/>
  <c r="I114"/>
  <c r="L100" i="4"/>
  <c r="M139" i="9"/>
  <c r="U62"/>
  <c r="K72" i="7"/>
  <c r="D158"/>
  <c r="K3" i="4"/>
  <c r="B165" i="2"/>
  <c r="K84" i="9"/>
  <c r="N132" i="2"/>
  <c r="R155" i="9"/>
  <c r="B52" i="4"/>
  <c r="H157" i="2"/>
  <c r="E143" i="7"/>
  <c r="C149" i="4"/>
  <c r="D118" i="9"/>
  <c r="S65"/>
  <c r="I163" i="4"/>
  <c r="F64" i="2"/>
  <c r="G102"/>
  <c r="T147" i="9"/>
  <c r="V43"/>
  <c r="U60"/>
  <c r="N88"/>
  <c r="C51"/>
  <c r="M98" i="2"/>
  <c r="S146" i="9"/>
  <c r="O131" i="2"/>
  <c r="C85" i="9"/>
  <c r="F106"/>
  <c r="D105" i="2"/>
  <c r="I45" i="4"/>
  <c r="H97"/>
  <c r="J146" i="9"/>
  <c r="O50" i="2"/>
  <c r="L68" i="7"/>
  <c r="J137"/>
  <c r="D104" i="9"/>
  <c r="H106" i="7"/>
  <c r="M88"/>
  <c r="E145" i="2"/>
  <c r="L136" i="9"/>
  <c r="K141" i="7"/>
  <c r="G64"/>
  <c r="B111" i="9"/>
  <c r="E164" i="4"/>
  <c r="B126" i="7"/>
  <c r="T48" i="9"/>
  <c r="C116"/>
  <c r="G165" i="2"/>
  <c r="H75"/>
  <c r="Y123" i="9"/>
  <c r="O92" i="2"/>
  <c r="E125" i="7"/>
  <c r="P105" i="9"/>
  <c r="B77" i="4"/>
  <c r="F98" i="9"/>
  <c r="E89" i="4"/>
  <c r="O76" i="2"/>
  <c r="B3" i="9"/>
  <c r="J52" i="4"/>
  <c r="M54" i="7"/>
  <c r="V73" i="9"/>
  <c r="G153" i="2"/>
  <c r="B89" i="7"/>
  <c r="C82"/>
  <c r="H71" i="9"/>
  <c r="E114" i="2"/>
  <c r="F74" i="4"/>
  <c r="C166" i="2"/>
  <c r="U109" i="9"/>
  <c r="G139" i="7"/>
  <c r="T42" i="9"/>
  <c r="L132" i="4"/>
  <c r="D146" i="2"/>
  <c r="D76" i="9"/>
  <c r="W73"/>
  <c r="H69"/>
  <c r="M121"/>
  <c r="R38"/>
  <c r="S62"/>
  <c r="K107" i="7"/>
  <c r="J144" i="9"/>
  <c r="M132"/>
  <c r="S129"/>
  <c r="N103"/>
  <c r="M115" i="4"/>
  <c r="U83" i="9"/>
  <c r="N158"/>
  <c r="B128" i="2"/>
  <c r="G107" i="4"/>
  <c r="Q132" i="9"/>
  <c r="L97"/>
  <c r="N94"/>
  <c r="R84"/>
  <c r="F42" i="4"/>
  <c r="I44"/>
  <c r="D90" i="2"/>
  <c r="C124"/>
  <c r="Z126" i="9"/>
  <c r="O152" i="2"/>
  <c r="F127"/>
  <c r="C144" i="4"/>
  <c r="V46" i="9"/>
  <c r="W42"/>
  <c r="K103" i="4"/>
  <c r="P59" i="9"/>
  <c r="C129" i="7"/>
  <c r="S155" i="9"/>
  <c r="U159"/>
  <c r="J80" i="4"/>
  <c r="H107" i="2"/>
  <c r="L159" i="7"/>
  <c r="V87" i="9"/>
  <c r="D117" i="4"/>
  <c r="N84" i="2"/>
  <c r="M141" i="4"/>
  <c r="N154" i="2"/>
  <c r="G58"/>
  <c r="S3" i="9"/>
  <c r="G102"/>
  <c r="F69"/>
  <c r="N138"/>
  <c r="L108"/>
  <c r="J3"/>
  <c r="I132"/>
  <c r="K83"/>
  <c r="E150" i="7"/>
  <c r="G153" i="4"/>
  <c r="I117" i="9"/>
  <c r="E90" i="2"/>
  <c r="I118" i="9"/>
  <c r="W43"/>
  <c r="G128" i="7"/>
  <c r="K127" i="9"/>
  <c r="D153"/>
  <c r="B131" i="2"/>
  <c r="L148"/>
  <c r="M147"/>
  <c r="M166" i="4"/>
  <c r="E70"/>
  <c r="I139" i="9"/>
  <c r="U42"/>
  <c r="N106"/>
  <c r="C143" i="2"/>
  <c r="Z51" i="9"/>
  <c r="C59"/>
  <c r="C129" i="4"/>
  <c r="N90" i="9"/>
  <c r="D128" i="7"/>
  <c r="H154" i="9"/>
  <c r="F75"/>
  <c r="I150" i="4"/>
  <c r="R142" i="9"/>
  <c r="N96" i="2"/>
  <c r="W125" i="9"/>
  <c r="D51" i="7"/>
  <c r="C119" i="9"/>
  <c r="E85" i="4"/>
  <c r="J101" i="7"/>
  <c r="Y119" i="9"/>
  <c r="G136" i="4"/>
  <c r="H85" i="9"/>
  <c r="P115"/>
  <c r="C75"/>
  <c r="K57" i="4"/>
  <c r="F110" i="9"/>
  <c r="B163" i="2"/>
  <c r="Y117" i="9"/>
  <c r="W79"/>
  <c r="N83"/>
  <c r="J148" i="7"/>
  <c r="F125"/>
  <c r="Y109" i="9"/>
  <c r="B80" i="7"/>
  <c r="M158" i="4"/>
  <c r="I76"/>
  <c r="H85"/>
  <c r="B154" i="7"/>
  <c r="F50" i="2"/>
  <c r="P129"/>
  <c r="P118"/>
  <c r="B92" i="4"/>
  <c r="I45" i="9"/>
  <c r="P163" i="2"/>
  <c r="Q122" i="9"/>
  <c r="M82" i="7"/>
  <c r="B119" i="4"/>
  <c r="I115" i="7"/>
  <c r="I82"/>
  <c r="D118" i="4"/>
  <c r="Q38" i="9"/>
  <c r="F118"/>
  <c r="N101" i="2"/>
  <c r="Y122" i="9"/>
  <c r="K152" i="4"/>
  <c r="M137" i="2"/>
  <c r="L98"/>
  <c r="I90" i="7"/>
  <c r="C54" i="9"/>
  <c r="M54" i="2"/>
  <c r="K99" i="9"/>
  <c r="K129"/>
  <c r="J131"/>
  <c r="M127" i="7"/>
  <c r="M102"/>
  <c r="L73" i="2"/>
  <c r="M164" i="4"/>
  <c r="Q124" i="9"/>
  <c r="H105"/>
  <c r="Q137"/>
  <c r="F156" i="2"/>
  <c r="I66" i="7"/>
  <c r="L91" i="4"/>
  <c r="E60" i="9"/>
  <c r="T83"/>
  <c r="L95" i="7"/>
  <c r="F31"/>
  <c r="O124" i="9"/>
  <c r="H57"/>
  <c r="F53" i="2"/>
  <c r="Z84" i="9"/>
  <c r="L90" i="2"/>
  <c r="D168" i="4"/>
  <c r="G144"/>
  <c r="B106" i="9"/>
  <c r="E94" i="4"/>
  <c r="D61" i="7"/>
  <c r="O62" i="2"/>
  <c r="H69" i="7"/>
  <c r="F55" i="4"/>
  <c r="O170" i="2"/>
  <c r="X53" i="9"/>
  <c r="D42"/>
  <c r="M167" i="2"/>
  <c r="G64"/>
  <c r="D47" i="4"/>
  <c r="K49"/>
  <c r="J116" i="9"/>
  <c r="M122"/>
  <c r="H89"/>
  <c r="D80"/>
  <c r="G81"/>
  <c r="J59" i="4"/>
  <c r="D75" i="9"/>
  <c r="I116" i="7"/>
  <c r="J48" i="9"/>
  <c r="R106"/>
  <c r="S84"/>
  <c r="C145" i="4"/>
  <c r="H108" i="7"/>
  <c r="J134" i="9"/>
  <c r="B71" i="7"/>
  <c r="B71" i="9"/>
  <c r="I155" i="4"/>
  <c r="B81"/>
  <c r="G66" i="9"/>
  <c r="C69" i="4"/>
  <c r="F148"/>
  <c r="Q145" i="9"/>
  <c r="I109" i="7"/>
  <c r="B161" i="4"/>
  <c r="M108"/>
  <c r="H139"/>
  <c r="W145" i="9"/>
  <c r="Y87"/>
  <c r="C93" i="4"/>
  <c r="W136" i="9"/>
  <c r="M128" i="4"/>
  <c r="C121" i="9"/>
  <c r="W65"/>
  <c r="D125" i="7"/>
  <c r="L123"/>
  <c r="C73"/>
  <c r="F134"/>
  <c r="C136" i="2"/>
  <c r="G156" i="7"/>
  <c r="K114" i="4"/>
  <c r="L114"/>
  <c r="H153" i="7"/>
  <c r="L154" i="2"/>
  <c r="M102"/>
  <c r="C115" i="7"/>
  <c r="Y42" i="9"/>
  <c r="W31"/>
  <c r="K140" i="7"/>
  <c r="W69" i="9"/>
  <c r="G3" i="7"/>
  <c r="B94" i="2"/>
  <c r="M142" i="7"/>
  <c r="G127"/>
  <c r="F117" i="4"/>
  <c r="B58"/>
  <c r="N117" i="2"/>
  <c r="L75"/>
  <c r="G71" i="9"/>
  <c r="T76"/>
  <c r="K111" i="7"/>
  <c r="E68"/>
  <c r="P156" i="2"/>
  <c r="I19" i="7"/>
  <c r="N63" i="2"/>
  <c r="K45" i="9"/>
  <c r="Q126"/>
  <c r="T65"/>
  <c r="R60"/>
  <c r="D111" i="7"/>
  <c r="S71" i="9"/>
  <c r="O150" i="2"/>
  <c r="F112" i="7"/>
  <c r="H95" i="9"/>
  <c r="F120" i="7"/>
  <c r="P117" i="2"/>
  <c r="S111" i="9"/>
  <c r="I159"/>
  <c r="W142"/>
  <c r="S98"/>
  <c r="B59"/>
  <c r="D161" i="2"/>
  <c r="D139"/>
  <c r="E157" i="7"/>
  <c r="C144" i="9"/>
  <c r="G150" i="7"/>
  <c r="D88" i="2"/>
  <c r="G167"/>
  <c r="B73" i="4"/>
  <c r="I101"/>
  <c r="B110" i="2"/>
  <c r="G128" i="4"/>
  <c r="X90" i="9"/>
  <c r="J83" i="7"/>
  <c r="J101" i="9"/>
  <c r="H127" i="7"/>
  <c r="L100" i="9"/>
  <c r="M75"/>
  <c r="G170" i="2"/>
  <c r="L141" i="4"/>
  <c r="J82" i="7"/>
  <c r="H83" i="9"/>
  <c r="F62" i="2"/>
  <c r="L116" i="7"/>
  <c r="E142" i="2"/>
  <c r="B144"/>
  <c r="O93"/>
  <c r="M51" i="9"/>
  <c r="L163" i="2"/>
  <c r="H168" i="4"/>
  <c r="H72" i="7"/>
  <c r="C151" i="4"/>
  <c r="P134" i="2"/>
  <c r="B47"/>
  <c r="E85" i="7"/>
  <c r="B87" i="2"/>
  <c r="F86"/>
  <c r="E57" i="4"/>
  <c r="U43" i="9"/>
  <c r="G134" i="7"/>
  <c r="E122" i="2"/>
  <c r="Q91" i="9"/>
  <c r="O147" i="2"/>
  <c r="P82" i="9"/>
  <c r="L91" i="7"/>
  <c r="T103" i="9"/>
  <c r="L64"/>
  <c r="X82"/>
  <c r="M115"/>
  <c r="P102"/>
  <c r="X72"/>
  <c r="C131" i="2"/>
  <c r="H140" i="9"/>
  <c r="E75" i="2"/>
  <c r="E97" i="7"/>
  <c r="L126" i="2"/>
  <c r="F170" i="4"/>
  <c r="G147" i="9"/>
  <c r="F139" i="2"/>
  <c r="K99" i="4"/>
  <c r="I145"/>
  <c r="U151" i="9"/>
  <c r="M143"/>
  <c r="J142"/>
  <c r="Y64"/>
  <c r="P70" i="2"/>
  <c r="C139" i="4"/>
  <c r="C123" i="7"/>
  <c r="E130" i="4"/>
  <c r="J112" i="7"/>
  <c r="N151" i="2"/>
  <c r="F100" i="7"/>
  <c r="M155" i="4"/>
  <c r="B126" i="2"/>
  <c r="Z115" i="9"/>
  <c r="H134" i="2"/>
  <c r="Z146" i="9"/>
  <c r="P103"/>
  <c r="G86"/>
  <c r="F159" i="7"/>
  <c r="S70" i="9"/>
  <c r="J149" i="7"/>
  <c r="G131" i="2"/>
  <c r="E117" i="9"/>
  <c r="K129" i="7"/>
  <c r="B102" i="4"/>
  <c r="I102" i="9"/>
  <c r="G43"/>
  <c r="C136" i="7"/>
  <c r="J68" i="9"/>
  <c r="K146" i="7"/>
  <c r="D130" i="4"/>
  <c r="D151" i="9"/>
  <c r="D122" i="4"/>
  <c r="I103" i="7"/>
  <c r="B142" i="2"/>
  <c r="B118" i="9"/>
  <c r="P101" i="2"/>
  <c r="O94"/>
  <c r="P87"/>
  <c r="B78" i="9"/>
  <c r="G148" i="7"/>
  <c r="K133" i="4"/>
  <c r="I34" i="9"/>
  <c r="K65"/>
  <c r="I34" i="4"/>
  <c r="L77" i="7"/>
  <c r="I46" i="4"/>
  <c r="I65"/>
  <c r="C99" i="7"/>
  <c r="K62" i="4"/>
  <c r="B64" i="9"/>
  <c r="Q149"/>
  <c r="E59" i="4"/>
  <c r="I97" i="7"/>
  <c r="I102"/>
  <c r="M97" i="9"/>
  <c r="B100"/>
  <c r="J155" i="7"/>
  <c r="M94" i="4"/>
  <c r="C167" i="2"/>
  <c r="G151"/>
  <c r="V88" i="9"/>
  <c r="Q141"/>
  <c r="B106" i="2"/>
  <c r="M33" i="4"/>
  <c r="E138"/>
  <c r="D130" i="9"/>
  <c r="I71" i="4"/>
  <c r="V113" i="9"/>
  <c r="K55" i="4"/>
  <c r="F86" i="9"/>
  <c r="Y103"/>
  <c r="S43"/>
  <c r="H143" i="4"/>
  <c r="J91"/>
  <c r="D93" i="7"/>
  <c r="I145"/>
  <c r="G94" i="4"/>
  <c r="Q49" i="9"/>
  <c r="C154" i="7"/>
  <c r="B131"/>
  <c r="O145" i="2"/>
  <c r="U80" i="9"/>
  <c r="B153" i="2"/>
  <c r="B125" i="9"/>
  <c r="B82"/>
  <c r="L129"/>
  <c r="Z39"/>
  <c r="J99" i="7"/>
  <c r="W132" i="9"/>
  <c r="E135" i="7"/>
  <c r="L134" i="9"/>
  <c r="B94" i="7"/>
  <c r="H145" i="9"/>
  <c r="X154"/>
  <c r="S46"/>
  <c r="I48"/>
  <c r="L38"/>
  <c r="E82"/>
  <c r="H77"/>
  <c r="Q110"/>
  <c r="Q61"/>
  <c r="J138" i="4"/>
  <c r="M38" i="9"/>
  <c r="G56" i="2"/>
  <c r="M150" i="7"/>
  <c r="J134" i="4"/>
  <c r="X62" i="9"/>
  <c r="S56"/>
  <c r="G57" i="7"/>
  <c r="D100" i="9"/>
  <c r="C153" i="4"/>
  <c r="Z99" i="9"/>
  <c r="X76"/>
  <c r="E73"/>
  <c r="F104" i="4"/>
  <c r="E49" i="9"/>
  <c r="H106" i="4"/>
  <c r="Z82" i="9"/>
  <c r="P106"/>
  <c r="K106" i="7"/>
  <c r="G66" i="4"/>
  <c r="B75" i="7"/>
  <c r="C120" i="9"/>
  <c r="O144"/>
  <c r="O80" i="2"/>
  <c r="J142" i="7"/>
  <c r="B49" i="9"/>
  <c r="L118" i="4"/>
  <c r="X114" i="9"/>
  <c r="G148" i="4"/>
  <c r="G151" i="7"/>
  <c r="G110" i="2"/>
  <c r="V112" i="9"/>
  <c r="Y124"/>
  <c r="G122" i="4"/>
  <c r="H136" i="9"/>
  <c r="B169" i="2"/>
  <c r="J129" i="4"/>
  <c r="K127" i="7"/>
  <c r="B126" i="9"/>
  <c r="H61" i="4"/>
  <c r="J157"/>
  <c r="T100" i="9"/>
  <c r="Q128"/>
  <c r="E77"/>
  <c r="J146" i="4"/>
  <c r="C57" i="9"/>
  <c r="D157" i="2"/>
  <c r="W148" i="9"/>
  <c r="M94"/>
  <c r="W139"/>
  <c r="Z52"/>
  <c r="N3"/>
  <c r="F61" i="7"/>
  <c r="K51" i="9"/>
  <c r="R91"/>
  <c r="L114" i="7"/>
  <c r="I79" i="9"/>
  <c r="E71" i="7"/>
  <c r="G156" i="4"/>
  <c r="B63" i="2"/>
  <c r="B54" i="9"/>
  <c r="B155" i="7"/>
  <c r="D135" i="4"/>
  <c r="N104" i="9"/>
  <c r="J148" i="4"/>
  <c r="D80" i="7"/>
  <c r="L49" i="2"/>
  <c r="J126" i="4"/>
  <c r="L156" i="2"/>
  <c r="C132" i="9"/>
  <c r="L146"/>
  <c r="K136" i="4"/>
  <c r="C135" i="2"/>
  <c r="G109"/>
  <c r="B114" i="7"/>
  <c r="T106" i="9"/>
  <c r="W77"/>
  <c r="H81" i="2"/>
  <c r="H116" i="7"/>
  <c r="F123" i="9"/>
  <c r="D131" i="2"/>
  <c r="G122"/>
  <c r="B122"/>
  <c r="F129" i="9"/>
  <c r="J111" i="7"/>
  <c r="C80" i="9"/>
  <c r="J158"/>
  <c r="G69" i="4"/>
  <c r="J85"/>
  <c r="D153" i="2"/>
  <c r="E84"/>
  <c r="H60"/>
  <c r="B122" i="4"/>
  <c r="E132"/>
  <c r="O106" i="2"/>
  <c r="J46" i="4"/>
  <c r="L46" i="9"/>
  <c r="L79" i="7"/>
  <c r="L77" i="2"/>
  <c r="F169"/>
  <c r="K139" i="9"/>
  <c r="H117" i="7"/>
  <c r="I96" i="4"/>
  <c r="K55" i="9"/>
  <c r="E149" i="7"/>
  <c r="O95" i="9"/>
  <c r="L58" i="7"/>
  <c r="B166" i="4"/>
  <c r="J91" i="7"/>
  <c r="H165" i="4"/>
  <c r="E91" i="7"/>
  <c r="D66" i="2"/>
  <c r="N121" i="9"/>
  <c r="H122" i="4"/>
  <c r="Z50" i="9"/>
  <c r="J141" i="4"/>
  <c r="B98" i="9"/>
  <c r="K48" i="7"/>
  <c r="Q86" i="9"/>
  <c r="L93" i="4"/>
  <c r="E79" i="2"/>
  <c r="V154" i="9"/>
  <c r="F85" i="4"/>
  <c r="H50" i="2"/>
  <c r="J79" i="9"/>
  <c r="F141" i="2"/>
  <c r="H131"/>
  <c r="K70" i="7"/>
  <c r="F114"/>
  <c r="K118" i="9"/>
  <c r="G118" i="7"/>
  <c r="C130" i="9"/>
  <c r="Q146"/>
  <c r="M119" i="7"/>
  <c r="P55" i="9"/>
  <c r="J150"/>
  <c r="D135" i="2"/>
  <c r="P61"/>
  <c r="M61" i="4"/>
  <c r="L72" i="2"/>
  <c r="F79" i="7"/>
  <c r="H161" i="4"/>
  <c r="I106" i="9"/>
  <c r="E91" i="4"/>
  <c r="J149"/>
  <c r="M60" i="9"/>
  <c r="S140"/>
  <c r="M96" i="2"/>
  <c r="C133"/>
  <c r="J98" i="9"/>
  <c r="F85"/>
  <c r="H125" i="7"/>
  <c r="K83"/>
  <c r="G132" i="4"/>
  <c r="C94" i="7"/>
  <c r="M126" i="4"/>
  <c r="E77" i="7"/>
  <c r="N117" i="9"/>
  <c r="M159"/>
  <c r="B144" i="7"/>
  <c r="D103" i="2"/>
  <c r="L158" i="7"/>
  <c r="D125" i="4"/>
  <c r="X102" i="9"/>
  <c r="T71"/>
  <c r="L137" i="7"/>
  <c r="G169" i="2"/>
  <c r="D152" i="4"/>
  <c r="L72" i="9"/>
  <c r="B107" i="4"/>
  <c r="I50" i="9"/>
  <c r="G154" i="7"/>
  <c r="E57"/>
  <c r="F23" i="9"/>
  <c r="H43" i="4"/>
  <c r="B111" i="2"/>
  <c r="J143" i="4"/>
  <c r="C153" i="2"/>
  <c r="G92" i="7"/>
  <c r="C88"/>
  <c r="K56" i="9"/>
  <c r="E134" i="2"/>
  <c r="N75"/>
  <c r="O38" i="9"/>
  <c r="D136"/>
  <c r="Y105"/>
  <c r="I114" i="4"/>
  <c r="D136" i="7"/>
  <c r="H113" i="9"/>
  <c r="G156" i="2"/>
  <c r="I134" i="7"/>
  <c r="F116" i="4"/>
  <c r="E130" i="9"/>
  <c r="I104" i="7"/>
  <c r="J110" i="9"/>
  <c r="Q89"/>
  <c r="G71" i="2"/>
  <c r="P139"/>
  <c r="C148"/>
  <c r="C159"/>
  <c r="C117" i="7"/>
  <c r="C125"/>
  <c r="E101" i="2"/>
  <c r="V138" i="9"/>
  <c r="M85" i="7"/>
  <c r="G86" i="2"/>
  <c r="B114" i="9"/>
  <c r="C101"/>
  <c r="F71" i="4"/>
  <c r="Y102" i="9"/>
  <c r="F136" i="7"/>
  <c r="G97"/>
  <c r="H102"/>
  <c r="J119"/>
  <c r="Y65" i="9"/>
  <c r="P104" i="2"/>
  <c r="F150" i="7"/>
  <c r="D105"/>
  <c r="N98" i="9"/>
  <c r="R117"/>
  <c r="R51"/>
  <c r="I131" i="7"/>
  <c r="G157" i="4"/>
  <c r="E115" i="2"/>
  <c r="J61" i="9"/>
  <c r="V61"/>
  <c r="J94" i="7"/>
  <c r="H62" i="9"/>
  <c r="I59"/>
  <c r="I122" i="4"/>
  <c r="J139" i="9"/>
  <c r="Y135"/>
  <c r="G168" i="4"/>
  <c r="O129" i="9"/>
  <c r="X46"/>
  <c r="L153"/>
  <c r="W46"/>
  <c r="L82" i="7"/>
  <c r="C121" i="2"/>
  <c r="N130"/>
  <c r="Q57" i="9"/>
  <c r="G123" i="7"/>
  <c r="M47"/>
  <c r="Q153" i="9"/>
  <c r="H85" i="2"/>
  <c r="L30" i="4"/>
  <c r="C33" i="9"/>
  <c r="C74"/>
  <c r="C96" i="2"/>
  <c r="B57" i="7"/>
  <c r="W105" i="9"/>
  <c r="N77" i="2"/>
  <c r="G88" i="9"/>
  <c r="N151"/>
  <c r="J49"/>
  <c r="O134" i="2"/>
  <c r="F131" i="7"/>
  <c r="F146" i="4"/>
  <c r="D85" i="2"/>
  <c r="P120" i="9"/>
  <c r="O115"/>
  <c r="H49" i="7"/>
  <c r="W157" i="9"/>
  <c r="G144" i="2"/>
  <c r="Z62" i="9"/>
  <c r="L133"/>
  <c r="L154"/>
  <c r="H122"/>
  <c r="H159" i="7"/>
  <c r="X77" i="9"/>
  <c r="O99"/>
  <c r="P74" i="2"/>
  <c r="H111" i="7"/>
  <c r="B114" i="4"/>
  <c r="M75"/>
  <c r="Q55" i="9"/>
  <c r="O123" i="2"/>
  <c r="F143" i="4"/>
  <c r="F70" i="9"/>
  <c r="W118"/>
  <c r="K123"/>
  <c r="U3"/>
  <c r="S90"/>
  <c r="N106" i="2"/>
  <c r="T121" i="9"/>
  <c r="G89"/>
  <c r="G109" i="7"/>
  <c r="J116" i="4"/>
  <c r="J58" i="7"/>
  <c r="Q34" i="9"/>
  <c r="F162" i="2"/>
  <c r="B138" i="9"/>
  <c r="L50" i="7"/>
  <c r="I147"/>
  <c r="N68" i="2"/>
  <c r="O107" i="9"/>
  <c r="F152"/>
  <c r="D99" i="7"/>
  <c r="B45" i="2"/>
  <c r="G126"/>
  <c r="C140" i="7"/>
  <c r="D87" i="2"/>
  <c r="L67" i="7"/>
  <c r="J104" i="9"/>
  <c r="K46" i="7"/>
  <c r="M105"/>
  <c r="X134" i="9"/>
  <c r="K81" i="4"/>
  <c r="U152" i="9"/>
  <c r="D148" i="7"/>
  <c r="D121" i="9"/>
  <c r="G70" i="2"/>
  <c r="G50" i="7"/>
  <c r="D166" i="4"/>
  <c r="P94" i="9"/>
  <c r="W67"/>
  <c r="P73"/>
  <c r="L98"/>
  <c r="W129"/>
  <c r="Z127"/>
  <c r="F149" i="7"/>
  <c r="S83" i="9"/>
  <c r="Q116"/>
  <c r="C111" i="4"/>
  <c r="O59" i="2"/>
  <c r="M79" i="7"/>
  <c r="E65"/>
  <c r="E53" i="2"/>
  <c r="I124" i="4"/>
  <c r="D84" i="7"/>
  <c r="H140" i="2"/>
  <c r="C127" i="7"/>
  <c r="L37" i="9"/>
  <c r="G124" i="4"/>
  <c r="K126"/>
  <c r="S72" i="9"/>
  <c r="E154"/>
  <c r="M137"/>
  <c r="F75" i="2"/>
  <c r="U154" i="9"/>
  <c r="X89"/>
  <c r="X135"/>
  <c r="E81" i="4"/>
  <c r="L82"/>
  <c r="S79" i="9"/>
  <c r="B113" i="2"/>
  <c r="B153" i="4"/>
  <c r="C109"/>
  <c r="H157"/>
  <c r="E3"/>
  <c r="T79" i="9"/>
  <c r="V143"/>
  <c r="F119"/>
  <c r="F165" i="4"/>
  <c r="Y104" i="9"/>
  <c r="C112" i="2"/>
  <c r="T75" i="9"/>
  <c r="I117" i="4"/>
  <c r="D64" i="2"/>
  <c r="P129" i="9"/>
  <c r="U93"/>
  <c r="P50"/>
  <c r="L73" i="4"/>
  <c r="L140" i="7"/>
  <c r="H54" i="2"/>
  <c r="R75" i="9"/>
  <c r="F133" i="4"/>
  <c r="M60" i="2"/>
  <c r="J145" i="7"/>
  <c r="I72" i="4"/>
  <c r="D163"/>
  <c r="P34" i="9"/>
  <c r="Z141"/>
  <c r="G90" i="7"/>
  <c r="T92" i="9"/>
  <c r="O51" i="2"/>
  <c r="P121" i="9"/>
  <c r="P57"/>
  <c r="C99"/>
  <c r="D74" i="2"/>
  <c r="C61" i="4"/>
  <c r="Z31" i="9"/>
  <c r="R95"/>
  <c r="C143" i="4"/>
  <c r="Y55" i="9"/>
  <c r="X158"/>
  <c r="F104" i="2"/>
  <c r="C43" i="9"/>
  <c r="W92"/>
  <c r="L83" i="7"/>
  <c r="E170" i="2"/>
  <c r="G124"/>
  <c r="B171" i="4"/>
  <c r="E102"/>
  <c r="J141" i="7"/>
  <c r="E123" i="2"/>
  <c r="I135" i="4"/>
  <c r="C75" i="2"/>
  <c r="T108" i="9"/>
  <c r="B136"/>
  <c r="H126"/>
  <c r="C92" i="4"/>
  <c r="I155" i="7"/>
  <c r="G113" i="4"/>
  <c r="M98" i="7"/>
  <c r="C102"/>
  <c r="L144" i="2"/>
  <c r="B151"/>
  <c r="I139" i="4"/>
  <c r="L143" i="2"/>
  <c r="E162"/>
  <c r="U138" i="9"/>
  <c r="C115" i="2"/>
  <c r="F60"/>
  <c r="H117" i="9"/>
  <c r="M73" i="4"/>
  <c r="J170"/>
  <c r="O63" i="2"/>
  <c r="I157" i="9"/>
  <c r="M103" i="4"/>
  <c r="C62"/>
  <c r="N42" i="2"/>
  <c r="L81" i="9"/>
  <c r="E105" i="4"/>
  <c r="F52" i="7"/>
  <c r="E158" i="9"/>
  <c r="G158"/>
  <c r="I37" i="4"/>
  <c r="H125" i="2"/>
  <c r="O88" i="9"/>
  <c r="G55" i="4"/>
  <c r="J61" i="7"/>
  <c r="J119" i="4"/>
  <c r="E108" i="9"/>
  <c r="T84"/>
  <c r="B62" i="2"/>
  <c r="L140" i="4"/>
  <c r="E3" i="2"/>
  <c r="P136"/>
  <c r="D89"/>
  <c r="T70" i="9"/>
  <c r="H134" i="7"/>
  <c r="P92" i="2"/>
  <c r="E78" i="9"/>
  <c r="J76" i="7"/>
  <c r="C89" i="9"/>
  <c r="J81" i="7"/>
  <c r="U78" i="9"/>
  <c r="M150" i="4"/>
  <c r="L169"/>
  <c r="B50" i="9"/>
  <c r="D142" i="2"/>
  <c r="G85" i="7"/>
  <c r="H43"/>
  <c r="U91" i="9"/>
  <c r="N70"/>
  <c r="P94" i="2"/>
  <c r="K148" i="7"/>
  <c r="C137" i="4"/>
  <c r="M79"/>
  <c r="B109"/>
  <c r="C162" i="2"/>
  <c r="M122" i="7"/>
  <c r="L114" i="2"/>
  <c r="W140" i="9"/>
  <c r="N119"/>
  <c r="L119"/>
  <c r="M93" i="7"/>
  <c r="M120"/>
  <c r="J136" i="4"/>
  <c r="H128"/>
  <c r="B83" i="9"/>
  <c r="E148" i="4"/>
  <c r="K79"/>
  <c r="E110" i="9"/>
  <c r="Y127"/>
  <c r="T30"/>
  <c r="J146" i="7"/>
  <c r="G122" i="9"/>
  <c r="F58" i="4"/>
  <c r="N81" i="9"/>
  <c r="L106" i="7"/>
  <c r="O76" i="9"/>
  <c r="G106" i="2"/>
  <c r="Q147" i="9"/>
  <c r="B78" i="7"/>
  <c r="I149" i="4"/>
  <c r="C95"/>
  <c r="O159" i="2"/>
  <c r="R66" i="9"/>
  <c r="B115" i="2"/>
  <c r="C131" i="7"/>
  <c r="M152" i="9"/>
  <c r="X118"/>
  <c r="G142" i="7"/>
  <c r="B169" i="4"/>
  <c r="I141" i="7"/>
  <c r="J110" i="4"/>
  <c r="I35" i="9"/>
  <c r="G75"/>
  <c r="E49" i="4"/>
  <c r="D129" i="9"/>
  <c r="L56" i="7"/>
  <c r="X73" i="9"/>
  <c r="M159" i="4"/>
  <c r="H108" i="9"/>
  <c r="D82"/>
  <c r="O135"/>
  <c r="F87" i="7"/>
  <c r="O48" i="2"/>
  <c r="H87" i="9"/>
  <c r="K92" i="4"/>
  <c r="F103"/>
  <c r="I71" i="7"/>
  <c r="B102"/>
  <c r="H100" i="2"/>
  <c r="H157" i="9"/>
  <c r="T151"/>
  <c r="N97"/>
  <c r="C117" i="2"/>
  <c r="I93" i="7"/>
  <c r="D80" i="2"/>
  <c r="M125" i="4"/>
  <c r="Z157" i="9"/>
  <c r="F122"/>
  <c r="R120"/>
  <c r="P85" i="2"/>
  <c r="C98" i="7"/>
  <c r="K102"/>
  <c r="F86" i="4"/>
  <c r="K104"/>
  <c r="G133" i="7"/>
  <c r="J123" i="4"/>
  <c r="C80" i="2"/>
  <c r="J150" i="4"/>
  <c r="C76" i="7"/>
  <c r="O57" i="9"/>
  <c r="B70" i="7"/>
  <c r="F171" i="4"/>
  <c r="K36" i="9"/>
  <c r="E171" i="4"/>
  <c r="R135" i="9"/>
  <c r="K132"/>
  <c r="D45"/>
  <c r="K81"/>
  <c r="H102"/>
  <c r="K169" i="4"/>
  <c r="I159"/>
  <c r="P141" i="9"/>
  <c r="Q87"/>
  <c r="R103"/>
  <c r="U56"/>
  <c r="J153"/>
  <c r="C134" i="7"/>
  <c r="T52" i="9"/>
  <c r="Y30"/>
  <c r="K120" i="4"/>
  <c r="M68" i="2"/>
  <c r="G103" i="4"/>
  <c r="M114" i="7"/>
  <c r="B65"/>
  <c r="I73" i="4"/>
  <c r="V32" i="9"/>
  <c r="C73"/>
  <c r="F91" i="4"/>
  <c r="M149"/>
  <c r="L117" i="7"/>
  <c r="D147"/>
  <c r="K84" i="4"/>
  <c r="J77" i="7"/>
  <c r="L61" i="9"/>
  <c r="J80"/>
  <c r="C72"/>
  <c r="G127" i="4"/>
  <c r="Z83" i="9"/>
  <c r="M71" i="4"/>
  <c r="I112" i="7"/>
  <c r="W63" i="9"/>
  <c r="M107"/>
  <c r="F112" i="2"/>
  <c r="K79" i="7"/>
  <c r="C124" i="4"/>
  <c r="N118" i="9"/>
  <c r="D132"/>
  <c r="H141" i="7"/>
  <c r="D106" i="4"/>
  <c r="Q43" i="9"/>
  <c r="H55"/>
  <c r="G70" i="4"/>
  <c r="N145" i="9"/>
  <c r="U74"/>
  <c r="E140"/>
  <c r="M85" i="2"/>
  <c r="I116" i="9"/>
  <c r="H77" i="7"/>
  <c r="R159" i="9"/>
  <c r="J158" i="7"/>
  <c r="M110" i="9"/>
  <c r="H108" i="4"/>
  <c r="M75" i="2"/>
  <c r="O75"/>
  <c r="D129" i="7"/>
  <c r="E107" i="4"/>
  <c r="J59" i="9"/>
  <c r="D71" i="2"/>
  <c r="D128" i="9"/>
  <c r="L100" i="2"/>
  <c r="L95" i="9"/>
  <c r="N87" i="2"/>
  <c r="Q83" i="9"/>
  <c r="T152"/>
  <c r="I134"/>
  <c r="E80" i="2"/>
  <c r="H150" i="7"/>
  <c r="L117" i="4"/>
  <c r="B122" i="7"/>
  <c r="P77" i="9"/>
  <c r="E104" i="2"/>
  <c r="P89"/>
  <c r="V52" i="9"/>
  <c r="I151" i="4"/>
  <c r="M91" i="9"/>
  <c r="C43" i="7"/>
  <c r="K65"/>
  <c r="E101"/>
  <c r="Z101" i="9"/>
  <c r="D93" i="2"/>
  <c r="J125" i="9"/>
  <c r="X130"/>
  <c r="G77" i="4"/>
  <c r="E83"/>
  <c r="M53" i="2"/>
  <c r="Y88" i="9"/>
  <c r="R82"/>
  <c r="J101" i="4"/>
  <c r="L105" i="9"/>
  <c r="F56" i="2"/>
  <c r="X125" i="9"/>
  <c r="L112" i="7"/>
  <c r="C134" i="2"/>
  <c r="F118"/>
  <c r="L69" i="4"/>
  <c r="J44" i="9"/>
  <c r="D84"/>
  <c r="D90" i="4"/>
  <c r="Z123" i="9"/>
  <c r="Y79"/>
  <c r="L110"/>
  <c r="E59"/>
  <c r="L134" i="7"/>
  <c r="L106" i="2"/>
  <c r="U50" i="9"/>
  <c r="B93" i="4"/>
  <c r="J75" i="9"/>
  <c r="M100"/>
  <c r="P88" i="2"/>
  <c r="P56" i="9"/>
  <c r="F61" i="2"/>
  <c r="K101" i="9"/>
  <c r="C92" i="7"/>
  <c r="O114" i="9"/>
  <c r="H118"/>
  <c r="D170" i="2"/>
  <c r="M80" i="9"/>
  <c r="F126" i="7"/>
  <c r="G91" i="4"/>
  <c r="W82" i="9"/>
  <c r="G171" i="4"/>
  <c r="C105" i="9"/>
  <c r="F142" i="2"/>
  <c r="C158" i="7"/>
  <c r="E104" i="9"/>
  <c r="I95" i="7"/>
  <c r="D71"/>
  <c r="K153" i="4"/>
  <c r="O49" i="2"/>
  <c r="J89" i="9"/>
  <c r="V25"/>
  <c r="X153"/>
  <c r="I151" i="7"/>
  <c r="I67" i="9"/>
  <c r="J132" i="4"/>
  <c r="Y90" i="9"/>
  <c r="D147" i="4"/>
  <c r="F101" i="9"/>
  <c r="J103" i="7"/>
  <c r="M64" i="9"/>
  <c r="H137" i="4"/>
  <c r="C94" i="2"/>
  <c r="N155" i="9"/>
  <c r="D120" i="2"/>
  <c r="E61" i="9"/>
  <c r="Y56"/>
  <c r="O65"/>
  <c r="C59" i="7"/>
  <c r="B99" i="2"/>
  <c r="B157"/>
  <c r="M165"/>
  <c r="Y107" i="9"/>
  <c r="X52"/>
  <c r="W156"/>
  <c r="G127" i="2"/>
  <c r="F126"/>
  <c r="O158" i="9"/>
  <c r="P120" i="2"/>
  <c r="H29" i="9"/>
  <c r="Z88"/>
  <c r="C149" i="7"/>
  <c r="S123" i="9"/>
  <c r="G48"/>
  <c r="H136" i="7"/>
  <c r="G124" i="9"/>
  <c r="G80" i="2"/>
  <c r="J131" i="7"/>
  <c r="D63" i="4"/>
  <c r="P128" i="2"/>
  <c r="P141"/>
  <c r="F83" i="7"/>
  <c r="Y50" i="9"/>
  <c r="B133"/>
  <c r="J93" i="7"/>
  <c r="J153"/>
  <c r="R113" i="9"/>
  <c r="N53" i="2"/>
  <c r="C98"/>
  <c r="C138"/>
  <c r="E151"/>
  <c r="Y29" i="9"/>
  <c r="F3" i="7"/>
  <c r="G155"/>
  <c r="F163" i="2"/>
  <c r="L122"/>
  <c r="T136" i="9"/>
  <c r="L105" i="4"/>
  <c r="Y157" i="9"/>
  <c r="P91" i="2"/>
  <c r="U86" i="9"/>
  <c r="O134"/>
  <c r="L129" i="4"/>
  <c r="E119" i="2"/>
  <c r="F53" i="7"/>
  <c r="O116" i="9"/>
  <c r="Q48"/>
  <c r="L88" i="7"/>
  <c r="O138" i="9"/>
  <c r="E135"/>
  <c r="H132"/>
  <c r="K162" i="4"/>
  <c r="D103" i="9"/>
  <c r="E156" i="2"/>
  <c r="B124" i="9"/>
  <c r="L165" i="2"/>
  <c r="D78"/>
  <c r="G85" i="4"/>
  <c r="Z92" i="9"/>
  <c r="K90" i="4"/>
  <c r="Q109" i="9"/>
  <c r="C107" i="2"/>
  <c r="T66" i="9"/>
  <c r="B57"/>
  <c r="P109"/>
  <c r="H156" i="4"/>
  <c r="F128" i="7"/>
  <c r="D155"/>
  <c r="H139"/>
  <c r="W84" i="9"/>
  <c r="V60"/>
  <c r="B90"/>
  <c r="E57" i="2"/>
  <c r="P153"/>
  <c r="P90" i="9"/>
  <c r="G91"/>
  <c r="U95"/>
  <c r="Z110"/>
  <c r="O84"/>
  <c r="D86"/>
  <c r="K157" i="7"/>
  <c r="O101" i="2"/>
  <c r="J71" i="4"/>
  <c r="L165"/>
  <c r="H150" i="2"/>
  <c r="D60" i="9"/>
  <c r="K100"/>
  <c r="V100"/>
  <c r="G56" i="7"/>
  <c r="H112" i="4"/>
  <c r="J151"/>
  <c r="M44" i="7"/>
  <c r="H146" i="9"/>
  <c r="D160" i="2"/>
  <c r="K133" i="9"/>
  <c r="E53"/>
  <c r="O84" i="2"/>
  <c r="L103" i="4"/>
  <c r="N142" i="9"/>
  <c r="D51" i="2"/>
  <c r="R150" i="9"/>
  <c r="P154"/>
  <c r="O89" i="2"/>
  <c r="M93" i="4"/>
  <c r="B133" i="2"/>
  <c r="C120"/>
  <c r="B116"/>
  <c r="L68" i="9"/>
  <c r="G88" i="7"/>
  <c r="P36" i="9"/>
  <c r="E158" i="2"/>
  <c r="V70" i="9"/>
  <c r="V144"/>
  <c r="L110" i="7"/>
  <c r="I75" i="9"/>
  <c r="Q24"/>
  <c r="D26"/>
  <c r="M65" i="7"/>
  <c r="B71" i="4"/>
  <c r="E89" i="2"/>
  <c r="M83" i="9"/>
  <c r="E92"/>
  <c r="J165" i="4"/>
  <c r="K155" i="9"/>
  <c r="T86"/>
  <c r="E98" i="7"/>
  <c r="E80"/>
  <c r="D79"/>
  <c r="L94" i="4"/>
  <c r="M140"/>
  <c r="E85" i="2"/>
  <c r="M94" i="7"/>
  <c r="B135" i="4"/>
  <c r="F54" i="2"/>
  <c r="C103"/>
  <c r="L85"/>
  <c r="F49" i="7"/>
  <c r="M56"/>
  <c r="J99" i="4"/>
  <c r="M55"/>
  <c r="U96" i="9"/>
  <c r="I68" i="7"/>
  <c r="R32" i="9"/>
  <c r="G78" i="2"/>
  <c r="U47" i="9"/>
  <c r="F49" i="4"/>
  <c r="I80"/>
  <c r="I32"/>
  <c r="T123" i="9"/>
  <c r="T110"/>
  <c r="D89" i="4"/>
  <c r="Q125" i="9"/>
  <c r="J127" i="7"/>
  <c r="H73" i="2"/>
  <c r="P161"/>
  <c r="C135" i="9"/>
  <c r="E130" i="2"/>
  <c r="K151" i="7"/>
  <c r="L79" i="2"/>
  <c r="N76"/>
  <c r="R74" i="9"/>
  <c r="N70" i="2"/>
  <c r="G129" i="7"/>
  <c r="K99"/>
  <c r="O151" i="9"/>
  <c r="D90" i="7"/>
  <c r="U31" i="9"/>
  <c r="D104" i="4"/>
  <c r="G38" i="9"/>
  <c r="E43" i="4"/>
  <c r="I141"/>
  <c r="V104" i="9"/>
  <c r="L170" i="2"/>
  <c r="B9" i="10"/>
  <c r="V84" i="9"/>
  <c r="N46"/>
  <c r="U81"/>
  <c r="L73" i="7"/>
  <c r="D74" i="9"/>
  <c r="L104" i="2"/>
  <c r="J112" i="9"/>
  <c r="U117"/>
  <c r="S117"/>
  <c r="M111" i="2"/>
  <c r="P162"/>
  <c r="M135" i="4"/>
  <c r="N126" i="9"/>
  <c r="C113" i="7"/>
  <c r="H138" i="4"/>
  <c r="Q103" i="9"/>
  <c r="L84" i="7"/>
  <c r="I105"/>
  <c r="M120" i="4"/>
  <c r="G142" i="2"/>
  <c r="D166"/>
  <c r="H139" i="9"/>
  <c r="G67"/>
  <c r="G53"/>
  <c r="K131"/>
  <c r="F46"/>
  <c r="X124"/>
  <c r="C96" i="7"/>
  <c r="B162" i="4"/>
  <c r="T133" i="9"/>
  <c r="S99"/>
  <c r="G98"/>
  <c r="K153" i="7"/>
  <c r="L112" i="2"/>
  <c r="S49" i="9"/>
  <c r="E60" i="4"/>
  <c r="I90"/>
  <c r="D139"/>
  <c r="E45" i="9"/>
  <c r="Z121"/>
  <c r="C157" i="2"/>
  <c r="M44" i="9"/>
  <c r="G55" i="7"/>
  <c r="C70"/>
  <c r="N93" i="2"/>
  <c r="V131" i="9"/>
  <c r="U146"/>
  <c r="C87"/>
  <c r="M57" i="2"/>
  <c r="W112" i="9"/>
  <c r="E162" i="4"/>
  <c r="K96" i="7"/>
  <c r="N107" i="9"/>
  <c r="P125" i="2"/>
  <c r="C109" i="9"/>
  <c r="F135" i="4"/>
  <c r="S77" i="9"/>
  <c r="Z87"/>
  <c r="L83" i="4"/>
  <c r="F137"/>
  <c r="S103" i="9"/>
  <c r="L142" i="7"/>
  <c r="G75" i="4"/>
  <c r="L144" i="7"/>
  <c r="N167" i="2"/>
  <c r="O79"/>
  <c r="K92" i="9"/>
  <c r="N78" i="2"/>
  <c r="B152" i="4"/>
  <c r="P74" i="9"/>
  <c r="P102" i="2"/>
  <c r="J48" i="4"/>
  <c r="Z68" i="9"/>
  <c r="Y48"/>
  <c r="J51" i="7"/>
  <c r="Y92" i="9"/>
  <c r="Z64"/>
  <c r="N47" i="2"/>
  <c r="H96"/>
  <c r="D61" i="9"/>
  <c r="G49" i="7"/>
  <c r="E117" i="2"/>
  <c r="N147" i="9"/>
  <c r="F122" i="2"/>
  <c r="B115" i="7"/>
  <c r="F103"/>
  <c r="R100" i="9"/>
  <c r="M62" i="4"/>
  <c r="B116" i="9"/>
  <c r="I150"/>
  <c r="H127" i="4"/>
  <c r="L84" i="9"/>
  <c r="F113" i="4"/>
  <c r="U122" i="9"/>
  <c r="H89" i="7"/>
  <c r="L55" i="9"/>
  <c r="D58" i="2"/>
  <c r="Q69" i="9"/>
  <c r="C171" i="2"/>
  <c r="W107" i="9"/>
  <c r="K137" i="7"/>
  <c r="P135" i="9"/>
  <c r="Z117"/>
  <c r="G144" i="7"/>
  <c r="K104" i="9"/>
  <c r="W36"/>
  <c r="P3" i="2"/>
  <c r="P111"/>
  <c r="O82" i="9"/>
  <c r="Z56"/>
  <c r="J103" i="4"/>
  <c r="Q68" i="9"/>
  <c r="M149"/>
  <c r="D102"/>
  <c r="C153" i="7"/>
  <c r="D139"/>
  <c r="O105" i="9"/>
  <c r="B145"/>
  <c r="F84" i="7"/>
  <c r="E152" i="9"/>
  <c r="C92"/>
  <c r="C110" i="4"/>
  <c r="U153" i="9"/>
  <c r="O67" i="2"/>
  <c r="D155" i="4"/>
  <c r="I147"/>
  <c r="F84" i="2"/>
  <c r="T67" i="9"/>
  <c r="T56"/>
  <c r="M118"/>
  <c r="V55"/>
  <c r="P131"/>
  <c r="K96"/>
  <c r="M21"/>
  <c r="D118" i="7"/>
  <c r="N54" i="9"/>
  <c r="L76" i="2"/>
  <c r="C37" i="9"/>
  <c r="G133"/>
  <c r="H94"/>
  <c r="V146"/>
  <c r="O52"/>
  <c r="W95"/>
  <c r="F113" i="7"/>
  <c r="L133"/>
  <c r="H78" i="4"/>
  <c r="J127" i="9"/>
  <c r="B52"/>
  <c r="G115"/>
  <c r="U119"/>
  <c r="C126"/>
  <c r="R157"/>
  <c r="K141" i="4"/>
  <c r="M52" i="2"/>
  <c r="U123" i="9"/>
  <c r="D88"/>
  <c r="K119"/>
  <c r="U149"/>
  <c r="H71" i="7"/>
  <c r="L120"/>
  <c r="E123" i="9"/>
  <c r="M151"/>
  <c r="B148" i="4"/>
  <c r="W155" i="9"/>
  <c r="E163" i="2"/>
  <c r="D3" i="9"/>
  <c r="M106" i="7"/>
  <c r="I115" i="4"/>
  <c r="K86" i="9"/>
  <c r="F63" i="7"/>
  <c r="K152"/>
  <c r="J143"/>
  <c r="S145" i="9"/>
  <c r="T34"/>
  <c r="K142" i="7"/>
  <c r="C134" i="9"/>
  <c r="X128"/>
  <c r="O102" i="2"/>
  <c r="K139" i="7"/>
  <c r="F153" i="9"/>
  <c r="D81"/>
  <c r="L121"/>
  <c r="E88"/>
  <c r="C123" i="4"/>
  <c r="Y145" i="9"/>
  <c r="P114" i="2"/>
  <c r="H128" i="7"/>
  <c r="X81" i="9"/>
  <c r="M69"/>
  <c r="Z109"/>
  <c r="H129"/>
  <c r="Z122"/>
  <c r="D96" i="7"/>
  <c r="P155" i="2"/>
  <c r="B111" i="7"/>
  <c r="G71"/>
  <c r="Y49" i="9"/>
  <c r="X71"/>
  <c r="Q97"/>
  <c r="U150"/>
  <c r="C65" i="7"/>
  <c r="I88" i="4"/>
  <c r="I145" i="9"/>
  <c r="F113" i="2"/>
  <c r="U90" i="9"/>
  <c r="C41" i="2"/>
  <c r="G72" i="7"/>
  <c r="Z76" i="9"/>
  <c r="M68" i="4"/>
  <c r="P160" i="2"/>
  <c r="F169" i="4"/>
  <c r="D168" i="2"/>
  <c r="G155"/>
  <c r="M162"/>
  <c r="B144" i="9"/>
  <c r="E154" i="4"/>
  <c r="F158" i="2"/>
  <c r="P158"/>
  <c r="J84" i="4"/>
  <c r="H169" i="2"/>
  <c r="F96"/>
  <c r="J82" i="4"/>
  <c r="U142" i="9"/>
  <c r="C110" i="2"/>
  <c r="N88"/>
  <c r="M87" i="9"/>
  <c r="U137"/>
  <c r="D171" i="2"/>
  <c r="F88"/>
  <c r="N92"/>
  <c r="M70" i="9"/>
  <c r="L54"/>
  <c r="I107"/>
  <c r="M67" i="4"/>
  <c r="F142"/>
  <c r="H92"/>
  <c r="U120" i="9"/>
  <c r="I155"/>
  <c r="M170" i="2"/>
  <c r="K143" i="4"/>
  <c r="P87" i="9"/>
  <c r="L77" i="4"/>
  <c r="Q134" i="9"/>
  <c r="H155" i="4"/>
  <c r="E45" i="2"/>
  <c r="G43" i="7"/>
  <c r="E146" i="2"/>
  <c r="J118" i="7"/>
  <c r="O114" i="2"/>
  <c r="F105"/>
  <c r="R156" i="9"/>
  <c r="E50" i="2"/>
  <c r="H32" i="9"/>
  <c r="F60" i="4"/>
  <c r="R93" i="9"/>
  <c r="E116"/>
  <c r="M116" i="2"/>
  <c r="H29"/>
  <c r="Q52" i="9"/>
  <c r="C53" i="7"/>
  <c r="D94" i="2"/>
  <c r="E51"/>
  <c r="D148" i="4"/>
  <c r="F40"/>
  <c r="V95" i="9"/>
  <c r="X44"/>
  <c r="G46" i="2"/>
  <c r="M167" i="4"/>
  <c r="L124" i="9"/>
  <c r="E51" i="7"/>
  <c r="D100"/>
  <c r="R110" i="9"/>
  <c r="H130" i="7"/>
  <c r="V127" i="9"/>
  <c r="B62" i="7"/>
  <c r="G55" i="9"/>
  <c r="H93" i="7"/>
  <c r="I58" i="4"/>
  <c r="C170" i="2"/>
  <c r="B71"/>
  <c r="D138" i="7"/>
  <c r="O94" i="9"/>
  <c r="K107"/>
  <c r="O71" i="2"/>
  <c r="O111"/>
  <c r="T113" i="9"/>
  <c r="U37"/>
  <c r="M50"/>
  <c r="M140" i="7"/>
  <c r="N141" i="2"/>
  <c r="W149" i="9"/>
  <c r="M99" i="2"/>
  <c r="G130" i="9"/>
  <c r="M169" i="2"/>
  <c r="E71" i="9"/>
  <c r="J114" i="7"/>
  <c r="F82" i="2"/>
  <c r="E131" i="4"/>
  <c r="O167" i="2"/>
  <c r="C138" i="9"/>
  <c r="U148"/>
  <c r="N152"/>
  <c r="G161" i="2"/>
  <c r="C60" i="7"/>
  <c r="K168" i="4"/>
  <c r="H156" i="2"/>
  <c r="H124" i="9"/>
  <c r="I120" i="4"/>
  <c r="I122" i="7"/>
  <c r="N124" i="9"/>
  <c r="B53" i="2"/>
  <c r="V37" i="9"/>
  <c r="E112" i="4"/>
  <c r="G164"/>
  <c r="E109" i="2"/>
  <c r="D31" i="4"/>
  <c r="D119" i="9"/>
  <c r="G76" i="4"/>
  <c r="E76"/>
  <c r="E147" i="9"/>
  <c r="M138" i="2"/>
  <c r="C68" i="7"/>
  <c r="E127" i="9"/>
  <c r="C15"/>
  <c r="P107"/>
  <c r="T28"/>
  <c r="G85" i="2"/>
  <c r="M21" i="7"/>
  <c r="Q72" i="9"/>
  <c r="B67" i="4"/>
  <c r="C155" i="7"/>
  <c r="D66" i="4"/>
  <c r="C92" i="2"/>
  <c r="G171"/>
  <c r="C56" i="9"/>
  <c r="E61" i="7"/>
  <c r="H111" i="9"/>
  <c r="D141" i="7"/>
  <c r="G54"/>
  <c r="O39" i="9"/>
  <c r="H116" i="2"/>
  <c r="C142"/>
  <c r="C157" i="4"/>
  <c r="B120"/>
  <c r="D121" i="2"/>
  <c r="B145" i="4"/>
  <c r="P119" i="9"/>
  <c r="O157"/>
  <c r="L127"/>
  <c r="P143" i="2"/>
  <c r="M139" i="4"/>
  <c r="D55" i="2"/>
  <c r="G143" i="4"/>
  <c r="T124" i="9"/>
  <c r="D117"/>
  <c r="J43" i="4"/>
  <c r="E146" i="7"/>
  <c r="G143" i="2"/>
  <c r="F91" i="7"/>
  <c r="L160" i="4"/>
  <c r="K154" i="7"/>
  <c r="V71" i="9"/>
  <c r="M101" i="7"/>
  <c r="X143" i="9"/>
  <c r="D74" i="7"/>
  <c r="E126" i="4"/>
  <c r="D152" i="9"/>
  <c r="E96"/>
  <c r="D59"/>
  <c r="B84" i="4"/>
  <c r="M127" i="9"/>
  <c r="B69" i="4"/>
  <c r="X97" i="9"/>
  <c r="D56"/>
  <c r="P136"/>
  <c r="E50" i="7"/>
  <c r="M107" i="4"/>
  <c r="K37"/>
  <c r="F144" i="9"/>
  <c r="K44" i="7"/>
  <c r="D100" i="2"/>
  <c r="M118" i="7"/>
  <c r="J133"/>
  <c r="N141" i="9"/>
  <c r="O153"/>
  <c r="V158"/>
  <c r="M96"/>
  <c r="H165" i="2"/>
  <c r="K121" i="7"/>
  <c r="F67" i="2"/>
  <c r="G145"/>
  <c r="F31" i="4"/>
  <c r="P60" i="2"/>
  <c r="C127" i="4"/>
  <c r="G132" i="2"/>
  <c r="L36" i="9"/>
  <c r="Y132"/>
  <c r="K40" i="4"/>
  <c r="E113"/>
  <c r="F127"/>
  <c r="G151"/>
  <c r="O51" i="9"/>
  <c r="B151"/>
  <c r="K128"/>
  <c r="T96"/>
  <c r="M117" i="4"/>
  <c r="D98" i="7"/>
  <c r="J102"/>
  <c r="O119" i="2"/>
  <c r="I152" i="4"/>
  <c r="D145" i="9"/>
  <c r="Q106"/>
  <c r="F150" i="4"/>
  <c r="E142" i="9"/>
  <c r="N87"/>
  <c r="B160" i="2"/>
  <c r="M128" i="9"/>
  <c r="V89"/>
  <c r="H74" i="2"/>
  <c r="G140" i="9"/>
  <c r="U136"/>
  <c r="T47"/>
  <c r="C63"/>
  <c r="C110"/>
  <c r="D126" i="7"/>
  <c r="W111" i="9"/>
  <c r="E83" i="2"/>
  <c r="C120" i="7"/>
  <c r="O116" i="2"/>
  <c r="F78" i="4"/>
  <c r="G156" i="9"/>
  <c r="M92" i="4"/>
  <c r="L152" i="2"/>
  <c r="H99" i="9"/>
  <c r="U100"/>
  <c r="J55" i="7"/>
  <c r="T111" i="9"/>
  <c r="M83" i="2"/>
  <c r="E97"/>
  <c r="V156" i="9"/>
  <c r="C135" i="7"/>
  <c r="M65" i="9"/>
  <c r="C169" i="4"/>
  <c r="O90" i="2"/>
  <c r="B108"/>
  <c r="T68" i="9"/>
  <c r="D147" i="2"/>
  <c r="D151" i="7"/>
  <c r="F66" i="2"/>
  <c r="H35"/>
  <c r="B97" i="4"/>
  <c r="E55" i="2"/>
  <c r="Q98" i="9"/>
  <c r="Z25"/>
  <c r="N149" i="2"/>
  <c r="H141" i="4"/>
  <c r="J158"/>
  <c r="H105" i="7"/>
  <c r="B67"/>
  <c r="E148" i="9"/>
  <c r="C84"/>
  <c r="I94" i="7"/>
  <c r="L88" i="2"/>
  <c r="J36" i="4"/>
  <c r="G60" i="2"/>
  <c r="V120" i="9"/>
  <c r="O131"/>
  <c r="L117"/>
  <c r="D69"/>
  <c r="H94" i="2"/>
  <c r="I94" i="4"/>
  <c r="E53"/>
  <c r="B50" i="7"/>
  <c r="F97"/>
  <c r="C151" i="2"/>
  <c r="L126" i="9"/>
  <c r="B96" i="2"/>
  <c r="O70"/>
  <c r="H90" i="4"/>
  <c r="G94" i="2"/>
  <c r="J152" i="7"/>
  <c r="C124"/>
  <c r="J154" i="4"/>
  <c r="E160"/>
  <c r="D57" i="9"/>
  <c r="N143"/>
  <c r="D81" i="2"/>
  <c r="B118" i="7"/>
  <c r="G139" i="2"/>
  <c r="T69" i="9"/>
  <c r="O152"/>
  <c r="D157" i="7"/>
  <c r="C97" i="9"/>
  <c r="M88"/>
  <c r="M47" i="2"/>
  <c r="U68" i="9"/>
  <c r="M45"/>
  <c r="J123" i="7"/>
  <c r="K170" i="4"/>
  <c r="B148" i="9"/>
  <c r="O64"/>
  <c r="P98" i="2"/>
  <c r="L76" i="7"/>
  <c r="F133" i="9"/>
  <c r="M124" i="2"/>
  <c r="M168"/>
  <c r="Z128" i="9"/>
  <c r="L166" i="2"/>
  <c r="C53" i="4"/>
  <c r="E149"/>
  <c r="P45" i="2"/>
  <c r="C78"/>
  <c r="D142" i="7"/>
  <c r="I76"/>
  <c r="G147"/>
  <c r="T109" i="9"/>
  <c r="G94"/>
  <c r="B87" i="4"/>
  <c r="J55"/>
  <c r="H126" i="2"/>
  <c r="H68" i="4"/>
  <c r="E145"/>
  <c r="C94"/>
  <c r="I156" i="9"/>
  <c r="Y110"/>
  <c r="Y138"/>
  <c r="N85" i="2"/>
  <c r="F144" i="7"/>
  <c r="N56" i="2"/>
  <c r="O70" i="9"/>
  <c r="E59" i="2"/>
  <c r="L101" i="9"/>
  <c r="H92" i="7"/>
  <c r="P84" i="9"/>
  <c r="Y63"/>
  <c r="C130" i="7"/>
  <c r="F80" i="2"/>
  <c r="X55" i="9"/>
  <c r="Q136"/>
  <c r="V132"/>
  <c r="C63" i="4"/>
  <c r="G139"/>
  <c r="L127" i="7"/>
  <c r="N81" i="2"/>
  <c r="H124" i="4"/>
  <c r="G116" i="9"/>
  <c r="L47"/>
  <c r="P140"/>
  <c r="M109" i="2"/>
  <c r="H155" i="7"/>
  <c r="B140" i="2"/>
  <c r="G90"/>
  <c r="I105" i="9"/>
  <c r="W88"/>
  <c r="S143"/>
  <c r="H54"/>
  <c r="D65" i="7"/>
  <c r="M86" i="4"/>
  <c r="J138" i="9"/>
  <c r="O118"/>
  <c r="E140" i="2"/>
  <c r="L136" i="4"/>
  <c r="G137" i="7"/>
  <c r="P100" i="9"/>
  <c r="M114" i="4"/>
  <c r="O160" i="2"/>
  <c r="W99" i="9"/>
  <c r="D154" i="4"/>
  <c r="F47" i="9"/>
  <c r="D75" i="2"/>
  <c r="G125"/>
  <c r="D118"/>
  <c r="M149" i="7"/>
  <c r="U45" i="9"/>
  <c r="E76" i="7"/>
  <c r="B126" i="4"/>
  <c r="B88" i="7"/>
  <c r="N111" i="9"/>
  <c r="I80"/>
  <c r="G121"/>
  <c r="E127" i="4"/>
  <c r="D116" i="2"/>
  <c r="P52"/>
  <c r="J85" i="7"/>
  <c r="S66" i="9"/>
  <c r="L87" i="2"/>
  <c r="F144" i="4"/>
  <c r="C93" i="2"/>
  <c r="F146" i="7"/>
  <c r="J162" i="4"/>
  <c r="G141"/>
  <c r="F157"/>
  <c r="W98" i="9"/>
  <c r="M81" i="2"/>
  <c r="F77" i="9"/>
  <c r="Q135"/>
  <c r="D87" i="4"/>
  <c r="I143" i="7"/>
  <c r="M110" i="4"/>
  <c r="F111" i="7"/>
  <c r="S131" i="9"/>
  <c r="G105" i="2"/>
  <c r="L125" i="4"/>
  <c r="N115" i="9"/>
  <c r="K158"/>
  <c r="Q77"/>
  <c r="U55"/>
  <c r="P116" i="2"/>
  <c r="V117" i="9"/>
  <c r="P80"/>
  <c r="K154" i="4"/>
  <c r="R49" i="9"/>
  <c r="F85" i="2"/>
  <c r="D109"/>
  <c r="I130" i="4"/>
  <c r="G98" i="2"/>
  <c r="I119" i="4"/>
  <c r="K167"/>
  <c r="D114" i="9"/>
  <c r="O132"/>
  <c r="F168" i="4"/>
  <c r="Y70" i="9"/>
  <c r="J57" i="4"/>
  <c r="T58" i="9"/>
  <c r="M108"/>
  <c r="M90" i="7"/>
  <c r="D135" i="9"/>
  <c r="I144" i="4"/>
  <c r="R144" i="9"/>
  <c r="L97" i="7"/>
  <c r="M129"/>
  <c r="O130" i="9"/>
  <c r="L71" i="7"/>
  <c r="S112" i="9"/>
  <c r="B97" i="7"/>
  <c r="J118" i="4"/>
  <c r="L170"/>
  <c r="O48" i="9"/>
  <c r="F125" i="2"/>
  <c r="F55"/>
  <c r="C55" i="9"/>
  <c r="C82"/>
  <c r="S135"/>
  <c r="O91" i="2"/>
  <c r="F90" i="4"/>
  <c r="L122" i="7"/>
  <c r="J137" i="9"/>
  <c r="C127" i="2"/>
  <c r="C88"/>
  <c r="G141"/>
  <c r="B85" i="9"/>
  <c r="I74"/>
  <c r="C158" i="2"/>
  <c r="G91" i="7"/>
  <c r="U125" i="9"/>
  <c r="J160" i="4"/>
  <c r="G61" i="7"/>
  <c r="H154" i="4"/>
  <c r="C38" i="9"/>
  <c r="F165" i="2"/>
  <c r="M154"/>
  <c r="H58" i="4"/>
  <c r="C76" i="9"/>
  <c r="T72"/>
  <c r="I47" i="7"/>
  <c r="P75" i="2"/>
  <c r="C50"/>
  <c r="X69" i="9"/>
  <c r="O35"/>
  <c r="F95" i="2"/>
  <c r="E121" i="9"/>
  <c r="N142" i="2"/>
  <c r="M103" i="7"/>
  <c r="G115" i="4"/>
  <c r="F64" i="9"/>
  <c r="H87" i="2"/>
  <c r="D112"/>
  <c r="K71" i="4"/>
  <c r="F160" i="2"/>
  <c r="F128" i="4"/>
  <c r="B132"/>
  <c r="F163"/>
  <c r="J135" i="7"/>
  <c r="I108" i="9"/>
  <c r="L102" i="7"/>
  <c r="W103" i="9"/>
  <c r="K130"/>
  <c r="H147" i="4"/>
  <c r="F57"/>
  <c r="E139" i="9"/>
  <c r="O97" i="2"/>
  <c r="Q150" i="9"/>
  <c r="K125" i="7"/>
  <c r="L113"/>
  <c r="E115" i="9"/>
  <c r="H114" i="2"/>
  <c r="H113" i="7"/>
  <c r="F143"/>
  <c r="Z86" i="9"/>
  <c r="H123" i="4"/>
  <c r="L161"/>
  <c r="C77" i="2"/>
  <c r="D78" i="4"/>
  <c r="H85" i="7"/>
  <c r="G114" i="2"/>
  <c r="F108" i="4"/>
  <c r="K121"/>
  <c r="F101" i="7"/>
  <c r="X75" i="9"/>
  <c r="G60" i="4"/>
  <c r="J147"/>
  <c r="R134" i="9"/>
  <c r="L109" i="7"/>
  <c r="M147"/>
  <c r="J75"/>
  <c r="E35" i="9"/>
  <c r="E36"/>
  <c r="P45"/>
  <c r="F58"/>
  <c r="J95" i="7"/>
  <c r="M50" i="4"/>
  <c r="C158" i="9"/>
  <c r="P164" i="2"/>
  <c r="O47"/>
  <c r="B64" i="4"/>
  <c r="E166" i="2"/>
  <c r="F123"/>
  <c r="X108" i="9"/>
  <c r="I36"/>
  <c r="P58" i="2"/>
  <c r="H90"/>
  <c r="G62" i="9"/>
  <c r="G100" i="2"/>
  <c r="K86" i="7"/>
  <c r="K126" i="9"/>
  <c r="I157" i="7"/>
  <c r="L164" i="2"/>
  <c r="G138" i="4"/>
  <c r="K134" i="7"/>
  <c r="E120" i="2"/>
  <c r="X111" i="9"/>
  <c r="O89"/>
  <c r="M111" i="7"/>
  <c r="G64" i="9"/>
  <c r="L59" i="7"/>
  <c r="D64" i="9"/>
  <c r="S153"/>
  <c r="C98"/>
  <c r="W120"/>
  <c r="D150" i="2"/>
  <c r="D62"/>
  <c r="C148" i="7"/>
  <c r="E44" i="9"/>
  <c r="P134"/>
  <c r="J60" i="4"/>
  <c r="M79" i="9"/>
  <c r="M57"/>
  <c r="N22"/>
  <c r="U139"/>
  <c r="B105"/>
  <c r="L45"/>
  <c r="D50" i="4"/>
  <c r="G75" i="7"/>
  <c r="I103" i="4"/>
  <c r="G99"/>
  <c r="E155" i="2"/>
  <c r="K53" i="9"/>
  <c r="O42"/>
  <c r="D108" i="7"/>
  <c r="I154" i="4"/>
  <c r="K108" i="7"/>
  <c r="N126" i="2"/>
  <c r="L44"/>
  <c r="K117" i="9"/>
  <c r="J125" i="7"/>
  <c r="G30" i="9"/>
  <c r="E124"/>
  <c r="L18"/>
  <c r="J98" i="7"/>
  <c r="D18" i="9"/>
  <c r="K64"/>
  <c r="M78" i="2"/>
  <c r="K124" i="4"/>
  <c r="M41" i="2"/>
  <c r="M79"/>
  <c r="F44"/>
  <c r="L109" i="4"/>
  <c r="O73" i="2"/>
  <c r="K42" i="4"/>
  <c r="U147" i="9"/>
  <c r="I156" i="7"/>
  <c r="X101" i="9"/>
  <c r="Y52"/>
  <c r="E129"/>
  <c r="C115" i="4"/>
  <c r="Y115" i="9"/>
  <c r="P77" i="2"/>
  <c r="M117"/>
  <c r="E120" i="9"/>
  <c r="J65" i="7"/>
  <c r="H110" i="4"/>
  <c r="D53" i="9"/>
  <c r="L89" i="7"/>
  <c r="K124"/>
  <c r="F94" i="4"/>
  <c r="H140" i="7"/>
  <c r="G99" i="2"/>
  <c r="N91"/>
  <c r="U44" i="9"/>
  <c r="L96" i="7"/>
  <c r="X133" i="9"/>
  <c r="D114" i="2"/>
  <c r="M139" i="7"/>
  <c r="W146" i="9"/>
  <c r="H144" i="2"/>
  <c r="Q144" i="9"/>
  <c r="N82" i="2"/>
  <c r="H146"/>
  <c r="G152" i="7"/>
  <c r="T148" i="9"/>
  <c r="M59" i="4"/>
  <c r="H72" i="2"/>
  <c r="B46" i="9"/>
  <c r="C109" i="7"/>
  <c r="R126" i="9"/>
  <c r="K80" i="4"/>
  <c r="V116" i="9"/>
  <c r="K113"/>
  <c r="B41" i="4"/>
  <c r="O96" i="9"/>
  <c r="C115"/>
  <c r="M92" i="7"/>
  <c r="J77" i="9"/>
  <c r="L48"/>
  <c r="Q44"/>
  <c r="X48"/>
  <c r="M151" i="7"/>
  <c r="J28" i="9"/>
  <c r="U58"/>
  <c r="H95" i="2"/>
  <c r="Y139" i="9"/>
  <c r="R79"/>
  <c r="M83" i="4"/>
  <c r="W110" i="9"/>
  <c r="N59" i="2"/>
  <c r="F68" i="7"/>
  <c r="N64" i="9"/>
  <c r="W116"/>
  <c r="F71" i="7"/>
  <c r="K93" i="4"/>
  <c r="Q155" i="9"/>
  <c r="D53" i="2"/>
  <c r="B96" i="7"/>
  <c r="N153" i="9"/>
  <c r="H166" i="4"/>
  <c r="I136"/>
  <c r="N169" i="2"/>
  <c r="M165" i="4"/>
  <c r="D67"/>
  <c r="I124" i="9"/>
  <c r="F106" i="4"/>
  <c r="L107" i="9"/>
  <c r="U72"/>
  <c r="G92" i="4"/>
  <c r="D113" i="7"/>
  <c r="G136" i="2"/>
  <c r="D54" i="9"/>
  <c r="D110" i="7"/>
  <c r="W81" i="9"/>
  <c r="E161" i="2"/>
  <c r="Z75" i="9"/>
  <c r="K103" i="7"/>
  <c r="M160" i="4"/>
  <c r="U105" i="9"/>
  <c r="J68" i="4"/>
  <c r="Z111" i="9"/>
  <c r="T118"/>
  <c r="F130"/>
  <c r="Y112"/>
  <c r="V102"/>
  <c r="E154" i="2"/>
  <c r="D85" i="4"/>
  <c r="D69" i="2"/>
  <c r="W32" i="9"/>
  <c r="K35" i="7"/>
  <c r="X29" i="9"/>
  <c r="D67"/>
  <c r="T99"/>
  <c r="B51" i="4"/>
  <c r="Y44" i="9"/>
  <c r="P154" i="2"/>
  <c r="B117"/>
  <c r="H31" i="4"/>
  <c r="E64"/>
  <c r="R132" i="9"/>
  <c r="M39"/>
  <c r="B66" i="2"/>
  <c r="O140" i="9"/>
  <c r="H152"/>
  <c r="E48" i="2"/>
  <c r="C87" i="7"/>
  <c r="H166" i="2"/>
  <c r="P110"/>
  <c r="L64" i="4"/>
  <c r="T143" i="9"/>
  <c r="L129" i="2"/>
  <c r="B64"/>
  <c r="K42" i="9"/>
  <c r="M127" i="2"/>
  <c r="E108" i="4"/>
  <c r="L56"/>
  <c r="I73" i="9"/>
  <c r="T91"/>
  <c r="D72" i="4"/>
  <c r="C72" i="2"/>
  <c r="B74" i="4"/>
  <c r="M97"/>
  <c r="C75"/>
  <c r="G114" i="9"/>
  <c r="H68" i="2"/>
  <c r="I96" i="7"/>
  <c r="I141" i="9"/>
  <c r="W104"/>
  <c r="L157" i="4"/>
  <c r="P47" i="9"/>
  <c r="Y47"/>
  <c r="F118" i="4"/>
  <c r="L142"/>
  <c r="C108" i="2"/>
  <c r="L94"/>
  <c r="U46" i="9"/>
  <c r="V97"/>
  <c r="G100"/>
  <c r="B129" i="2"/>
  <c r="T125" i="9"/>
  <c r="O78" i="2"/>
  <c r="W78" i="9"/>
  <c r="P95" i="2"/>
  <c r="J79" i="4"/>
  <c r="K78" i="7"/>
  <c r="N65" i="2"/>
  <c r="C156" i="9"/>
  <c r="X113"/>
  <c r="I77"/>
  <c r="C78" i="7"/>
  <c r="R133" i="9"/>
  <c r="O87"/>
  <c r="L148"/>
  <c r="K133" i="7"/>
  <c r="N162" i="2"/>
  <c r="K131" i="7"/>
  <c r="E142"/>
  <c r="H71" i="4"/>
  <c r="N42" i="9"/>
  <c r="Y31"/>
  <c r="D46"/>
  <c r="C168" i="2"/>
  <c r="U54" i="9"/>
  <c r="B134"/>
  <c r="C119" i="4"/>
  <c r="L110"/>
  <c r="K159" i="9"/>
  <c r="C72" i="4"/>
  <c r="Y77" i="9"/>
  <c r="Y144"/>
  <c r="L71" i="2"/>
  <c r="M144" i="9"/>
  <c r="M121" i="7"/>
  <c r="C49" i="9"/>
  <c r="M171" i="4"/>
  <c r="S18" i="9"/>
  <c r="M3" i="7"/>
  <c r="J27" i="9"/>
  <c r="I91" i="7"/>
  <c r="E58" i="9"/>
  <c r="P104"/>
  <c r="M40"/>
  <c r="M136"/>
  <c r="H87" i="4"/>
  <c r="J90" i="7"/>
  <c r="L139"/>
  <c r="S114" i="9"/>
  <c r="B138" i="7"/>
  <c r="O156" i="9"/>
  <c r="D102" i="4"/>
  <c r="N120" i="9"/>
  <c r="J156" i="7"/>
  <c r="V115" i="9"/>
  <c r="K55" i="7"/>
  <c r="I96" i="9"/>
  <c r="O146" i="2"/>
  <c r="G153" i="9"/>
  <c r="M148"/>
  <c r="K140"/>
  <c r="E138" i="2"/>
  <c r="E91" i="9"/>
  <c r="C112" i="7"/>
  <c r="C106" i="4"/>
  <c r="D105"/>
  <c r="F146" i="2"/>
  <c r="E120" i="4"/>
  <c r="Q50" i="9"/>
  <c r="E130" i="7"/>
  <c r="V90" i="9"/>
  <c r="X155"/>
  <c r="D128" i="4"/>
  <c r="V59" i="9"/>
  <c r="G81" i="7"/>
  <c r="Z133" i="9"/>
  <c r="V122"/>
  <c r="L93"/>
  <c r="P89"/>
  <c r="K166" i="4"/>
  <c r="D101" i="7"/>
  <c r="T59" i="9"/>
  <c r="N35"/>
  <c r="H48"/>
  <c r="H107" i="7"/>
  <c r="V110" i="9"/>
  <c r="I119"/>
  <c r="E153"/>
  <c r="H158" i="4"/>
  <c r="U48" i="9"/>
  <c r="Y20"/>
  <c r="H124" i="7"/>
  <c r="R58" i="9"/>
  <c r="O120" i="2"/>
  <c r="Q142" i="9"/>
  <c r="E151" i="4"/>
  <c r="O149" i="2"/>
  <c r="U126" i="9"/>
  <c r="P48" i="2"/>
  <c r="E103" i="9"/>
  <c r="D97" i="2"/>
  <c r="M92"/>
  <c r="D70" i="9"/>
  <c r="J145"/>
  <c r="N133"/>
  <c r="T128"/>
  <c r="L53"/>
  <c r="F92" i="7"/>
  <c r="B112" i="2"/>
  <c r="N118"/>
  <c r="M91" i="7"/>
  <c r="C89"/>
  <c r="J129"/>
  <c r="C142"/>
  <c r="I78" i="9"/>
  <c r="D57" i="2"/>
  <c r="N100" i="9"/>
  <c r="L144"/>
  <c r="M77"/>
  <c r="F102" i="2"/>
  <c r="V47" i="9"/>
  <c r="U129"/>
  <c r="B133" i="7"/>
  <c r="P65" i="9"/>
  <c r="Q154"/>
  <c r="D60" i="2"/>
  <c r="L160"/>
  <c r="H58"/>
  <c r="I121" i="9"/>
  <c r="I97" i="4"/>
  <c r="P48" i="9"/>
  <c r="Q63"/>
  <c r="C52"/>
  <c r="J46"/>
  <c r="J116" i="7"/>
  <c r="I144"/>
  <c r="G94"/>
  <c r="L100"/>
  <c r="D92" i="2"/>
  <c r="F44" i="9"/>
  <c r="N109"/>
  <c r="T129"/>
  <c r="S64"/>
  <c r="D113" i="4"/>
  <c r="D171"/>
  <c r="M71" i="9"/>
  <c r="E111" i="7"/>
  <c r="L97" i="4"/>
  <c r="D153"/>
  <c r="G103" i="2"/>
  <c r="F147" i="7"/>
  <c r="F65" i="2"/>
  <c r="D99" i="9"/>
  <c r="F89" i="2"/>
  <c r="W76" i="9"/>
  <c r="X122"/>
  <c r="B140" i="4"/>
  <c r="C81" i="2"/>
  <c r="G100" i="4"/>
  <c r="L93" i="7"/>
  <c r="P169" i="2"/>
  <c r="Y66" i="9"/>
  <c r="I125"/>
  <c r="O142" i="2"/>
  <c r="Y81" i="9"/>
  <c r="X123"/>
  <c r="V103"/>
  <c r="H98" i="2"/>
  <c r="B47" i="7"/>
  <c r="E55" i="9"/>
  <c r="U143"/>
  <c r="E149"/>
  <c r="O121"/>
  <c r="B68" i="4"/>
  <c r="I137" i="9"/>
  <c r="L118" i="7"/>
  <c r="B103"/>
  <c r="D91" i="4"/>
  <c r="I75"/>
  <c r="G104"/>
  <c r="G80" i="9"/>
  <c r="J43"/>
  <c r="J96" i="4"/>
  <c r="D151" i="2"/>
  <c r="B100" i="7"/>
  <c r="L156" i="9"/>
  <c r="E75"/>
  <c r="W94"/>
  <c r="C125" i="2"/>
  <c r="J87" i="7"/>
  <c r="K134" i="9"/>
  <c r="G79" i="7"/>
  <c r="G78" i="4"/>
  <c r="N131" i="2"/>
  <c r="G74" i="4"/>
  <c r="W144" i="9"/>
  <c r="J107" i="4"/>
  <c r="K137"/>
  <c r="N159" i="9"/>
  <c r="G146" i="7"/>
  <c r="F111" i="4"/>
  <c r="Q41" i="9"/>
  <c r="R131"/>
  <c r="Y51"/>
  <c r="E96" i="2"/>
  <c r="B131" i="9"/>
  <c r="B91"/>
  <c r="E138"/>
  <c r="L137"/>
  <c r="L169" i="2"/>
  <c r="C125" i="4"/>
  <c r="E114"/>
  <c r="L136" i="7"/>
  <c r="L109" i="9"/>
  <c r="V36"/>
  <c r="U132"/>
  <c r="X3"/>
  <c r="G142" i="4"/>
  <c r="H115" i="7"/>
  <c r="Y155" i="9"/>
  <c r="I78" i="4"/>
  <c r="E92"/>
  <c r="D66" i="9"/>
  <c r="J121" i="4"/>
  <c r="D106" i="9"/>
  <c r="K49"/>
  <c r="K50"/>
  <c r="P101"/>
  <c r="C58" i="2"/>
  <c r="Z90" i="9"/>
  <c r="L158" i="4"/>
  <c r="D123" i="9"/>
  <c r="M85" i="4"/>
  <c r="B114" i="2"/>
  <c r="V74" i="9"/>
  <c r="B74" i="2"/>
  <c r="B97" i="9"/>
  <c r="V152"/>
  <c r="L114"/>
  <c r="S127"/>
  <c r="C53"/>
  <c r="G135" i="4"/>
  <c r="D3" i="7"/>
  <c r="L131" i="9"/>
  <c r="L158" i="2"/>
  <c r="S132" i="9"/>
  <c r="R63"/>
  <c r="K127" i="4"/>
  <c r="C84" i="7"/>
  <c r="F102" i="9"/>
  <c r="E147" i="4"/>
  <c r="G144" i="9"/>
  <c r="K140" i="4"/>
  <c r="D164" i="2"/>
  <c r="B52" i="7"/>
  <c r="P132" i="9"/>
  <c r="J113"/>
  <c r="L156" i="7"/>
  <c r="M46"/>
  <c r="B94" i="9"/>
  <c r="K149"/>
  <c r="X66"/>
  <c r="D133"/>
  <c r="B132" i="2"/>
  <c r="C159" i="4"/>
  <c r="L130" i="2"/>
  <c r="L146" i="7"/>
  <c r="M141" i="2"/>
  <c r="F111"/>
  <c r="O90" i="9"/>
  <c r="B12" i="10"/>
  <c r="E98" i="2"/>
  <c r="B113" i="7"/>
  <c r="P76" i="2"/>
  <c r="C73"/>
  <c r="T145" i="9"/>
  <c r="P86" i="2"/>
  <c r="C132" i="4"/>
  <c r="P95" i="9"/>
  <c r="K151"/>
  <c r="F117"/>
  <c r="J108" i="4"/>
  <c r="E155"/>
  <c r="S104" i="9"/>
  <c r="G42"/>
  <c r="B167" i="4"/>
  <c r="H170"/>
  <c r="Y96" i="9"/>
  <c r="C86" i="7"/>
  <c r="B72" i="2"/>
  <c r="J47" i="9"/>
  <c r="I131"/>
  <c r="B118" i="2"/>
  <c r="J77" i="4"/>
  <c r="C170"/>
  <c r="G69" i="9"/>
  <c r="B117" i="4"/>
  <c r="Z96" i="9"/>
  <c r="L59"/>
  <c r="B144" i="4"/>
  <c r="H162" i="2"/>
  <c r="F102" i="4"/>
  <c r="L133" i="2"/>
  <c r="R43" i="9"/>
  <c r="M119"/>
  <c r="J96" i="7"/>
  <c r="Q71" i="9"/>
  <c r="C126" i="2"/>
  <c r="D122" i="7"/>
  <c r="K102" i="4"/>
  <c r="V130" i="9"/>
  <c r="N77"/>
  <c r="M133" i="2"/>
  <c r="P124"/>
  <c r="G115" i="7"/>
  <c r="H102" i="4"/>
  <c r="B94"/>
  <c r="H135" i="2"/>
  <c r="E23" i="9"/>
  <c r="C150"/>
  <c r="P78" i="2"/>
  <c r="W44" i="9"/>
  <c r="H87" i="7"/>
  <c r="T33" i="9"/>
  <c r="F63"/>
  <c r="X83"/>
  <c r="Z103"/>
  <c r="G130" i="4"/>
  <c r="Z46" i="9"/>
  <c r="C93"/>
  <c r="M117"/>
  <c r="C49" i="2"/>
  <c r="X78" i="9"/>
  <c r="R151"/>
  <c r="C83" i="2"/>
  <c r="T155" i="9"/>
  <c r="L58" i="4"/>
  <c r="D108"/>
  <c r="H136"/>
  <c r="H152" i="7"/>
  <c r="B77" i="9"/>
  <c r="J56" i="7"/>
  <c r="H3"/>
  <c r="O103" i="2"/>
  <c r="H130"/>
  <c r="Y59" i="9"/>
  <c r="U155"/>
  <c r="J130"/>
  <c r="D145" i="4"/>
  <c r="L82" i="2"/>
  <c r="B152" i="7"/>
  <c r="J76" i="9"/>
  <c r="G123" i="2"/>
  <c r="F84" i="9"/>
  <c r="I88" i="7"/>
  <c r="G46" i="9"/>
  <c r="H54" i="7"/>
  <c r="H59" i="2"/>
  <c r="I146" i="7"/>
  <c r="C108" i="9"/>
  <c r="H60" i="4"/>
  <c r="P35" i="9"/>
  <c r="E133" i="7"/>
  <c r="O105" i="2"/>
  <c r="B131" i="4"/>
  <c r="C80" i="7"/>
  <c r="O168" i="2"/>
  <c r="P113" i="9"/>
  <c r="B120"/>
  <c r="G61"/>
  <c r="N115" i="2"/>
  <c r="C84" i="4"/>
  <c r="I167"/>
  <c r="H122" i="7"/>
  <c r="K95" i="9"/>
  <c r="N128" i="2"/>
  <c r="K146" i="9"/>
  <c r="L56"/>
  <c r="J102" i="4"/>
  <c r="H163" i="2"/>
  <c r="L158" i="9"/>
  <c r="W158"/>
  <c r="W68"/>
  <c r="H158" i="7"/>
  <c r="V114" i="9"/>
  <c r="L152"/>
  <c r="C104" i="2"/>
  <c r="E82"/>
  <c r="B128" i="7"/>
  <c r="D143" i="2"/>
  <c r="K78" i="4"/>
  <c r="L88"/>
  <c r="L143"/>
  <c r="D158" i="9"/>
  <c r="N156"/>
  <c r="I146" i="4"/>
  <c r="L137" i="2"/>
  <c r="K18" i="7"/>
  <c r="G58" i="4"/>
  <c r="I51"/>
  <c r="E122" i="9"/>
  <c r="F53"/>
  <c r="G107" i="7"/>
  <c r="R145" i="9"/>
  <c r="P142"/>
  <c r="B51" i="7"/>
  <c r="N3" i="2"/>
  <c r="F93"/>
  <c r="G98" i="7"/>
  <c r="U107" i="9"/>
  <c r="Q159"/>
  <c r="Z43"/>
  <c r="U128"/>
  <c r="G60"/>
  <c r="L138" i="7"/>
  <c r="L96" i="2"/>
  <c r="N102"/>
  <c r="M63" i="4"/>
  <c r="H132" i="7"/>
  <c r="D157" i="9"/>
  <c r="H96" i="7"/>
  <c r="G88" i="2"/>
  <c r="L73" i="9"/>
  <c r="G116" i="2"/>
  <c r="H155" i="9"/>
  <c r="M3" i="4"/>
  <c r="L120" i="9"/>
  <c r="B42" i="4"/>
  <c r="O46" i="2"/>
  <c r="D144"/>
  <c r="B166"/>
  <c r="H125" i="4"/>
  <c r="Q148" i="9"/>
  <c r="G97" i="2"/>
  <c r="M123" i="4"/>
  <c r="M66"/>
  <c r="N107" i="2"/>
  <c r="N80"/>
  <c r="S149" i="9"/>
  <c r="D134"/>
  <c r="B81" i="2"/>
  <c r="B105" i="7"/>
  <c r="S116" i="9"/>
  <c r="X56"/>
  <c r="O53"/>
  <c r="Y158"/>
  <c r="O139" i="2"/>
  <c r="F110"/>
  <c r="C130" i="4"/>
  <c r="F144" i="2"/>
  <c r="E163" i="4"/>
  <c r="K143" i="7"/>
  <c r="E143" i="2"/>
  <c r="N94"/>
  <c r="M126" i="7"/>
  <c r="C131" i="9"/>
  <c r="F61" i="4"/>
  <c r="C145" i="2"/>
  <c r="U140" i="9"/>
  <c r="I100"/>
  <c r="F72" i="7"/>
  <c r="B68" i="2"/>
  <c r="E153" i="7"/>
  <c r="W126" i="9"/>
  <c r="C63" i="2"/>
  <c r="F131"/>
  <c r="J61" i="4"/>
  <c r="G91" i="2"/>
  <c r="I99" i="9"/>
  <c r="Z20"/>
  <c r="J129"/>
  <c r="B59" i="7"/>
  <c r="D68" i="4"/>
  <c r="V45" i="9"/>
  <c r="Z58"/>
  <c r="J124"/>
  <c r="O115" i="2"/>
  <c r="D159" i="9"/>
  <c r="J113" i="4"/>
  <c r="H94"/>
  <c r="D94" i="9"/>
  <c r="P80" i="2"/>
  <c r="E164"/>
  <c r="C160" i="4"/>
  <c r="D124" i="9"/>
  <c r="I112" i="4"/>
  <c r="F101"/>
  <c r="G100" i="7"/>
  <c r="E116"/>
  <c r="J86" i="4"/>
  <c r="T63" i="9"/>
  <c r="R57"/>
  <c r="I127" i="7"/>
  <c r="L63" i="4"/>
  <c r="F62" i="9"/>
  <c r="J92" i="7"/>
  <c r="D141" i="4"/>
  <c r="H105" i="2"/>
  <c r="F121" i="9"/>
  <c r="L161" i="2"/>
  <c r="L171"/>
  <c r="L154" i="4"/>
  <c r="J57" i="7"/>
  <c r="F155"/>
  <c r="F154"/>
  <c r="G89"/>
  <c r="L141"/>
  <c r="D156" i="2"/>
  <c r="U84" i="9"/>
  <c r="F129" i="2"/>
  <c r="C147" i="4"/>
  <c r="E65" i="9"/>
  <c r="J58" i="4"/>
  <c r="G52" i="2"/>
  <c r="I138" i="9"/>
  <c r="X117"/>
  <c r="Y26"/>
  <c r="Q67"/>
  <c r="E34"/>
  <c r="L153" i="7"/>
  <c r="D30" i="9"/>
  <c r="F87"/>
  <c r="K43" i="7"/>
  <c r="P71" i="9"/>
  <c r="L59" i="4"/>
  <c r="L123" i="2"/>
  <c r="G33"/>
  <c r="G57"/>
  <c r="B84" i="9"/>
  <c r="H145" i="2"/>
  <c r="C3" i="4"/>
  <c r="C136" i="9"/>
  <c r="F125"/>
  <c r="G65" i="7"/>
  <c r="Y36" i="9"/>
  <c r="I153"/>
  <c r="M150" i="2"/>
  <c r="G121" i="7"/>
  <c r="W102" i="9"/>
  <c r="C58" i="4"/>
  <c r="J152"/>
  <c r="P125" i="9"/>
  <c r="H132" i="4"/>
  <c r="E111" i="2"/>
  <c r="C137"/>
  <c r="H88" i="9"/>
  <c r="P69"/>
  <c r="D140" i="7"/>
  <c r="P56" i="2"/>
  <c r="N136" i="9"/>
  <c r="C152" i="7"/>
  <c r="H81" i="9"/>
  <c r="D132" i="2"/>
  <c r="Q108" i="9"/>
  <c r="L147" i="2"/>
  <c r="C67" i="4"/>
  <c r="B88" i="9"/>
  <c r="D115" i="7"/>
  <c r="Y60" i="9"/>
  <c r="Q157"/>
  <c r="E152" i="7"/>
  <c r="B63" i="9"/>
  <c r="J131" i="4"/>
  <c r="K110"/>
  <c r="G145"/>
  <c r="D152" i="2"/>
  <c r="W86" i="9"/>
  <c r="E132" i="2"/>
  <c r="K106" i="4"/>
  <c r="X98" i="9"/>
  <c r="D73" i="2"/>
  <c r="D93" i="9"/>
  <c r="B119" i="7"/>
  <c r="C124" i="9"/>
  <c r="L83"/>
  <c r="E128"/>
  <c r="M144" i="7"/>
  <c r="H161" i="2"/>
  <c r="D134" i="7"/>
  <c r="L145" i="9"/>
  <c r="F166" i="4"/>
  <c r="J151" i="9"/>
  <c r="O137"/>
  <c r="C111" i="7"/>
  <c r="L102" i="9"/>
  <c r="Y147"/>
  <c r="M94" i="2"/>
  <c r="C117" i="9"/>
  <c r="J84" i="7"/>
  <c r="J105"/>
  <c r="B143" i="4"/>
  <c r="F77" i="7"/>
  <c r="F99" i="2"/>
  <c r="D155" i="9"/>
  <c r="F71"/>
  <c r="E78" i="2"/>
  <c r="L141"/>
  <c r="N109"/>
  <c r="F100" i="9"/>
  <c r="H57" i="4"/>
  <c r="L155" i="2"/>
  <c r="G129" i="4"/>
  <c r="K159" i="7"/>
  <c r="J126" i="9"/>
  <c r="J70"/>
  <c r="G161" i="4"/>
  <c r="G74" i="2"/>
  <c r="U111" i="9"/>
  <c r="E145"/>
  <c r="Y125"/>
  <c r="F32" i="2"/>
  <c r="P97" i="9"/>
  <c r="L146" i="4"/>
  <c r="K125"/>
  <c r="G108" i="9"/>
  <c r="W100"/>
  <c r="D114" i="4"/>
  <c r="V79" i="9"/>
  <c r="V64"/>
  <c r="C66" i="2"/>
  <c r="H76"/>
  <c r="B125" i="7"/>
  <c r="R114" i="9"/>
  <c r="E65" i="4"/>
  <c r="L51" i="9"/>
  <c r="Q54"/>
  <c r="O121" i="2"/>
  <c r="M130" i="9"/>
  <c r="L81" i="4"/>
  <c r="J124" i="7"/>
  <c r="H66" i="4"/>
  <c r="K64"/>
  <c r="F73" i="7"/>
  <c r="F151" i="9"/>
  <c r="G125" i="7"/>
  <c r="Y114" i="9"/>
  <c r="S48"/>
  <c r="I74" i="4"/>
  <c r="G73"/>
  <c r="H75"/>
  <c r="I61" i="9"/>
  <c r="J107"/>
  <c r="C146" i="2"/>
  <c r="Z69" i="9"/>
  <c r="Y106"/>
  <c r="G51" i="2"/>
  <c r="Q112" i="9"/>
  <c r="J44" i="7"/>
  <c r="E107" i="2"/>
  <c r="L111" i="9"/>
  <c r="O150"/>
  <c r="J117" i="7"/>
  <c r="O98" i="2"/>
  <c r="D95" i="7"/>
  <c r="O67" i="9"/>
  <c r="G95" i="7"/>
  <c r="H129" i="4"/>
  <c r="M93" i="2"/>
  <c r="G59" i="4"/>
  <c r="G58" i="7"/>
  <c r="G160" i="4"/>
  <c r="E161"/>
  <c r="H77" i="2"/>
  <c r="N28"/>
  <c r="H44" i="9"/>
  <c r="O118" i="2"/>
  <c r="K69" i="9"/>
  <c r="J35" i="4"/>
  <c r="C104"/>
  <c r="X85" i="9"/>
  <c r="G65"/>
  <c r="J87" i="4"/>
  <c r="B164"/>
  <c r="F70"/>
  <c r="P39" i="2"/>
  <c r="M37"/>
  <c r="H45" i="4"/>
  <c r="N159" i="2"/>
  <c r="D62" i="9"/>
  <c r="V44"/>
  <c r="F157" i="7"/>
  <c r="W109" i="9"/>
  <c r="S150"/>
  <c r="G102" i="4"/>
  <c r="N68" i="9"/>
  <c r="L130"/>
  <c r="G63" i="2"/>
  <c r="I104" i="9"/>
  <c r="J161" i="4"/>
  <c r="I110" i="9"/>
  <c r="H142" i="7"/>
  <c r="I123" i="9"/>
  <c r="K97" i="4"/>
  <c r="S128" i="9"/>
  <c r="N92"/>
  <c r="K104" i="7"/>
  <c r="H48"/>
  <c r="X150" i="9"/>
  <c r="T62"/>
  <c r="C89" i="2"/>
  <c r="O62" i="9"/>
  <c r="L54" i="7"/>
  <c r="E20"/>
  <c r="N80" i="9"/>
  <c r="I60" i="4"/>
  <c r="J67"/>
  <c r="T46" i="9"/>
  <c r="F62" i="4"/>
  <c r="F108" i="9"/>
  <c r="B14" i="10"/>
  <c r="C74" i="7"/>
  <c r="Z153" i="9"/>
  <c r="G140" i="2"/>
  <c r="J79" i="7"/>
  <c r="J136"/>
  <c r="E90" i="4"/>
  <c r="I158" i="9"/>
  <c r="H66"/>
  <c r="F121" i="7"/>
  <c r="C111" i="2"/>
  <c r="H53" i="9"/>
  <c r="D97" i="4"/>
  <c r="M100" i="2"/>
  <c r="E148"/>
  <c r="P165"/>
  <c r="C67" i="9"/>
  <c r="J72"/>
  <c r="E160" i="2"/>
  <c r="B116" i="4"/>
  <c r="J121" i="9"/>
  <c r="B76"/>
  <c r="G63"/>
  <c r="R90"/>
  <c r="U76"/>
  <c r="D167" i="2"/>
  <c r="O56" i="9"/>
  <c r="D108"/>
  <c r="K163" i="4"/>
  <c r="H144"/>
  <c r="G73" i="7"/>
  <c r="J56" i="4"/>
  <c r="M122"/>
  <c r="K145"/>
  <c r="K75" i="9"/>
  <c r="D122" i="2"/>
  <c r="C3" i="9"/>
  <c r="O164" i="2"/>
  <c r="H146" i="7"/>
  <c r="M161" i="4"/>
  <c r="J94" i="9"/>
  <c r="M66" i="7"/>
  <c r="H110"/>
  <c r="P113" i="2"/>
  <c r="C95" i="7"/>
  <c r="Y153" i="9"/>
  <c r="X87"/>
  <c r="B101"/>
  <c r="L103" i="7"/>
  <c r="X47" i="9"/>
  <c r="B156" i="4"/>
  <c r="C40"/>
  <c r="T135" i="9"/>
  <c r="O128"/>
  <c r="H71" i="2"/>
  <c r="E26" i="9"/>
  <c r="E135" i="2"/>
  <c r="N79"/>
  <c r="E29" i="9"/>
  <c r="D138" i="2"/>
  <c r="M69"/>
  <c r="F45" i="9"/>
  <c r="Y62"/>
  <c r="I120" i="7"/>
  <c r="I125" i="4"/>
  <c r="I140" i="9"/>
  <c r="E71" i="2"/>
  <c r="Y86" i="9"/>
  <c r="K153"/>
  <c r="C140" i="2"/>
  <c r="N122"/>
  <c r="K114" i="9"/>
  <c r="L71" i="4"/>
  <c r="G108"/>
  <c r="L128" i="2"/>
  <c r="Z94" i="9"/>
  <c r="D44" i="4"/>
  <c r="V92" i="9"/>
  <c r="C110" i="7"/>
  <c r="K152" i="9"/>
  <c r="G46" i="7"/>
  <c r="P171" i="2"/>
  <c r="I64" i="9"/>
  <c r="P145"/>
  <c r="G96" i="7"/>
  <c r="D103" i="4"/>
  <c r="N66" i="9"/>
  <c r="G67" i="4"/>
  <c r="I82"/>
  <c r="L102" i="2"/>
  <c r="M61"/>
  <c r="E131" i="9"/>
  <c r="C129" i="2"/>
  <c r="E113" i="7"/>
  <c r="L87" i="9"/>
  <c r="L142"/>
  <c r="C113" i="2"/>
  <c r="F49" i="9"/>
  <c r="F149" i="2"/>
  <c r="S38" i="9"/>
  <c r="M133" i="4"/>
  <c r="N97" i="2"/>
  <c r="B92" i="7"/>
  <c r="E86" i="4"/>
  <c r="C81"/>
  <c r="D88"/>
  <c r="H68" i="9"/>
  <c r="Z89"/>
  <c r="G73" i="2"/>
  <c r="Y118" i="9"/>
  <c r="L101" i="7"/>
  <c r="N127" i="2"/>
  <c r="I79" i="4"/>
  <c r="G108" i="2"/>
  <c r="U131" i="9"/>
  <c r="S133"/>
  <c r="O86"/>
  <c r="L139" i="4"/>
  <c r="N127" i="9"/>
  <c r="U65"/>
  <c r="M146" i="4"/>
  <c r="O100" i="9"/>
  <c r="H149" i="2"/>
  <c r="I85" i="7"/>
  <c r="B72" i="4"/>
  <c r="M99" i="7"/>
  <c r="P126" i="9"/>
  <c r="Z114"/>
  <c r="I121" i="4"/>
  <c r="B171" i="2"/>
  <c r="J120" i="9"/>
  <c r="J56"/>
  <c r="C135" i="4"/>
  <c r="V41" i="9"/>
  <c r="G152" i="2"/>
  <c r="G115"/>
  <c r="C133" i="9"/>
  <c r="N138" i="2"/>
  <c r="B121" i="7"/>
  <c r="D104" i="2"/>
  <c r="R140" i="9"/>
  <c r="G135"/>
  <c r="F76"/>
  <c r="J139" i="7"/>
  <c r="G151" i="9"/>
  <c r="C165" i="4"/>
  <c r="R102" i="9"/>
  <c r="F170" i="2"/>
  <c r="R92" i="9"/>
  <c r="I71"/>
  <c r="I69"/>
  <c r="F95" i="4"/>
  <c r="U112" i="9"/>
  <c r="M136" i="7"/>
  <c r="H160" i="2"/>
  <c r="O125" i="9"/>
  <c r="H134" i="4"/>
  <c r="B66"/>
  <c r="B74" i="7"/>
  <c r="B99" i="9"/>
  <c r="L106"/>
  <c r="F139" i="4"/>
  <c r="L78"/>
  <c r="B80" i="9"/>
  <c r="Y141"/>
  <c r="P166" i="2"/>
  <c r="J121" i="7"/>
  <c r="B117"/>
  <c r="H42" i="2"/>
  <c r="I136" i="9"/>
  <c r="E133" i="4"/>
  <c r="D91" i="7"/>
  <c r="K90" i="9"/>
  <c r="E118"/>
  <c r="Z37"/>
  <c r="H114" i="7"/>
  <c r="O68" i="2"/>
  <c r="I130" i="7"/>
  <c r="G72" i="9"/>
  <c r="R148"/>
  <c r="I55" i="4"/>
  <c r="G107" i="9"/>
  <c r="N164" i="2"/>
  <c r="E122" i="7"/>
  <c r="F119" i="2"/>
  <c r="C129" i="9"/>
  <c r="K95" i="4"/>
  <c r="D132" i="7"/>
  <c r="K128"/>
  <c r="I69"/>
  <c r="Y72" i="9"/>
  <c r="U52"/>
  <c r="B153" i="7"/>
  <c r="S147" i="9"/>
  <c r="L125" i="2"/>
  <c r="F115" i="9"/>
  <c r="J153" i="4"/>
  <c r="I105"/>
  <c r="Q121" i="9"/>
  <c r="N110"/>
  <c r="C116" i="7"/>
  <c r="F82"/>
  <c r="C106" i="9"/>
  <c r="L92" i="4"/>
  <c r="D137" i="2"/>
  <c r="C91" i="7"/>
  <c r="K118" i="4"/>
  <c r="D134" i="2"/>
  <c r="Z124" i="9"/>
  <c r="F143" i="2"/>
  <c r="K110" i="9"/>
  <c r="D125"/>
  <c r="K88"/>
  <c r="B141" i="2"/>
  <c r="S51" i="9"/>
  <c r="C76" i="2"/>
  <c r="B100" i="4"/>
  <c r="G121" i="2"/>
  <c r="B108" i="9"/>
  <c r="B44" i="4"/>
  <c r="H149"/>
  <c r="K77" i="9"/>
  <c r="D65"/>
  <c r="L79" i="4"/>
  <c r="Q75" i="9"/>
  <c r="L74" i="2"/>
  <c r="D127" i="9"/>
  <c r="X63"/>
  <c r="F115" i="4"/>
  <c r="H148" i="7"/>
  <c r="D140" i="9"/>
  <c r="Y46"/>
  <c r="Q95"/>
  <c r="G97" i="4"/>
  <c r="F97"/>
  <c r="H116"/>
  <c r="V124" i="9"/>
  <c r="Q51"/>
  <c r="K128" i="4"/>
  <c r="T43" i="9"/>
  <c r="Q156"/>
  <c r="Q130"/>
  <c r="M139" i="2"/>
  <c r="D79"/>
  <c r="K150" i="7"/>
  <c r="P114" i="9"/>
  <c r="B11" i="10"/>
  <c r="N111" i="2"/>
  <c r="H98" i="9"/>
  <c r="L132" i="7"/>
  <c r="C144" i="2"/>
  <c r="C70" i="4"/>
  <c r="C113"/>
  <c r="M147"/>
  <c r="Y156" i="9"/>
  <c r="N71" i="2"/>
  <c r="G59"/>
  <c r="F114"/>
  <c r="G138" i="9"/>
  <c r="M116" i="4"/>
  <c r="M89" i="2"/>
  <c r="F97" i="9"/>
  <c r="K77" i="7"/>
  <c r="U157" i="9"/>
  <c r="E128" i="7"/>
  <c r="L133" i="4"/>
  <c r="V128" i="9"/>
  <c r="X93"/>
  <c r="C69" i="2"/>
  <c r="L135"/>
  <c r="M124" i="4"/>
  <c r="L108" i="2"/>
  <c r="Z156" i="9"/>
  <c r="F159"/>
  <c r="B91" i="4"/>
  <c r="P44" i="9"/>
  <c r="I95"/>
  <c r="G104"/>
  <c r="J54" i="4"/>
  <c r="D159"/>
  <c r="E106" i="7"/>
  <c r="P83" i="9"/>
  <c r="G140" i="4"/>
  <c r="I132"/>
  <c r="K70" i="9"/>
  <c r="B155" i="2"/>
  <c r="S88" i="9"/>
  <c r="E88" i="4"/>
  <c r="C91"/>
  <c r="O3" i="2"/>
  <c r="P149"/>
  <c r="I136" i="7"/>
  <c r="G82" i="4"/>
  <c r="I109"/>
  <c r="S53" i="9"/>
  <c r="D116"/>
  <c r="E150"/>
  <c r="E124" i="7"/>
  <c r="P112" i="9"/>
  <c r="C90"/>
  <c r="V141"/>
  <c r="I152" i="7"/>
  <c r="B158" i="4"/>
  <c r="C86"/>
  <c r="M168"/>
  <c r="E129" i="7"/>
  <c r="O102" i="9"/>
  <c r="G105" i="4"/>
  <c r="L76"/>
  <c r="Y148" i="9"/>
  <c r="L60"/>
  <c r="K89" i="4"/>
  <c r="P157" i="9"/>
  <c r="D87" i="7"/>
  <c r="B141" i="4"/>
  <c r="G113" i="9"/>
  <c r="E107"/>
  <c r="L51" i="7"/>
  <c r="Y130" i="9"/>
  <c r="H62" i="4"/>
  <c r="E44" i="7"/>
  <c r="M121" i="4"/>
  <c r="N154" i="9"/>
  <c r="J159" i="7"/>
  <c r="S139" i="9"/>
  <c r="M74" i="2"/>
  <c r="B149"/>
  <c r="G112"/>
  <c r="B5" i="10"/>
  <c r="Z36" i="9"/>
  <c r="B151" i="4"/>
  <c r="M141" i="7"/>
  <c r="M156" i="4"/>
  <c r="L129" i="7"/>
  <c r="M110"/>
  <c r="D159" i="2"/>
  <c r="G145" i="9"/>
  <c r="H51" i="2"/>
  <c r="E117" i="7"/>
  <c r="C147"/>
  <c r="F138" i="4"/>
  <c r="F78" i="9"/>
  <c r="N165" i="2"/>
  <c r="D96"/>
  <c r="X86" i="9"/>
  <c r="O140" i="2"/>
  <c r="E166" i="4"/>
  <c r="J105" i="9"/>
  <c r="B128"/>
  <c r="F141" i="7"/>
  <c r="H50" i="9"/>
  <c r="P62"/>
  <c r="M158" i="7"/>
  <c r="M158" i="2"/>
  <c r="I135" i="7"/>
  <c r="E75" i="4"/>
  <c r="Y143" i="9"/>
  <c r="C105" i="4"/>
  <c r="O142" i="9"/>
  <c r="E136" i="7"/>
  <c r="I123" i="4"/>
  <c r="G85" i="9"/>
  <c r="D74" i="4"/>
  <c r="F60" i="9"/>
  <c r="F56" i="7"/>
  <c r="I70"/>
  <c r="Q120" i="9"/>
  <c r="K171" i="4"/>
  <c r="B138" i="2"/>
  <c r="E84" i="9"/>
  <c r="Z134"/>
  <c r="H79"/>
  <c r="E151" i="7"/>
  <c r="R119" i="9"/>
  <c r="O60" i="2"/>
  <c r="O82"/>
  <c r="M112" i="7"/>
  <c r="C114" i="2"/>
  <c r="I111" i="4"/>
  <c r="L74"/>
  <c r="L119"/>
  <c r="D92"/>
  <c r="D150" i="7"/>
  <c r="J167" i="4"/>
  <c r="G52" i="7"/>
  <c r="K72" i="4"/>
  <c r="C104" i="9"/>
  <c r="N135" i="2"/>
  <c r="D158"/>
  <c r="Z57" i="9"/>
  <c r="H113" i="4"/>
  <c r="G134"/>
  <c r="M73" i="7"/>
  <c r="H77" i="4"/>
  <c r="D62" i="7"/>
  <c r="M125" i="2"/>
  <c r="U135" i="9"/>
  <c r="W41"/>
  <c r="B170" i="4"/>
  <c r="D69"/>
  <c r="W75" i="9"/>
  <c r="V83"/>
  <c r="D98"/>
  <c r="X104"/>
  <c r="Z98"/>
  <c r="D113" i="2"/>
  <c r="L140" i="9"/>
  <c r="E157" i="2"/>
  <c r="C86"/>
  <c r="E105"/>
  <c r="D148"/>
  <c r="H109" i="4"/>
  <c r="N148" i="9"/>
  <c r="N74" i="2"/>
  <c r="K94" i="4"/>
  <c r="I3" i="7"/>
  <c r="Q129" i="9"/>
  <c r="W106"/>
  <c r="N89"/>
  <c r="P170" i="2"/>
  <c r="D137" i="7"/>
  <c r="Z108" i="9"/>
  <c r="M112"/>
  <c r="F156" i="4"/>
  <c r="M109" i="7"/>
  <c r="H82" i="2"/>
  <c r="D131" i="4"/>
  <c r="J133"/>
  <c r="I153"/>
  <c r="H94" i="7"/>
  <c r="E79" i="9"/>
  <c r="P108" i="2"/>
  <c r="B84" i="7"/>
  <c r="M101" i="2"/>
  <c r="J90" i="9"/>
  <c r="H59"/>
  <c r="Z125"/>
  <c r="P41"/>
  <c r="B79" i="7"/>
  <c r="Q80" i="9"/>
  <c r="C64"/>
  <c r="J97"/>
  <c r="M145" i="2"/>
  <c r="B82" i="4"/>
  <c r="E115"/>
  <c r="I127"/>
  <c r="G101" i="7"/>
  <c r="N145" i="2"/>
  <c r="V109" i="9"/>
  <c r="I128"/>
  <c r="R146"/>
  <c r="N74"/>
  <c r="E105" i="7"/>
  <c r="P98" i="9"/>
  <c r="K132" i="7"/>
  <c r="X92" i="9"/>
  <c r="G93"/>
  <c r="G35"/>
  <c r="F142" i="7"/>
  <c r="S92" i="9"/>
  <c r="D73"/>
  <c r="Y38"/>
  <c r="B119"/>
  <c r="Y154"/>
  <c r="B146" i="4"/>
  <c r="M154"/>
  <c r="C159" i="7"/>
  <c r="F116" i="2"/>
  <c r="W114" i="9"/>
  <c r="B111" i="4"/>
  <c r="O145" i="9"/>
  <c r="M77" i="4"/>
  <c r="G116" i="7"/>
  <c r="J157" i="9"/>
  <c r="B61" i="4"/>
  <c r="C141" i="2"/>
  <c r="G113"/>
  <c r="M135"/>
  <c r="S82" i="9"/>
  <c r="M126"/>
  <c r="G117" i="2"/>
  <c r="H138"/>
  <c r="L59"/>
  <c r="F86" i="7"/>
  <c r="E3" i="9"/>
  <c r="D127" i="2"/>
  <c r="D77" i="9"/>
  <c r="E110" i="4"/>
  <c r="K117"/>
  <c r="B68" i="9"/>
  <c r="E79" i="4"/>
  <c r="T73" i="9"/>
  <c r="T50"/>
  <c r="E157" i="4"/>
  <c r="E70" i="9"/>
  <c r="L121" i="4"/>
  <c r="L79" i="9"/>
  <c r="E141" i="2"/>
  <c r="H75" i="7"/>
  <c r="F135" i="9"/>
  <c r="W152"/>
  <c r="C116" i="2"/>
  <c r="H82" i="4"/>
  <c r="Z34" i="9"/>
  <c r="E89" i="7"/>
  <c r="N150" i="9"/>
  <c r="E30"/>
  <c r="C126" i="4"/>
  <c r="S141" i="9"/>
  <c r="D141"/>
  <c r="F35"/>
  <c r="X59"/>
  <c r="S97"/>
  <c r="G125" i="4"/>
  <c r="M132" i="7"/>
  <c r="S80" i="9"/>
  <c r="M70" i="2"/>
  <c r="Y134" i="9"/>
  <c r="K116" i="4"/>
  <c r="J105"/>
  <c r="C44" i="9"/>
  <c r="G117" i="4"/>
  <c r="I134"/>
  <c r="P82" i="2"/>
  <c r="J65" i="9"/>
  <c r="I126"/>
  <c r="O58" i="2"/>
  <c r="L80" i="7"/>
  <c r="E56"/>
  <c r="D110" i="2"/>
  <c r="I77" i="7"/>
  <c r="G105"/>
  <c r="U127" i="9"/>
  <c r="F90"/>
  <c r="L111" i="4"/>
  <c r="E64" i="9"/>
  <c r="L120" i="2"/>
  <c r="G168"/>
  <c r="F65" i="9"/>
  <c r="B159" i="4"/>
  <c r="G105" i="9"/>
  <c r="L155"/>
  <c r="W141"/>
  <c r="I84" i="7"/>
  <c r="L87" i="4"/>
  <c r="E144" i="2"/>
  <c r="T104" i="9"/>
  <c r="G133" i="2"/>
  <c r="S113" i="9"/>
  <c r="B134" i="4"/>
  <c r="E170"/>
  <c r="O110" i="9"/>
  <c r="F153" i="4"/>
  <c r="D116"/>
  <c r="D3"/>
  <c r="J78"/>
  <c r="F127" i="7"/>
  <c r="N55" i="2"/>
  <c r="E103" i="4"/>
  <c r="X80" i="9"/>
  <c r="H98" i="7"/>
  <c r="B137" i="2"/>
  <c r="N85" i="9"/>
  <c r="P158"/>
  <c r="N108" i="2"/>
  <c r="N93" i="9"/>
  <c r="R78"/>
  <c r="O61"/>
  <c r="I83"/>
  <c r="W122"/>
  <c r="M96" i="7"/>
  <c r="B142" i="4"/>
  <c r="J147" i="9"/>
  <c r="E76" i="2"/>
  <c r="M138" i="9"/>
  <c r="M97" i="2"/>
  <c r="S156" i="9"/>
  <c r="F74" i="7"/>
  <c r="G141" i="9"/>
  <c r="O95" i="2"/>
  <c r="Z65" i="9"/>
  <c r="B127" i="4"/>
  <c r="M43" i="9"/>
  <c r="F61"/>
  <c r="M101" i="4"/>
  <c r="X147" i="9"/>
  <c r="I149"/>
  <c r="B134" i="2"/>
  <c r="K123" i="4"/>
  <c r="T116" i="9"/>
  <c r="G129" i="2"/>
  <c r="B61"/>
  <c r="F107"/>
  <c r="J126" i="7"/>
  <c r="I137"/>
  <c r="E87" i="4"/>
  <c r="M131" i="2"/>
  <c r="D144" i="7"/>
  <c r="G131" i="9"/>
  <c r="M135"/>
  <c r="N100" i="2"/>
  <c r="E146" i="9"/>
  <c r="S154"/>
  <c r="J76" i="4"/>
  <c r="G165"/>
  <c r="F70" i="7"/>
  <c r="J87" i="9"/>
  <c r="I66" i="4"/>
  <c r="F156" i="9"/>
  <c r="F119" i="4"/>
  <c r="O106" i="9"/>
  <c r="C112" i="4"/>
  <c r="G88"/>
  <c r="F100" i="2"/>
  <c r="F147"/>
  <c r="C145" i="7"/>
  <c r="X145" i="9"/>
  <c r="E70" i="2"/>
  <c r="J168" i="4"/>
  <c r="O127" i="2"/>
  <c r="I106" i="7"/>
  <c r="I142" i="9"/>
  <c r="C164" i="4"/>
  <c r="M74" i="7"/>
  <c r="Y100" i="9"/>
  <c r="F148" i="7"/>
  <c r="S57" i="9"/>
  <c r="G77" i="2"/>
  <c r="N89"/>
  <c r="L46" i="7"/>
  <c r="G58" i="9"/>
  <c r="J106" i="7"/>
  <c r="P108" i="9"/>
  <c r="X126"/>
  <c r="Y152"/>
  <c r="B95"/>
  <c r="F128"/>
  <c r="M76"/>
  <c r="G147" i="4"/>
  <c r="K155" i="7"/>
  <c r="C161" i="2"/>
  <c r="C138" i="7"/>
  <c r="E109" i="4"/>
  <c r="G120" i="9"/>
  <c r="D99" i="4"/>
  <c r="E106" i="2"/>
  <c r="K108" i="4"/>
  <c r="J112"/>
  <c r="E124"/>
  <c r="D84"/>
  <c r="D142" i="9"/>
  <c r="X67"/>
  <c r="B13" i="10"/>
  <c r="N120" i="2"/>
  <c r="E122" i="4"/>
  <c r="B139" i="9"/>
  <c r="H151"/>
  <c r="D131" i="7"/>
  <c r="M42" i="2"/>
  <c r="R125" i="9"/>
  <c r="I64" i="7"/>
  <c r="B147" i="9"/>
  <c r="B151" i="7"/>
  <c r="L128" i="9"/>
  <c r="R128"/>
  <c r="R115"/>
  <c r="C128" i="4"/>
  <c r="H138" i="7"/>
  <c r="X107" i="9"/>
  <c r="J154"/>
  <c r="B133" i="4"/>
  <c r="B107" i="2"/>
  <c r="L155" i="7"/>
  <c r="C118" i="2"/>
  <c r="I49" i="9"/>
  <c r="W62"/>
  <c r="P105" i="2"/>
  <c r="S93" i="9"/>
  <c r="J51"/>
  <c r="T134"/>
  <c r="P34" i="2"/>
  <c r="D154" i="9"/>
  <c r="F123" i="7"/>
  <c r="L62" i="9"/>
  <c r="J115" i="4"/>
  <c r="D149"/>
  <c r="W117" i="9"/>
  <c r="M84" i="2"/>
  <c r="L91" i="9"/>
  <c r="K139" i="4"/>
  <c r="F164"/>
  <c r="W90" i="9"/>
  <c r="K51" i="4"/>
  <c r="D138" i="9"/>
  <c r="M59" i="2"/>
  <c r="H110"/>
  <c r="H70" i="9"/>
  <c r="O88" i="2"/>
  <c r="L69" i="7"/>
  <c r="M131" i="9"/>
  <c r="P127"/>
  <c r="J73" i="4"/>
  <c r="U144" i="9"/>
  <c r="H63"/>
  <c r="Z70"/>
  <c r="C101" i="7"/>
  <c r="F115"/>
  <c r="O69" i="9"/>
  <c r="C160" i="2"/>
  <c r="L113" i="9"/>
  <c r="K114" i="7"/>
  <c r="U116" i="9"/>
  <c r="L152" i="7"/>
  <c r="C77"/>
  <c r="N95" i="2"/>
  <c r="W59" i="9"/>
  <c r="P146"/>
  <c r="D119" i="7"/>
  <c r="D111" i="9"/>
  <c r="D113"/>
  <c r="E111"/>
  <c r="G157"/>
  <c r="K109" i="4"/>
  <c r="C77" i="9"/>
  <c r="D130" i="7"/>
  <c r="H76" i="9"/>
  <c r="F138"/>
  <c r="Q78"/>
  <c r="P61"/>
  <c r="Z145"/>
  <c r="D146"/>
  <c r="E147" i="2"/>
  <c r="Q117" i="9"/>
  <c r="D68"/>
  <c r="G116" i="4"/>
  <c r="Z85" i="9"/>
  <c r="G157" i="7"/>
  <c r="E88"/>
  <c r="H64" i="4"/>
  <c r="D56" i="2"/>
  <c r="R64" i="9"/>
  <c r="M131" i="4"/>
  <c r="M146" i="2"/>
  <c r="G87"/>
  <c r="I89" i="4"/>
  <c r="G132" i="9"/>
  <c r="Z131"/>
  <c r="C156" i="2"/>
  <c r="T98" i="9"/>
  <c r="D35"/>
  <c r="E135" i="4"/>
  <c r="Q100" i="9"/>
  <c r="M124" i="7"/>
  <c r="H104"/>
  <c r="H126" i="4"/>
  <c r="D103" i="7"/>
  <c r="F123" i="4"/>
  <c r="H86"/>
  <c r="M119"/>
  <c r="L157" i="9"/>
  <c r="L121" i="7"/>
  <c r="B80" i="2"/>
  <c r="M161"/>
  <c r="Z97" i="9"/>
  <c r="B121" i="4"/>
  <c r="Y94" i="9"/>
  <c r="F108" i="7"/>
  <c r="J86" i="9"/>
  <c r="B159"/>
  <c r="D101" i="4"/>
  <c r="E134"/>
  <c r="B93" i="2"/>
  <c r="G139" i="9"/>
  <c r="G148" i="2"/>
  <c r="H160" i="4"/>
  <c r="C123" i="9"/>
  <c r="E159" i="4"/>
  <c r="P118" i="9"/>
  <c r="C114" i="4"/>
  <c r="C55" i="2"/>
  <c r="Y68" i="9"/>
  <c r="Z106"/>
  <c r="F150" i="2"/>
  <c r="N99"/>
  <c r="O163"/>
  <c r="M115" i="7"/>
  <c r="C128" i="9"/>
  <c r="N129" i="2"/>
  <c r="G92"/>
  <c r="K164" i="4"/>
  <c r="L61"/>
  <c r="B137" i="9"/>
  <c r="X156"/>
  <c r="C144" i="7"/>
  <c r="K61" i="4"/>
  <c r="I109" i="9"/>
  <c r="G93" i="7"/>
  <c r="F161" i="4"/>
  <c r="C97" i="2"/>
  <c r="U53" i="9"/>
  <c r="F121" i="4"/>
  <c r="U79" i="9"/>
  <c r="I3"/>
  <c r="I68" i="4"/>
  <c r="H128" i="9"/>
  <c r="J55"/>
  <c r="E155" i="7"/>
  <c r="J95" i="4"/>
  <c r="X137" i="9"/>
  <c r="E109" i="7"/>
  <c r="X54" i="9"/>
  <c r="N72" i="2"/>
  <c r="H60" i="9"/>
  <c r="R73"/>
  <c r="E52"/>
  <c r="X146"/>
  <c r="M115" i="2"/>
  <c r="M110"/>
  <c r="E132" i="9"/>
  <c r="C54" i="2"/>
  <c r="J117" i="4"/>
  <c r="Q127" i="9"/>
  <c r="G158" i="7"/>
  <c r="M113" i="4"/>
  <c r="R152" i="9"/>
  <c r="G37"/>
  <c r="R77"/>
  <c r="N110" i="2"/>
  <c r="C142" i="4"/>
  <c r="M100"/>
  <c r="L83" i="2"/>
  <c r="C141" i="9"/>
  <c r="K85" i="4"/>
  <c r="X148" i="9"/>
  <c r="D102" i="2"/>
  <c r="L134" i="4"/>
  <c r="E156" i="9"/>
  <c r="I106" i="4"/>
  <c r="M82"/>
  <c r="Y113" i="9"/>
  <c r="I146"/>
  <c r="F31"/>
  <c r="F110" i="4"/>
  <c r="J155"/>
  <c r="I162"/>
  <c r="E141" i="7"/>
  <c r="D72" i="2"/>
  <c r="M77" i="7"/>
  <c r="I135" i="9"/>
  <c r="F128" i="2"/>
  <c r="K50" i="4"/>
  <c r="B162" i="2"/>
  <c r="L117"/>
  <c r="F92" i="4"/>
  <c r="M157"/>
  <c r="W57" i="9"/>
  <c r="S120"/>
  <c r="J163" i="4"/>
  <c r="M152" i="2"/>
  <c r="H148" i="9"/>
  <c r="E91" i="2"/>
  <c r="H123"/>
  <c r="N113"/>
  <c r="F134" i="9"/>
  <c r="M170" i="4"/>
  <c r="R127" i="9"/>
  <c r="I138" i="4"/>
  <c r="B157" i="9"/>
  <c r="E136"/>
  <c r="I142" i="7"/>
  <c r="M126" i="2"/>
  <c r="B116" i="7"/>
  <c r="E109" i="9"/>
  <c r="O37"/>
  <c r="B61"/>
  <c r="H96" i="4"/>
  <c r="D59" i="7"/>
  <c r="D107"/>
  <c r="L135" i="4"/>
  <c r="N47" i="9"/>
  <c r="O55" i="2"/>
  <c r="V121" i="9"/>
  <c r="Y149"/>
  <c r="B86" i="4"/>
  <c r="C132" i="7"/>
  <c r="J139" i="4"/>
  <c r="D144" i="9"/>
  <c r="J85"/>
  <c r="W70"/>
  <c r="D45" i="2"/>
  <c r="H168"/>
  <c r="J143" i="9"/>
  <c r="W91"/>
  <c r="N65"/>
  <c r="X65"/>
  <c r="I164" i="4"/>
  <c r="C103" i="9"/>
  <c r="R147"/>
  <c r="L138" i="4"/>
  <c r="Q96" i="9"/>
  <c r="J107" i="7"/>
  <c r="D124" i="2"/>
  <c r="I125" i="7"/>
  <c r="G99"/>
  <c r="Z155" i="9"/>
  <c r="I160" i="4"/>
  <c r="E99" i="9"/>
  <c r="D157" i="4"/>
  <c r="C147" i="2"/>
  <c r="E169" i="4"/>
  <c r="Q85" i="9"/>
  <c r="R101"/>
  <c r="C118"/>
  <c r="F114"/>
  <c r="C154" i="4"/>
  <c r="V69" i="9"/>
  <c r="E136" i="4"/>
  <c r="F133" i="7"/>
  <c r="O96" i="2"/>
  <c r="T132" i="9"/>
  <c r="G53" i="4"/>
  <c r="S122" i="9"/>
  <c r="V153"/>
  <c r="Q107"/>
  <c r="M107" i="7"/>
  <c r="G148" i="9"/>
  <c r="V86"/>
  <c r="P97" i="2"/>
  <c r="M81" i="4"/>
  <c r="B127" i="9"/>
  <c r="H105" i="4"/>
  <c r="B110" i="9"/>
  <c r="H131" i="4"/>
  <c r="T138" i="9"/>
  <c r="I53"/>
  <c r="O133"/>
  <c r="C71"/>
  <c r="B103" i="4"/>
  <c r="M141" i="9"/>
  <c r="C78" i="4"/>
  <c r="H83"/>
  <c r="H138" i="9"/>
  <c r="I80" i="7"/>
  <c r="K111" i="4"/>
  <c r="O77" i="9"/>
  <c r="V133"/>
  <c r="S144"/>
  <c r="C61"/>
  <c r="H154" i="7"/>
  <c r="L40" i="9"/>
  <c r="F92" i="2"/>
  <c r="G111"/>
  <c r="C56"/>
  <c r="H156" i="7"/>
  <c r="E144" i="4"/>
  <c r="K112" i="7"/>
  <c r="T157" i="9"/>
  <c r="G78"/>
  <c r="V82"/>
  <c r="B50" i="4"/>
  <c r="H153"/>
  <c r="E131" i="2"/>
  <c r="K97" i="9"/>
  <c r="L92"/>
  <c r="D110"/>
  <c r="C154"/>
  <c r="K82" i="7"/>
  <c r="N156" i="2"/>
  <c r="J93" i="9"/>
  <c r="L125"/>
  <c r="M99" i="4"/>
  <c r="H163"/>
  <c r="I67"/>
  <c r="D160"/>
  <c r="E69" i="9"/>
  <c r="Y53"/>
  <c r="N153" i="2"/>
  <c r="J109" i="4"/>
  <c r="E150" i="2"/>
  <c r="M43"/>
  <c r="S59" i="9"/>
  <c r="G118" i="4"/>
  <c r="G111"/>
  <c r="G68" i="9"/>
  <c r="C91"/>
  <c r="H167" i="4"/>
  <c r="B147"/>
  <c r="E104"/>
  <c r="F133" i="2"/>
  <c r="K118" i="7"/>
  <c r="F153" i="2"/>
  <c r="W74" i="9"/>
  <c r="V78"/>
  <c r="M158"/>
  <c r="K158" i="4"/>
  <c r="J117" i="9"/>
  <c r="P123" i="2"/>
  <c r="C75" i="7"/>
  <c r="P137" i="9"/>
  <c r="K68" i="4"/>
  <c r="J127"/>
  <c r="O136" i="9"/>
  <c r="K47"/>
  <c r="Z91"/>
  <c r="M153" i="2"/>
  <c r="I112" i="9"/>
  <c r="J97" i="4"/>
  <c r="I113" i="7"/>
  <c r="D128" i="2"/>
  <c r="B104" i="9"/>
  <c r="H80" i="2"/>
  <c r="D77"/>
  <c r="F55" i="9"/>
  <c r="B167" i="2"/>
  <c r="K90" i="7"/>
  <c r="X100" i="9"/>
  <c r="T60"/>
  <c r="G150" i="4"/>
  <c r="I113" i="9"/>
  <c r="B110" i="4"/>
  <c r="P142" i="2"/>
  <c r="C153" i="9"/>
  <c r="G120" i="4"/>
  <c r="D143" i="9"/>
  <c r="G149"/>
  <c r="G135" i="2"/>
  <c r="U94" i="9"/>
  <c r="C156" i="7"/>
  <c r="H55" i="2"/>
  <c r="L68"/>
  <c r="F67" i="4"/>
  <c r="O123" i="9"/>
  <c r="U156"/>
  <c r="P146" i="2"/>
  <c r="S118" i="9"/>
  <c r="G80" i="4"/>
  <c r="E124" i="2"/>
  <c r="W80" i="9"/>
  <c r="Z59"/>
  <c r="H97" i="2"/>
  <c r="O156"/>
  <c r="D121" i="4"/>
  <c r="L41" i="9"/>
  <c r="I85" i="4"/>
  <c r="L82" i="9"/>
  <c r="K88" i="4"/>
  <c r="F74" i="2"/>
  <c r="M136" i="4"/>
  <c r="H109" i="7"/>
  <c r="C52" i="2"/>
  <c r="G70" i="9"/>
  <c r="E167" i="2"/>
  <c r="N79" i="9"/>
  <c r="V111"/>
  <c r="I85"/>
  <c r="T97"/>
  <c r="M124"/>
  <c r="L89" i="4"/>
  <c r="H82" i="7"/>
  <c r="I158" i="4"/>
  <c r="N123" i="2"/>
  <c r="E56" i="4"/>
  <c r="L69" i="2"/>
  <c r="P96" i="9"/>
  <c r="G147" i="2"/>
  <c r="O61"/>
  <c r="B161"/>
  <c r="F34" i="9"/>
  <c r="D156" i="7"/>
  <c r="Z53" i="9"/>
  <c r="X109"/>
  <c r="H135" i="4"/>
  <c r="I56"/>
  <c r="L90" i="9"/>
  <c r="D121" i="7"/>
  <c r="O128" i="2"/>
  <c r="L71" i="9"/>
  <c r="F168" i="2"/>
  <c r="R123" i="9"/>
  <c r="F120" i="2"/>
  <c r="L50" i="9"/>
  <c r="C152" i="2"/>
  <c r="E76" i="9"/>
  <c r="X24"/>
  <c r="D38"/>
  <c r="O86" i="2"/>
  <c r="F84" i="4"/>
  <c r="P137" i="2"/>
  <c r="D134" i="4"/>
  <c r="C122" i="7"/>
  <c r="O144" i="2"/>
  <c r="B56"/>
  <c r="J130" i="7"/>
  <c r="D161" i="4"/>
  <c r="L86"/>
  <c r="N157" i="9"/>
  <c r="K146" i="4"/>
  <c r="M153"/>
  <c r="B67" i="9"/>
  <c r="K95" i="7"/>
  <c r="C95" i="9"/>
  <c r="B123"/>
  <c r="K113" i="7"/>
  <c r="O50" i="9"/>
  <c r="I100" i="7"/>
  <c r="I121"/>
  <c r="C57" i="2"/>
  <c r="M108" i="7"/>
  <c r="J115"/>
  <c r="L93" i="2"/>
  <c r="M145" i="4"/>
  <c r="S85" i="9"/>
  <c r="E95" i="4"/>
  <c r="P32" i="9"/>
  <c r="M154"/>
  <c r="Z38"/>
  <c r="L148" i="4"/>
  <c r="D82" i="2"/>
  <c r="I140" i="7"/>
  <c r="B123" i="2"/>
  <c r="T142" i="9"/>
  <c r="E153" i="4"/>
  <c r="M100" i="7"/>
  <c r="J114" i="4"/>
  <c r="B95" i="7"/>
  <c r="T156" i="9"/>
  <c r="H151" i="7"/>
  <c r="X42" i="9"/>
  <c r="G108" i="7"/>
  <c r="Z48" i="9"/>
  <c r="K130" i="4"/>
  <c r="H153" i="9"/>
  <c r="F65" i="7"/>
  <c r="Z66" i="9"/>
  <c r="M106"/>
  <c r="R65"/>
  <c r="M105"/>
  <c r="M111" i="4"/>
  <c r="B101" i="7"/>
  <c r="N62" i="9"/>
  <c r="I65"/>
  <c r="H65" i="2"/>
  <c r="H113"/>
  <c r="V147" i="9"/>
  <c r="I89"/>
  <c r="B74"/>
  <c r="B149"/>
  <c r="H142"/>
  <c r="X142"/>
  <c r="E139" i="2"/>
  <c r="M157"/>
  <c r="I86" i="9"/>
  <c r="L145" i="4"/>
  <c r="L149" i="9"/>
  <c r="K141"/>
  <c r="K101" i="7"/>
  <c r="L122" i="4"/>
  <c r="U34" i="9"/>
  <c r="M62" i="7"/>
  <c r="J169" i="4"/>
  <c r="E100" i="9"/>
  <c r="E67" i="2"/>
  <c r="G26" i="9"/>
  <c r="G101" i="2"/>
  <c r="U130" i="9"/>
  <c r="E54" i="4"/>
  <c r="M166" i="2"/>
  <c r="G57" i="9"/>
  <c r="E133" i="2"/>
  <c r="E119" i="7"/>
  <c r="E165" i="2"/>
  <c r="H119" i="9"/>
  <c r="L138" i="2"/>
  <c r="D123" i="7"/>
  <c r="Y142" i="9"/>
  <c r="M102" i="4"/>
  <c r="D126" i="9"/>
  <c r="F120"/>
  <c r="D107" i="2"/>
  <c r="P72"/>
  <c r="D165" i="4"/>
  <c r="C116"/>
  <c r="C101"/>
  <c r="L157" i="7"/>
  <c r="F57" i="2"/>
  <c r="W89" i="9"/>
  <c r="B140"/>
  <c r="I138" i="7"/>
  <c r="B127" i="2"/>
  <c r="J132" i="7"/>
  <c r="F145" i="2"/>
  <c r="X140" i="9"/>
  <c r="I122"/>
  <c r="J48" i="7"/>
  <c r="F157" i="9"/>
  <c r="M72" i="7"/>
  <c r="J155" i="9"/>
  <c r="G114" i="7"/>
  <c r="L102" i="4"/>
  <c r="G152"/>
  <c r="N112" i="9"/>
  <c r="C146" i="4"/>
  <c r="W93" i="9"/>
  <c r="Z120"/>
  <c r="N105"/>
  <c r="D149"/>
  <c r="B132" i="7"/>
  <c r="L151" i="4"/>
  <c r="O93" i="9"/>
  <c r="T94"/>
  <c r="K87"/>
  <c r="B120" i="7"/>
  <c r="K138" i="4"/>
  <c r="M87"/>
  <c r="Z45" i="9"/>
  <c r="L65" i="7"/>
  <c r="M132" i="2"/>
  <c r="V150" i="9"/>
  <c r="G82" i="2"/>
  <c r="F149" i="4"/>
  <c r="L85"/>
  <c r="T88" i="9"/>
  <c r="R76"/>
  <c r="G158" i="4"/>
  <c r="F107" i="9"/>
  <c r="M113" i="7"/>
  <c r="V123" i="9"/>
  <c r="E87" i="7"/>
  <c r="U73" i="9"/>
  <c r="M66"/>
  <c r="M149" i="2"/>
  <c r="X141" i="9"/>
  <c r="M107" i="2"/>
  <c r="F72" i="9"/>
  <c r="J64"/>
  <c r="X120"/>
  <c r="L121" i="2"/>
  <c r="H158" i="9"/>
  <c r="L104" i="4"/>
  <c r="H159"/>
  <c r="J137"/>
  <c r="S125" i="9"/>
  <c r="B44"/>
  <c r="D158" i="4"/>
  <c r="B73" i="7"/>
  <c r="J133" i="9"/>
  <c r="M155" i="2"/>
  <c r="P123" i="9"/>
  <c r="G111" i="7"/>
  <c r="P153" i="9"/>
  <c r="G59" i="7"/>
  <c r="E125" i="9"/>
  <c r="B73"/>
  <c r="E102"/>
  <c r="D59" i="4"/>
  <c r="K121" i="9"/>
  <c r="H80"/>
  <c r="W108"/>
  <c r="B130" i="7"/>
  <c r="I78"/>
  <c r="P55" i="2"/>
  <c r="M164"/>
  <c r="K120" i="9"/>
  <c r="F130" i="2"/>
  <c r="D131" i="9"/>
  <c r="F150"/>
  <c r="D50" i="2"/>
  <c r="I92" i="4"/>
  <c r="C137" i="7"/>
  <c r="T87" i="9"/>
  <c r="O122" i="2"/>
  <c r="H46" i="9"/>
  <c r="Q94"/>
  <c r="C96"/>
  <c r="H133" i="7"/>
  <c r="B157"/>
  <c r="X152" i="9"/>
  <c r="J156"/>
  <c r="L123" i="4"/>
  <c r="G101"/>
  <c r="G104" i="7"/>
  <c r="W71" i="9"/>
  <c r="U133"/>
  <c r="K112" i="4"/>
  <c r="L119" i="2"/>
  <c r="O104"/>
  <c r="U106" i="9"/>
  <c r="G61" i="2"/>
  <c r="M152" i="4"/>
  <c r="F3" i="2"/>
  <c r="M106" i="4"/>
  <c r="H65" i="7"/>
  <c r="B99"/>
  <c r="J159" i="9"/>
  <c r="E137" i="2"/>
  <c r="G89" i="4"/>
  <c r="M145" i="7"/>
  <c r="C114"/>
  <c r="G149" i="4"/>
  <c r="N161" i="2"/>
  <c r="J141" i="9"/>
  <c r="M138" i="4"/>
  <c r="I104"/>
  <c r="O127" i="9"/>
  <c r="D167" i="4"/>
  <c r="L149"/>
  <c r="M116" i="9"/>
  <c r="E66"/>
  <c r="B145" i="7"/>
  <c r="G57" i="4"/>
  <c r="H97" i="9"/>
  <c r="V93"/>
  <c r="G119" i="2"/>
  <c r="V98" i="9"/>
  <c r="I93" i="4"/>
  <c r="C163" i="2"/>
  <c r="K87" i="4"/>
  <c r="E69"/>
  <c r="S108" i="9"/>
  <c r="L81" i="2"/>
  <c r="M95" i="4"/>
  <c r="N168" i="2"/>
  <c r="D140" i="4"/>
  <c r="B115" i="9"/>
  <c r="O71"/>
  <c r="M125" i="7"/>
  <c r="P71" i="2"/>
  <c r="E66" i="4"/>
  <c r="G162" i="2"/>
  <c r="Y67" i="9"/>
  <c r="K109" i="7"/>
  <c r="Z60" i="9"/>
  <c r="P156"/>
  <c r="C119" i="2"/>
  <c r="H120" i="7"/>
  <c r="M146"/>
  <c r="I166" i="4"/>
  <c r="W130" i="9"/>
  <c r="J142" i="4"/>
  <c r="I103" i="9"/>
  <c r="B15" i="10"/>
  <c r="E136" i="2"/>
  <c r="N133"/>
  <c r="U98" i="9"/>
  <c r="G76" i="7"/>
  <c r="B102" i="9"/>
  <c r="M78"/>
  <c r="M112" i="2"/>
  <c r="H129"/>
  <c r="H95" i="7"/>
  <c r="M84"/>
  <c r="E171" i="2"/>
  <c r="U92" i="9"/>
  <c r="L111" i="2"/>
  <c r="J156" i="4"/>
  <c r="C137" i="9"/>
  <c r="E103" i="2"/>
  <c r="H118" i="7"/>
  <c r="D112"/>
  <c r="I86" i="4"/>
  <c r="N99" i="9"/>
  <c r="G50"/>
  <c r="X115"/>
  <c r="L77"/>
  <c r="O100" i="2"/>
  <c r="F136"/>
  <c r="T78" i="9"/>
  <c r="B95" i="2"/>
  <c r="J88" i="9"/>
  <c r="L43"/>
  <c r="G169" i="4"/>
  <c r="H103" i="9"/>
  <c r="V149"/>
  <c r="W138"/>
  <c r="L115" i="2"/>
  <c r="D125"/>
  <c r="K97" i="7"/>
  <c r="L96" i="4"/>
  <c r="K122" i="9"/>
  <c r="I150" i="7"/>
  <c r="H91" i="9"/>
  <c r="Y150"/>
  <c r="D70" i="7"/>
  <c r="E159" i="9"/>
  <c r="U77"/>
  <c r="M117" i="7"/>
  <c r="K119" i="4"/>
  <c r="N108" i="9"/>
  <c r="G56" i="4"/>
  <c r="L126"/>
  <c r="I147" i="9"/>
  <c r="S75"/>
  <c r="V75"/>
  <c r="P128"/>
  <c r="G137"/>
  <c r="G162" i="4"/>
  <c r="H150"/>
  <c r="P88" i="9"/>
  <c r="Z137"/>
  <c r="P64" i="2"/>
  <c r="D96" i="9"/>
  <c r="E58" i="2"/>
  <c r="E100" i="4"/>
  <c r="J92"/>
  <c r="I114" i="7"/>
  <c r="I154" i="9"/>
  <c r="K142"/>
  <c r="K65" i="4"/>
  <c r="F137" i="9"/>
  <c r="M129" i="2"/>
  <c r="E94" i="9"/>
  <c r="F122" i="7"/>
  <c r="K63" i="9"/>
  <c r="H142" i="4"/>
  <c r="G124" i="7"/>
  <c r="F132" i="2"/>
  <c r="G152" i="9"/>
  <c r="H119" i="4"/>
  <c r="B60"/>
  <c r="O75" i="9"/>
  <c r="Y99"/>
  <c r="L92" i="2"/>
  <c r="F98" i="7"/>
  <c r="B88" i="2"/>
  <c r="C155"/>
  <c r="L105" i="7"/>
  <c r="E143" i="4"/>
  <c r="T149" i="9"/>
  <c r="B142"/>
  <c r="J96"/>
  <c r="N166" i="2"/>
  <c r="B112" i="9"/>
  <c r="I95" i="4"/>
  <c r="C96"/>
  <c r="K88" i="7"/>
  <c r="B159" i="2"/>
  <c r="J108" i="7"/>
  <c r="C141" i="4"/>
  <c r="T150" i="9"/>
  <c r="L63"/>
  <c r="O98"/>
  <c r="C140"/>
  <c r="J84"/>
  <c r="G131" i="7"/>
  <c r="C79"/>
  <c r="D58" i="4"/>
  <c r="U134" i="9"/>
  <c r="M129"/>
  <c r="L94" i="7"/>
  <c r="H157"/>
  <c r="D120"/>
  <c r="C123" i="2"/>
  <c r="L62" i="4"/>
  <c r="L147" i="9"/>
  <c r="M157"/>
  <c r="C108" i="4"/>
  <c r="X144" i="9"/>
  <c r="H110"/>
  <c r="F134" i="2"/>
  <c r="D37" i="9"/>
  <c r="G163" i="2"/>
  <c r="F124" i="4"/>
  <c r="M76" i="7"/>
  <c r="Y95" i="9"/>
  <c r="E125" i="2"/>
  <c r="K105" i="4"/>
  <c r="M91"/>
  <c r="F111" i="9"/>
  <c r="X79"/>
  <c r="C91" i="2"/>
  <c r="J109" i="7"/>
  <c r="D94" i="4"/>
  <c r="E123"/>
  <c r="O103" i="9"/>
  <c r="W131"/>
  <c r="J140" i="4"/>
  <c r="E93" i="2"/>
  <c r="M118" i="4"/>
  <c r="H150" i="9"/>
  <c r="H111" i="2"/>
  <c r="L126" i="7"/>
  <c r="H50"/>
  <c r="L107" i="4"/>
  <c r="M22" i="9"/>
  <c r="R143"/>
  <c r="D133" i="4"/>
  <c r="L135" i="9"/>
  <c r="B135" i="2"/>
  <c r="K149" i="7"/>
  <c r="G143" i="9"/>
  <c r="M49" i="2"/>
  <c r="P133" i="9"/>
  <c r="G132" i="7"/>
  <c r="M159" i="2"/>
  <c r="B120"/>
  <c r="C159" i="9"/>
  <c r="I76"/>
  <c r="G119" i="7"/>
  <c r="V126" i="9"/>
  <c r="F109"/>
  <c r="L162" i="2"/>
  <c r="S148" i="9"/>
  <c r="Q3"/>
  <c r="M46"/>
  <c r="M81" i="7"/>
  <c r="I113" i="4"/>
  <c r="V99" i="9"/>
  <c r="N43"/>
  <c r="C146"/>
  <c r="Z104"/>
  <c r="D119" i="4"/>
  <c r="H99" i="7"/>
  <c r="X64" i="9"/>
  <c r="O139"/>
  <c r="Q59"/>
  <c r="G82"/>
  <c r="H58" i="7"/>
  <c r="E43" i="9"/>
  <c r="J114"/>
  <c r="H73"/>
  <c r="N149"/>
  <c r="M68"/>
  <c r="B110" i="7"/>
  <c r="K117"/>
  <c r="L57" i="4"/>
  <c r="L159" i="9"/>
  <c r="V107"/>
  <c r="N155" i="2"/>
  <c r="O137"/>
  <c r="V101" i="9"/>
  <c r="I74" i="7"/>
  <c r="L168" i="2"/>
  <c r="B109" i="9"/>
  <c r="P81"/>
  <c r="R153"/>
  <c r="J72" i="4"/>
  <c r="D79"/>
  <c r="F147"/>
  <c r="E129" i="2"/>
  <c r="T141" i="9"/>
  <c r="I44" i="7"/>
  <c r="P138" i="2"/>
  <c r="M154" i="7"/>
  <c r="G142" i="9"/>
  <c r="F52" i="2"/>
  <c r="R97" i="9"/>
  <c r="V76"/>
  <c r="H79" i="7"/>
  <c r="I59" i="4"/>
  <c r="E72" i="9"/>
  <c r="G81" i="4"/>
  <c r="R83" i="9"/>
  <c r="K119" i="7"/>
  <c r="S81" i="9"/>
  <c r="G140" i="7"/>
  <c r="H61" i="2"/>
  <c r="M131" i="7"/>
  <c r="H67"/>
  <c r="C121" i="4"/>
  <c r="C118" i="7"/>
  <c r="L108" i="4"/>
  <c r="I97" i="9"/>
  <c r="J78" i="7"/>
  <c r="L70"/>
  <c r="O154" i="9"/>
  <c r="H117" i="4"/>
  <c r="C67" i="2"/>
  <c r="S106" i="9"/>
  <c r="K80"/>
  <c r="L85" i="7"/>
  <c r="J71" i="9"/>
  <c r="F93" i="7"/>
  <c r="D163" i="2"/>
  <c r="K135" i="4"/>
  <c r="G65"/>
  <c r="E63"/>
  <c r="D156"/>
  <c r="Q93" i="9"/>
  <c r="G141" i="7"/>
  <c r="X51" i="9"/>
  <c r="L123"/>
  <c r="B170" i="2"/>
  <c r="E126"/>
  <c r="U66" i="9"/>
  <c r="H52"/>
  <c r="B112" i="7"/>
  <c r="H65" i="9"/>
  <c r="Z158"/>
  <c r="S37"/>
  <c r="S50"/>
  <c r="E72" i="4"/>
  <c r="J72" i="7"/>
  <c r="P148" i="2"/>
  <c r="H92" i="9"/>
  <c r="I98"/>
  <c r="C68" i="4"/>
  <c r="G170"/>
  <c r="G136" i="9"/>
  <c r="D164" i="4"/>
  <c r="F3" i="9"/>
  <c r="E75" i="7"/>
  <c r="T82" i="9"/>
  <c r="B143" i="2"/>
  <c r="D149"/>
  <c r="F77" i="4"/>
  <c r="Z129" i="9"/>
  <c r="F140" i="7"/>
  <c r="O52" i="2"/>
  <c r="J150" i="7"/>
  <c r="E82" i="4"/>
  <c r="Y111" i="9"/>
  <c r="K68"/>
  <c r="P131" i="2"/>
  <c r="W83" i="9"/>
  <c r="W124"/>
  <c r="I111" i="7"/>
  <c r="B92" i="2"/>
  <c r="P133"/>
  <c r="F161"/>
  <c r="B141" i="9"/>
  <c r="V139"/>
  <c r="B155"/>
  <c r="K91"/>
  <c r="O119"/>
  <c r="H107" i="4"/>
  <c r="Z151" i="9"/>
  <c r="E137" i="7"/>
  <c r="P168" i="2"/>
  <c r="B3" i="10"/>
  <c r="N134" i="2"/>
  <c r="J135" i="9"/>
  <c r="S119"/>
  <c r="L132" i="2"/>
  <c r="O166"/>
  <c r="M67"/>
  <c r="Q158" i="9"/>
  <c r="B146" i="2"/>
  <c r="N146" i="9"/>
  <c r="K62"/>
  <c r="M62"/>
  <c r="O130" i="2"/>
  <c r="H137" i="7"/>
  <c r="I70" i="9"/>
  <c r="R141"/>
  <c r="L112" i="4"/>
  <c r="P152" i="9"/>
  <c r="B79"/>
  <c r="F43"/>
  <c r="H106"/>
  <c r="T32"/>
  <c r="S109"/>
  <c r="G150" i="2"/>
  <c r="D109" i="9"/>
  <c r="C133" i="7"/>
  <c r="L147" i="4"/>
  <c r="D123"/>
  <c r="M133" i="9"/>
  <c r="V62"/>
  <c r="E64" i="2"/>
  <c r="I68" i="9"/>
  <c r="B90" i="4"/>
  <c r="C148" i="9"/>
  <c r="W66"/>
  <c r="G110" i="4"/>
  <c r="C119" i="7"/>
  <c r="F89" i="4"/>
  <c r="N57" i="9"/>
  <c r="J138" i="7"/>
  <c r="M65" i="2"/>
  <c r="V105" i="9"/>
  <c r="K160" i="4"/>
  <c r="E74" i="7"/>
  <c r="Q123" i="9"/>
  <c r="G146"/>
  <c r="J100" i="7"/>
  <c r="K100" i="4"/>
  <c r="M90"/>
  <c r="M142" i="2"/>
  <c r="B147"/>
  <c r="M121"/>
  <c r="Z63" i="9"/>
  <c r="Y80"/>
  <c r="M63" i="2"/>
  <c r="F66" i="9"/>
  <c r="I148"/>
  <c r="M120"/>
  <c r="C171" i="4"/>
  <c r="M123" i="9"/>
  <c r="H125"/>
  <c r="G101"/>
  <c r="B86" i="7"/>
  <c r="L86"/>
  <c r="L142" i="2"/>
  <c r="H95" i="4"/>
  <c r="F154"/>
  <c r="L98" i="7"/>
  <c r="G78"/>
  <c r="E106" i="4"/>
  <c r="C67" i="7"/>
  <c r="P147" i="9"/>
  <c r="K71"/>
  <c r="C112"/>
  <c r="H88" i="2"/>
  <c r="P112"/>
  <c r="H164" i="4"/>
  <c r="Q115" i="9"/>
  <c r="K150" i="4"/>
  <c r="N103" i="2"/>
  <c r="B160" i="4"/>
  <c r="M58"/>
  <c r="I72" i="9"/>
  <c r="P116"/>
  <c r="C62"/>
  <c r="E92" i="7"/>
  <c r="L159" i="4"/>
  <c r="F131" i="9"/>
  <c r="M103" i="2"/>
  <c r="D89" i="9"/>
  <c r="G135" i="7"/>
  <c r="M72" i="4"/>
  <c r="C64" i="7"/>
  <c r="L80" i="4"/>
  <c r="B130" i="9"/>
  <c r="U19"/>
  <c r="C3" i="2"/>
  <c r="F117" i="7"/>
  <c r="G120" i="2"/>
  <c r="B148" i="7"/>
  <c r="S136" i="9"/>
  <c r="O65" i="2"/>
  <c r="K143" i="9"/>
  <c r="F159" i="4"/>
  <c r="Y35" i="9"/>
  <c r="C109" i="2"/>
  <c r="H97" i="7"/>
  <c r="F119"/>
  <c r="U85" i="9"/>
  <c r="C79" i="2"/>
  <c r="W127" i="9"/>
  <c r="Q139"/>
  <c r="T158"/>
  <c r="G160" i="2"/>
  <c r="Y137" i="9"/>
  <c r="P138"/>
  <c r="M41"/>
  <c r="D48" i="4"/>
  <c r="F126" i="9"/>
  <c r="R116"/>
  <c r="H101"/>
  <c r="R149"/>
  <c r="J120" i="7"/>
  <c r="Y136" i="9"/>
  <c r="R48"/>
  <c r="F69" i="4"/>
  <c r="K92" i="7"/>
  <c r="M128" i="2"/>
  <c r="P151" i="9"/>
  <c r="U70"/>
  <c r="H149"/>
  <c r="M72" i="2"/>
  <c r="G119" i="4"/>
  <c r="M132"/>
  <c r="V77" i="9"/>
  <c r="Q152"/>
  <c r="F139"/>
  <c r="S115"/>
  <c r="L3" i="7"/>
  <c r="N91" i="9"/>
  <c r="J97" i="7"/>
  <c r="E153" i="2"/>
  <c r="I143" i="4"/>
  <c r="H91" i="7"/>
  <c r="P62" i="2"/>
  <c r="L99" i="4"/>
  <c r="N130" i="9"/>
  <c r="G90" i="4"/>
  <c r="K105" i="7"/>
  <c r="B69" i="2"/>
  <c r="J89" i="7"/>
  <c r="P122" i="9"/>
  <c r="E77" i="4"/>
  <c r="L140" i="2"/>
  <c r="J95" i="9"/>
  <c r="I144"/>
  <c r="F130" i="7"/>
  <c r="K108" i="9"/>
  <c r="F131" i="4"/>
  <c r="Y116" i="9"/>
  <c r="I62" i="4"/>
  <c r="L144"/>
  <c r="L146" i="2"/>
  <c r="U118" i="9"/>
  <c r="B129" i="7"/>
  <c r="D149"/>
  <c r="B105" i="4"/>
  <c r="G79"/>
  <c r="J171"/>
  <c r="X129" i="9"/>
  <c r="O111"/>
  <c r="X151"/>
  <c r="U114"/>
  <c r="E92" i="2"/>
  <c r="H106"/>
  <c r="L152" i="4"/>
  <c r="K129"/>
  <c r="D123" i="2"/>
  <c r="D96" i="4"/>
  <c r="B99"/>
  <c r="B121" i="2"/>
  <c r="V80" i="9"/>
  <c r="H158" i="2"/>
  <c r="B139" i="4"/>
  <c r="C139" i="7"/>
  <c r="E116" i="2"/>
  <c r="C102"/>
  <c r="T51" i="9"/>
  <c r="M171" i="2"/>
  <c r="T146" i="9"/>
  <c r="H152" i="4"/>
  <c r="C97"/>
  <c r="H123" i="9"/>
  <c r="G90"/>
  <c r="M104" i="7"/>
  <c r="L124" i="2"/>
  <c r="G164"/>
  <c r="J147" i="7"/>
  <c r="G128" i="2"/>
  <c r="K138" i="7"/>
  <c r="K62"/>
  <c r="Q60" i="9"/>
  <c r="U158"/>
  <c r="K107" i="4"/>
  <c r="K115" i="7"/>
  <c r="H102" i="2"/>
  <c r="K94" i="9"/>
  <c r="H151" i="2"/>
  <c r="M104" i="9"/>
  <c r="C128" i="7"/>
  <c r="Z105" i="9"/>
  <c r="W143"/>
  <c r="T89"/>
  <c r="C39"/>
  <c r="M133" i="7"/>
  <c r="K78" i="9"/>
  <c r="G134" i="2"/>
  <c r="F99" i="9"/>
  <c r="T95"/>
  <c r="Y131"/>
  <c r="S94"/>
  <c r="O159"/>
  <c r="J57"/>
  <c r="D105"/>
  <c r="X84"/>
  <c r="P91"/>
  <c r="Q104"/>
  <c r="P151" i="2"/>
  <c r="T139" i="9"/>
  <c r="C88"/>
  <c r="Z80"/>
  <c r="M146"/>
  <c r="M84"/>
  <c r="M118" i="2"/>
  <c r="F136" i="4"/>
  <c r="B16" i="10"/>
  <c r="E113" i="9"/>
  <c r="S126"/>
  <c r="O85" i="2"/>
  <c r="E81"/>
  <c r="E95" i="7"/>
  <c r="G106"/>
  <c r="M157"/>
  <c r="E86" i="2"/>
  <c r="D140"/>
  <c r="K135" i="9"/>
  <c r="E105"/>
  <c r="G66" i="2"/>
  <c r="X131" i="9"/>
  <c r="F94" i="2"/>
  <c r="M143" i="7"/>
  <c r="B77"/>
  <c r="L109" i="2"/>
  <c r="N158"/>
  <c r="C105"/>
  <c r="B113" i="4"/>
  <c r="H145"/>
  <c r="R59" i="9"/>
  <c r="D91" i="2"/>
  <c r="F155" i="9"/>
  <c r="H56" i="4"/>
  <c r="B51" i="9"/>
  <c r="H107"/>
  <c r="N116" i="2"/>
  <c r="E90" i="9"/>
  <c r="J125" i="4"/>
  <c r="I129" i="9"/>
  <c r="M88" i="2"/>
  <c r="B86" i="9"/>
  <c r="U97"/>
  <c r="I57" i="4"/>
  <c r="H147" i="2"/>
  <c r="M134"/>
  <c r="H135" i="7"/>
  <c r="G138" i="2"/>
  <c r="D51" i="9"/>
  <c r="F39"/>
  <c r="I156" i="4"/>
  <c r="K48" i="9"/>
  <c r="H101" i="4"/>
  <c r="E125"/>
  <c r="P79" i="9"/>
  <c r="C166" i="4"/>
  <c r="T61" i="9"/>
  <c r="F59"/>
  <c r="W45"/>
  <c r="P117"/>
  <c r="H55" i="4"/>
  <c r="M71" i="7"/>
  <c r="P144" i="9"/>
  <c r="N76"/>
  <c r="E152" i="4"/>
  <c r="X139" i="9"/>
  <c r="F151" i="2"/>
  <c r="B155" i="4"/>
  <c r="G166" i="2"/>
  <c r="H89"/>
  <c r="L148" i="7"/>
  <c r="J110"/>
  <c r="D150" i="9"/>
  <c r="G123"/>
  <c r="C152" i="4"/>
  <c r="K125" i="9"/>
  <c r="J93" i="4"/>
  <c r="E62" i="9"/>
  <c r="U82"/>
  <c r="B102" i="2"/>
  <c r="G79" i="9"/>
  <c r="O92"/>
  <c r="T74"/>
  <c r="Q53"/>
  <c r="L141"/>
  <c r="B47"/>
  <c r="H84"/>
  <c r="B87" i="7"/>
  <c r="Q64" i="9"/>
  <c r="H131" i="7"/>
  <c r="I161" i="4"/>
  <c r="K148" i="9"/>
  <c r="N62" i="2"/>
  <c r="O141" i="9"/>
  <c r="L131" i="7"/>
  <c r="E97" i="9"/>
  <c r="G75" i="2"/>
  <c r="X37" i="9"/>
  <c r="W135"/>
  <c r="D137"/>
  <c r="V94"/>
  <c r="X88"/>
  <c r="H67" i="2"/>
  <c r="M65" i="4"/>
  <c r="H137" i="9"/>
  <c r="B154" i="4"/>
  <c r="G137"/>
  <c r="I83"/>
  <c r="U101" i="9"/>
  <c r="L80"/>
  <c r="O151" i="2"/>
  <c r="B87" i="9"/>
  <c r="H73" i="4"/>
  <c r="L103" i="9"/>
  <c r="L125" i="7"/>
  <c r="R69" i="9"/>
  <c r="H144" i="7"/>
  <c r="M142" i="4"/>
  <c r="D122" i="9"/>
  <c r="W154"/>
  <c r="E138" i="7"/>
  <c r="H124" i="2"/>
  <c r="P124" i="9"/>
  <c r="R124"/>
  <c r="V137"/>
  <c r="O169" i="2"/>
  <c r="R34" i="9"/>
  <c r="W147"/>
  <c r="J124" i="4"/>
  <c r="M137" i="7"/>
  <c r="C122" i="9"/>
  <c r="J104" i="7"/>
  <c r="D116"/>
  <c r="P135" i="2"/>
  <c r="G150" i="9"/>
  <c r="Y89"/>
  <c r="Q37"/>
  <c r="F51" i="4"/>
  <c r="G126" i="7"/>
  <c r="N144" i="2"/>
  <c r="F142" i="9"/>
  <c r="G111"/>
  <c r="S152"/>
  <c r="D92" i="7"/>
  <c r="P92" i="9"/>
  <c r="Z79"/>
  <c r="K81" i="7"/>
  <c r="M101" i="9"/>
  <c r="B80" i="4"/>
  <c r="Z135" i="9"/>
  <c r="I154" i="7"/>
  <c r="L128" i="4"/>
  <c r="G157" i="2"/>
  <c r="J134" i="7"/>
  <c r="I148" i="4"/>
  <c r="B163"/>
  <c r="N136" i="2"/>
  <c r="J69" i="4"/>
  <c r="K154" i="9"/>
  <c r="D130" i="2"/>
  <c r="L166" i="4"/>
  <c r="D98" i="2"/>
  <c r="O101" i="9"/>
  <c r="F88"/>
  <c r="B62"/>
  <c r="G138" i="7"/>
  <c r="H96" i="9"/>
  <c r="S58"/>
  <c r="F127"/>
  <c r="K132" i="4"/>
  <c r="I94" i="9"/>
  <c r="E111" i="4"/>
  <c r="S89" i="9"/>
  <c r="H127"/>
  <c r="C140" i="4"/>
  <c r="Q140" i="9"/>
  <c r="O158" i="2"/>
  <c r="Q92" i="9"/>
  <c r="O124" i="2"/>
  <c r="I43" i="9"/>
  <c r="D53" i="4"/>
  <c r="G112"/>
  <c r="M49" i="9"/>
  <c r="F104"/>
  <c r="P126" i="2"/>
  <c r="M138" i="7"/>
  <c r="X127" i="9"/>
  <c r="Q102"/>
  <c r="S55"/>
  <c r="R109"/>
  <c r="K124"/>
  <c r="H141"/>
  <c r="H103" i="7"/>
  <c r="F137"/>
  <c r="F7" i="11" l="1"/>
  <c r="G6"/>
  <c r="F5"/>
  <c r="C7"/>
  <c r="E7"/>
  <c r="C5"/>
  <c r="G5"/>
  <c r="H7"/>
  <c r="B6"/>
  <c r="D4"/>
  <c r="B3"/>
  <c r="E3"/>
  <c r="C4"/>
  <c r="B7"/>
  <c r="H4"/>
  <c r="G4"/>
  <c r="B4"/>
  <c r="B5"/>
  <c r="E4"/>
  <c r="F6"/>
  <c r="E6"/>
  <c r="D7"/>
  <c r="G7"/>
  <c r="D6"/>
  <c r="D3"/>
  <c r="C2"/>
  <c r="H3"/>
  <c r="F4"/>
  <c r="F2"/>
  <c r="C6"/>
  <c r="D5"/>
  <c r="H6"/>
  <c r="H5"/>
  <c r="E5"/>
  <c r="E2"/>
  <c r="G3"/>
  <c r="G2"/>
  <c r="B2"/>
  <c r="D2"/>
  <c r="F3"/>
  <c r="H2"/>
  <c r="C3"/>
</calcChain>
</file>

<file path=xl/sharedStrings.xml><?xml version="1.0" encoding="utf-8"?>
<sst xmlns="http://schemas.openxmlformats.org/spreadsheetml/2006/main" count="8765" uniqueCount="213">
  <si>
    <t>VMAX</t>
  </si>
  <si>
    <t>Site</t>
  </si>
  <si>
    <t>FDC</t>
  </si>
  <si>
    <t>% full</t>
  </si>
  <si>
    <t>Total GB</t>
  </si>
  <si>
    <t>Used GB</t>
  </si>
  <si>
    <t>Thin Devices</t>
  </si>
  <si>
    <t># Devices</t>
  </si>
  <si>
    <t># Allocated</t>
  </si>
  <si>
    <t>Enabled Pool Devices</t>
  </si>
  <si>
    <t>subscription</t>
  </si>
  <si>
    <t>Virtual Capacity GB</t>
  </si>
  <si>
    <t>CGC</t>
  </si>
  <si>
    <t>RDC</t>
  </si>
  <si>
    <t>CGC Tier 4 VMAX 623</t>
  </si>
  <si>
    <t>RDC Tier 3 VMAX 552</t>
  </si>
  <si>
    <t>RDC Tier 4 VMAX 678</t>
  </si>
  <si>
    <t>on the sanmgt2 servers run the following commands</t>
  </si>
  <si>
    <t>The total Allocated GBs is the number to put in the used field on the table</t>
  </si>
  <si>
    <t>This gives the number of TDEVS available for allocation. Take away from the total number of devices to give the number of allocated thin devices.</t>
  </si>
  <si>
    <t>fdcsan-mgt2</t>
  </si>
  <si>
    <t>CGC Tier 3 VMAX 745</t>
  </si>
  <si>
    <t>FDC Tier 4 VMAX 879</t>
  </si>
  <si>
    <t>symcfg -sid 623 -pool 0623_450_20 show -thin -detail -gb | grep -v Enabled | grep -v Bound</t>
  </si>
  <si>
    <t>symcfg -sid 745 -pool 0745_300_10 show -thin -detail -gb | grep -v Enabled | grep -v Bound</t>
  </si>
  <si>
    <t>symcfg -sid 678 -pool 0678_450_20 show -thin -detail -gb | grep -v Enabled | grep -v Bound</t>
  </si>
  <si>
    <t>symcfg -sid 552 -pool 0552_300_10 show -thin -detail -gb | grep -v Enabled | grep -v Bound</t>
  </si>
  <si>
    <t>Port</t>
  </si>
  <si>
    <t>View</t>
  </si>
  <si>
    <t>Num</t>
  </si>
  <si>
    <t>Mapped</t>
  </si>
  <si>
    <t>Port Group Name</t>
  </si>
  <si>
    <t>Count</t>
  </si>
  <si>
    <t>Logins</t>
  </si>
  <si>
    <t>Devices</t>
  </si>
  <si>
    <t>Capacity (GB)</t>
  </si>
  <si>
    <t>--------------------------------</t>
  </si>
  <si>
    <t>-----</t>
  </si>
  <si>
    <t>------</t>
  </si>
  <si>
    <t>-------</t>
  </si>
  <si>
    <t>------------</t>
  </si>
  <si>
    <t>0879_7F1_10F0</t>
  </si>
  <si>
    <t>0879_8F1_9F0</t>
  </si>
  <si>
    <t>0879_8F0_9F1</t>
  </si>
  <si>
    <t>0879_8G1_9G0</t>
  </si>
  <si>
    <t>0879_8H0_9H1</t>
  </si>
  <si>
    <t>0879_8H1_9H0</t>
  </si>
  <si>
    <t>0879_8E1_9E0</t>
  </si>
  <si>
    <t>0879_8G0_9G1</t>
  </si>
  <si>
    <t>0879_7H1_10H0</t>
  </si>
  <si>
    <t>0879_7H0_10H1</t>
  </si>
  <si>
    <t>0879_7E0_10E1</t>
  </si>
  <si>
    <t>0879_7E1_10E0</t>
  </si>
  <si>
    <t>0879_7G1_10G0</t>
  </si>
  <si>
    <t>0879_8E0_9E1</t>
  </si>
  <si>
    <t>0879_7F0_10F1</t>
  </si>
  <si>
    <t>0879_7G0_10G1</t>
  </si>
  <si>
    <t>0678_7H0_10H1</t>
  </si>
  <si>
    <t>0678_8F1_9F0</t>
  </si>
  <si>
    <t>0678_7E1_10E0</t>
  </si>
  <si>
    <t>0678_8G1_9G0</t>
  </si>
  <si>
    <t>0678_8F0_9F1</t>
  </si>
  <si>
    <t>0678_8H1_9H0</t>
  </si>
  <si>
    <t>0678_8G0_9G1</t>
  </si>
  <si>
    <t>0678_7F0_10F1</t>
  </si>
  <si>
    <t>0678_8E1_9E0</t>
  </si>
  <si>
    <t>0678_7G1_10G0</t>
  </si>
  <si>
    <t>0678_7E0_10E1</t>
  </si>
  <si>
    <t>0678_8E0_9E1</t>
  </si>
  <si>
    <t>0678_7H1_10H0</t>
  </si>
  <si>
    <t>0678_7G0_10G1</t>
  </si>
  <si>
    <t>Limits</t>
  </si>
  <si>
    <t>These limits are somewhat arbitary. Once they have been reached the configuration must be considered. Eg. 32TB of storage is used for a VMWare farm made up of 11 servers. All servers can see all 32TB through several port groups. These port groups will all show greater than 32TB mapped capacity but this is acceptable if there are enough port groups to service the volume of storage.</t>
  </si>
  <si>
    <t>logins</t>
  </si>
  <si>
    <t>Capacity</t>
  </si>
  <si>
    <t>Available</t>
  </si>
  <si>
    <t>Totals</t>
  </si>
  <si>
    <t>GB Allocated</t>
  </si>
  <si>
    <t>export PATH=$PATH:/opt/emc/SYMCLI/V7.1.1/bin</t>
  </si>
  <si>
    <t>capacity threshold</t>
  </si>
  <si>
    <t>Pool-&gt;
Size -&gt;</t>
  </si>
  <si>
    <t>Used -&gt;
GB -&gt;</t>
  </si>
  <si>
    <t>. /export/home/san/.profile</t>
  </si>
  <si>
    <t>Available to allocate</t>
  </si>
  <si>
    <t>EDC</t>
  </si>
  <si>
    <t>symcfg -sid 879 -pool 0879_450_20 show -thin -detail -gb | grep -v Enabled | grep -v Bound</t>
  </si>
  <si>
    <t>symcfg -sid 231 -pool 2231_450_20 show -thin -detail -gb | grep -v Enabled | grep -v Bound</t>
  </si>
  <si>
    <t>symcfg -sid 262 -pool 2262_450_20 show -thin -detail -gb | grep -v Enabled | grep -v Bound</t>
  </si>
  <si>
    <t>FDC Tier 3 VMAX 231</t>
  </si>
  <si>
    <t>EDC Tier 3 VMAX 262</t>
  </si>
  <si>
    <t>edcsan-mgt1</t>
  </si>
  <si>
    <t>/var/opt/san/cm/cap</t>
  </si>
  <si>
    <t>symdev -sid 262 list -noport -tdev -bound | grep 34526 | grep TDEV | wc -l</t>
  </si>
  <si>
    <t>symdev -sid 231 list -noport  -tdev -bound| grep 34526 | grep TDEV | wc -l</t>
  </si>
  <si>
    <t>symdev -sid 879 list -noport  -tdev -bound| grep 34526 | grep TDEV | wc -l</t>
  </si>
  <si>
    <t>symdev -sid 552 list -noport  -tdev -bound| grep 34526 | grep TDEV | wc -l</t>
  </si>
  <si>
    <t>symdev -sid 678 list -noport  -tdev -bound| grep 34526 | grep TDEV | wc -l</t>
  </si>
  <si>
    <t>symdev -sid 745 list -noport  -tdev -bound| grep 34526 | grep TDEV | wc -l</t>
  </si>
  <si>
    <t>symdev -sid 623 list -noport  -tdev -bound| grep 34526 | grep TDEV | wc -l</t>
  </si>
  <si>
    <t>Row</t>
  </si>
  <si>
    <t>3286</t>
  </si>
  <si>
    <t>2804</t>
  </si>
  <si>
    <t>0623</t>
  </si>
  <si>
    <t>0745</t>
  </si>
  <si>
    <t>0552</t>
  </si>
  <si>
    <t>0678</t>
  </si>
  <si>
    <t>2230</t>
  </si>
  <si>
    <t>3073</t>
  </si>
  <si>
    <t>0879</t>
  </si>
  <si>
    <t>2231</t>
  </si>
  <si>
    <t>3004</t>
  </si>
  <si>
    <t>2262</t>
  </si>
  <si>
    <t>RDC VMAX 3286</t>
  </si>
  <si>
    <t>RDC VMAX 3073</t>
  </si>
  <si>
    <t>RDC VMAX 2230</t>
  </si>
  <si>
    <t>FDC Tier 4 VMAX 3004</t>
  </si>
  <si>
    <t>FDC Tier 4 VMAX 2804</t>
  </si>
  <si>
    <t>Max Column</t>
  </si>
  <si>
    <t>N</t>
  </si>
  <si>
    <t>Full formula</t>
  </si>
  <si>
    <t>INDIRECT("Table!A" &amp; $U3)</t>
  </si>
  <si>
    <t>IF(ISERROR(MATCH(B$1,INDIRECT("Table!A"&amp;$U3):INDIRECT("Table!" &amp; $X$3 &amp; $U3),0)),"",INDIRECT(CONCATENATE("Table!",ADDRESS($Q3,MATCH(B$1,INDIRECT("Table!A" &amp; $U3):INDIRECT("Table!" &amp; $X$3 &amp; $U3),0)))))</t>
  </si>
  <si>
    <t>INDIRECT(CONCATENATE("Table!",ADDRESS($Q3,MATCH(B$1,INDIRECT("Table!A" &amp; $U3):INDIRECT("Table!" &amp; $X$3 &amp; $U3),0))))</t>
  </si>
  <si>
    <t>CONCATENATE("Table!",ADDRESS($Q3,MATCH(B$1,INDIRECT("Table!A" &amp; $U3):INDIRECT("Table!" &amp; $X$3 &amp; $U3),0)))</t>
  </si>
  <si>
    <t>ADDRESS($Q3,MATCH(B$1,INDIRECT("Table!A" &amp; $U3):INDIRECT("Table!" &amp; $X$3 &amp; $U3),0))</t>
  </si>
  <si>
    <t>MATCH(B$1,INDIRECT("Table!A" &amp; $U3):INDIRECT("Table!" &amp; $X$3 &amp; $U3),0)</t>
  </si>
  <si>
    <t>INDIRECT("Table!" &amp; $X$3 &amp; $U3)</t>
  </si>
  <si>
    <t>ISERROR(MATCH(B$1,INDIRECT("Table!A"&amp;$U3):INDIRECT("Table!" &amp; $X$3 &amp; $U3),0))</t>
  </si>
  <si>
    <t>Check to see if it can find a match with the array (FALSDE = match found)</t>
  </si>
  <si>
    <t>Result to display if a match was found (blank if no match found)</t>
  </si>
  <si>
    <t>The cell relating to the matched array, the correct date and the specified field</t>
  </si>
  <si>
    <t>The range list number of the matched array</t>
  </si>
  <si>
    <t>Used to build the row range - start</t>
  </si>
  <si>
    <t>Used to build the row range - end</t>
  </si>
  <si>
    <t>Value</t>
  </si>
  <si>
    <t>Formula segment</t>
  </si>
  <si>
    <t>Column R</t>
  </si>
  <si>
    <t>Column Q</t>
  </si>
  <si>
    <t>Column S</t>
  </si>
  <si>
    <t>Column U</t>
  </si>
  <si>
    <t>Column V</t>
  </si>
  <si>
    <t>Column W</t>
  </si>
  <si>
    <t>Column X</t>
  </si>
  <si>
    <t>Cell R2 specifies the field to find</t>
  </si>
  <si>
    <t>Cell S2 specifies the relative position of the R2 field in the table</t>
  </si>
  <si>
    <t>Cell V2 specifies the field to find - i.e. 'VMAX'</t>
  </si>
  <si>
    <t>Cell W2 specifies the relative position of the V2 field in the table</t>
  </si>
  <si>
    <t>This lists the row in the Table Sheet for the field specified in cell R2 of this sheet. This will be different fo each date</t>
  </si>
  <si>
    <t>This lists the row in the Table Sheet for the field specified in cell V2 of this sheet. This is used to build up an array range. It finds the row with 'VMAX' in it.  This will be different fo each date</t>
  </si>
  <si>
    <t>Cell X3 shows the maximum column used when building up the array range</t>
  </si>
  <si>
    <t>If it finds a match, it will execute the search</t>
  </si>
  <si>
    <t>The search finds the specific Table depending on the date.</t>
  </si>
  <si>
    <t>It will also find the relevant field, depending on what is specified in cell R2. This will vary according to the sheet and charts</t>
  </si>
  <si>
    <t>The formula will initally try to match the array at the top of the column wilh the built up range of arrays. The range of arrays will vary between dates, since old dates may not include new arrays. It uses columns Q to X to build up the arrays range</t>
  </si>
  <si>
    <t>Formula breakdown</t>
  </si>
  <si>
    <t>Sample data</t>
  </si>
  <si>
    <t>Field search information</t>
  </si>
  <si>
    <t>General steps in formula</t>
  </si>
  <si>
    <t>symdev -sid 2230 list -noport  -tdev -bound| grep 34526 | grep TDEV | wc -l</t>
  </si>
  <si>
    <t>symdev -sid 3286 list -noport  -tdev -bound| grep 34526 | grep TDEV | wc -l</t>
  </si>
  <si>
    <t>symcfg -sid 3286 -pool 3286_450GB show -thin -detail -gb | grep -v Enabled | grep -v Bound</t>
  </si>
  <si>
    <t>symcfg -sid 2230 -pool 2230_450GB show -thin -detail -gb | grep -v Enabled | grep -v Bound</t>
  </si>
  <si>
    <t>symdev -sid 3004 list -noport  -tdev -bound| grep 34526 | grep TDEV | wc -l</t>
  </si>
  <si>
    <t>symdev -sid 2804 list -noport -tdev -bound | grep 34526 | grep TDEV | wc -l</t>
  </si>
  <si>
    <t>symcfg -sid 2804 -pool 2804_450GB show -thin -detail -gb | grep -v Enabled | grep -v Bound</t>
  </si>
  <si>
    <t>symcfg -sid 3004 -pool 3004_450GB show -thin -detail -gb | grep -v Enabled | grep -v Bound</t>
  </si>
  <si>
    <t>symcfg -sid 3073 -pool 3073_450GB show -thin -detail -gb | grep -v Enabled | grep -v Bound</t>
  </si>
  <si>
    <t>symdev -sid 3073 list -noport  -tdev -bound| grep 34526 | grep TDEV | wc -l</t>
  </si>
  <si>
    <t>cgcsan-mgt2 (/var/tmp/smstat)</t>
  </si>
  <si>
    <t>rdcsan-mgt2 (/export/home/san/capacity/smstat)</t>
  </si>
  <si>
    <t>CGC Tier 4  (TB Allocated)</t>
  </si>
  <si>
    <t>CGC Tier 3  (TB Allocated)</t>
  </si>
  <si>
    <t>RDC Tier 3 (TB Allocated)</t>
  </si>
  <si>
    <t>RDC Tier 4 (TB Allocated)</t>
  </si>
  <si>
    <t>FDC Tier 4  (TB Allocated)</t>
  </si>
  <si>
    <t>FDC tier 3</t>
  </si>
  <si>
    <t>EDC tier 3</t>
  </si>
  <si>
    <t>RDC V-MAX 3286</t>
  </si>
  <si>
    <t>RDC V-MAX 3073</t>
  </si>
  <si>
    <t>CGC T4 V-MAX 0623</t>
  </si>
  <si>
    <t>CGC T3 V-MAX 0745</t>
  </si>
  <si>
    <t>RDC T3 V-MAX 0552</t>
  </si>
  <si>
    <t>RDC T4 V-MAX 0678</t>
  </si>
  <si>
    <t>RDC T3 V-MAX 3286</t>
  </si>
  <si>
    <t>RDC T4 V-MAX 3073</t>
  </si>
  <si>
    <t>RDC T3 V-MAX 2230</t>
  </si>
  <si>
    <t>FDC T4 V-MAX 0879</t>
  </si>
  <si>
    <t>FDC T4 V-MAX 3004</t>
  </si>
  <si>
    <t>FDC T4 V-MAX 2804</t>
  </si>
  <si>
    <t>FDC T3 V-MAX 2231</t>
  </si>
  <si>
    <t>EDC T3 V-MAX 2262</t>
  </si>
  <si>
    <t>RDC V-MAX 2230</t>
  </si>
  <si>
    <t>3073 remaining</t>
  </si>
  <si>
    <t>GB</t>
  </si>
  <si>
    <t>adjusted from this point on to exclude BCVs from allocated storage on RDF Source arrays</t>
  </si>
  <si>
    <t>FC Pool Devices</t>
  </si>
  <si>
    <t>EFD Pool Devices</t>
  </si>
  <si>
    <t>SATA Pool Devices</t>
  </si>
  <si>
    <t>n/a</t>
  </si>
  <si>
    <t>ZDC</t>
  </si>
  <si>
    <t>3696</t>
  </si>
  <si>
    <t>3875</t>
  </si>
  <si>
    <t>0377</t>
  </si>
  <si>
    <t>"Virtual Capacity GB" Subscription</t>
  </si>
  <si>
    <t>"GB Allocated" subscription</t>
  </si>
  <si>
    <t>4330</t>
  </si>
  <si>
    <t>4652</t>
  </si>
  <si>
    <t>0347</t>
  </si>
  <si>
    <t>0349</t>
  </si>
  <si>
    <t>U</t>
  </si>
  <si>
    <t>RDC T3 V-MAX 3696</t>
  </si>
  <si>
    <t>RDC T3 V-MAX 4330</t>
  </si>
  <si>
    <t>RDC T4 V-MAX 0347</t>
  </si>
</sst>
</file>

<file path=xl/styles.xml><?xml version="1.0" encoding="utf-8"?>
<styleSheet xmlns="http://schemas.openxmlformats.org/spreadsheetml/2006/main">
  <numFmts count="4">
    <numFmt numFmtId="164" formatCode="[$-409]d\-mmm\-yy;@"/>
    <numFmt numFmtId="165" formatCode="0.0"/>
    <numFmt numFmtId="166" formatCode="[$-F800]dddd\,\ mmmm\ dd\,\ yyyy"/>
    <numFmt numFmtId="167" formatCode="dd/mm/yy;@"/>
  </numFmts>
  <fonts count="33">
    <font>
      <sz val="11"/>
      <color theme="1"/>
      <name val="Calibri"/>
      <family val="2"/>
      <scheme val="minor"/>
    </font>
    <font>
      <sz val="11"/>
      <color theme="1"/>
      <name val="Times New Roman"/>
      <family val="2"/>
    </font>
    <font>
      <sz val="11"/>
      <color theme="1"/>
      <name val="Times New Roman"/>
      <family val="2"/>
    </font>
    <font>
      <sz val="8"/>
      <name val="Calibri"/>
      <family val="2"/>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10"/>
      <name val="MS Sans Serif"/>
      <family val="2"/>
    </font>
    <font>
      <sz val="10"/>
      <name val="Arial"/>
      <family val="2"/>
      <charset val="238"/>
    </font>
    <font>
      <sz val="10"/>
      <name val="Arial"/>
      <family val="2"/>
    </font>
    <font>
      <sz val="10"/>
      <name val="Helv"/>
      <family val="2"/>
    </font>
    <font>
      <sz val="11"/>
      <color rgb="FFFF0000"/>
      <name val="Calibri"/>
      <family val="2"/>
      <scheme val="minor"/>
    </font>
    <font>
      <b/>
      <sz val="11"/>
      <color theme="7"/>
      <name val="Calibri"/>
      <family val="2"/>
      <scheme val="minor"/>
    </font>
    <font>
      <sz val="11"/>
      <color theme="7"/>
      <name val="Calibri"/>
      <family val="2"/>
      <scheme val="minor"/>
    </font>
    <font>
      <b/>
      <sz val="18"/>
      <color indexed="56"/>
      <name val="Cambri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9"/>
      <color theme="1"/>
      <name val="Calibri"/>
      <family val="2"/>
      <scheme val="minor"/>
    </font>
  </fonts>
  <fills count="31">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rgb="FF00FF0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rgb="FFFF0000"/>
        <bgColor indexed="64"/>
      </patternFill>
    </fill>
    <fill>
      <patternFill patternType="solid">
        <fgColor rgb="FFC00000"/>
        <bgColor indexed="64"/>
      </patternFill>
    </fill>
  </fills>
  <borders count="5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auto="1"/>
      </top>
      <bottom/>
      <diagonal/>
    </border>
    <border>
      <left style="thin">
        <color auto="1"/>
      </left>
      <right style="thin">
        <color auto="1"/>
      </right>
      <top style="thin">
        <color auto="1"/>
      </top>
      <bottom/>
      <diagonal/>
    </border>
    <border>
      <left style="thin">
        <color indexed="64"/>
      </left>
      <right/>
      <top style="thin">
        <color indexed="64"/>
      </top>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auto="1"/>
      </top>
      <bottom style="medium">
        <color auto="1"/>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auto="1"/>
      </top>
      <bottom/>
      <diagonal/>
    </border>
  </borders>
  <cellStyleXfs count="671">
    <xf numFmtId="0" fontId="0" fillId="0" borderId="0"/>
    <xf numFmtId="0" fontId="8" fillId="0" borderId="0"/>
    <xf numFmtId="0" fontId="9" fillId="0" borderId="0"/>
    <xf numFmtId="0" fontId="7" fillId="0" borderId="0"/>
    <xf numFmtId="0" fontId="8" fillId="0" borderId="0"/>
    <xf numFmtId="0" fontId="10" fillId="0" borderId="0"/>
    <xf numFmtId="0" fontId="7" fillId="0" borderId="0"/>
    <xf numFmtId="0" fontId="11" fillId="0" borderId="0"/>
    <xf numFmtId="0" fontId="2" fillId="0" borderId="0"/>
    <xf numFmtId="0" fontId="10" fillId="0" borderId="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0" fillId="25" borderId="26" applyNumberFormat="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3" fillId="0" borderId="27"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4" fillId="0" borderId="28"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29"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7" fillId="0" borderId="30" applyNumberFormat="0" applyFill="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7" fillId="0" borderId="0"/>
    <xf numFmtId="0" fontId="10" fillId="0" borderId="0"/>
    <xf numFmtId="0" fontId="16" fillId="0" borderId="0"/>
    <xf numFmtId="0" fontId="7" fillId="0" borderId="0"/>
    <xf numFmtId="0" fontId="10" fillId="0" borderId="0"/>
    <xf numFmtId="0" fontId="10" fillId="0" borderId="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7" fillId="0" borderId="0"/>
    <xf numFmtId="0" fontId="10" fillId="0" borderId="0"/>
    <xf numFmtId="0" fontId="2" fillId="0" borderId="0"/>
    <xf numFmtId="0" fontId="7" fillId="0" borderId="0"/>
    <xf numFmtId="0" fontId="10" fillId="0" borderId="0"/>
    <xf numFmtId="0" fontId="7" fillId="0" borderId="0"/>
    <xf numFmtId="0" fontId="7" fillId="0" borderId="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10" fillId="0" borderId="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2" fillId="0" borderId="0"/>
    <xf numFmtId="0" fontId="7" fillId="0" borderId="0"/>
    <xf numFmtId="0" fontId="10" fillId="0" borderId="0"/>
    <xf numFmtId="0" fontId="7" fillId="0" borderId="0"/>
    <xf numFmtId="0" fontId="7" fillId="0" borderId="0"/>
    <xf numFmtId="0" fontId="10" fillId="0" borderId="0"/>
    <xf numFmtId="0" fontId="10" fillId="0" borderId="0"/>
    <xf numFmtId="0" fontId="7" fillId="0" borderId="0"/>
    <xf numFmtId="0" fontId="7" fillId="0" borderId="0"/>
    <xf numFmtId="0" fontId="10" fillId="0" borderId="0"/>
    <xf numFmtId="0" fontId="2" fillId="0" borderId="0"/>
    <xf numFmtId="0" fontId="7" fillId="0" borderId="0"/>
    <xf numFmtId="0" fontId="10"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7" fillId="0" borderId="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10" fillId="0" borderId="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2" fillId="0" borderId="0"/>
    <xf numFmtId="0" fontId="7" fillId="0" borderId="0"/>
    <xf numFmtId="0" fontId="10" fillId="0" borderId="0"/>
    <xf numFmtId="0" fontId="7" fillId="0" borderId="0"/>
    <xf numFmtId="0" fontId="7" fillId="0" borderId="0"/>
    <xf numFmtId="0" fontId="10" fillId="0" borderId="0"/>
    <xf numFmtId="0" fontId="7"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10" fillId="0" borderId="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7" fillId="0" borderId="0"/>
    <xf numFmtId="0" fontId="2" fillId="0" borderId="0"/>
    <xf numFmtId="0" fontId="7" fillId="0" borderId="0"/>
    <xf numFmtId="0" fontId="10" fillId="0" borderId="0"/>
    <xf numFmtId="0" fontId="7" fillId="0" borderId="0"/>
    <xf numFmtId="0" fontId="7" fillId="0" borderId="0"/>
    <xf numFmtId="0" fontId="10" fillId="0" borderId="0"/>
    <xf numFmtId="0" fontId="7"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2" fillId="0" borderId="0"/>
    <xf numFmtId="0" fontId="7" fillId="0" borderId="0"/>
    <xf numFmtId="0" fontId="10" fillId="0" borderId="0"/>
    <xf numFmtId="0" fontId="2" fillId="0" borderId="0"/>
    <xf numFmtId="0" fontId="7" fillId="0" borderId="0"/>
    <xf numFmtId="0" fontId="10" fillId="0" borderId="0"/>
    <xf numFmtId="0" fontId="7" fillId="0" borderId="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19" fillId="24"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26" fillId="11" borderId="25" applyNumberFormat="0" applyAlignment="0" applyProtection="0"/>
    <xf numFmtId="0" fontId="10" fillId="0" borderId="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16" fillId="27" borderId="31" applyNumberFormat="0" applyFon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29" fillId="24" borderId="32" applyNumberFormat="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30" fillId="0" borderId="33" applyNumberFormat="0" applyFill="0" applyAlignment="0" applyProtection="0"/>
    <xf numFmtId="0" fontId="2" fillId="0" borderId="0"/>
    <xf numFmtId="0" fontId="7" fillId="0" borderId="0"/>
    <xf numFmtId="0" fontId="10" fillId="0" borderId="0"/>
    <xf numFmtId="0" fontId="7" fillId="0" borderId="0"/>
    <xf numFmtId="0" fontId="7" fillId="0" borderId="0"/>
    <xf numFmtId="0" fontId="10" fillId="0" borderId="0"/>
    <xf numFmtId="0" fontId="7"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7"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2">
    <xf numFmtId="0" fontId="0" fillId="0" borderId="0" xfId="0"/>
    <xf numFmtId="10" fontId="0" fillId="0" borderId="0" xfId="0" applyNumberFormat="1"/>
    <xf numFmtId="0" fontId="0" fillId="2" borderId="1" xfId="0" applyFill="1" applyBorder="1"/>
    <xf numFmtId="10" fontId="0" fillId="2" borderId="3" xfId="0" applyNumberFormat="1" applyFill="1" applyBorder="1"/>
    <xf numFmtId="0" fontId="0" fillId="3" borderId="4" xfId="0" applyFill="1" applyBorder="1" applyAlignment="1">
      <alignment horizontal="center" vertical="center"/>
    </xf>
    <xf numFmtId="164" fontId="0" fillId="0" borderId="0" xfId="0" applyNumberFormat="1"/>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0" fillId="0" borderId="0" xfId="0" applyAlignment="1">
      <alignment horizontal="center" vertical="top"/>
    </xf>
    <xf numFmtId="0" fontId="0" fillId="0" borderId="0" xfId="0" applyAlignment="1">
      <alignment horizontal="right"/>
    </xf>
    <xf numFmtId="1" fontId="0" fillId="3" borderId="6" xfId="0" applyNumberFormat="1" applyFill="1" applyBorder="1" applyAlignment="1">
      <alignment horizontal="center" vertical="center"/>
    </xf>
    <xf numFmtId="1" fontId="0" fillId="0" borderId="0" xfId="0" applyNumberFormat="1"/>
    <xf numFmtId="0" fontId="6" fillId="0" borderId="0" xfId="0" applyFont="1" applyFill="1" applyAlignment="1">
      <alignment horizontal="left"/>
    </xf>
    <xf numFmtId="0" fontId="6" fillId="0" borderId="0" xfId="0" applyFont="1" applyAlignment="1">
      <alignment horizontal="left"/>
    </xf>
    <xf numFmtId="0" fontId="0" fillId="0" borderId="0" xfId="0" applyAlignment="1">
      <alignment horizontal="left"/>
    </xf>
    <xf numFmtId="49" fontId="0" fillId="0" borderId="0" xfId="0" applyNumberFormat="1"/>
    <xf numFmtId="0" fontId="0" fillId="0" borderId="0" xfId="0" applyAlignment="1">
      <alignment wrapText="1"/>
    </xf>
    <xf numFmtId="167" fontId="0" fillId="0" borderId="0" xfId="0" applyNumberFormat="1"/>
    <xf numFmtId="165" fontId="0" fillId="0" borderId="0" xfId="0" applyNumberFormat="1"/>
    <xf numFmtId="0" fontId="0" fillId="0" borderId="0" xfId="0" applyAlignment="1">
      <alignment horizontal="right" wrapText="1"/>
    </xf>
    <xf numFmtId="49" fontId="0" fillId="0" borderId="0" xfId="0" applyNumberFormat="1" applyAlignment="1">
      <alignment horizontal="right" wrapText="1"/>
    </xf>
    <xf numFmtId="1" fontId="0" fillId="3" borderId="10" xfId="0" applyNumberFormat="1" applyFill="1" applyBorder="1" applyAlignment="1">
      <alignment horizontal="center" vertical="center"/>
    </xf>
    <xf numFmtId="1" fontId="5" fillId="3" borderId="1" xfId="0" applyNumberFormat="1" applyFont="1" applyFill="1" applyBorder="1" applyAlignment="1">
      <alignment horizontal="center" vertical="center"/>
    </xf>
    <xf numFmtId="1" fontId="5" fillId="3" borderId="4" xfId="0" applyNumberFormat="1" applyFont="1" applyFill="1" applyBorder="1" applyAlignment="1">
      <alignment horizontal="center" vertical="center"/>
    </xf>
    <xf numFmtId="164" fontId="0" fillId="0" borderId="0" xfId="0" applyNumberFormat="1" applyAlignment="1">
      <alignment wrapText="1"/>
    </xf>
    <xf numFmtId="10" fontId="0" fillId="4" borderId="11" xfId="0" applyNumberFormat="1" applyFill="1" applyBorder="1" applyAlignment="1">
      <alignment horizontal="center" vertical="center"/>
    </xf>
    <xf numFmtId="0" fontId="0" fillId="2" borderId="12" xfId="0" applyFill="1" applyBorder="1"/>
    <xf numFmtId="0" fontId="0" fillId="2" borderId="13" xfId="0" applyFill="1" applyBorder="1"/>
    <xf numFmtId="0" fontId="0" fillId="2" borderId="14" xfId="0" applyFill="1" applyBorder="1"/>
    <xf numFmtId="10" fontId="0" fillId="2" borderId="14" xfId="0" applyNumberFormat="1" applyFill="1" applyBorder="1"/>
    <xf numFmtId="1"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3" borderId="6" xfId="0" quotePrefix="1" applyFill="1" applyBorder="1" applyAlignment="1">
      <alignment horizontal="center" vertical="center"/>
    </xf>
    <xf numFmtId="0" fontId="0" fillId="0" borderId="0" xfId="0"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wrapText="1"/>
    </xf>
    <xf numFmtId="0" fontId="0" fillId="5" borderId="0" xfId="0" applyFill="1"/>
    <xf numFmtId="0" fontId="0" fillId="0" borderId="0" xfId="0" applyAlignment="1">
      <alignment horizontal="center"/>
    </xf>
    <xf numFmtId="164" fontId="4" fillId="0" borderId="0" xfId="0" applyNumberFormat="1" applyFont="1"/>
    <xf numFmtId="0" fontId="4" fillId="0" borderId="0" xfId="0" applyFo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2" fillId="2" borderId="2" xfId="0" applyFont="1" applyFill="1" applyBorder="1"/>
    <xf numFmtId="0" fontId="12" fillId="0" borderId="0" xfId="0" applyFont="1"/>
    <xf numFmtId="0" fontId="12" fillId="0" borderId="0" xfId="0" applyFont="1" applyAlignment="1">
      <alignment horizontal="center"/>
    </xf>
    <xf numFmtId="0" fontId="12" fillId="2" borderId="13" xfId="0" applyFont="1" applyFill="1" applyBorder="1"/>
    <xf numFmtId="0" fontId="6" fillId="0" borderId="0" xfId="0" applyFont="1"/>
    <xf numFmtId="0" fontId="6" fillId="3" borderId="1" xfId="0" applyFont="1" applyFill="1" applyBorder="1" applyAlignment="1">
      <alignment horizontal="center" vertical="center"/>
    </xf>
    <xf numFmtId="0" fontId="6" fillId="3" borderId="5" xfId="0" quotePrefix="1" applyFont="1" applyFill="1" applyBorder="1" applyAlignment="1">
      <alignment horizontal="center" vertical="center"/>
    </xf>
    <xf numFmtId="165" fontId="6" fillId="3" borderId="2" xfId="0" applyNumberFormat="1" applyFont="1" applyFill="1" applyBorder="1" applyAlignment="1">
      <alignment horizontal="center" vertical="center"/>
    </xf>
    <xf numFmtId="10" fontId="6" fillId="3" borderId="5" xfId="0" applyNumberFormat="1" applyFont="1" applyFill="1" applyBorder="1" applyAlignment="1">
      <alignment horizontal="center" vertical="center"/>
    </xf>
    <xf numFmtId="10" fontId="6" fillId="3" borderId="3" xfId="0" applyNumberFormat="1" applyFont="1" applyFill="1" applyBorder="1" applyAlignment="1">
      <alignment horizontal="center" vertical="center"/>
    </xf>
    <xf numFmtId="1" fontId="6" fillId="3" borderId="2" xfId="0" applyNumberFormat="1" applyFont="1" applyFill="1" applyBorder="1" applyAlignment="1">
      <alignment horizontal="center" vertical="center"/>
    </xf>
    <xf numFmtId="0" fontId="6" fillId="3" borderId="2" xfId="0" applyFont="1" applyFill="1" applyBorder="1" applyAlignment="1">
      <alignment horizontal="center" vertical="center"/>
    </xf>
    <xf numFmtId="1" fontId="6" fillId="3" borderId="5" xfId="0" applyNumberFormat="1" applyFont="1" applyFill="1" applyBorder="1" applyAlignment="1">
      <alignment horizontal="center" vertical="center"/>
    </xf>
    <xf numFmtId="1" fontId="6" fillId="3" borderId="9" xfId="0" applyNumberFormat="1" applyFont="1" applyFill="1" applyBorder="1" applyAlignment="1">
      <alignment horizontal="center" vertical="center"/>
    </xf>
    <xf numFmtId="0" fontId="6" fillId="0" borderId="0" xfId="0" applyNumberFormat="1" applyFont="1" applyAlignment="1">
      <alignment horizontal="left"/>
    </xf>
    <xf numFmtId="10" fontId="6" fillId="4" borderId="5" xfId="0" applyNumberFormat="1" applyFont="1" applyFill="1" applyBorder="1" applyAlignment="1">
      <alignment horizontal="center" vertical="center"/>
    </xf>
    <xf numFmtId="10" fontId="6" fillId="4" borderId="3" xfId="0" applyNumberFormat="1"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quotePrefix="1" applyFont="1" applyFill="1" applyBorder="1" applyAlignment="1">
      <alignment horizontal="center" vertical="center"/>
    </xf>
    <xf numFmtId="165" fontId="6" fillId="3" borderId="7" xfId="0" applyNumberFormat="1" applyFont="1" applyFill="1" applyBorder="1" applyAlignment="1">
      <alignment horizontal="center" vertical="center"/>
    </xf>
    <xf numFmtId="10" fontId="6" fillId="3" borderId="8" xfId="0" applyNumberFormat="1" applyFont="1" applyFill="1" applyBorder="1" applyAlignment="1">
      <alignment horizontal="center" vertical="center"/>
    </xf>
    <xf numFmtId="1" fontId="6" fillId="3" borderId="7" xfId="0" applyNumberFormat="1" applyFont="1" applyFill="1" applyBorder="1" applyAlignment="1">
      <alignment horizontal="center" vertical="center"/>
    </xf>
    <xf numFmtId="0" fontId="6" fillId="3" borderId="7" xfId="0" applyFont="1" applyFill="1" applyBorder="1" applyAlignment="1">
      <alignment horizontal="center" vertical="center"/>
    </xf>
    <xf numFmtId="1" fontId="6" fillId="3" borderId="6" xfId="0" applyNumberFormat="1" applyFont="1" applyFill="1" applyBorder="1" applyAlignment="1">
      <alignment horizontal="center" vertical="center"/>
    </xf>
    <xf numFmtId="10" fontId="6" fillId="4" borderId="11" xfId="0" applyNumberFormat="1" applyFont="1" applyFill="1" applyBorder="1" applyAlignment="1">
      <alignment horizontal="center" vertical="center"/>
    </xf>
    <xf numFmtId="1" fontId="6" fillId="3" borderId="10" xfId="0" applyNumberFormat="1" applyFont="1" applyFill="1" applyBorder="1" applyAlignment="1">
      <alignment horizontal="center" vertical="center"/>
    </xf>
    <xf numFmtId="1" fontId="6" fillId="0" borderId="0" xfId="0" applyNumberFormat="1" applyFont="1" applyAlignment="1">
      <alignment horizontal="left"/>
    </xf>
    <xf numFmtId="1" fontId="6" fillId="0" borderId="0"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12" fillId="0" borderId="0" xfId="0" applyNumberFormat="1" applyFont="1"/>
    <xf numFmtId="1" fontId="13" fillId="3" borderId="1" xfId="0" applyNumberFormat="1" applyFont="1" applyFill="1" applyBorder="1" applyAlignment="1">
      <alignment horizontal="center" vertical="center"/>
    </xf>
    <xf numFmtId="165" fontId="14" fillId="3" borderId="2" xfId="0" applyNumberFormat="1" applyFont="1" applyFill="1" applyBorder="1" applyAlignment="1">
      <alignment horizontal="center" vertical="center"/>
    </xf>
    <xf numFmtId="0" fontId="14" fillId="3" borderId="2" xfId="0" applyFont="1" applyFill="1" applyBorder="1" applyAlignment="1">
      <alignment horizontal="center" vertical="center"/>
    </xf>
    <xf numFmtId="0" fontId="14" fillId="3" borderId="5" xfId="0" quotePrefix="1" applyFont="1" applyFill="1" applyBorder="1" applyAlignment="1">
      <alignment horizontal="center" vertical="center"/>
    </xf>
    <xf numFmtId="1" fontId="13" fillId="3" borderId="4" xfId="0" applyNumberFormat="1" applyFont="1" applyFill="1" applyBorder="1" applyAlignment="1">
      <alignment horizontal="center" vertical="center"/>
    </xf>
    <xf numFmtId="0" fontId="14" fillId="3" borderId="6" xfId="0" quotePrefix="1" applyFont="1" applyFill="1" applyBorder="1" applyAlignment="1">
      <alignment horizontal="center" vertical="center"/>
    </xf>
    <xf numFmtId="165" fontId="14" fillId="3" borderId="7" xfId="0" applyNumberFormat="1" applyFont="1" applyFill="1" applyBorder="1" applyAlignment="1">
      <alignment horizontal="center" vertical="center"/>
    </xf>
    <xf numFmtId="0" fontId="14" fillId="3" borderId="7" xfId="0" applyFont="1" applyFill="1" applyBorder="1" applyAlignment="1">
      <alignment horizontal="center" vertical="center"/>
    </xf>
    <xf numFmtId="0" fontId="6" fillId="0" borderId="0" xfId="0" applyFont="1" applyAlignment="1">
      <alignment horizontal="center"/>
    </xf>
    <xf numFmtId="0" fontId="6" fillId="0" borderId="0" xfId="0" quotePrefix="1" applyFont="1" applyAlignment="1">
      <alignment horizontal="center"/>
    </xf>
    <xf numFmtId="0" fontId="6" fillId="2" borderId="1" xfId="0" applyFont="1" applyFill="1" applyBorder="1"/>
    <xf numFmtId="0" fontId="6" fillId="2" borderId="2" xfId="0" applyFont="1" applyFill="1" applyBorder="1"/>
    <xf numFmtId="10" fontId="6" fillId="2" borderId="3" xfId="0" applyNumberFormat="1" applyFont="1" applyFill="1" applyBorder="1"/>
    <xf numFmtId="0" fontId="6" fillId="2" borderId="12" xfId="0" applyFont="1" applyFill="1" applyBorder="1"/>
    <xf numFmtId="0" fontId="6" fillId="2" borderId="13" xfId="0" applyFont="1" applyFill="1" applyBorder="1"/>
    <xf numFmtId="0" fontId="6" fillId="2" borderId="14" xfId="0" applyFont="1" applyFill="1" applyBorder="1"/>
    <xf numFmtId="10" fontId="6" fillId="2" borderId="14" xfId="0" applyNumberFormat="1" applyFon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6" fillId="0" borderId="0" xfId="0" quotePrefix="1" applyNumberFormat="1" applyFont="1" applyAlignment="1">
      <alignment horizontal="center"/>
    </xf>
    <xf numFmtId="49" fontId="6" fillId="0" borderId="0" xfId="0" applyNumberFormat="1" applyFon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49" fontId="6" fillId="0" borderId="0" xfId="0" applyNumberFormat="1" applyFont="1"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2" fillId="0" borderId="0" xfId="8" applyNumberForma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6" fillId="0" borderId="0" xfId="0" quotePrefix="1" applyFont="1" applyAlignment="1">
      <alignment horizontal="left"/>
    </xf>
    <xf numFmtId="0" fontId="0" fillId="0" borderId="0" xfId="0" applyAlignment="1">
      <alignment horizontal="center"/>
    </xf>
    <xf numFmtId="49" fontId="6" fillId="0" borderId="0" xfId="0" applyNumberFormat="1" applyFont="1" applyAlignment="1"/>
    <xf numFmtId="0" fontId="6"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6" fillId="0" borderId="0" xfId="0" quotePrefix="1" applyFont="1"/>
    <xf numFmtId="0" fontId="6" fillId="0" borderId="0" xfId="0" quotePrefix="1" applyFont="1" applyAlignment="1"/>
    <xf numFmtId="0" fontId="6" fillId="0" borderId="0" xfId="0" applyFont="1" applyFill="1" applyAlignment="1">
      <alignment horizontal="center"/>
    </xf>
    <xf numFmtId="0" fontId="6" fillId="0" borderId="0" xfId="0" applyFont="1" applyFill="1"/>
    <xf numFmtId="0" fontId="6" fillId="0" borderId="0" xfId="0" applyFont="1" applyFill="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 fontId="0" fillId="0" borderId="0" xfId="0" applyNumberFormat="1" applyFill="1" applyBorder="1" applyAlignment="1">
      <alignment horizontal="center" vertical="center"/>
    </xf>
    <xf numFmtId="10" fontId="0" fillId="2" borderId="34" xfId="0" applyNumberFormat="1" applyFill="1" applyBorder="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10" fontId="0" fillId="2" borderId="5" xfId="0" applyNumberFormat="1" applyFill="1" applyBorder="1"/>
    <xf numFmtId="10" fontId="6" fillId="3" borderId="6" xfId="0" applyNumberFormat="1" applyFont="1" applyFill="1" applyBorder="1" applyAlignment="1">
      <alignment horizontal="center" vertical="center"/>
    </xf>
    <xf numFmtId="1" fontId="13" fillId="3" borderId="2" xfId="0" applyNumberFormat="1" applyFont="1" applyFill="1" applyBorder="1" applyAlignment="1">
      <alignment horizontal="center" vertical="center"/>
    </xf>
    <xf numFmtId="1" fontId="13" fillId="3" borderId="7" xfId="0" applyNumberFormat="1" applyFont="1" applyFill="1" applyBorder="1" applyAlignment="1">
      <alignment horizontal="center" vertical="center"/>
    </xf>
    <xf numFmtId="1" fontId="13" fillId="3" borderId="3" xfId="0" applyNumberFormat="1" applyFont="1" applyFill="1" applyBorder="1" applyAlignment="1">
      <alignment horizontal="center" vertical="center"/>
    </xf>
    <xf numFmtId="1" fontId="13" fillId="3" borderId="8" xfId="0" applyNumberFormat="1" applyFont="1" applyFill="1" applyBorder="1" applyAlignment="1">
      <alignment horizontal="center" vertical="center"/>
    </xf>
    <xf numFmtId="1" fontId="13" fillId="3" borderId="5" xfId="0" applyNumberFormat="1" applyFont="1" applyFill="1" applyBorder="1" applyAlignment="1">
      <alignment horizontal="center" vertical="center"/>
    </xf>
    <xf numFmtId="1" fontId="13" fillId="3" borderId="6" xfId="0" applyNumberFormat="1" applyFont="1" applyFill="1" applyBorder="1" applyAlignment="1">
      <alignment horizontal="center" vertical="center"/>
    </xf>
    <xf numFmtId="0" fontId="0" fillId="2" borderId="40" xfId="0" applyFill="1" applyBorder="1"/>
    <xf numFmtId="0" fontId="6" fillId="3" borderId="35" xfId="0" applyFont="1" applyFill="1" applyBorder="1" applyAlignment="1">
      <alignment horizontal="center" vertical="center"/>
    </xf>
    <xf numFmtId="0" fontId="6" fillId="3" borderId="41" xfId="0" applyFont="1" applyFill="1" applyBorder="1" applyAlignment="1">
      <alignment horizontal="center" vertical="center"/>
    </xf>
    <xf numFmtId="165" fontId="6" fillId="0" borderId="0" xfId="0" applyNumberFormat="1" applyFont="1" applyAlignment="1">
      <alignment horizontal="left"/>
    </xf>
    <xf numFmtId="10" fontId="6" fillId="3" borderId="5" xfId="0" applyNumberFormat="1" applyFont="1" applyFill="1" applyBorder="1" applyAlignment="1">
      <alignment horizontal="center" vertical="center"/>
    </xf>
    <xf numFmtId="10" fontId="6" fillId="3" borderId="3" xfId="0" applyNumberFormat="1" applyFont="1" applyFill="1" applyBorder="1" applyAlignment="1">
      <alignment horizontal="center" vertical="center"/>
    </xf>
    <xf numFmtId="1" fontId="13" fillId="3" borderId="1" xfId="0" applyNumberFormat="1" applyFont="1" applyFill="1" applyBorder="1" applyAlignment="1">
      <alignment horizontal="center" vertical="center"/>
    </xf>
    <xf numFmtId="165" fontId="14" fillId="3" borderId="2" xfId="0" applyNumberFormat="1" applyFont="1" applyFill="1" applyBorder="1" applyAlignment="1">
      <alignment horizontal="center" vertical="center"/>
    </xf>
    <xf numFmtId="1" fontId="13" fillId="3" borderId="12" xfId="0" applyNumberFormat="1" applyFont="1" applyFill="1" applyBorder="1" applyAlignment="1">
      <alignment horizontal="center" vertical="center"/>
    </xf>
    <xf numFmtId="165" fontId="14" fillId="3" borderId="13" xfId="0" applyNumberFormat="1" applyFont="1" applyFill="1" applyBorder="1" applyAlignment="1">
      <alignment horizontal="center" vertical="center"/>
    </xf>
    <xf numFmtId="10" fontId="6" fillId="3" borderId="34" xfId="0" applyNumberFormat="1" applyFont="1" applyFill="1" applyBorder="1" applyAlignment="1">
      <alignment horizontal="center" vertical="center"/>
    </xf>
    <xf numFmtId="0" fontId="6" fillId="3" borderId="1" xfId="0" applyFont="1" applyFill="1" applyBorder="1" applyAlignment="1">
      <alignment horizontal="center" vertical="center"/>
    </xf>
    <xf numFmtId="10" fontId="6" fillId="3" borderId="3" xfId="0" applyNumberFormat="1" applyFont="1" applyFill="1" applyBorder="1" applyAlignment="1">
      <alignment horizontal="center" vertical="center"/>
    </xf>
    <xf numFmtId="1" fontId="6" fillId="3" borderId="2" xfId="0" applyNumberFormat="1" applyFont="1" applyFill="1" applyBorder="1" applyAlignment="1">
      <alignment horizontal="center" vertical="center"/>
    </xf>
    <xf numFmtId="1" fontId="6" fillId="3" borderId="5" xfId="0" applyNumberFormat="1" applyFont="1" applyFill="1" applyBorder="1" applyAlignment="1">
      <alignment horizontal="center" vertical="center"/>
    </xf>
    <xf numFmtId="0" fontId="14" fillId="3" borderId="2" xfId="0" applyFont="1" applyFill="1" applyBorder="1" applyAlignment="1">
      <alignment horizontal="center" vertical="center"/>
    </xf>
    <xf numFmtId="0" fontId="6" fillId="3" borderId="12" xfId="0" applyFont="1" applyFill="1" applyBorder="1" applyAlignment="1">
      <alignment horizontal="center" vertical="center"/>
    </xf>
    <xf numFmtId="10" fontId="6" fillId="3" borderId="34" xfId="0" applyNumberFormat="1" applyFont="1" applyFill="1" applyBorder="1" applyAlignment="1">
      <alignment horizontal="center" vertical="center"/>
    </xf>
    <xf numFmtId="1" fontId="6" fillId="3" borderId="13" xfId="0" applyNumberFormat="1" applyFont="1" applyFill="1" applyBorder="1" applyAlignment="1">
      <alignment horizontal="center" vertical="center"/>
    </xf>
    <xf numFmtId="0" fontId="14" fillId="3" borderId="13" xfId="0" applyFont="1" applyFill="1" applyBorder="1" applyAlignment="1">
      <alignment horizontal="center" vertical="center"/>
    </xf>
    <xf numFmtId="1" fontId="6" fillId="3" borderId="14" xfId="0" applyNumberFormat="1" applyFont="1" applyFill="1" applyBorder="1" applyAlignment="1">
      <alignment horizontal="center" vertical="center"/>
    </xf>
    <xf numFmtId="0" fontId="6" fillId="3" borderId="36" xfId="0" applyFont="1" applyFill="1" applyBorder="1" applyAlignment="1">
      <alignment horizontal="center" vertical="center"/>
    </xf>
    <xf numFmtId="0" fontId="0" fillId="3" borderId="36" xfId="0" applyFill="1" applyBorder="1" applyAlignment="1">
      <alignment horizontal="center" vertical="center"/>
    </xf>
    <xf numFmtId="0" fontId="0" fillId="3" borderId="42" xfId="0" applyFill="1" applyBorder="1" applyAlignment="1">
      <alignment horizontal="center" vertical="center"/>
    </xf>
    <xf numFmtId="0" fontId="14" fillId="3" borderId="39" xfId="0" quotePrefix="1" applyFont="1" applyFill="1" applyBorder="1" applyAlignment="1">
      <alignment horizontal="center" vertical="center"/>
    </xf>
    <xf numFmtId="0" fontId="14" fillId="3" borderId="43" xfId="0" quotePrefix="1" applyFont="1" applyFill="1" applyBorder="1" applyAlignment="1">
      <alignment horizontal="center" vertical="center"/>
    </xf>
    <xf numFmtId="0" fontId="14" fillId="3" borderId="44" xfId="0" quotePrefix="1" applyFont="1" applyFill="1" applyBorder="1" applyAlignment="1">
      <alignment horizontal="center" vertical="center"/>
    </xf>
    <xf numFmtId="0" fontId="14" fillId="3" borderId="8" xfId="0" quotePrefix="1" applyFont="1" applyFill="1" applyBorder="1" applyAlignment="1">
      <alignment horizontal="center" vertical="center"/>
    </xf>
    <xf numFmtId="0" fontId="14" fillId="3" borderId="45" xfId="0" quotePrefix="1" applyFont="1" applyFill="1" applyBorder="1" applyAlignment="1">
      <alignment horizontal="center" vertical="center"/>
    </xf>
    <xf numFmtId="0" fontId="14" fillId="3" borderId="3" xfId="0" quotePrefix="1" applyFont="1" applyFill="1" applyBorder="1" applyAlignment="1">
      <alignment horizontal="center" vertical="center"/>
    </xf>
    <xf numFmtId="0" fontId="14" fillId="3" borderId="46" xfId="0" quotePrefix="1" applyFont="1" applyFill="1" applyBorder="1" applyAlignment="1">
      <alignment horizontal="center" vertical="center"/>
    </xf>
    <xf numFmtId="1" fontId="13" fillId="3" borderId="36" xfId="0" applyNumberFormat="1" applyFont="1" applyFill="1" applyBorder="1" applyAlignment="1">
      <alignment horizontal="center" vertical="center"/>
    </xf>
    <xf numFmtId="1" fontId="13" fillId="3" borderId="16" xfId="0" applyNumberFormat="1" applyFont="1" applyFill="1" applyBorder="1" applyAlignment="1">
      <alignment horizontal="center" vertical="center"/>
    </xf>
    <xf numFmtId="165" fontId="14" fillId="3" borderId="37" xfId="0" applyNumberFormat="1" applyFont="1" applyFill="1" applyBorder="1" applyAlignment="1">
      <alignment horizontal="center" vertical="center"/>
    </xf>
    <xf numFmtId="165" fontId="14" fillId="3" borderId="47" xfId="0" applyNumberFormat="1" applyFont="1" applyFill="1" applyBorder="1" applyAlignment="1">
      <alignment horizontal="center" vertical="center"/>
    </xf>
    <xf numFmtId="10" fontId="6" fillId="3" borderId="39" xfId="0" applyNumberFormat="1" applyFont="1" applyFill="1" applyBorder="1" applyAlignment="1">
      <alignment horizontal="center" vertical="center"/>
    </xf>
    <xf numFmtId="10" fontId="6" fillId="3" borderId="38" xfId="0" applyNumberFormat="1" applyFont="1" applyFill="1" applyBorder="1" applyAlignment="1">
      <alignment horizontal="center" vertical="center"/>
    </xf>
    <xf numFmtId="10" fontId="6" fillId="3" borderId="18" xfId="0" applyNumberFormat="1" applyFont="1" applyFill="1" applyBorder="1" applyAlignment="1">
      <alignment horizontal="center" vertical="center"/>
    </xf>
    <xf numFmtId="0" fontId="6" fillId="3" borderId="16" xfId="0" applyFont="1" applyFill="1" applyBorder="1" applyAlignment="1">
      <alignment horizontal="center" vertical="center"/>
    </xf>
    <xf numFmtId="1" fontId="6" fillId="3" borderId="37" xfId="0" applyNumberFormat="1" applyFont="1" applyFill="1" applyBorder="1" applyAlignment="1">
      <alignment horizontal="center" vertical="center"/>
    </xf>
    <xf numFmtId="1" fontId="6" fillId="3" borderId="47" xfId="0" applyNumberFormat="1" applyFont="1" applyFill="1" applyBorder="1" applyAlignment="1">
      <alignment horizontal="center" vertical="center"/>
    </xf>
    <xf numFmtId="1" fontId="6" fillId="3" borderId="48" xfId="0" applyNumberFormat="1" applyFont="1" applyFill="1" applyBorder="1" applyAlignment="1">
      <alignment horizontal="center" vertical="center"/>
    </xf>
    <xf numFmtId="1" fontId="6" fillId="3" borderId="44" xfId="0" applyNumberFormat="1" applyFont="1" applyFill="1" applyBorder="1" applyAlignment="1">
      <alignment horizontal="center" vertical="center"/>
    </xf>
    <xf numFmtId="1" fontId="6" fillId="3" borderId="43" xfId="0" applyNumberFormat="1" applyFont="1" applyFill="1" applyBorder="1" applyAlignment="1">
      <alignment horizontal="center" vertical="center"/>
    </xf>
    <xf numFmtId="1" fontId="6" fillId="3" borderId="39" xfId="0" applyNumberFormat="1" applyFont="1" applyFill="1" applyBorder="1" applyAlignment="1">
      <alignment horizontal="center" vertical="center"/>
    </xf>
    <xf numFmtId="1" fontId="0" fillId="3" borderId="46" xfId="0" applyNumberFormat="1" applyFill="1" applyBorder="1" applyAlignment="1">
      <alignment horizontal="center" vertical="center"/>
    </xf>
    <xf numFmtId="1" fontId="0" fillId="3" borderId="7" xfId="0" applyNumberFormat="1" applyFill="1" applyBorder="1" applyAlignment="1">
      <alignment horizontal="center" vertical="center"/>
    </xf>
    <xf numFmtId="0" fontId="14" fillId="3" borderId="37" xfId="0" applyFont="1" applyFill="1" applyBorder="1" applyAlignment="1">
      <alignment horizontal="center" vertical="center"/>
    </xf>
    <xf numFmtId="0" fontId="14" fillId="3" borderId="47" xfId="0" applyFont="1" applyFill="1" applyBorder="1" applyAlignment="1">
      <alignment horizontal="center" vertical="center"/>
    </xf>
    <xf numFmtId="1" fontId="13" fillId="3" borderId="43" xfId="0" applyNumberFormat="1" applyFont="1" applyFill="1" applyBorder="1" applyAlignment="1">
      <alignment horizontal="center" vertical="center"/>
    </xf>
    <xf numFmtId="10" fontId="6" fillId="3" borderId="19" xfId="0" applyNumberFormat="1" applyFont="1" applyFill="1" applyBorder="1" applyAlignment="1">
      <alignment horizontal="center" vertical="center"/>
    </xf>
    <xf numFmtId="10" fontId="6" fillId="3" borderId="49"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xf>
    <xf numFmtId="1" fontId="13" fillId="3" borderId="50" xfId="0" applyNumberFormat="1" applyFont="1" applyFill="1" applyBorder="1" applyAlignment="1">
      <alignment horizontal="center" vertical="center"/>
    </xf>
    <xf numFmtId="1" fontId="13" fillId="3" borderId="48" xfId="0" applyNumberFormat="1" applyFont="1" applyFill="1" applyBorder="1" applyAlignment="1">
      <alignment horizontal="center" vertical="center"/>
    </xf>
    <xf numFmtId="1" fontId="13" fillId="3" borderId="19" xfId="0" applyNumberFormat="1" applyFont="1" applyFill="1" applyBorder="1" applyAlignment="1">
      <alignment horizontal="center" vertical="center"/>
    </xf>
    <xf numFmtId="10" fontId="6" fillId="3" borderId="48" xfId="0" applyNumberFormat="1" applyFont="1" applyFill="1" applyBorder="1" applyAlignment="1">
      <alignment horizontal="center" vertical="center"/>
    </xf>
    <xf numFmtId="1" fontId="14" fillId="3" borderId="50" xfId="0" applyNumberFormat="1" applyFont="1" applyFill="1" applyBorder="1" applyAlignment="1">
      <alignment horizontal="center" vertical="center"/>
    </xf>
    <xf numFmtId="1" fontId="14" fillId="3" borderId="48" xfId="0" applyNumberFormat="1" applyFont="1" applyFill="1" applyBorder="1" applyAlignment="1">
      <alignment horizontal="center" vertical="center"/>
    </xf>
    <xf numFmtId="1" fontId="14" fillId="3" borderId="17" xfId="0" applyNumberFormat="1" applyFont="1" applyFill="1" applyBorder="1" applyAlignment="1">
      <alignment horizontal="center" vertical="center"/>
    </xf>
    <xf numFmtId="1" fontId="14" fillId="3" borderId="19" xfId="0" applyNumberFormat="1" applyFont="1" applyFill="1" applyBorder="1" applyAlignment="1">
      <alignment horizontal="center" vertical="center"/>
    </xf>
    <xf numFmtId="10" fontId="0" fillId="2" borderId="45" xfId="0" applyNumberFormat="1" applyFill="1" applyBorder="1"/>
    <xf numFmtId="1" fontId="6" fillId="3" borderId="50" xfId="0" applyNumberFormat="1" applyFont="1" applyFill="1" applyBorder="1" applyAlignment="1">
      <alignment horizontal="center" vertical="center"/>
    </xf>
    <xf numFmtId="10" fontId="32" fillId="2" borderId="34" xfId="0" applyNumberFormat="1" applyFont="1" applyFill="1" applyBorder="1"/>
    <xf numFmtId="1" fontId="13" fillId="28" borderId="4" xfId="0" applyNumberFormat="1" applyFont="1" applyFill="1" applyBorder="1" applyAlignment="1">
      <alignment horizontal="center" vertical="center"/>
    </xf>
    <xf numFmtId="1" fontId="13" fillId="28" borderId="17" xfId="0" applyNumberFormat="1" applyFont="1" applyFill="1" applyBorder="1" applyAlignment="1">
      <alignment horizontal="center" vertical="center"/>
    </xf>
    <xf numFmtId="1" fontId="13" fillId="28" borderId="1" xfId="0" applyNumberFormat="1" applyFont="1" applyFill="1" applyBorder="1" applyAlignment="1">
      <alignment horizontal="center" vertical="center"/>
    </xf>
    <xf numFmtId="1" fontId="13" fillId="28" borderId="7" xfId="0" applyNumberFormat="1" applyFont="1" applyFill="1" applyBorder="1" applyAlignment="1">
      <alignment horizontal="center" vertical="center"/>
    </xf>
    <xf numFmtId="1" fontId="14" fillId="28" borderId="50" xfId="0" applyNumberFormat="1" applyFont="1" applyFill="1" applyBorder="1" applyAlignment="1">
      <alignment horizontal="center" vertical="center"/>
    </xf>
    <xf numFmtId="1" fontId="13" fillId="28" borderId="2" xfId="0" applyNumberFormat="1" applyFont="1" applyFill="1" applyBorder="1" applyAlignment="1">
      <alignment horizontal="center" vertical="center"/>
    </xf>
    <xf numFmtId="1" fontId="13" fillId="28" borderId="43" xfId="0" applyNumberFormat="1" applyFont="1" applyFill="1" applyBorder="1" applyAlignment="1">
      <alignment horizontal="center" vertical="center"/>
    </xf>
    <xf numFmtId="1" fontId="14" fillId="28" borderId="48" xfId="0" applyNumberFormat="1" applyFont="1" applyFill="1" applyBorder="1" applyAlignment="1">
      <alignment horizontal="center" vertical="center"/>
    </xf>
    <xf numFmtId="1" fontId="13" fillId="28" borderId="5" xfId="0" applyNumberFormat="1" applyFont="1" applyFill="1" applyBorder="1" applyAlignment="1">
      <alignment horizontal="center" vertical="center"/>
    </xf>
    <xf numFmtId="1" fontId="14" fillId="28" borderId="17" xfId="0" applyNumberFormat="1" applyFont="1" applyFill="1" applyBorder="1" applyAlignment="1">
      <alignment horizontal="center" vertical="center"/>
    </xf>
    <xf numFmtId="1" fontId="13" fillId="28" borderId="8" xfId="0" applyNumberFormat="1" applyFont="1" applyFill="1" applyBorder="1" applyAlignment="1">
      <alignment horizontal="center" vertical="center"/>
    </xf>
    <xf numFmtId="1" fontId="14" fillId="28" borderId="19" xfId="0" applyNumberFormat="1" applyFont="1" applyFill="1" applyBorder="1" applyAlignment="1">
      <alignment horizontal="center" vertical="center"/>
    </xf>
    <xf numFmtId="1" fontId="13" fillId="28" borderId="3" xfId="0" applyNumberFormat="1" applyFont="1" applyFill="1" applyBorder="1" applyAlignment="1">
      <alignment horizontal="center" vertical="center"/>
    </xf>
    <xf numFmtId="1" fontId="13" fillId="28" borderId="50" xfId="0" applyNumberFormat="1" applyFont="1" applyFill="1" applyBorder="1" applyAlignment="1">
      <alignment horizontal="center" vertical="center"/>
    </xf>
    <xf numFmtId="1" fontId="13" fillId="28" borderId="48" xfId="0" applyNumberFormat="1" applyFont="1" applyFill="1" applyBorder="1" applyAlignment="1">
      <alignment horizontal="center" vertical="center"/>
    </xf>
    <xf numFmtId="1" fontId="13" fillId="28" borderId="19" xfId="0" applyNumberFormat="1" applyFont="1" applyFill="1" applyBorder="1" applyAlignment="1">
      <alignment horizontal="center" vertical="center"/>
    </xf>
    <xf numFmtId="1" fontId="14" fillId="3" borderId="2" xfId="0" applyNumberFormat="1" applyFont="1" applyFill="1" applyBorder="1" applyAlignment="1">
      <alignment horizontal="center" vertical="center"/>
    </xf>
    <xf numFmtId="1" fontId="6" fillId="3" borderId="51" xfId="0" applyNumberFormat="1" applyFont="1" applyFill="1" applyBorder="1" applyAlignment="1">
      <alignment horizontal="center" vertical="center"/>
    </xf>
    <xf numFmtId="0" fontId="14" fillId="3" borderId="50" xfId="0" applyFont="1" applyFill="1" applyBorder="1" applyAlignment="1">
      <alignment horizontal="center" vertical="center"/>
    </xf>
    <xf numFmtId="0" fontId="14" fillId="3" borderId="51" xfId="0" applyFont="1" applyFill="1" applyBorder="1" applyAlignment="1">
      <alignment horizontal="center" vertical="center"/>
    </xf>
    <xf numFmtId="10" fontId="6" fillId="3" borderId="52" xfId="0" applyNumberFormat="1" applyFont="1" applyFill="1" applyBorder="1" applyAlignment="1">
      <alignment horizontal="center" vertical="center"/>
    </xf>
    <xf numFmtId="166" fontId="0" fillId="0" borderId="15" xfId="0" applyNumberFormat="1" applyBorder="1" applyAlignment="1">
      <alignment horizontal="center"/>
    </xf>
    <xf numFmtId="1" fontId="13" fillId="5" borderId="1" xfId="0" applyNumberFormat="1" applyFont="1" applyFill="1" applyBorder="1" applyAlignment="1">
      <alignment horizontal="center" vertical="center"/>
    </xf>
    <xf numFmtId="10" fontId="6" fillId="29" borderId="3" xfId="0" applyNumberFormat="1" applyFont="1" applyFill="1" applyBorder="1" applyAlignment="1">
      <alignment horizontal="center" vertical="center"/>
    </xf>
    <xf numFmtId="10" fontId="6" fillId="29" borderId="38" xfId="0" applyNumberFormat="1" applyFont="1" applyFill="1" applyBorder="1" applyAlignment="1">
      <alignment horizontal="center" vertical="center"/>
    </xf>
    <xf numFmtId="166" fontId="0" fillId="0" borderId="53" xfId="0" applyNumberFormat="1" applyBorder="1" applyAlignment="1">
      <alignment horizontal="center"/>
    </xf>
    <xf numFmtId="10" fontId="6" fillId="30" borderId="3" xfId="0" applyNumberFormat="1" applyFont="1" applyFill="1" applyBorder="1" applyAlignment="1">
      <alignment horizontal="center" vertical="center"/>
    </xf>
    <xf numFmtId="10" fontId="6" fillId="30" borderId="38"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0" fillId="0" borderId="0" xfId="0" applyAlignment="1">
      <alignment horizontal="center"/>
    </xf>
    <xf numFmtId="0" fontId="6" fillId="3" borderId="54" xfId="0" applyFont="1" applyFill="1" applyBorder="1" applyAlignment="1">
      <alignment horizontal="center" vertical="center"/>
    </xf>
    <xf numFmtId="1" fontId="13" fillId="3" borderId="54" xfId="0" applyNumberFormat="1" applyFont="1" applyFill="1" applyBorder="1" applyAlignment="1">
      <alignment horizontal="center" vertical="center"/>
    </xf>
    <xf numFmtId="165" fontId="14" fillId="3" borderId="51" xfId="0" applyNumberFormat="1" applyFont="1" applyFill="1" applyBorder="1" applyAlignment="1">
      <alignment horizontal="center" vertical="center"/>
    </xf>
    <xf numFmtId="1" fontId="13" fillId="28" borderId="54" xfId="0" applyNumberFormat="1" applyFont="1" applyFill="1" applyBorder="1" applyAlignment="1">
      <alignment horizontal="center" vertical="center"/>
    </xf>
    <xf numFmtId="1" fontId="13" fillId="28" borderId="51" xfId="0" applyNumberFormat="1" applyFont="1" applyFill="1" applyBorder="1" applyAlignment="1">
      <alignment horizontal="center" vertical="center"/>
    </xf>
    <xf numFmtId="1" fontId="13" fillId="28" borderId="55" xfId="0" applyNumberFormat="1" applyFont="1" applyFill="1" applyBorder="1" applyAlignment="1">
      <alignment horizontal="center" vertical="center"/>
    </xf>
    <xf numFmtId="1" fontId="13" fillId="28" borderId="49" xfId="0" applyNumberFormat="1" applyFont="1" applyFill="1" applyBorder="1" applyAlignment="1">
      <alignment horizontal="center" vertical="center"/>
    </xf>
    <xf numFmtId="0" fontId="14" fillId="3" borderId="34" xfId="0" quotePrefix="1" applyFont="1" applyFill="1" applyBorder="1" applyAlignment="1">
      <alignment horizontal="center" vertical="center"/>
    </xf>
    <xf numFmtId="1" fontId="13" fillId="28" borderId="12" xfId="0" applyNumberFormat="1" applyFont="1" applyFill="1" applyBorder="1" applyAlignment="1">
      <alignment horizontal="center" vertical="center"/>
    </xf>
    <xf numFmtId="1" fontId="13" fillId="28" borderId="13" xfId="0" applyNumberFormat="1" applyFont="1" applyFill="1" applyBorder="1" applyAlignment="1">
      <alignment horizontal="center" vertical="center"/>
    </xf>
    <xf numFmtId="1" fontId="13" fillId="28" borderId="45" xfId="0" applyNumberFormat="1" applyFont="1" applyFill="1" applyBorder="1" applyAlignment="1">
      <alignment horizontal="center" vertical="center"/>
    </xf>
    <xf numFmtId="1" fontId="13" fillId="28" borderId="34" xfId="0" applyNumberFormat="1" applyFont="1" applyFill="1" applyBorder="1" applyAlignment="1">
      <alignment horizontal="center" vertical="center"/>
    </xf>
    <xf numFmtId="0" fontId="6" fillId="3" borderId="42" xfId="0" applyFont="1" applyFill="1" applyBorder="1" applyAlignment="1">
      <alignment horizontal="center" vertical="center"/>
    </xf>
    <xf numFmtId="0" fontId="14" fillId="3" borderId="52" xfId="0" quotePrefix="1" applyFont="1" applyFill="1" applyBorder="1" applyAlignment="1">
      <alignment horizontal="center" vertical="center"/>
    </xf>
    <xf numFmtId="1" fontId="13" fillId="3" borderId="42" xfId="0" applyNumberFormat="1" applyFont="1" applyFill="1" applyBorder="1" applyAlignment="1">
      <alignment horizontal="center" vertical="center"/>
    </xf>
    <xf numFmtId="165" fontId="14" fillId="3" borderId="56" xfId="0" applyNumberFormat="1" applyFont="1" applyFill="1" applyBorder="1" applyAlignment="1">
      <alignment horizontal="center" vertical="center"/>
    </xf>
    <xf numFmtId="1" fontId="6" fillId="3" borderId="56" xfId="0" applyNumberFormat="1" applyFont="1" applyFill="1" applyBorder="1" applyAlignment="1">
      <alignment horizontal="center" vertical="center"/>
    </xf>
    <xf numFmtId="0" fontId="14" fillId="3" borderId="56" xfId="0" applyFont="1" applyFill="1" applyBorder="1" applyAlignment="1">
      <alignment horizontal="center" vertical="center"/>
    </xf>
    <xf numFmtId="1" fontId="6" fillId="3" borderId="57" xfId="0" applyNumberFormat="1" applyFont="1" applyFill="1" applyBorder="1" applyAlignment="1">
      <alignment horizontal="center" vertical="center"/>
    </xf>
    <xf numFmtId="1" fontId="13" fillId="28" borderId="44" xfId="0" applyNumberFormat="1" applyFont="1" applyFill="1" applyBorder="1" applyAlignment="1">
      <alignment horizontal="center" vertical="center"/>
    </xf>
    <xf numFmtId="10" fontId="6" fillId="3" borderId="43" xfId="0" applyNumberFormat="1" applyFont="1" applyFill="1" applyBorder="1" applyAlignment="1">
      <alignment horizontal="center" vertical="center"/>
    </xf>
    <xf numFmtId="0" fontId="14" fillId="3" borderId="57" xfId="0" quotePrefix="1" applyFont="1" applyFill="1" applyBorder="1" applyAlignment="1">
      <alignment horizontal="center" vertical="center"/>
    </xf>
    <xf numFmtId="10" fontId="6" fillId="30" borderId="18" xfId="0" applyNumberFormat="1" applyFont="1" applyFill="1" applyBorder="1" applyAlignment="1">
      <alignment horizontal="center" vertical="center"/>
    </xf>
    <xf numFmtId="1" fontId="14" fillId="28" borderId="51" xfId="0" applyNumberFormat="1" applyFont="1" applyFill="1" applyBorder="1" applyAlignment="1">
      <alignment horizontal="center" vertical="center"/>
    </xf>
    <xf numFmtId="1" fontId="14" fillId="28" borderId="55" xfId="0" applyNumberFormat="1" applyFont="1" applyFill="1" applyBorder="1" applyAlignment="1">
      <alignment horizontal="center" vertical="center"/>
    </xf>
    <xf numFmtId="1" fontId="14" fillId="28" borderId="54" xfId="0" applyNumberFormat="1" applyFont="1" applyFill="1" applyBorder="1" applyAlignment="1">
      <alignment horizontal="center" vertical="center"/>
    </xf>
    <xf numFmtId="1" fontId="14" fillId="28" borderId="49" xfId="0" applyNumberFormat="1" applyFont="1" applyFill="1" applyBorder="1" applyAlignment="1">
      <alignment horizontal="center" vertical="center"/>
    </xf>
    <xf numFmtId="10" fontId="6" fillId="3" borderId="44" xfId="0" applyNumberFormat="1" applyFont="1" applyFill="1" applyBorder="1" applyAlignment="1">
      <alignment horizontal="center" vertical="center"/>
    </xf>
    <xf numFmtId="0" fontId="6" fillId="5" borderId="54" xfId="0" applyFont="1" applyFill="1" applyBorder="1" applyAlignment="1">
      <alignment horizontal="center" vertical="center"/>
    </xf>
    <xf numFmtId="10" fontId="6" fillId="3" borderId="57" xfId="0" applyNumberFormat="1" applyFont="1" applyFill="1" applyBorder="1" applyAlignment="1">
      <alignment horizontal="center" vertical="center"/>
    </xf>
    <xf numFmtId="10" fontId="6" fillId="3" borderId="9" xfId="0" applyNumberFormat="1" applyFont="1" applyFill="1" applyBorder="1" applyAlignment="1">
      <alignment horizontal="center" vertical="center"/>
    </xf>
    <xf numFmtId="10" fontId="6" fillId="3" borderId="10" xfId="0" applyNumberFormat="1" applyFont="1" applyFill="1" applyBorder="1" applyAlignment="1">
      <alignment horizontal="center" vertical="center"/>
    </xf>
    <xf numFmtId="10" fontId="6" fillId="3" borderId="23" xfId="0" applyNumberFormat="1" applyFont="1" applyFill="1" applyBorder="1" applyAlignment="1">
      <alignment horizontal="center" vertical="center"/>
    </xf>
    <xf numFmtId="166" fontId="0" fillId="0" borderId="15" xfId="0" applyNumberFormat="1" applyBorder="1" applyAlignment="1">
      <alignment horizontal="center"/>
    </xf>
    <xf numFmtId="0" fontId="0" fillId="2" borderId="16" xfId="0" applyFill="1" applyBorder="1" applyAlignment="1">
      <alignment horizontal="center"/>
    </xf>
    <xf numFmtId="0" fontId="0" fillId="2" borderId="42" xfId="0" applyFill="1" applyBorder="1" applyAlignment="1">
      <alignment horizontal="center"/>
    </xf>
    <xf numFmtId="0" fontId="0" fillId="2" borderId="18" xfId="0" applyFill="1" applyBorder="1" applyAlignment="1">
      <alignment horizontal="center"/>
    </xf>
    <xf numFmtId="0" fontId="0" fillId="2" borderId="52" xfId="0" applyFill="1" applyBorder="1" applyAlignment="1">
      <alignment horizontal="center"/>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19" xfId="0" applyFill="1" applyBorder="1" applyAlignment="1">
      <alignment horizontal="center"/>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38" xfId="0" applyFill="1" applyBorder="1" applyAlignment="1">
      <alignment horizontal="center" vertical="center" wrapText="1"/>
    </xf>
    <xf numFmtId="0" fontId="0" fillId="0" borderId="15" xfId="0" applyBorder="1" applyAlignment="1">
      <alignment horizontal="center"/>
    </xf>
    <xf numFmtId="0" fontId="0" fillId="2" borderId="17" xfId="0" applyFill="1" applyBorder="1" applyAlignment="1">
      <alignment horizontal="center"/>
    </xf>
    <xf numFmtId="0" fontId="0" fillId="2" borderId="20" xfId="0" applyFill="1" applyBorder="1" applyAlignment="1">
      <alignment horizontal="center" wrapText="1"/>
    </xf>
    <xf numFmtId="0" fontId="0" fillId="2" borderId="21" xfId="0" applyFill="1" applyBorder="1" applyAlignment="1">
      <alignment horizontal="center" wrapText="1"/>
    </xf>
    <xf numFmtId="0" fontId="0" fillId="2" borderId="22" xfId="0" applyFill="1" applyBorder="1" applyAlignment="1">
      <alignment horizontal="center" wrapText="1"/>
    </xf>
    <xf numFmtId="0" fontId="0" fillId="2" borderId="23" xfId="0" applyFill="1" applyBorder="1" applyAlignment="1">
      <alignment horizontal="center" vertical="center" wrapText="1"/>
    </xf>
    <xf numFmtId="0" fontId="0" fillId="2" borderId="24" xfId="0" applyFill="1" applyBorder="1" applyAlignment="1">
      <alignment horizontal="center" vertical="center" wrapText="1"/>
    </xf>
    <xf numFmtId="0" fontId="6" fillId="2" borderId="16" xfId="0" applyFont="1" applyFill="1" applyBorder="1" applyAlignment="1">
      <alignment horizontal="center"/>
    </xf>
    <xf numFmtId="0" fontId="6" fillId="2" borderId="17" xfId="0" applyFont="1" applyFill="1" applyBorder="1" applyAlignment="1">
      <alignment horizontal="center"/>
    </xf>
    <xf numFmtId="0" fontId="6" fillId="2" borderId="18" xfId="0" applyFont="1" applyFill="1" applyBorder="1" applyAlignment="1">
      <alignment horizontal="center"/>
    </xf>
    <xf numFmtId="0" fontId="6" fillId="2" borderId="19" xfId="0" applyFont="1" applyFill="1" applyBorder="1" applyAlignment="1">
      <alignment horizontal="center"/>
    </xf>
    <xf numFmtId="0" fontId="6" fillId="2" borderId="20" xfId="0" applyFont="1" applyFill="1" applyBorder="1" applyAlignment="1">
      <alignment horizontal="center" wrapText="1"/>
    </xf>
    <xf numFmtId="0" fontId="6" fillId="2" borderId="21" xfId="0" applyFont="1" applyFill="1" applyBorder="1" applyAlignment="1">
      <alignment horizontal="center" wrapText="1"/>
    </xf>
    <xf numFmtId="0" fontId="6" fillId="2" borderId="22" xfId="0" applyFont="1" applyFill="1" applyBorder="1" applyAlignment="1">
      <alignment horizont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0" fillId="0" borderId="0" xfId="0" applyFill="1" applyBorder="1" applyAlignment="1">
      <alignment horizontal="center" vertical="center" wrapText="1"/>
    </xf>
    <xf numFmtId="164" fontId="0" fillId="0" borderId="0" xfId="0" applyNumberFormat="1" applyAlignment="1">
      <alignment horizontal="left" wrapText="1"/>
    </xf>
    <xf numFmtId="0" fontId="0" fillId="0" borderId="0" xfId="0" applyAlignment="1">
      <alignment horizontal="left" wrapText="1"/>
    </xf>
    <xf numFmtId="0" fontId="0" fillId="0" borderId="0" xfId="0" applyAlignment="1">
      <alignment wrapText="1"/>
    </xf>
    <xf numFmtId="0" fontId="0" fillId="0" borderId="0" xfId="0" applyAlignment="1">
      <alignment horizontal="center"/>
    </xf>
  </cellXfs>
  <cellStyles count="671">
    <cellStyle name="%" xfId="9"/>
    <cellStyle name="0,0_x000d__x000a_NA_x000d__x000a_" xfId="2"/>
    <cellStyle name="20% - Accent1 10" xfId="10"/>
    <cellStyle name="20% - Accent1 2" xfId="11"/>
    <cellStyle name="20% - Accent1 3" xfId="12"/>
    <cellStyle name="20% - Accent1 4" xfId="13"/>
    <cellStyle name="20% - Accent1 5" xfId="14"/>
    <cellStyle name="20% - Accent1 6" xfId="15"/>
    <cellStyle name="20% - Accent1 7" xfId="16"/>
    <cellStyle name="20% - Accent1 8" xfId="17"/>
    <cellStyle name="20% - Accent1 9" xfId="18"/>
    <cellStyle name="20% - Accent2 10" xfId="19"/>
    <cellStyle name="20% - Accent2 2" xfId="20"/>
    <cellStyle name="20% - Accent2 3" xfId="21"/>
    <cellStyle name="20% - Accent2 4" xfId="22"/>
    <cellStyle name="20% - Accent2 5" xfId="23"/>
    <cellStyle name="20% - Accent2 6" xfId="24"/>
    <cellStyle name="20% - Accent2 7" xfId="25"/>
    <cellStyle name="20% - Accent2 8" xfId="26"/>
    <cellStyle name="20% - Accent2 9" xfId="27"/>
    <cellStyle name="20% - Accent3 10" xfId="28"/>
    <cellStyle name="20% - Accent3 2" xfId="29"/>
    <cellStyle name="20% - Accent3 3" xfId="30"/>
    <cellStyle name="20% - Accent3 4" xfId="31"/>
    <cellStyle name="20% - Accent3 5" xfId="32"/>
    <cellStyle name="20% - Accent3 6" xfId="33"/>
    <cellStyle name="20% - Accent3 7" xfId="34"/>
    <cellStyle name="20% - Accent3 8" xfId="35"/>
    <cellStyle name="20% - Accent3 9" xfId="36"/>
    <cellStyle name="20% - Accent4 10" xfId="37"/>
    <cellStyle name="20% - Accent4 2" xfId="38"/>
    <cellStyle name="20% - Accent4 3" xfId="39"/>
    <cellStyle name="20% - Accent4 4" xfId="40"/>
    <cellStyle name="20% - Accent4 5" xfId="41"/>
    <cellStyle name="20% - Accent4 6" xfId="42"/>
    <cellStyle name="20% - Accent4 7" xfId="43"/>
    <cellStyle name="20% - Accent4 8" xfId="44"/>
    <cellStyle name="20% - Accent4 9" xfId="45"/>
    <cellStyle name="20% - Accent5 10" xfId="46"/>
    <cellStyle name="20% - Accent5 2" xfId="47"/>
    <cellStyle name="20% - Accent5 3" xfId="48"/>
    <cellStyle name="20% - Accent5 4" xfId="49"/>
    <cellStyle name="20% - Accent5 5" xfId="50"/>
    <cellStyle name="20% - Accent5 6" xfId="51"/>
    <cellStyle name="20% - Accent5 7" xfId="52"/>
    <cellStyle name="20% - Accent5 8" xfId="53"/>
    <cellStyle name="20% - Accent5 9" xfId="54"/>
    <cellStyle name="20% - Accent6 10" xfId="55"/>
    <cellStyle name="20% - Accent6 2" xfId="56"/>
    <cellStyle name="20% - Accent6 3" xfId="57"/>
    <cellStyle name="20% - Accent6 4" xfId="58"/>
    <cellStyle name="20% - Accent6 5" xfId="59"/>
    <cellStyle name="20% - Accent6 6" xfId="60"/>
    <cellStyle name="20% - Accent6 7" xfId="61"/>
    <cellStyle name="20% - Accent6 8" xfId="62"/>
    <cellStyle name="20% - Accent6 9" xfId="63"/>
    <cellStyle name="40% - Accent1 10" xfId="64"/>
    <cellStyle name="40% - Accent1 2" xfId="65"/>
    <cellStyle name="40% - Accent1 3" xfId="66"/>
    <cellStyle name="40% - Accent1 4" xfId="67"/>
    <cellStyle name="40% - Accent1 5" xfId="68"/>
    <cellStyle name="40% - Accent1 6" xfId="69"/>
    <cellStyle name="40% - Accent1 7" xfId="70"/>
    <cellStyle name="40% - Accent1 8" xfId="71"/>
    <cellStyle name="40% - Accent1 9" xfId="72"/>
    <cellStyle name="40% - Accent2 10" xfId="73"/>
    <cellStyle name="40% - Accent2 2" xfId="74"/>
    <cellStyle name="40% - Accent2 3" xfId="75"/>
    <cellStyle name="40% - Accent2 4" xfId="76"/>
    <cellStyle name="40% - Accent2 5" xfId="77"/>
    <cellStyle name="40% - Accent2 6" xfId="78"/>
    <cellStyle name="40% - Accent2 7" xfId="79"/>
    <cellStyle name="40% - Accent2 8" xfId="80"/>
    <cellStyle name="40% - Accent2 9" xfId="81"/>
    <cellStyle name="40% - Accent3 10" xfId="82"/>
    <cellStyle name="40% - Accent3 2" xfId="83"/>
    <cellStyle name="40% - Accent3 3" xfId="84"/>
    <cellStyle name="40% - Accent3 4" xfId="85"/>
    <cellStyle name="40% - Accent3 5" xfId="86"/>
    <cellStyle name="40% - Accent3 6" xfId="87"/>
    <cellStyle name="40% - Accent3 7" xfId="88"/>
    <cellStyle name="40% - Accent3 8" xfId="89"/>
    <cellStyle name="40% - Accent3 9" xfId="90"/>
    <cellStyle name="40% - Accent4 10" xfId="91"/>
    <cellStyle name="40% - Accent4 2" xfId="92"/>
    <cellStyle name="40% - Accent4 3" xfId="93"/>
    <cellStyle name="40% - Accent4 4" xfId="94"/>
    <cellStyle name="40% - Accent4 5" xfId="95"/>
    <cellStyle name="40% - Accent4 6" xfId="96"/>
    <cellStyle name="40% - Accent4 7" xfId="97"/>
    <cellStyle name="40% - Accent4 8" xfId="98"/>
    <cellStyle name="40% - Accent4 9" xfId="99"/>
    <cellStyle name="40% - Accent5 10" xfId="100"/>
    <cellStyle name="40% - Accent5 2" xfId="101"/>
    <cellStyle name="40% - Accent5 3" xfId="102"/>
    <cellStyle name="40% - Accent5 4" xfId="103"/>
    <cellStyle name="40% - Accent5 5" xfId="104"/>
    <cellStyle name="40% - Accent5 6" xfId="105"/>
    <cellStyle name="40% - Accent5 7" xfId="106"/>
    <cellStyle name="40% - Accent5 8" xfId="107"/>
    <cellStyle name="40% - Accent5 9" xfId="108"/>
    <cellStyle name="40% - Accent6 10" xfId="109"/>
    <cellStyle name="40% - Accent6 2" xfId="110"/>
    <cellStyle name="40% - Accent6 3" xfId="111"/>
    <cellStyle name="40% - Accent6 4" xfId="112"/>
    <cellStyle name="40% - Accent6 5" xfId="113"/>
    <cellStyle name="40% - Accent6 6" xfId="114"/>
    <cellStyle name="40% - Accent6 7" xfId="115"/>
    <cellStyle name="40% - Accent6 8" xfId="116"/>
    <cellStyle name="40% - Accent6 9" xfId="117"/>
    <cellStyle name="60% - Accent1 10" xfId="118"/>
    <cellStyle name="60% - Accent1 2" xfId="119"/>
    <cellStyle name="60% - Accent1 3" xfId="120"/>
    <cellStyle name="60% - Accent1 4" xfId="121"/>
    <cellStyle name="60% - Accent1 5" xfId="122"/>
    <cellStyle name="60% - Accent1 6" xfId="123"/>
    <cellStyle name="60% - Accent1 7" xfId="124"/>
    <cellStyle name="60% - Accent1 8" xfId="125"/>
    <cellStyle name="60% - Accent1 9" xfId="126"/>
    <cellStyle name="60% - Accent2 10" xfId="127"/>
    <cellStyle name="60% - Accent2 2" xfId="128"/>
    <cellStyle name="60% - Accent2 3" xfId="129"/>
    <cellStyle name="60% - Accent2 4" xfId="130"/>
    <cellStyle name="60% - Accent2 5" xfId="131"/>
    <cellStyle name="60% - Accent2 6" xfId="132"/>
    <cellStyle name="60% - Accent2 7" xfId="133"/>
    <cellStyle name="60% - Accent2 8" xfId="134"/>
    <cellStyle name="60% - Accent2 9" xfId="135"/>
    <cellStyle name="60% - Accent3 10" xfId="136"/>
    <cellStyle name="60% - Accent3 2" xfId="137"/>
    <cellStyle name="60% - Accent3 3" xfId="138"/>
    <cellStyle name="60% - Accent3 4" xfId="139"/>
    <cellStyle name="60% - Accent3 5" xfId="140"/>
    <cellStyle name="60% - Accent3 6" xfId="141"/>
    <cellStyle name="60% - Accent3 7" xfId="142"/>
    <cellStyle name="60% - Accent3 8" xfId="143"/>
    <cellStyle name="60% - Accent3 9" xfId="144"/>
    <cellStyle name="60% - Accent4 10" xfId="145"/>
    <cellStyle name="60% - Accent4 2" xfId="146"/>
    <cellStyle name="60% - Accent4 3" xfId="147"/>
    <cellStyle name="60% - Accent4 4" xfId="148"/>
    <cellStyle name="60% - Accent4 5" xfId="149"/>
    <cellStyle name="60% - Accent4 6" xfId="150"/>
    <cellStyle name="60% - Accent4 7" xfId="151"/>
    <cellStyle name="60% - Accent4 8" xfId="152"/>
    <cellStyle name="60% - Accent4 9" xfId="153"/>
    <cellStyle name="60% - Accent5 10" xfId="154"/>
    <cellStyle name="60% - Accent5 2" xfId="155"/>
    <cellStyle name="60% - Accent5 3" xfId="156"/>
    <cellStyle name="60% - Accent5 4" xfId="157"/>
    <cellStyle name="60% - Accent5 5" xfId="158"/>
    <cellStyle name="60% - Accent5 6" xfId="159"/>
    <cellStyle name="60% - Accent5 7" xfId="160"/>
    <cellStyle name="60% - Accent5 8" xfId="161"/>
    <cellStyle name="60% - Accent5 9" xfId="162"/>
    <cellStyle name="60% - Accent6 10" xfId="163"/>
    <cellStyle name="60% - Accent6 2" xfId="164"/>
    <cellStyle name="60% - Accent6 3" xfId="165"/>
    <cellStyle name="60% - Accent6 4" xfId="166"/>
    <cellStyle name="60% - Accent6 5" xfId="167"/>
    <cellStyle name="60% - Accent6 6" xfId="168"/>
    <cellStyle name="60% - Accent6 7" xfId="169"/>
    <cellStyle name="60% - Accent6 8" xfId="170"/>
    <cellStyle name="60% - Accent6 9" xfId="171"/>
    <cellStyle name="Accent1 10" xfId="172"/>
    <cellStyle name="Accent1 2" xfId="173"/>
    <cellStyle name="Accent1 3" xfId="174"/>
    <cellStyle name="Accent1 4" xfId="175"/>
    <cellStyle name="Accent1 5" xfId="176"/>
    <cellStyle name="Accent1 6" xfId="177"/>
    <cellStyle name="Accent1 7" xfId="178"/>
    <cellStyle name="Accent1 8" xfId="179"/>
    <cellStyle name="Accent1 9" xfId="180"/>
    <cellStyle name="Accent2 10" xfId="181"/>
    <cellStyle name="Accent2 2" xfId="182"/>
    <cellStyle name="Accent2 3" xfId="183"/>
    <cellStyle name="Accent2 4" xfId="184"/>
    <cellStyle name="Accent2 5" xfId="185"/>
    <cellStyle name="Accent2 6" xfId="186"/>
    <cellStyle name="Accent2 7" xfId="187"/>
    <cellStyle name="Accent2 8" xfId="188"/>
    <cellStyle name="Accent2 9" xfId="189"/>
    <cellStyle name="Accent3 10" xfId="190"/>
    <cellStyle name="Accent3 2" xfId="191"/>
    <cellStyle name="Accent3 3" xfId="192"/>
    <cellStyle name="Accent3 4" xfId="193"/>
    <cellStyle name="Accent3 5" xfId="194"/>
    <cellStyle name="Accent3 6" xfId="195"/>
    <cellStyle name="Accent3 7" xfId="196"/>
    <cellStyle name="Accent3 8" xfId="197"/>
    <cellStyle name="Accent3 9" xfId="198"/>
    <cellStyle name="Accent4 10" xfId="199"/>
    <cellStyle name="Accent4 2" xfId="200"/>
    <cellStyle name="Accent4 3" xfId="201"/>
    <cellStyle name="Accent4 4" xfId="202"/>
    <cellStyle name="Accent4 5" xfId="203"/>
    <cellStyle name="Accent4 6" xfId="204"/>
    <cellStyle name="Accent4 7" xfId="205"/>
    <cellStyle name="Accent4 8" xfId="206"/>
    <cellStyle name="Accent4 9" xfId="207"/>
    <cellStyle name="Accent5 10" xfId="208"/>
    <cellStyle name="Accent5 2" xfId="209"/>
    <cellStyle name="Accent5 3" xfId="210"/>
    <cellStyle name="Accent5 4" xfId="211"/>
    <cellStyle name="Accent5 5" xfId="212"/>
    <cellStyle name="Accent5 6" xfId="213"/>
    <cellStyle name="Accent5 7" xfId="214"/>
    <cellStyle name="Accent5 8" xfId="215"/>
    <cellStyle name="Accent5 9" xfId="216"/>
    <cellStyle name="Accent6 10" xfId="217"/>
    <cellStyle name="Accent6 2" xfId="218"/>
    <cellStyle name="Accent6 3" xfId="219"/>
    <cellStyle name="Accent6 4" xfId="220"/>
    <cellStyle name="Accent6 5" xfId="221"/>
    <cellStyle name="Accent6 6" xfId="222"/>
    <cellStyle name="Accent6 7" xfId="223"/>
    <cellStyle name="Accent6 8" xfId="224"/>
    <cellStyle name="Accent6 9" xfId="225"/>
    <cellStyle name="Bad 10" xfId="226"/>
    <cellStyle name="Bad 2" xfId="227"/>
    <cellStyle name="Bad 3" xfId="228"/>
    <cellStyle name="Bad 4" xfId="229"/>
    <cellStyle name="Bad 5" xfId="230"/>
    <cellStyle name="Bad 6" xfId="231"/>
    <cellStyle name="Bad 7" xfId="232"/>
    <cellStyle name="Bad 8" xfId="233"/>
    <cellStyle name="Bad 9" xfId="234"/>
    <cellStyle name="Calculation 10" xfId="235"/>
    <cellStyle name="Calculation 10 2" xfId="392"/>
    <cellStyle name="Calculation 10 3" xfId="460"/>
    <cellStyle name="Calculation 10 4" xfId="524"/>
    <cellStyle name="Calculation 10 5" xfId="599"/>
    <cellStyle name="Calculation 2" xfId="236"/>
    <cellStyle name="Calculation 2 2" xfId="393"/>
    <cellStyle name="Calculation 2 3" xfId="461"/>
    <cellStyle name="Calculation 2 4" xfId="525"/>
    <cellStyle name="Calculation 2 5" xfId="600"/>
    <cellStyle name="Calculation 3" xfId="237"/>
    <cellStyle name="Calculation 3 2" xfId="394"/>
    <cellStyle name="Calculation 3 3" xfId="462"/>
    <cellStyle name="Calculation 3 4" xfId="526"/>
    <cellStyle name="Calculation 3 5" xfId="601"/>
    <cellStyle name="Calculation 4" xfId="238"/>
    <cellStyle name="Calculation 4 2" xfId="395"/>
    <cellStyle name="Calculation 4 3" xfId="463"/>
    <cellStyle name="Calculation 4 4" xfId="527"/>
    <cellStyle name="Calculation 4 5" xfId="602"/>
    <cellStyle name="Calculation 5" xfId="239"/>
    <cellStyle name="Calculation 5 2" xfId="396"/>
    <cellStyle name="Calculation 5 3" xfId="464"/>
    <cellStyle name="Calculation 5 4" xfId="528"/>
    <cellStyle name="Calculation 5 5" xfId="603"/>
    <cellStyle name="Calculation 6" xfId="240"/>
    <cellStyle name="Calculation 6 2" xfId="397"/>
    <cellStyle name="Calculation 6 3" xfId="465"/>
    <cellStyle name="Calculation 6 4" xfId="529"/>
    <cellStyle name="Calculation 6 5" xfId="604"/>
    <cellStyle name="Calculation 7" xfId="241"/>
    <cellStyle name="Calculation 7 2" xfId="398"/>
    <cellStyle name="Calculation 7 3" xfId="466"/>
    <cellStyle name="Calculation 7 4" xfId="530"/>
    <cellStyle name="Calculation 7 5" xfId="605"/>
    <cellStyle name="Calculation 8" xfId="242"/>
    <cellStyle name="Calculation 8 2" xfId="399"/>
    <cellStyle name="Calculation 8 3" xfId="467"/>
    <cellStyle name="Calculation 8 4" xfId="531"/>
    <cellStyle name="Calculation 8 5" xfId="606"/>
    <cellStyle name="Calculation 9" xfId="243"/>
    <cellStyle name="Calculation 9 2" xfId="400"/>
    <cellStyle name="Calculation 9 3" xfId="468"/>
    <cellStyle name="Calculation 9 4" xfId="532"/>
    <cellStyle name="Calculation 9 5" xfId="607"/>
    <cellStyle name="Check Cell 10" xfId="244"/>
    <cellStyle name="Check Cell 2" xfId="245"/>
    <cellStyle name="Check Cell 3" xfId="246"/>
    <cellStyle name="Check Cell 4" xfId="247"/>
    <cellStyle name="Check Cell 5" xfId="248"/>
    <cellStyle name="Check Cell 6" xfId="249"/>
    <cellStyle name="Check Cell 7" xfId="250"/>
    <cellStyle name="Check Cell 8" xfId="251"/>
    <cellStyle name="Check Cell 9" xfId="252"/>
    <cellStyle name="Explanatory Text 10" xfId="253"/>
    <cellStyle name="Explanatory Text 2" xfId="254"/>
    <cellStyle name="Explanatory Text 3" xfId="255"/>
    <cellStyle name="Explanatory Text 4" xfId="256"/>
    <cellStyle name="Explanatory Text 5" xfId="257"/>
    <cellStyle name="Explanatory Text 6" xfId="258"/>
    <cellStyle name="Explanatory Text 7" xfId="259"/>
    <cellStyle name="Explanatory Text 8" xfId="260"/>
    <cellStyle name="Explanatory Text 9" xfId="261"/>
    <cellStyle name="Good 10" xfId="262"/>
    <cellStyle name="Good 2" xfId="263"/>
    <cellStyle name="Good 3" xfId="264"/>
    <cellStyle name="Good 4" xfId="265"/>
    <cellStyle name="Good 5" xfId="266"/>
    <cellStyle name="Good 6" xfId="267"/>
    <cellStyle name="Good 7" xfId="268"/>
    <cellStyle name="Good 8" xfId="269"/>
    <cellStyle name="Good 9" xfId="270"/>
    <cellStyle name="Heading 1 10" xfId="271"/>
    <cellStyle name="Heading 1 2" xfId="272"/>
    <cellStyle name="Heading 1 3" xfId="273"/>
    <cellStyle name="Heading 1 4" xfId="274"/>
    <cellStyle name="Heading 1 5" xfId="275"/>
    <cellStyle name="Heading 1 6" xfId="276"/>
    <cellStyle name="Heading 1 7" xfId="277"/>
    <cellStyle name="Heading 1 8" xfId="278"/>
    <cellStyle name="Heading 1 9" xfId="279"/>
    <cellStyle name="Heading 2 10" xfId="280"/>
    <cellStyle name="Heading 2 2" xfId="281"/>
    <cellStyle name="Heading 2 3" xfId="282"/>
    <cellStyle name="Heading 2 4" xfId="283"/>
    <cellStyle name="Heading 2 5" xfId="284"/>
    <cellStyle name="Heading 2 6" xfId="285"/>
    <cellStyle name="Heading 2 7" xfId="286"/>
    <cellStyle name="Heading 2 8" xfId="287"/>
    <cellStyle name="Heading 2 9" xfId="288"/>
    <cellStyle name="Heading 3 10" xfId="289"/>
    <cellStyle name="Heading 3 2" xfId="290"/>
    <cellStyle name="Heading 3 3" xfId="291"/>
    <cellStyle name="Heading 3 4" xfId="292"/>
    <cellStyle name="Heading 3 5" xfId="293"/>
    <cellStyle name="Heading 3 6" xfId="294"/>
    <cellStyle name="Heading 3 7" xfId="295"/>
    <cellStyle name="Heading 3 8" xfId="296"/>
    <cellStyle name="Heading 3 9" xfId="297"/>
    <cellStyle name="Heading 4 10" xfId="298"/>
    <cellStyle name="Heading 4 2" xfId="299"/>
    <cellStyle name="Heading 4 3" xfId="300"/>
    <cellStyle name="Heading 4 4" xfId="301"/>
    <cellStyle name="Heading 4 5" xfId="302"/>
    <cellStyle name="Heading 4 6" xfId="303"/>
    <cellStyle name="Heading 4 7" xfId="304"/>
    <cellStyle name="Heading 4 8" xfId="305"/>
    <cellStyle name="Heading 4 9" xfId="306"/>
    <cellStyle name="Input 10" xfId="307"/>
    <cellStyle name="Input 10 2" xfId="401"/>
    <cellStyle name="Input 10 3" xfId="469"/>
    <cellStyle name="Input 10 4" xfId="533"/>
    <cellStyle name="Input 10 5" xfId="608"/>
    <cellStyle name="Input 2" xfId="308"/>
    <cellStyle name="Input 2 2" xfId="402"/>
    <cellStyle name="Input 2 3" xfId="470"/>
    <cellStyle name="Input 2 4" xfId="534"/>
    <cellStyle name="Input 2 5" xfId="609"/>
    <cellStyle name="Input 3" xfId="309"/>
    <cellStyle name="Input 3 2" xfId="403"/>
    <cellStyle name="Input 3 3" xfId="471"/>
    <cellStyle name="Input 3 4" xfId="535"/>
    <cellStyle name="Input 3 5" xfId="610"/>
    <cellStyle name="Input 4" xfId="310"/>
    <cellStyle name="Input 4 2" xfId="404"/>
    <cellStyle name="Input 4 3" xfId="472"/>
    <cellStyle name="Input 4 4" xfId="536"/>
    <cellStyle name="Input 4 5" xfId="611"/>
    <cellStyle name="Input 5" xfId="311"/>
    <cellStyle name="Input 5 2" xfId="405"/>
    <cellStyle name="Input 5 3" xfId="473"/>
    <cellStyle name="Input 5 4" xfId="537"/>
    <cellStyle name="Input 5 5" xfId="612"/>
    <cellStyle name="Input 6" xfId="312"/>
    <cellStyle name="Input 6 2" xfId="406"/>
    <cellStyle name="Input 6 3" xfId="474"/>
    <cellStyle name="Input 6 4" xfId="538"/>
    <cellStyle name="Input 6 5" xfId="613"/>
    <cellStyle name="Input 7" xfId="313"/>
    <cellStyle name="Input 7 2" xfId="407"/>
    <cellStyle name="Input 7 3" xfId="475"/>
    <cellStyle name="Input 7 4" xfId="539"/>
    <cellStyle name="Input 7 5" xfId="614"/>
    <cellStyle name="Input 8" xfId="314"/>
    <cellStyle name="Input 8 2" xfId="408"/>
    <cellStyle name="Input 8 3" xfId="476"/>
    <cellStyle name="Input 8 4" xfId="540"/>
    <cellStyle name="Input 8 5" xfId="615"/>
    <cellStyle name="Input 9" xfId="315"/>
    <cellStyle name="Input 9 2" xfId="409"/>
    <cellStyle name="Input 9 3" xfId="477"/>
    <cellStyle name="Input 9 4" xfId="541"/>
    <cellStyle name="Input 9 5" xfId="616"/>
    <cellStyle name="Linked Cell 10" xfId="316"/>
    <cellStyle name="Linked Cell 2" xfId="317"/>
    <cellStyle name="Linked Cell 3" xfId="318"/>
    <cellStyle name="Linked Cell 4" xfId="319"/>
    <cellStyle name="Linked Cell 5" xfId="320"/>
    <cellStyle name="Linked Cell 6" xfId="321"/>
    <cellStyle name="Linked Cell 7" xfId="322"/>
    <cellStyle name="Linked Cell 8" xfId="323"/>
    <cellStyle name="Linked Cell 9" xfId="324"/>
    <cellStyle name="Neutral 10" xfId="325"/>
    <cellStyle name="Neutral 2" xfId="326"/>
    <cellStyle name="Neutral 3" xfId="327"/>
    <cellStyle name="Neutral 4" xfId="328"/>
    <cellStyle name="Neutral 5" xfId="329"/>
    <cellStyle name="Neutral 6" xfId="330"/>
    <cellStyle name="Neutral 7" xfId="331"/>
    <cellStyle name="Neutral 8" xfId="332"/>
    <cellStyle name="Neutral 9" xfId="333"/>
    <cellStyle name="Normal" xfId="0" builtinId="0"/>
    <cellStyle name="Normal 10" xfId="459"/>
    <cellStyle name="Normal 11" xfId="523"/>
    <cellStyle name="Normal 12" xfId="570"/>
    <cellStyle name="Normal 13" xfId="598"/>
    <cellStyle name="Normal 2" xfId="1"/>
    <cellStyle name="Normal 2 2" xfId="3"/>
    <cellStyle name="Normal 2 2 2" xfId="4"/>
    <cellStyle name="Normal 2 2 2 2" xfId="388"/>
    <cellStyle name="Normal 2 2 2 2 2" xfId="389"/>
    <cellStyle name="Normal 2 2 2 2 2 2" xfId="446"/>
    <cellStyle name="Normal 2 2 2 2 2 2 2" xfId="447"/>
    <cellStyle name="Normal 2 2 2 2 2 2 2 2" xfId="456"/>
    <cellStyle name="Normal 2 2 2 2 2 2 2 2 2" xfId="457"/>
    <cellStyle name="Normal 2 2 2 2 2 2 2 2 2 2" xfId="596"/>
    <cellStyle name="Normal 2 2 2 2 2 2 2 2 2 2 2" xfId="597"/>
    <cellStyle name="Normal 2 2 2 2 2 2 2 3" xfId="522"/>
    <cellStyle name="Normal 2 2 2 2 2 2 2 4" xfId="587"/>
    <cellStyle name="Normal 2 2 2 2 2 2 2 5" xfId="661"/>
    <cellStyle name="Normal 2 2 2 2 2 2 3" xfId="521"/>
    <cellStyle name="Normal 2 2 2 2 2 2 3 2" xfId="594"/>
    <cellStyle name="Normal 2 2 2 2 2 2 4" xfId="586"/>
    <cellStyle name="Normal 2 2 2 2 2 2 5" xfId="660"/>
    <cellStyle name="Normal 2 2 2 2 2 3" xfId="514"/>
    <cellStyle name="Normal 2 2 2 2 2 3 2" xfId="593"/>
    <cellStyle name="Normal 2 2 2 2 2 4" xfId="579"/>
    <cellStyle name="Normal 2 2 2 2 2 5" xfId="653"/>
    <cellStyle name="Normal 2 2 2 2 3" xfId="450"/>
    <cellStyle name="Normal 2 2 2 2 4" xfId="513"/>
    <cellStyle name="Normal 2 2 2 2 4 2" xfId="591"/>
    <cellStyle name="Normal 2 2 2 2 5" xfId="578"/>
    <cellStyle name="Normal 2 2 2 2 6" xfId="652"/>
    <cellStyle name="Normal 2 2 2 3" xfId="440"/>
    <cellStyle name="Normal 2 2 2 3 2" xfId="449"/>
    <cellStyle name="Normal 2 2 2 3 2 2" xfId="453"/>
    <cellStyle name="Normal 2 2 2 3 2 3" xfId="518"/>
    <cellStyle name="Normal 2 2 2 3 2 4" xfId="583"/>
    <cellStyle name="Normal 2 2 2 3 2 5" xfId="657"/>
    <cellStyle name="Normal 2 2 2 3 3" xfId="515"/>
    <cellStyle name="Normal 2 2 2 3 4" xfId="580"/>
    <cellStyle name="Normal 2 2 2 3 5" xfId="654"/>
    <cellStyle name="Normal 2 2 2 4" xfId="508"/>
    <cellStyle name="Normal 2 2 2 4 2" xfId="590"/>
    <cellStyle name="Normal 2 2 2 5" xfId="573"/>
    <cellStyle name="Normal 2 2 2 6" xfId="647"/>
    <cellStyle name="Normal 2 2 3" xfId="335"/>
    <cellStyle name="Normal 2 2 3 2" xfId="439"/>
    <cellStyle name="Normal 2 2 3 2 2" xfId="444"/>
    <cellStyle name="Normal 2 2 3 2 2 2" xfId="452"/>
    <cellStyle name="Normal 2 2 3 2 2 2 2" xfId="455"/>
    <cellStyle name="Normal 2 2 3 2 2 3" xfId="520"/>
    <cellStyle name="Normal 2 2 3 2 2 4" xfId="585"/>
    <cellStyle name="Normal 2 2 3 2 2 5" xfId="659"/>
    <cellStyle name="Normal 2 2 3 2 3" xfId="517"/>
    <cellStyle name="Normal 2 2 3 2 4" xfId="582"/>
    <cellStyle name="Normal 2 2 3 2 5" xfId="656"/>
    <cellStyle name="Normal 2 2 3 3" xfId="511"/>
    <cellStyle name="Normal 2 2 3 4" xfId="576"/>
    <cellStyle name="Normal 2 2 3 5" xfId="650"/>
    <cellStyle name="Normal 2 2 4" xfId="443"/>
    <cellStyle name="Normal 2 2 5" xfId="507"/>
    <cellStyle name="Normal 2 2 5 2" xfId="589"/>
    <cellStyle name="Normal 2 2 6" xfId="572"/>
    <cellStyle name="Normal 2 2 7" xfId="646"/>
    <cellStyle name="Normal 2 3" xfId="334"/>
    <cellStyle name="Normal 2 3 2" xfId="386"/>
    <cellStyle name="Normal 2 3 2 2" xfId="442"/>
    <cellStyle name="Normal 2 3 2 2 2" xfId="451"/>
    <cellStyle name="Normal 2 3 2 2 2 2" xfId="454"/>
    <cellStyle name="Normal 2 3 2 2 3" xfId="519"/>
    <cellStyle name="Normal 2 3 2 2 4" xfId="584"/>
    <cellStyle name="Normal 2 3 2 2 5" xfId="658"/>
    <cellStyle name="Normal 2 3 2 3" xfId="516"/>
    <cellStyle name="Normal 2 3 2 4" xfId="581"/>
    <cellStyle name="Normal 2 3 2 5" xfId="655"/>
    <cellStyle name="Normal 2 3 3" xfId="510"/>
    <cellStyle name="Normal 2 3 4" xfId="575"/>
    <cellStyle name="Normal 2 3 5" xfId="649"/>
    <cellStyle name="Normal 2 4" xfId="410"/>
    <cellStyle name="Normal 2 4 2" xfId="445"/>
    <cellStyle name="Normal 2 4 3" xfId="512"/>
    <cellStyle name="Normal 2 4 4" xfId="577"/>
    <cellStyle name="Normal 2 4 5" xfId="651"/>
    <cellStyle name="Normal 2 5" xfId="478"/>
    <cellStyle name="Normal 2 5 2" xfId="588"/>
    <cellStyle name="Normal 2 6" xfId="542"/>
    <cellStyle name="Normal 2 7" xfId="617"/>
    <cellStyle name="Normal 27" xfId="336"/>
    <cellStyle name="Normal 3" xfId="5"/>
    <cellStyle name="Normal 3 2" xfId="337"/>
    <cellStyle name="Normal 3 2 2" xfId="387"/>
    <cellStyle name="Normal 3 2 2 2" xfId="390"/>
    <cellStyle name="Normal 3 2 2 3" xfId="663"/>
    <cellStyle name="Normal 3 2 3" xfId="441"/>
    <cellStyle name="Normal 3 2 4" xfId="509"/>
    <cellStyle name="Normal 3 2 5" xfId="574"/>
    <cellStyle name="Normal 3 2 6" xfId="648"/>
    <cellStyle name="Normal 3 3" xfId="438"/>
    <cellStyle name="Normal 3 3 2" xfId="592"/>
    <cellStyle name="Normal 3 3 2 2" xfId="668"/>
    <cellStyle name="Normal 3 3 3" xfId="664"/>
    <cellStyle name="Normal 3 4" xfId="448"/>
    <cellStyle name="Normal 3 4 2" xfId="595"/>
    <cellStyle name="Normal 3 4 2 2" xfId="669"/>
    <cellStyle name="Normal 3 4 3" xfId="665"/>
    <cellStyle name="Normal 3 5" xfId="506"/>
    <cellStyle name="Normal 3 5 2" xfId="666"/>
    <cellStyle name="Normal 3 6" xfId="571"/>
    <cellStyle name="Normal 3 6 2" xfId="667"/>
    <cellStyle name="Normal 3 7" xfId="645"/>
    <cellStyle name="Normal 3 7 2" xfId="670"/>
    <cellStyle name="Normal 4" xfId="8"/>
    <cellStyle name="Normal 4 2" xfId="385"/>
    <cellStyle name="Normal 4 3" xfId="662"/>
    <cellStyle name="Normal 5" xfId="338"/>
    <cellStyle name="Normal 6" xfId="339"/>
    <cellStyle name="Normal 7" xfId="6"/>
    <cellStyle name="Normal 8" xfId="391"/>
    <cellStyle name="Normal 9" xfId="458"/>
    <cellStyle name="Note 10" xfId="340"/>
    <cellStyle name="Note 10 2" xfId="411"/>
    <cellStyle name="Note 10 3" xfId="479"/>
    <cellStyle name="Note 10 4" xfId="543"/>
    <cellStyle name="Note 10 5" xfId="618"/>
    <cellStyle name="Note 2" xfId="341"/>
    <cellStyle name="Note 2 2" xfId="412"/>
    <cellStyle name="Note 2 3" xfId="480"/>
    <cellStyle name="Note 2 4" xfId="544"/>
    <cellStyle name="Note 2 5" xfId="619"/>
    <cellStyle name="Note 3" xfId="342"/>
    <cellStyle name="Note 3 2" xfId="413"/>
    <cellStyle name="Note 3 3" xfId="481"/>
    <cellStyle name="Note 3 4" xfId="545"/>
    <cellStyle name="Note 3 5" xfId="620"/>
    <cellStyle name="Note 4" xfId="343"/>
    <cellStyle name="Note 4 2" xfId="414"/>
    <cellStyle name="Note 4 3" xfId="482"/>
    <cellStyle name="Note 4 4" xfId="546"/>
    <cellStyle name="Note 4 5" xfId="621"/>
    <cellStyle name="Note 5" xfId="344"/>
    <cellStyle name="Note 5 2" xfId="415"/>
    <cellStyle name="Note 5 3" xfId="483"/>
    <cellStyle name="Note 5 4" xfId="547"/>
    <cellStyle name="Note 5 5" xfId="622"/>
    <cellStyle name="Note 6" xfId="345"/>
    <cellStyle name="Note 6 2" xfId="416"/>
    <cellStyle name="Note 6 3" xfId="484"/>
    <cellStyle name="Note 6 4" xfId="548"/>
    <cellStyle name="Note 6 5" xfId="623"/>
    <cellStyle name="Note 7" xfId="346"/>
    <cellStyle name="Note 7 2" xfId="417"/>
    <cellStyle name="Note 7 3" xfId="485"/>
    <cellStyle name="Note 7 4" xfId="549"/>
    <cellStyle name="Note 7 5" xfId="624"/>
    <cellStyle name="Note 8" xfId="347"/>
    <cellStyle name="Note 8 2" xfId="418"/>
    <cellStyle name="Note 8 3" xfId="486"/>
    <cellStyle name="Note 8 4" xfId="550"/>
    <cellStyle name="Note 8 5" xfId="625"/>
    <cellStyle name="Note 9" xfId="348"/>
    <cellStyle name="Note 9 2" xfId="419"/>
    <cellStyle name="Note 9 3" xfId="487"/>
    <cellStyle name="Note 9 4" xfId="551"/>
    <cellStyle name="Note 9 5" xfId="626"/>
    <cellStyle name="Output 10" xfId="349"/>
    <cellStyle name="Output 10 2" xfId="420"/>
    <cellStyle name="Output 10 3" xfId="488"/>
    <cellStyle name="Output 10 4" xfId="552"/>
    <cellStyle name="Output 10 5" xfId="627"/>
    <cellStyle name="Output 2" xfId="350"/>
    <cellStyle name="Output 2 2" xfId="421"/>
    <cellStyle name="Output 2 3" xfId="489"/>
    <cellStyle name="Output 2 4" xfId="553"/>
    <cellStyle name="Output 2 5" xfId="628"/>
    <cellStyle name="Output 3" xfId="351"/>
    <cellStyle name="Output 3 2" xfId="422"/>
    <cellStyle name="Output 3 3" xfId="490"/>
    <cellStyle name="Output 3 4" xfId="554"/>
    <cellStyle name="Output 3 5" xfId="629"/>
    <cellStyle name="Output 4" xfId="352"/>
    <cellStyle name="Output 4 2" xfId="423"/>
    <cellStyle name="Output 4 3" xfId="491"/>
    <cellStyle name="Output 4 4" xfId="555"/>
    <cellStyle name="Output 4 5" xfId="630"/>
    <cellStyle name="Output 5" xfId="353"/>
    <cellStyle name="Output 5 2" xfId="424"/>
    <cellStyle name="Output 5 3" xfId="492"/>
    <cellStyle name="Output 5 4" xfId="556"/>
    <cellStyle name="Output 5 5" xfId="631"/>
    <cellStyle name="Output 6" xfId="354"/>
    <cellStyle name="Output 6 2" xfId="425"/>
    <cellStyle name="Output 6 3" xfId="493"/>
    <cellStyle name="Output 6 4" xfId="557"/>
    <cellStyle name="Output 6 5" xfId="632"/>
    <cellStyle name="Output 7" xfId="355"/>
    <cellStyle name="Output 7 2" xfId="426"/>
    <cellStyle name="Output 7 3" xfId="494"/>
    <cellStyle name="Output 7 4" xfId="558"/>
    <cellStyle name="Output 7 5" xfId="633"/>
    <cellStyle name="Output 8" xfId="356"/>
    <cellStyle name="Output 8 2" xfId="427"/>
    <cellStyle name="Output 8 3" xfId="495"/>
    <cellStyle name="Output 8 4" xfId="559"/>
    <cellStyle name="Output 8 5" xfId="634"/>
    <cellStyle name="Output 9" xfId="357"/>
    <cellStyle name="Output 9 2" xfId="428"/>
    <cellStyle name="Output 9 3" xfId="496"/>
    <cellStyle name="Output 9 4" xfId="560"/>
    <cellStyle name="Output 9 5" xfId="635"/>
    <cellStyle name="Style 1" xfId="7"/>
    <cellStyle name="Title 10" xfId="358"/>
    <cellStyle name="Title 2" xfId="359"/>
    <cellStyle name="Title 3" xfId="360"/>
    <cellStyle name="Title 4" xfId="361"/>
    <cellStyle name="Title 5" xfId="362"/>
    <cellStyle name="Title 6" xfId="363"/>
    <cellStyle name="Title 7" xfId="364"/>
    <cellStyle name="Title 8" xfId="365"/>
    <cellStyle name="Title 9" xfId="366"/>
    <cellStyle name="Total 10" xfId="367"/>
    <cellStyle name="Total 10 2" xfId="429"/>
    <cellStyle name="Total 10 3" xfId="497"/>
    <cellStyle name="Total 10 4" xfId="561"/>
    <cellStyle name="Total 10 5" xfId="636"/>
    <cellStyle name="Total 2" xfId="368"/>
    <cellStyle name="Total 2 2" xfId="430"/>
    <cellStyle name="Total 2 3" xfId="498"/>
    <cellStyle name="Total 2 4" xfId="562"/>
    <cellStyle name="Total 2 5" xfId="637"/>
    <cellStyle name="Total 3" xfId="369"/>
    <cellStyle name="Total 3 2" xfId="431"/>
    <cellStyle name="Total 3 3" xfId="499"/>
    <cellStyle name="Total 3 4" xfId="563"/>
    <cellStyle name="Total 3 5" xfId="638"/>
    <cellStyle name="Total 4" xfId="370"/>
    <cellStyle name="Total 4 2" xfId="432"/>
    <cellStyle name="Total 4 3" xfId="500"/>
    <cellStyle name="Total 4 4" xfId="564"/>
    <cellStyle name="Total 4 5" xfId="639"/>
    <cellStyle name="Total 5" xfId="371"/>
    <cellStyle name="Total 5 2" xfId="433"/>
    <cellStyle name="Total 5 3" xfId="501"/>
    <cellStyle name="Total 5 4" xfId="565"/>
    <cellStyle name="Total 5 5" xfId="640"/>
    <cellStyle name="Total 6" xfId="372"/>
    <cellStyle name="Total 6 2" xfId="434"/>
    <cellStyle name="Total 6 3" xfId="502"/>
    <cellStyle name="Total 6 4" xfId="566"/>
    <cellStyle name="Total 6 5" xfId="641"/>
    <cellStyle name="Total 7" xfId="373"/>
    <cellStyle name="Total 7 2" xfId="435"/>
    <cellStyle name="Total 7 3" xfId="503"/>
    <cellStyle name="Total 7 4" xfId="567"/>
    <cellStyle name="Total 7 5" xfId="642"/>
    <cellStyle name="Total 8" xfId="374"/>
    <cellStyle name="Total 8 2" xfId="436"/>
    <cellStyle name="Total 8 3" xfId="504"/>
    <cellStyle name="Total 8 4" xfId="568"/>
    <cellStyle name="Total 8 5" xfId="643"/>
    <cellStyle name="Total 9" xfId="375"/>
    <cellStyle name="Total 9 2" xfId="437"/>
    <cellStyle name="Total 9 3" xfId="505"/>
    <cellStyle name="Total 9 4" xfId="569"/>
    <cellStyle name="Total 9 5" xfId="644"/>
    <cellStyle name="Warning Text 10" xfId="376"/>
    <cellStyle name="Warning Text 2" xfId="377"/>
    <cellStyle name="Warning Text 3" xfId="378"/>
    <cellStyle name="Warning Text 4" xfId="379"/>
    <cellStyle name="Warning Text 5" xfId="380"/>
    <cellStyle name="Warning Text 6" xfId="381"/>
    <cellStyle name="Warning Text 7" xfId="382"/>
    <cellStyle name="Warning Text 8" xfId="383"/>
    <cellStyle name="Warning Text 9" xfId="384"/>
  </cellStyles>
  <dxfs count="1346">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ont>
        <condense val="0"/>
        <extend val="0"/>
        <color rgb="FF9C6500"/>
      </font>
      <fill>
        <patternFill>
          <bgColor rgb="FFFFEB9C"/>
        </patternFill>
      </fill>
    </dxf>
    <dxf>
      <font>
        <condense val="0"/>
        <extend val="0"/>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68"/>
          <c:y val="0.21343873517787926"/>
          <c:w val="0.74117753500911165"/>
          <c:h val="0.54062783460932429"/>
        </c:manualLayout>
      </c:layout>
      <c:lineChart>
        <c:grouping val="standard"/>
        <c:ser>
          <c:idx val="0"/>
          <c:order val="0"/>
          <c:tx>
            <c:strRef>
              <c:f>'used space Charts'!$B$2</c:f>
              <c:strCache>
                <c:ptCount val="1"/>
                <c:pt idx="0">
                  <c:v>CGC T4 V-MAX 0623</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Charts'!$B$3:$B$171</c:f>
              <c:numCache>
                <c:formatCode>0.00%</c:formatCode>
                <c:ptCount val="169"/>
                <c:pt idx="0">
                  <c:v>0.29161697777145473</c:v>
                </c:pt>
                <c:pt idx="1">
                  <c:v>0.29161697777145473</c:v>
                </c:pt>
                <c:pt idx="2">
                  <c:v>0.28230405837974448</c:v>
                </c:pt>
                <c:pt idx="3">
                  <c:v>0.27845796354334473</c:v>
                </c:pt>
                <c:pt idx="4">
                  <c:v>0.27719848080997428</c:v>
                </c:pt>
                <c:pt idx="5">
                  <c:v>0.29606143151440595</c:v>
                </c:pt>
                <c:pt idx="6">
                  <c:v>0.27254481066613107</c:v>
                </c:pt>
                <c:pt idx="7">
                  <c:v>0.32784070542191274</c:v>
                </c:pt>
                <c:pt idx="8">
                  <c:v>0.26990659185088167</c:v>
                </c:pt>
                <c:pt idx="9">
                  <c:v>0.27657292377130693</c:v>
                </c:pt>
                <c:pt idx="10">
                  <c:v>0.29319098249416636</c:v>
                </c:pt>
                <c:pt idx="11">
                  <c:v>0.30244741345763576</c:v>
                </c:pt>
                <c:pt idx="12">
                  <c:v>0.31606042727568162</c:v>
                </c:pt>
                <c:pt idx="13">
                  <c:v>0.32554420672812046</c:v>
                </c:pt>
                <c:pt idx="14">
                  <c:v>0.34118801441082564</c:v>
                </c:pt>
                <c:pt idx="15">
                  <c:v>0.34911382906462129</c:v>
                </c:pt>
                <c:pt idx="16">
                  <c:v>0.3774047681812539</c:v>
                </c:pt>
                <c:pt idx="17">
                  <c:v>0.38794090613017995</c:v>
                </c:pt>
                <c:pt idx="18">
                  <c:v>0.38902883141481887</c:v>
                </c:pt>
                <c:pt idx="19">
                  <c:v>0.43556832240526328</c:v>
                </c:pt>
                <c:pt idx="20">
                  <c:v>0.44576762194875308</c:v>
                </c:pt>
                <c:pt idx="21">
                  <c:v>0.45899219064914265</c:v>
                </c:pt>
                <c:pt idx="22">
                  <c:v>0.47138547284998761</c:v>
                </c:pt>
                <c:pt idx="23">
                  <c:v>0.48053171650898718</c:v>
                </c:pt>
                <c:pt idx="24">
                  <c:v>0.48993878328109891</c:v>
                </c:pt>
                <c:pt idx="25">
                  <c:v>0.50189061887606157</c:v>
                </c:pt>
                <c:pt idx="26">
                  <c:v>0.43732713494876291</c:v>
                </c:pt>
                <c:pt idx="27">
                  <c:v>0.44808434489463161</c:v>
                </c:pt>
                <c:pt idx="28">
                  <c:v>0.46841948167334063</c:v>
                </c:pt>
                <c:pt idx="29">
                  <c:v>0.52521336585950973</c:v>
                </c:pt>
                <c:pt idx="30">
                  <c:v>0.5821850839864372</c:v>
                </c:pt>
                <c:pt idx="31">
                  <c:v>0.659982900046167</c:v>
                </c:pt>
                <c:pt idx="32">
                  <c:v>0.65234929096561733</c:v>
                </c:pt>
                <c:pt idx="33">
                  <c:v>0.64959600312987731</c:v>
                </c:pt>
                <c:pt idx="34">
                  <c:v>0.64747873315284921</c:v>
                </c:pt>
                <c:pt idx="35">
                  <c:v>0.64612649781508336</c:v>
                </c:pt>
                <c:pt idx="36">
                  <c:v>0.63549969942577067</c:v>
                </c:pt>
                <c:pt idx="37">
                  <c:v>0.63473396739850552</c:v>
                </c:pt>
                <c:pt idx="38">
                  <c:v>0.63519075654045332</c:v>
                </c:pt>
                <c:pt idx="39">
                  <c:v>0.63507010841593892</c:v>
                </c:pt>
                <c:pt idx="40">
                  <c:v>0.63484275992696948</c:v>
                </c:pt>
                <c:pt idx="41">
                  <c:v>0.63446826256937261</c:v>
                </c:pt>
                <c:pt idx="42">
                  <c:v>0.63230845192416318</c:v>
                </c:pt>
                <c:pt idx="43">
                  <c:v>0.62737582657913049</c:v>
                </c:pt>
                <c:pt idx="44">
                  <c:v>0.62764571573628125</c:v>
                </c:pt>
                <c:pt idx="45">
                  <c:v>0.62623908413428342</c:v>
                </c:pt>
                <c:pt idx="46">
                  <c:v>0.62629905950253906</c:v>
                </c:pt>
                <c:pt idx="47">
                  <c:v>0.62544127225888146</c:v>
                </c:pt>
                <c:pt idx="48">
                  <c:v>0.62609821175768277</c:v>
                </c:pt>
                <c:pt idx="49">
                  <c:v>0.62562050097564581</c:v>
                </c:pt>
                <c:pt idx="50">
                  <c:v>0.62554378829531865</c:v>
                </c:pt>
                <c:pt idx="51">
                  <c:v>0.64901438153539726</c:v>
                </c:pt>
                <c:pt idx="52">
                  <c:v>0.64810219802750779</c:v>
                </c:pt>
                <c:pt idx="53">
                  <c:v>0.64727649063198689</c:v>
                </c:pt>
                <c:pt idx="54">
                  <c:v>0.64723116041179363</c:v>
                </c:pt>
                <c:pt idx="55">
                  <c:v>0.64724022645583223</c:v>
                </c:pt>
                <c:pt idx="56">
                  <c:v>0.64862244947772607</c:v>
                </c:pt>
                <c:pt idx="57">
                  <c:v>0.64866638492191342</c:v>
                </c:pt>
                <c:pt idx="58">
                  <c:v>0.6500367523477566</c:v>
                </c:pt>
                <c:pt idx="59">
                  <c:v>0.64877099312235942</c:v>
                </c:pt>
                <c:pt idx="60">
                  <c:v>0.80186639589420539</c:v>
                </c:pt>
                <c:pt idx="61">
                  <c:v>0.80118860130827307</c:v>
                </c:pt>
                <c:pt idx="62">
                  <c:v>0.80034330079919314</c:v>
                </c:pt>
                <c:pt idx="63">
                  <c:v>0.80005836804332353</c:v>
                </c:pt>
                <c:pt idx="64">
                  <c:v>0.80000310835733679</c:v>
                </c:pt>
                <c:pt idx="65">
                  <c:v>0.80001260611586567</c:v>
                </c:pt>
                <c:pt idx="66">
                  <c:v>0.7982529304902225</c:v>
                </c:pt>
                <c:pt idx="67">
                  <c:v>0.79747756802121972</c:v>
                </c:pt>
                <c:pt idx="68">
                  <c:v>0.79740849341373621</c:v>
                </c:pt>
                <c:pt idx="69">
                  <c:v>0.7973791367055556</c:v>
                </c:pt>
                <c:pt idx="70">
                  <c:v>0.7971874546697888</c:v>
                </c:pt>
                <c:pt idx="71">
                  <c:v>0.79435280546518283</c:v>
                </c:pt>
                <c:pt idx="72">
                  <c:v>0.79428632115548004</c:v>
                </c:pt>
                <c:pt idx="73">
                  <c:v>0.7941749383509128</c:v>
                </c:pt>
                <c:pt idx="74">
                  <c:v>0.79371213848077304</c:v>
                </c:pt>
                <c:pt idx="75">
                  <c:v>0.79188425168023979</c:v>
                </c:pt>
                <c:pt idx="76">
                  <c:v>0.79173401440896318</c:v>
                </c:pt>
                <c:pt idx="77">
                  <c:v>0.79163817339107967</c:v>
                </c:pt>
                <c:pt idx="78">
                  <c:v>0.79127984886475877</c:v>
                </c:pt>
                <c:pt idx="79">
                  <c:v>0.79121940858321071</c:v>
                </c:pt>
                <c:pt idx="80">
                  <c:v>0.79078164825828379</c:v>
                </c:pt>
                <c:pt idx="81">
                  <c:v>0.79030676033183445</c:v>
                </c:pt>
                <c:pt idx="82">
                  <c:v>0.79012112232422238</c:v>
                </c:pt>
                <c:pt idx="83">
                  <c:v>0.78856003619509429</c:v>
                </c:pt>
                <c:pt idx="84">
                  <c:v>0.78794958935145853</c:v>
                </c:pt>
                <c:pt idx="85">
                  <c:v>0.78770955509045315</c:v>
                </c:pt>
                <c:pt idx="86">
                  <c:v>0.7876983304667371</c:v>
                </c:pt>
                <c:pt idx="87">
                  <c:v>0.78629784280000825</c:v>
                </c:pt>
                <c:pt idx="88">
                  <c:v>0.78622272416436989</c:v>
                </c:pt>
                <c:pt idx="89">
                  <c:v>0.78596542125149371</c:v>
                </c:pt>
                <c:pt idx="90">
                  <c:v>0.78483691485173135</c:v>
                </c:pt>
                <c:pt idx="91">
                  <c:v>0.78440778885273987</c:v>
                </c:pt>
                <c:pt idx="92">
                  <c:v>0.78327755558779033</c:v>
                </c:pt>
                <c:pt idx="93">
                  <c:v>0.78228029094224671</c:v>
                </c:pt>
                <c:pt idx="94">
                  <c:v>0.77920992463960326</c:v>
                </c:pt>
                <c:pt idx="95">
                  <c:v>0.7791399865995261</c:v>
                </c:pt>
                <c:pt idx="96">
                  <c:v>0.77833699428752989</c:v>
                </c:pt>
                <c:pt idx="97">
                  <c:v>0.77819021074662742</c:v>
                </c:pt>
                <c:pt idx="98">
                  <c:v>0.7758131808166</c:v>
                </c:pt>
                <c:pt idx="99">
                  <c:v>0.76536391956952698</c:v>
                </c:pt>
                <c:pt idx="100">
                  <c:v>0.76416547512968758</c:v>
                </c:pt>
                <c:pt idx="101">
                  <c:v>0.76253445096048245</c:v>
                </c:pt>
                <c:pt idx="102">
                  <c:v>0.76211654958520691</c:v>
                </c:pt>
                <c:pt idx="103">
                  <c:v>0.7610899282314828</c:v>
                </c:pt>
                <c:pt idx="104">
                  <c:v>0.76073074027256837</c:v>
                </c:pt>
                <c:pt idx="105">
                  <c:v>0.76066943655842678</c:v>
                </c:pt>
                <c:pt idx="106">
                  <c:v>0.75922577726202078</c:v>
                </c:pt>
                <c:pt idx="107">
                  <c:v>0.75443199950266271</c:v>
                </c:pt>
                <c:pt idx="108">
                  <c:v>0.75424722492764429</c:v>
                </c:pt>
                <c:pt idx="109">
                  <c:v>0.75399078544736176</c:v>
                </c:pt>
                <c:pt idx="110">
                  <c:v>0.75127960710363262</c:v>
                </c:pt>
                <c:pt idx="111">
                  <c:v>0.75019513576614094</c:v>
                </c:pt>
                <c:pt idx="112">
                  <c:v>0.75002676641039978</c:v>
                </c:pt>
                <c:pt idx="113">
                  <c:v>0.7494206367297318</c:v>
                </c:pt>
                <c:pt idx="114">
                  <c:v>0.74905713160784959</c:v>
                </c:pt>
                <c:pt idx="115">
                  <c:v>0.74872902722230272</c:v>
                </c:pt>
                <c:pt idx="116">
                  <c:v>0.74843632357309131</c:v>
                </c:pt>
                <c:pt idx="117">
                  <c:v>0.74733976417929004</c:v>
                </c:pt>
                <c:pt idx="118">
                  <c:v>0.74683983670762799</c:v>
                </c:pt>
                <c:pt idx="119">
                  <c:v>0.74643920398422337</c:v>
                </c:pt>
                <c:pt idx="120">
                  <c:v>0.74580458102796832</c:v>
                </c:pt>
                <c:pt idx="121">
                  <c:v>0.74577781461756842</c:v>
                </c:pt>
                <c:pt idx="122">
                  <c:v>0.74539013338306703</c:v>
                </c:pt>
                <c:pt idx="123">
                  <c:v>0.74171968142791034</c:v>
                </c:pt>
                <c:pt idx="124">
                  <c:v>0.75149719211720578</c:v>
                </c:pt>
                <c:pt idx="125">
                  <c:v>0.81007073239806315</c:v>
                </c:pt>
                <c:pt idx="126">
                  <c:v>0.80816168293373669</c:v>
                </c:pt>
                <c:pt idx="127">
                  <c:v>0.82779009608277898</c:v>
                </c:pt>
                <c:pt idx="128">
                  <c:v>0.82623419054921221</c:v>
                </c:pt>
                <c:pt idx="129">
                  <c:v>0.82381916958506884</c:v>
                </c:pt>
                <c:pt idx="130">
                  <c:v>0.82000366095419663</c:v>
                </c:pt>
                <c:pt idx="131">
                  <c:v>0.81775441904801371</c:v>
                </c:pt>
                <c:pt idx="132">
                  <c:v>0.81373427689247158</c:v>
                </c:pt>
                <c:pt idx="133">
                  <c:v>0.81204799303727959</c:v>
                </c:pt>
                <c:pt idx="134">
                  <c:v>0.80915635728149971</c:v>
                </c:pt>
                <c:pt idx="135">
                  <c:v>0.80797949865649887</c:v>
                </c:pt>
                <c:pt idx="136">
                  <c:v>0.80790956061642183</c:v>
                </c:pt>
                <c:pt idx="137">
                  <c:v>0.80763757934945535</c:v>
                </c:pt>
                <c:pt idx="138">
                  <c:v>0.80690107134716205</c:v>
                </c:pt>
                <c:pt idx="139">
                  <c:v>0.80660405053498285</c:v>
                </c:pt>
                <c:pt idx="140">
                  <c:v>0.80608858127663696</c:v>
                </c:pt>
                <c:pt idx="141">
                  <c:v>0.80579242389705119</c:v>
                </c:pt>
                <c:pt idx="142">
                  <c:v>0.80399303037210479</c:v>
                </c:pt>
                <c:pt idx="143">
                  <c:v>0.80185603470308275</c:v>
                </c:pt>
                <c:pt idx="144">
                  <c:v>0.80114629311118934</c:v>
                </c:pt>
                <c:pt idx="145">
                  <c:v>0.80025782097243237</c:v>
                </c:pt>
                <c:pt idx="146">
                  <c:v>0.79940820330038465</c:v>
                </c:pt>
                <c:pt idx="147">
                  <c:v>0.79624804000801264</c:v>
                </c:pt>
                <c:pt idx="148">
                  <c:v>0.79624804000801264</c:v>
                </c:pt>
                <c:pt idx="149">
                  <c:v>0.79502800975333465</c:v>
                </c:pt>
                <c:pt idx="150">
                  <c:v>0.79452980914685944</c:v>
                </c:pt>
                <c:pt idx="151">
                  <c:v>0.7945064964668338</c:v>
                </c:pt>
                <c:pt idx="152">
                  <c:v>0.78819394077543159</c:v>
                </c:pt>
                <c:pt idx="153">
                  <c:v>0.78609407270793175</c:v>
                </c:pt>
                <c:pt idx="154">
                  <c:v>0.78581432054762346</c:v>
                </c:pt>
                <c:pt idx="155">
                  <c:v>0.78571588923195945</c:v>
                </c:pt>
                <c:pt idx="156">
                  <c:v>0.78177863660539748</c:v>
                </c:pt>
                <c:pt idx="157">
                  <c:v>0.78038591983201056</c:v>
                </c:pt>
                <c:pt idx="158">
                  <c:v>0.78003709306421865</c:v>
                </c:pt>
                <c:pt idx="159">
                  <c:v>0.77829468609044627</c:v>
                </c:pt>
                <c:pt idx="160">
                  <c:v>0.77828259803413657</c:v>
                </c:pt>
                <c:pt idx="161">
                  <c:v>0.77632519634457176</c:v>
                </c:pt>
                <c:pt idx="162">
                  <c:v>0.77259171381008629</c:v>
                </c:pt>
                <c:pt idx="163">
                  <c:v>0.77212977737254007</c:v>
                </c:pt>
                <c:pt idx="164">
                  <c:v>0.77032952041500025</c:v>
                </c:pt>
                <c:pt idx="165">
                  <c:v>0.77028030475716813</c:v>
                </c:pt>
                <c:pt idx="166">
                  <c:v>0.76990730187675704</c:v>
                </c:pt>
                <c:pt idx="167">
                  <c:v>0.76972425416692569</c:v>
                </c:pt>
                <c:pt idx="168">
                  <c:v>0.768550849272299</c:v>
                </c:pt>
              </c:numCache>
            </c:numRef>
          </c:val>
        </c:ser>
        <c:dLbls/>
        <c:marker val="1"/>
        <c:axId val="170640128"/>
        <c:axId val="170642048"/>
      </c:lineChart>
      <c:dateAx>
        <c:axId val="17064012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70642048"/>
        <c:crosses val="autoZero"/>
        <c:auto val="1"/>
        <c:lblOffset val="100"/>
        <c:baseTimeUnit val="days"/>
      </c:dateAx>
      <c:valAx>
        <c:axId val="17064204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064012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9570434648693694"/>
          <c:y val="0.19152187288132491"/>
          <c:w val="0.761438515038525"/>
          <c:h val="0.56534299693528367"/>
        </c:manualLayout>
      </c:layout>
      <c:lineChart>
        <c:grouping val="standard"/>
        <c:ser>
          <c:idx val="0"/>
          <c:order val="0"/>
          <c:tx>
            <c:strRef>
              <c:f>'used space Charts'!$C$2</c:f>
              <c:strCache>
                <c:ptCount val="1"/>
                <c:pt idx="0">
                  <c:v>CGC T3 V-MAX 0745</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Charts'!$C$3:$C$171</c:f>
              <c:numCache>
                <c:formatCode>0.00%</c:formatCode>
                <c:ptCount val="169"/>
                <c:pt idx="0">
                  <c:v>0.51951755231012298</c:v>
                </c:pt>
                <c:pt idx="1">
                  <c:v>0.51951755231012298</c:v>
                </c:pt>
                <c:pt idx="2">
                  <c:v>0.51951755231012298</c:v>
                </c:pt>
                <c:pt idx="3">
                  <c:v>0.5189103070906842</c:v>
                </c:pt>
                <c:pt idx="4">
                  <c:v>0.51861930774044984</c:v>
                </c:pt>
                <c:pt idx="5">
                  <c:v>0.51687929107774733</c:v>
                </c:pt>
                <c:pt idx="6">
                  <c:v>0.51547810927490678</c:v>
                </c:pt>
                <c:pt idx="7">
                  <c:v>0.51455328942210721</c:v>
                </c:pt>
                <c:pt idx="8">
                  <c:v>0.51455328942210721</c:v>
                </c:pt>
                <c:pt idx="9">
                  <c:v>0.51431809816643836</c:v>
                </c:pt>
                <c:pt idx="10">
                  <c:v>0.51296142996283456</c:v>
                </c:pt>
                <c:pt idx="11">
                  <c:v>0.50613025343518758</c:v>
                </c:pt>
                <c:pt idx="12">
                  <c:v>0.49820085333234126</c:v>
                </c:pt>
                <c:pt idx="13">
                  <c:v>0.49810451793100796</c:v>
                </c:pt>
                <c:pt idx="14">
                  <c:v>0.49784939521299426</c:v>
                </c:pt>
                <c:pt idx="15">
                  <c:v>0.49606021427650787</c:v>
                </c:pt>
                <c:pt idx="16">
                  <c:v>0.49567819458156553</c:v>
                </c:pt>
                <c:pt idx="17">
                  <c:v>0.490586370334543</c:v>
                </c:pt>
                <c:pt idx="18">
                  <c:v>0.48990670746858472</c:v>
                </c:pt>
                <c:pt idx="19">
                  <c:v>0.48874736074219455</c:v>
                </c:pt>
                <c:pt idx="20">
                  <c:v>0.4885825939868107</c:v>
                </c:pt>
                <c:pt idx="21">
                  <c:v>0.48852346398185442</c:v>
                </c:pt>
                <c:pt idx="22">
                  <c:v>0.48817732091913274</c:v>
                </c:pt>
                <c:pt idx="23">
                  <c:v>0.48810224574430067</c:v>
                </c:pt>
                <c:pt idx="24">
                  <c:v>0.48802119113076503</c:v>
                </c:pt>
                <c:pt idx="25">
                  <c:v>0.48693691957920698</c:v>
                </c:pt>
                <c:pt idx="26">
                  <c:v>0.47872980776768953</c:v>
                </c:pt>
                <c:pt idx="27">
                  <c:v>0.47861686281440219</c:v>
                </c:pt>
                <c:pt idx="28">
                  <c:v>0.47838233594081159</c:v>
                </c:pt>
                <c:pt idx="29">
                  <c:v>0.47804017917055891</c:v>
                </c:pt>
                <c:pt idx="30">
                  <c:v>0.47715256471413636</c:v>
                </c:pt>
                <c:pt idx="31">
                  <c:v>0.47408644142342538</c:v>
                </c:pt>
                <c:pt idx="32">
                  <c:v>0.47166078245606108</c:v>
                </c:pt>
                <c:pt idx="33">
                  <c:v>0.47166078245606108</c:v>
                </c:pt>
                <c:pt idx="34">
                  <c:v>0.46925638371519807</c:v>
                </c:pt>
                <c:pt idx="35">
                  <c:v>0.46888432975142813</c:v>
                </c:pt>
                <c:pt idx="36">
                  <c:v>0.46708186117337847</c:v>
                </c:pt>
                <c:pt idx="37">
                  <c:v>0.46674834137014193</c:v>
                </c:pt>
                <c:pt idx="38">
                  <c:v>0.46672907428987531</c:v>
                </c:pt>
                <c:pt idx="39">
                  <c:v>0.46658025270436726</c:v>
                </c:pt>
                <c:pt idx="40">
                  <c:v>0.466500526854988</c:v>
                </c:pt>
                <c:pt idx="41">
                  <c:v>0.46622547267462955</c:v>
                </c:pt>
                <c:pt idx="42">
                  <c:v>0.46580359005499761</c:v>
                </c:pt>
                <c:pt idx="43">
                  <c:v>0.46272816541519229</c:v>
                </c:pt>
                <c:pt idx="44">
                  <c:v>0.46271155586323826</c:v>
                </c:pt>
                <c:pt idx="45">
                  <c:v>0.46251357000394649</c:v>
                </c:pt>
                <c:pt idx="46">
                  <c:v>0.46250094674446141</c:v>
                </c:pt>
                <c:pt idx="47">
                  <c:v>0.4619329000676341</c:v>
                </c:pt>
                <c:pt idx="48">
                  <c:v>0.46176946207640668</c:v>
                </c:pt>
                <c:pt idx="49">
                  <c:v>0.45941622075556188</c:v>
                </c:pt>
                <c:pt idx="50">
                  <c:v>0.45938167288749754</c:v>
                </c:pt>
                <c:pt idx="51">
                  <c:v>0.45781971062174209</c:v>
                </c:pt>
                <c:pt idx="52">
                  <c:v>0.45762438229076285</c:v>
                </c:pt>
                <c:pt idx="53">
                  <c:v>0.45701049325054255</c:v>
                </c:pt>
                <c:pt idx="54">
                  <c:v>0.45693475369363218</c:v>
                </c:pt>
                <c:pt idx="55">
                  <c:v>0.4568776168349104</c:v>
                </c:pt>
                <c:pt idx="56">
                  <c:v>0.45679191154682763</c:v>
                </c:pt>
                <c:pt idx="57">
                  <c:v>0.45678061705149892</c:v>
                </c:pt>
                <c:pt idx="58">
                  <c:v>0.45645639859735654</c:v>
                </c:pt>
                <c:pt idx="59">
                  <c:v>0.4558278931514167</c:v>
                </c:pt>
                <c:pt idx="60">
                  <c:v>0.69254970381162684</c:v>
                </c:pt>
                <c:pt idx="61">
                  <c:v>0.69194288870243548</c:v>
                </c:pt>
                <c:pt idx="62">
                  <c:v>0.69151882489900718</c:v>
                </c:pt>
                <c:pt idx="63">
                  <c:v>0.69121087380366042</c:v>
                </c:pt>
                <c:pt idx="64">
                  <c:v>0.7030048959175782</c:v>
                </c:pt>
                <c:pt idx="65">
                  <c:v>0.70258184178987226</c:v>
                </c:pt>
                <c:pt idx="66">
                  <c:v>0.7023031712904767</c:v>
                </c:pt>
                <c:pt idx="67">
                  <c:v>0.70219917469106452</c:v>
                </c:pt>
                <c:pt idx="68">
                  <c:v>0.70026463600685362</c:v>
                </c:pt>
                <c:pt idx="69">
                  <c:v>0.70007279761958852</c:v>
                </c:pt>
                <c:pt idx="70">
                  <c:v>0.69933573434220131</c:v>
                </c:pt>
                <c:pt idx="71">
                  <c:v>0.69908937346592392</c:v>
                </c:pt>
                <c:pt idx="72">
                  <c:v>0.69903182194974445</c:v>
                </c:pt>
                <c:pt idx="73">
                  <c:v>0.69896518335206281</c:v>
                </c:pt>
                <c:pt idx="74">
                  <c:v>0.69893994145900162</c:v>
                </c:pt>
                <c:pt idx="75">
                  <c:v>0.69890662216016075</c:v>
                </c:pt>
                <c:pt idx="76">
                  <c:v>0.69889551572721398</c:v>
                </c:pt>
                <c:pt idx="77">
                  <c:v>0.69888945767287924</c:v>
                </c:pt>
                <c:pt idx="78">
                  <c:v>0.69875416112607114</c:v>
                </c:pt>
                <c:pt idx="79">
                  <c:v>0.69897528010928733</c:v>
                </c:pt>
                <c:pt idx="80">
                  <c:v>0.69891873826883033</c:v>
                </c:pt>
                <c:pt idx="81">
                  <c:v>0.69788079162615346</c:v>
                </c:pt>
                <c:pt idx="82">
                  <c:v>0.6977939595140229</c:v>
                </c:pt>
                <c:pt idx="83">
                  <c:v>0.697598082423868</c:v>
                </c:pt>
                <c:pt idx="84">
                  <c:v>0.69628853301185267</c:v>
                </c:pt>
                <c:pt idx="85">
                  <c:v>0.69627944593035052</c:v>
                </c:pt>
                <c:pt idx="86">
                  <c:v>0.69626833949740374</c:v>
                </c:pt>
                <c:pt idx="87">
                  <c:v>0.69258403278619007</c:v>
                </c:pt>
                <c:pt idx="88">
                  <c:v>0.69257393602896555</c:v>
                </c:pt>
                <c:pt idx="89">
                  <c:v>0.69256484894746362</c:v>
                </c:pt>
                <c:pt idx="90">
                  <c:v>0.69230738163823935</c:v>
                </c:pt>
                <c:pt idx="91">
                  <c:v>0.69202063373306388</c:v>
                </c:pt>
                <c:pt idx="92">
                  <c:v>0.6915642603065173</c:v>
                </c:pt>
                <c:pt idx="93">
                  <c:v>0.69087869049097506</c:v>
                </c:pt>
                <c:pt idx="94">
                  <c:v>0.67613944429467587</c:v>
                </c:pt>
                <c:pt idx="95">
                  <c:v>0.67598799293630862</c:v>
                </c:pt>
                <c:pt idx="96">
                  <c:v>0.67593145109585151</c:v>
                </c:pt>
                <c:pt idx="97">
                  <c:v>0.67586683184961482</c:v>
                </c:pt>
                <c:pt idx="98">
                  <c:v>0.67575071914153328</c:v>
                </c:pt>
                <c:pt idx="99">
                  <c:v>0.67497528818669306</c:v>
                </c:pt>
                <c:pt idx="100">
                  <c:v>0.67491773667051358</c:v>
                </c:pt>
                <c:pt idx="101">
                  <c:v>0.67441794718790171</c:v>
                </c:pt>
                <c:pt idx="102">
                  <c:v>0.67418875079890594</c:v>
                </c:pt>
                <c:pt idx="103">
                  <c:v>0.67394037057118361</c:v>
                </c:pt>
                <c:pt idx="104">
                  <c:v>0.67379598694287357</c:v>
                </c:pt>
                <c:pt idx="105">
                  <c:v>0.67365261299028589</c:v>
                </c:pt>
                <c:pt idx="106">
                  <c:v>0.67337192313944527</c:v>
                </c:pt>
                <c:pt idx="107">
                  <c:v>0.67241374087884198</c:v>
                </c:pt>
                <c:pt idx="108">
                  <c:v>0.67234609260543798</c:v>
                </c:pt>
                <c:pt idx="109">
                  <c:v>0.67213608005516867</c:v>
                </c:pt>
                <c:pt idx="110">
                  <c:v>0.67030048959175781</c:v>
                </c:pt>
                <c:pt idx="111">
                  <c:v>0.67025505418424769</c:v>
                </c:pt>
                <c:pt idx="112">
                  <c:v>0.67016721239639465</c:v>
                </c:pt>
                <c:pt idx="113">
                  <c:v>0.66783183245037192</c:v>
                </c:pt>
                <c:pt idx="114">
                  <c:v>0.66636477362565461</c:v>
                </c:pt>
                <c:pt idx="115">
                  <c:v>0.66626481572913232</c:v>
                </c:pt>
                <c:pt idx="116">
                  <c:v>0.66612447080371207</c:v>
                </c:pt>
                <c:pt idx="117">
                  <c:v>0.66559439429736877</c:v>
                </c:pt>
                <c:pt idx="118">
                  <c:v>0.66542375961713207</c:v>
                </c:pt>
                <c:pt idx="119">
                  <c:v>0.66523394115627721</c:v>
                </c:pt>
                <c:pt idx="120">
                  <c:v>0.66499868742553669</c:v>
                </c:pt>
                <c:pt idx="121">
                  <c:v>0.66486339128854421</c:v>
                </c:pt>
                <c:pt idx="122">
                  <c:v>0.66456149916197171</c:v>
                </c:pt>
                <c:pt idx="123">
                  <c:v>0.66420003634821589</c:v>
                </c:pt>
                <c:pt idx="124">
                  <c:v>0.66350235253730749</c:v>
                </c:pt>
                <c:pt idx="125">
                  <c:v>0.66227963894105535</c:v>
                </c:pt>
                <c:pt idx="126">
                  <c:v>0.66203226913834534</c:v>
                </c:pt>
                <c:pt idx="127">
                  <c:v>0.66173643504775748</c:v>
                </c:pt>
                <c:pt idx="128">
                  <c:v>0.66170109650451325</c:v>
                </c:pt>
                <c:pt idx="129">
                  <c:v>0.66112154439530713</c:v>
                </c:pt>
                <c:pt idx="130">
                  <c:v>0.66031481593667329</c:v>
                </c:pt>
                <c:pt idx="131">
                  <c:v>0.6604410250196886</c:v>
                </c:pt>
                <c:pt idx="132">
                  <c:v>0.66804991821651416</c:v>
                </c:pt>
                <c:pt idx="133">
                  <c:v>0.82737496045327741</c:v>
                </c:pt>
                <c:pt idx="134">
                  <c:v>0.82621575691489291</c:v>
                </c:pt>
                <c:pt idx="135">
                  <c:v>0.82615948489846647</c:v>
                </c:pt>
                <c:pt idx="136">
                  <c:v>0.8261444790274195</c:v>
                </c:pt>
                <c:pt idx="137">
                  <c:v>0.82611571777457926</c:v>
                </c:pt>
                <c:pt idx="138">
                  <c:v>0.82609946141427848</c:v>
                </c:pt>
                <c:pt idx="139">
                  <c:v>0.82604944184412166</c:v>
                </c:pt>
                <c:pt idx="140">
                  <c:v>0.82599942227396483</c:v>
                </c:pt>
                <c:pt idx="141">
                  <c:v>0.82597566297814018</c:v>
                </c:pt>
                <c:pt idx="142">
                  <c:v>0.82587062188081095</c:v>
                </c:pt>
                <c:pt idx="143">
                  <c:v>0.82584186062797071</c:v>
                </c:pt>
                <c:pt idx="144">
                  <c:v>0.82581810133214628</c:v>
                </c:pt>
                <c:pt idx="145">
                  <c:v>0.82580434595035312</c:v>
                </c:pt>
                <c:pt idx="146">
                  <c:v>0.82579684301482947</c:v>
                </c:pt>
                <c:pt idx="147">
                  <c:v>0.82544170406671613</c:v>
                </c:pt>
                <c:pt idx="148">
                  <c:v>0.82544170406671613</c:v>
                </c:pt>
                <c:pt idx="149">
                  <c:v>0.82460137528808153</c:v>
                </c:pt>
                <c:pt idx="150">
                  <c:v>0.82457261403524129</c:v>
                </c:pt>
                <c:pt idx="151">
                  <c:v>0.8245350993576237</c:v>
                </c:pt>
                <c:pt idx="152">
                  <c:v>0.82413619328562315</c:v>
                </c:pt>
                <c:pt idx="153">
                  <c:v>0.82301575491411016</c:v>
                </c:pt>
                <c:pt idx="154">
                  <c:v>0.82149140851358105</c:v>
                </c:pt>
                <c:pt idx="155">
                  <c:v>0.82126882142638313</c:v>
                </c:pt>
                <c:pt idx="156">
                  <c:v>0.82100371770455205</c:v>
                </c:pt>
                <c:pt idx="157">
                  <c:v>0.82093118932782461</c:v>
                </c:pt>
                <c:pt idx="158">
                  <c:v>0.82090492905349222</c:v>
                </c:pt>
                <c:pt idx="159">
                  <c:v>0.81899168049499371</c:v>
                </c:pt>
                <c:pt idx="160">
                  <c:v>0.81880285661765162</c:v>
                </c:pt>
                <c:pt idx="161">
                  <c:v>0.81874158264420949</c:v>
                </c:pt>
                <c:pt idx="162">
                  <c:v>0.81870531845584593</c:v>
                </c:pt>
                <c:pt idx="163">
                  <c:v>0.81868656111703708</c:v>
                </c:pt>
                <c:pt idx="164">
                  <c:v>0.81857526757343813</c:v>
                </c:pt>
                <c:pt idx="165">
                  <c:v>0.81849398577193333</c:v>
                </c:pt>
                <c:pt idx="166">
                  <c:v>0.8177987137467535</c:v>
                </c:pt>
                <c:pt idx="167">
                  <c:v>0.81777620494018288</c:v>
                </c:pt>
                <c:pt idx="168">
                  <c:v>0.8172409955395048</c:v>
                </c:pt>
              </c:numCache>
            </c:numRef>
          </c:val>
        </c:ser>
        <c:dLbls/>
        <c:marker val="1"/>
        <c:axId val="183470720"/>
        <c:axId val="196219648"/>
      </c:lineChart>
      <c:dateAx>
        <c:axId val="18347072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96219648"/>
        <c:crosses val="autoZero"/>
        <c:auto val="1"/>
        <c:lblOffset val="100"/>
        <c:baseTimeUnit val="days"/>
      </c:dateAx>
      <c:valAx>
        <c:axId val="19621964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8347072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533985337117406"/>
          <c:y val="0.2131476176812454"/>
          <c:w val="0.74041511227620382"/>
          <c:h val="0.5439890510567611"/>
        </c:manualLayout>
      </c:layout>
      <c:lineChart>
        <c:grouping val="standard"/>
        <c:ser>
          <c:idx val="0"/>
          <c:order val="0"/>
          <c:tx>
            <c:strRef>
              <c:f>'used space Charts'!$D$2</c:f>
              <c:strCache>
                <c:ptCount val="1"/>
                <c:pt idx="0">
                  <c:v>RDC T3 V-MAX 0552</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Charts'!$D$3:$D$171</c:f>
              <c:numCache>
                <c:formatCode>0.00%</c:formatCode>
                <c:ptCount val="169"/>
                <c:pt idx="0">
                  <c:v>0.52950985876565793</c:v>
                </c:pt>
                <c:pt idx="1">
                  <c:v>0.52950985876565793</c:v>
                </c:pt>
                <c:pt idx="2">
                  <c:v>0.52950985876565793</c:v>
                </c:pt>
                <c:pt idx="3">
                  <c:v>0.52901356535327193</c:v>
                </c:pt>
                <c:pt idx="4">
                  <c:v>0.52886673691399844</c:v>
                </c:pt>
                <c:pt idx="5">
                  <c:v>0.52730676779447738</c:v>
                </c:pt>
                <c:pt idx="6">
                  <c:v>0.52485254039775231</c:v>
                </c:pt>
                <c:pt idx="7">
                  <c:v>0.52393303560157811</c:v>
                </c:pt>
                <c:pt idx="8">
                  <c:v>0.52393303560157811</c:v>
                </c:pt>
                <c:pt idx="9">
                  <c:v>0.5236985087279874</c:v>
                </c:pt>
                <c:pt idx="10">
                  <c:v>0.52229599816099048</c:v>
                </c:pt>
                <c:pt idx="11">
                  <c:v>0.51552660916661242</c:v>
                </c:pt>
                <c:pt idx="12">
                  <c:v>0.50760783917701668</c:v>
                </c:pt>
                <c:pt idx="13">
                  <c:v>0.50751216815776157</c:v>
                </c:pt>
                <c:pt idx="14">
                  <c:v>0.50725704543974792</c:v>
                </c:pt>
                <c:pt idx="15">
                  <c:v>0.5055329739469212</c:v>
                </c:pt>
                <c:pt idx="16">
                  <c:v>0.50515892683691677</c:v>
                </c:pt>
                <c:pt idx="17">
                  <c:v>0.50006710258989429</c:v>
                </c:pt>
                <c:pt idx="18">
                  <c:v>0.49938743972393596</c:v>
                </c:pt>
                <c:pt idx="19">
                  <c:v>0.49822875737962397</c:v>
                </c:pt>
                <c:pt idx="20">
                  <c:v>0.49806531938839643</c:v>
                </c:pt>
                <c:pt idx="21">
                  <c:v>0.49803409343072291</c:v>
                </c:pt>
                <c:pt idx="22">
                  <c:v>0.49776435430698968</c:v>
                </c:pt>
                <c:pt idx="23">
                  <c:v>0.49768861475007942</c:v>
                </c:pt>
                <c:pt idx="24">
                  <c:v>0.49760822451862197</c:v>
                </c:pt>
                <c:pt idx="25">
                  <c:v>0.49644954217430998</c:v>
                </c:pt>
                <c:pt idx="26">
                  <c:v>0.48822582081083848</c:v>
                </c:pt>
                <c:pt idx="27">
                  <c:v>0.48806105405545464</c:v>
                </c:pt>
                <c:pt idx="28">
                  <c:v>0.48782586279978585</c:v>
                </c:pt>
                <c:pt idx="29">
                  <c:v>0.48746709647757913</c:v>
                </c:pt>
                <c:pt idx="30">
                  <c:v>0.48655622864842096</c:v>
                </c:pt>
                <c:pt idx="31">
                  <c:v>0.48352930390032151</c:v>
                </c:pt>
                <c:pt idx="32">
                  <c:v>0.4833067359041377</c:v>
                </c:pt>
                <c:pt idx="33">
                  <c:v>0.48123984325898012</c:v>
                </c:pt>
                <c:pt idx="34">
                  <c:v>0.47829795941688513</c:v>
                </c:pt>
                <c:pt idx="35">
                  <c:v>0.47760567329144182</c:v>
                </c:pt>
                <c:pt idx="36">
                  <c:v>0.47601846450671631</c:v>
                </c:pt>
                <c:pt idx="37">
                  <c:v>0.47568826661387054</c:v>
                </c:pt>
                <c:pt idx="38">
                  <c:v>0.47566899953360381</c:v>
                </c:pt>
                <c:pt idx="39">
                  <c:v>0.47551884918393955</c:v>
                </c:pt>
                <c:pt idx="40">
                  <c:v>0.47543912333456029</c:v>
                </c:pt>
                <c:pt idx="41">
                  <c:v>0.47516274039004547</c:v>
                </c:pt>
                <c:pt idx="42">
                  <c:v>0.47474019338833529</c:v>
                </c:pt>
                <c:pt idx="43">
                  <c:v>0.47167340571554622</c:v>
                </c:pt>
                <c:pt idx="44">
                  <c:v>0.47165679616359218</c:v>
                </c:pt>
                <c:pt idx="45">
                  <c:v>0.47148073491287962</c:v>
                </c:pt>
                <c:pt idx="46">
                  <c:v>0.47146877603547271</c:v>
                </c:pt>
                <c:pt idx="47">
                  <c:v>0.47090205812280173</c:v>
                </c:pt>
                <c:pt idx="48">
                  <c:v>0.47077715429210754</c:v>
                </c:pt>
                <c:pt idx="49">
                  <c:v>0.46844118690529507</c:v>
                </c:pt>
                <c:pt idx="50">
                  <c:v>0.46840132398060541</c:v>
                </c:pt>
                <c:pt idx="51">
                  <c:v>0.4668599575592729</c:v>
                </c:pt>
                <c:pt idx="52">
                  <c:v>0.46666462922829366</c:v>
                </c:pt>
                <c:pt idx="53">
                  <c:v>0.46610455513640436</c:v>
                </c:pt>
                <c:pt idx="54">
                  <c:v>0.46602881557949399</c:v>
                </c:pt>
                <c:pt idx="55">
                  <c:v>0.46600356906052387</c:v>
                </c:pt>
                <c:pt idx="56">
                  <c:v>0.46594244590933315</c:v>
                </c:pt>
                <c:pt idx="57">
                  <c:v>0.46593048703192619</c:v>
                </c:pt>
                <c:pt idx="58">
                  <c:v>0.46562752880428504</c:v>
                </c:pt>
                <c:pt idx="59">
                  <c:v>0.46512060527864851</c:v>
                </c:pt>
                <c:pt idx="60">
                  <c:v>0.70676694765942016</c:v>
                </c:pt>
                <c:pt idx="61">
                  <c:v>0.70625201304097163</c:v>
                </c:pt>
                <c:pt idx="62">
                  <c:v>0.70586429756355151</c:v>
                </c:pt>
                <c:pt idx="63">
                  <c:v>0.70555634646820486</c:v>
                </c:pt>
                <c:pt idx="64">
                  <c:v>0.71734834923067758</c:v>
                </c:pt>
                <c:pt idx="65">
                  <c:v>0.71689500483129831</c:v>
                </c:pt>
                <c:pt idx="66">
                  <c:v>0.71664763427929856</c:v>
                </c:pt>
                <c:pt idx="67">
                  <c:v>0.71654363767988638</c:v>
                </c:pt>
                <c:pt idx="68">
                  <c:v>0.71594590965219707</c:v>
                </c:pt>
                <c:pt idx="69">
                  <c:v>0.71588835813601748</c:v>
                </c:pt>
                <c:pt idx="70">
                  <c:v>0.71521793345631179</c:v>
                </c:pt>
                <c:pt idx="71">
                  <c:v>0.71497157258003452</c:v>
                </c:pt>
                <c:pt idx="72">
                  <c:v>0.7149150307395773</c:v>
                </c:pt>
                <c:pt idx="73">
                  <c:v>0.71486555662917739</c:v>
                </c:pt>
                <c:pt idx="74">
                  <c:v>0.71485545987195298</c:v>
                </c:pt>
                <c:pt idx="75">
                  <c:v>0.71482214057311211</c:v>
                </c:pt>
                <c:pt idx="76">
                  <c:v>0.71481002446444275</c:v>
                </c:pt>
                <c:pt idx="77">
                  <c:v>0.7147938696528835</c:v>
                </c:pt>
                <c:pt idx="78">
                  <c:v>0.71466866986330002</c:v>
                </c:pt>
                <c:pt idx="79">
                  <c:v>0.71461414737428786</c:v>
                </c:pt>
                <c:pt idx="80">
                  <c:v>0.71456467326388784</c:v>
                </c:pt>
                <c:pt idx="81">
                  <c:v>0.71363375224779058</c:v>
                </c:pt>
                <c:pt idx="82">
                  <c:v>0.71356004592005184</c:v>
                </c:pt>
                <c:pt idx="83">
                  <c:v>0.71335205272122759</c:v>
                </c:pt>
                <c:pt idx="84">
                  <c:v>0.71213236444851014</c:v>
                </c:pt>
                <c:pt idx="85">
                  <c:v>0.71212327736700798</c:v>
                </c:pt>
                <c:pt idx="86">
                  <c:v>0.71211116125833862</c:v>
                </c:pt>
                <c:pt idx="87">
                  <c:v>0.70845916417024346</c:v>
                </c:pt>
                <c:pt idx="88">
                  <c:v>0.70841877714134549</c:v>
                </c:pt>
                <c:pt idx="89">
                  <c:v>0.70589458783522496</c:v>
                </c:pt>
                <c:pt idx="90">
                  <c:v>0.70560582057860477</c:v>
                </c:pt>
                <c:pt idx="91">
                  <c:v>0.70531907267342953</c:v>
                </c:pt>
                <c:pt idx="92">
                  <c:v>0.7048637089226053</c:v>
                </c:pt>
                <c:pt idx="93">
                  <c:v>0.70417813910706295</c:v>
                </c:pt>
                <c:pt idx="94">
                  <c:v>0.68951158956278014</c:v>
                </c:pt>
                <c:pt idx="95">
                  <c:v>0.68936013820441289</c:v>
                </c:pt>
                <c:pt idx="96">
                  <c:v>0.68930460603967825</c:v>
                </c:pt>
                <c:pt idx="97">
                  <c:v>0.689153154681311</c:v>
                </c:pt>
                <c:pt idx="98">
                  <c:v>0.68903704197322946</c:v>
                </c:pt>
                <c:pt idx="99">
                  <c:v>0.68885933904607866</c:v>
                </c:pt>
                <c:pt idx="100">
                  <c:v>0.68880279720562143</c:v>
                </c:pt>
                <c:pt idx="101">
                  <c:v>0.68830300772300956</c:v>
                </c:pt>
                <c:pt idx="102">
                  <c:v>0.68807482100973638</c:v>
                </c:pt>
                <c:pt idx="103">
                  <c:v>0.68782745045773652</c:v>
                </c:pt>
                <c:pt idx="104">
                  <c:v>0.68768407650514884</c:v>
                </c:pt>
                <c:pt idx="105">
                  <c:v>0.6875396928768388</c:v>
                </c:pt>
                <c:pt idx="106">
                  <c:v>0.6872832352433369</c:v>
                </c:pt>
                <c:pt idx="107">
                  <c:v>0.68632404330701113</c:v>
                </c:pt>
                <c:pt idx="108">
                  <c:v>0.68625639503360703</c:v>
                </c:pt>
                <c:pt idx="109">
                  <c:v>0.68604638248333782</c:v>
                </c:pt>
                <c:pt idx="110">
                  <c:v>0.68421079201992696</c:v>
                </c:pt>
                <c:pt idx="111">
                  <c:v>0.6841663662881392</c:v>
                </c:pt>
                <c:pt idx="112">
                  <c:v>0.6840775148245638</c:v>
                </c:pt>
                <c:pt idx="113">
                  <c:v>0.68174213487854107</c:v>
                </c:pt>
                <c:pt idx="114">
                  <c:v>0.68027507605382387</c:v>
                </c:pt>
                <c:pt idx="115">
                  <c:v>0.68017511815730136</c:v>
                </c:pt>
                <c:pt idx="116">
                  <c:v>0.68003477323188122</c:v>
                </c:pt>
                <c:pt idx="117">
                  <c:v>0.67950768360897396</c:v>
                </c:pt>
                <c:pt idx="118">
                  <c:v>0.67933401991074505</c:v>
                </c:pt>
                <c:pt idx="119">
                  <c:v>0.67913915308656936</c:v>
                </c:pt>
                <c:pt idx="120">
                  <c:v>0.67890894771914945</c:v>
                </c:pt>
                <c:pt idx="121">
                  <c:v>0.67877365158215708</c:v>
                </c:pt>
                <c:pt idx="122">
                  <c:v>0.67847074978292043</c:v>
                </c:pt>
                <c:pt idx="123">
                  <c:v>0.67811029664182865</c:v>
                </c:pt>
                <c:pt idx="124">
                  <c:v>0.67741362250358428</c:v>
                </c:pt>
                <c:pt idx="125">
                  <c:v>0.67619090890733224</c:v>
                </c:pt>
                <c:pt idx="126">
                  <c:v>0.67594252943195809</c:v>
                </c:pt>
                <c:pt idx="127">
                  <c:v>0.67564669534137023</c:v>
                </c:pt>
                <c:pt idx="128">
                  <c:v>0.67561135679812601</c:v>
                </c:pt>
                <c:pt idx="129">
                  <c:v>0.67503180468891988</c:v>
                </c:pt>
                <c:pt idx="130">
                  <c:v>0.67422507623028616</c:v>
                </c:pt>
                <c:pt idx="131">
                  <c:v>0.67435027564063732</c:v>
                </c:pt>
                <c:pt idx="132">
                  <c:v>0.68196017851012702</c:v>
                </c:pt>
                <c:pt idx="133">
                  <c:v>0.84460044992603367</c:v>
                </c:pt>
                <c:pt idx="134">
                  <c:v>0.84344249687690309</c:v>
                </c:pt>
                <c:pt idx="135">
                  <c:v>0.84338747534973069</c:v>
                </c:pt>
                <c:pt idx="136">
                  <c:v>0.8433724694786835</c:v>
                </c:pt>
                <c:pt idx="137">
                  <c:v>0.84334370822584348</c:v>
                </c:pt>
                <c:pt idx="138">
                  <c:v>0.84327743229538565</c:v>
                </c:pt>
                <c:pt idx="139">
                  <c:v>0.84327743229538565</c:v>
                </c:pt>
                <c:pt idx="140">
                  <c:v>0.84322741272522883</c:v>
                </c:pt>
                <c:pt idx="141">
                  <c:v>0.84320365342940418</c:v>
                </c:pt>
                <c:pt idx="142">
                  <c:v>0.84309861233207495</c:v>
                </c:pt>
                <c:pt idx="143">
                  <c:v>0.84306985107923471</c:v>
                </c:pt>
                <c:pt idx="144">
                  <c:v>0.84304484129415636</c:v>
                </c:pt>
                <c:pt idx="145">
                  <c:v>0.84303233640161712</c:v>
                </c:pt>
                <c:pt idx="146">
                  <c:v>0.84302483346609369</c:v>
                </c:pt>
                <c:pt idx="147">
                  <c:v>0.8427384714269458</c:v>
                </c:pt>
                <c:pt idx="148">
                  <c:v>0.84266969451798013</c:v>
                </c:pt>
                <c:pt idx="149">
                  <c:v>0.84182936573934553</c:v>
                </c:pt>
                <c:pt idx="150">
                  <c:v>0.84179935399725148</c:v>
                </c:pt>
                <c:pt idx="151">
                  <c:v>0.8417630898088877</c:v>
                </c:pt>
                <c:pt idx="152">
                  <c:v>0.84136543422614096</c:v>
                </c:pt>
                <c:pt idx="153">
                  <c:v>0.84027625808597617</c:v>
                </c:pt>
                <c:pt idx="154">
                  <c:v>0.83872064945409885</c:v>
                </c:pt>
                <c:pt idx="155">
                  <c:v>0.83849806236690116</c:v>
                </c:pt>
                <c:pt idx="156">
                  <c:v>0.83823295864506986</c:v>
                </c:pt>
                <c:pt idx="157">
                  <c:v>0.83816293124685037</c:v>
                </c:pt>
                <c:pt idx="158">
                  <c:v>0.83813667097251798</c:v>
                </c:pt>
                <c:pt idx="159">
                  <c:v>0.83622592339252733</c:v>
                </c:pt>
                <c:pt idx="160">
                  <c:v>0.83603084706891573</c:v>
                </c:pt>
                <c:pt idx="161">
                  <c:v>0.83596957309547359</c:v>
                </c:pt>
                <c:pt idx="162">
                  <c:v>0.83593330890710993</c:v>
                </c:pt>
                <c:pt idx="163">
                  <c:v>0.83591455156830108</c:v>
                </c:pt>
                <c:pt idx="164">
                  <c:v>0.83580700949246389</c:v>
                </c:pt>
                <c:pt idx="165">
                  <c:v>0.83572447720170528</c:v>
                </c:pt>
                <c:pt idx="166">
                  <c:v>0.83502795468727153</c:v>
                </c:pt>
                <c:pt idx="167">
                  <c:v>0.83500669636995473</c:v>
                </c:pt>
                <c:pt idx="168">
                  <c:v>0.83447023648002283</c:v>
                </c:pt>
              </c:numCache>
            </c:numRef>
          </c:val>
        </c:ser>
        <c:dLbls/>
        <c:marker val="1"/>
        <c:axId val="249705600"/>
        <c:axId val="285671424"/>
      </c:lineChart>
      <c:dateAx>
        <c:axId val="2497056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5671424"/>
        <c:crosses val="autoZero"/>
        <c:auto val="1"/>
        <c:lblOffset val="100"/>
        <c:baseTimeUnit val="days"/>
      </c:dateAx>
      <c:valAx>
        <c:axId val="28567142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97056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lineChart>
        <c:grouping val="standard"/>
        <c:ser>
          <c:idx val="0"/>
          <c:order val="0"/>
          <c:tx>
            <c:strRef>
              <c:f>'used space Charts'!$E$2</c:f>
              <c:strCache>
                <c:ptCount val="1"/>
                <c:pt idx="0">
                  <c:v>RDC T4 V-MAX 0678</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Charts'!$E$3:$E$171</c:f>
              <c:numCache>
                <c:formatCode>0.00%</c:formatCode>
                <c:ptCount val="169"/>
                <c:pt idx="0">
                  <c:v>0.87609905174677949</c:v>
                </c:pt>
                <c:pt idx="1">
                  <c:v>0.87609905174677949</c:v>
                </c:pt>
                <c:pt idx="2">
                  <c:v>0.87609905174677949</c:v>
                </c:pt>
                <c:pt idx="3">
                  <c:v>0.87468804567967307</c:v>
                </c:pt>
                <c:pt idx="4">
                  <c:v>0.87133635681310428</c:v>
                </c:pt>
                <c:pt idx="5">
                  <c:v>0.86698960097319866</c:v>
                </c:pt>
                <c:pt idx="6">
                  <c:v>0.86976106304581713</c:v>
                </c:pt>
                <c:pt idx="7">
                  <c:v>0.86513738078152602</c:v>
                </c:pt>
                <c:pt idx="8">
                  <c:v>0.86513738078152602</c:v>
                </c:pt>
                <c:pt idx="9">
                  <c:v>0.86085491143299542</c:v>
                </c:pt>
                <c:pt idx="10">
                  <c:v>0.85957797292055182</c:v>
                </c:pt>
                <c:pt idx="11">
                  <c:v>0.89201957386298081</c:v>
                </c:pt>
                <c:pt idx="12">
                  <c:v>0.87756335516143613</c:v>
                </c:pt>
                <c:pt idx="13">
                  <c:v>0.87727873633637332</c:v>
                </c:pt>
                <c:pt idx="14">
                  <c:v>0.8768710391004727</c:v>
                </c:pt>
                <c:pt idx="15">
                  <c:v>0.87461826461638559</c:v>
                </c:pt>
                <c:pt idx="16">
                  <c:v>0.87282648471574942</c:v>
                </c:pt>
                <c:pt idx="17">
                  <c:v>0.87136492858704895</c:v>
                </c:pt>
                <c:pt idx="18">
                  <c:v>0.87061272169224035</c:v>
                </c:pt>
                <c:pt idx="19">
                  <c:v>0.86959183023091491</c:v>
                </c:pt>
                <c:pt idx="20">
                  <c:v>0.86844016795807433</c:v>
                </c:pt>
                <c:pt idx="21">
                  <c:v>0.86809895504231382</c:v>
                </c:pt>
                <c:pt idx="22">
                  <c:v>0.88812886749180486</c:v>
                </c:pt>
                <c:pt idx="23">
                  <c:v>0.88778655566166198</c:v>
                </c:pt>
                <c:pt idx="24">
                  <c:v>0.88756952007112189</c:v>
                </c:pt>
                <c:pt idx="25">
                  <c:v>0.88702995310932331</c:v>
                </c:pt>
                <c:pt idx="26">
                  <c:v>0.88631236201756292</c:v>
                </c:pt>
                <c:pt idx="27">
                  <c:v>0.88616071183278033</c:v>
                </c:pt>
                <c:pt idx="28">
                  <c:v>0.88581785054544615</c:v>
                </c:pt>
                <c:pt idx="29">
                  <c:v>0.88480794822794573</c:v>
                </c:pt>
                <c:pt idx="30">
                  <c:v>0.88433871178662615</c:v>
                </c:pt>
                <c:pt idx="31">
                  <c:v>0.88805469077098742</c:v>
                </c:pt>
                <c:pt idx="32">
                  <c:v>0.88676511474314523</c:v>
                </c:pt>
                <c:pt idx="33">
                  <c:v>0.88529531675657613</c:v>
                </c:pt>
                <c:pt idx="34">
                  <c:v>0.88290352960310514</c:v>
                </c:pt>
                <c:pt idx="35">
                  <c:v>0.88242495238953444</c:v>
                </c:pt>
                <c:pt idx="36">
                  <c:v>0.88016943061949104</c:v>
                </c:pt>
                <c:pt idx="37">
                  <c:v>0.87862875265525198</c:v>
                </c:pt>
                <c:pt idx="38">
                  <c:v>0.87843149752359651</c:v>
                </c:pt>
                <c:pt idx="39">
                  <c:v>0.87819468147417168</c:v>
                </c:pt>
                <c:pt idx="40">
                  <c:v>0.87727104393569599</c:v>
                </c:pt>
                <c:pt idx="41">
                  <c:v>0.87535233942388324</c:v>
                </c:pt>
                <c:pt idx="42">
                  <c:v>0.87415342383259587</c:v>
                </c:pt>
                <c:pt idx="43">
                  <c:v>0.87144295150820517</c:v>
                </c:pt>
                <c:pt idx="44">
                  <c:v>0.87105668310276285</c:v>
                </c:pt>
                <c:pt idx="45">
                  <c:v>0.86878138087383472</c:v>
                </c:pt>
                <c:pt idx="46">
                  <c:v>0.8684769815898874</c:v>
                </c:pt>
                <c:pt idx="47">
                  <c:v>0.8669511389698118</c:v>
                </c:pt>
                <c:pt idx="48">
                  <c:v>0.86600662205806878</c:v>
                </c:pt>
                <c:pt idx="49">
                  <c:v>0.86474232106102389</c:v>
                </c:pt>
                <c:pt idx="50">
                  <c:v>0.86435715156996407</c:v>
                </c:pt>
                <c:pt idx="51">
                  <c:v>0.85696255669024568</c:v>
                </c:pt>
                <c:pt idx="52">
                  <c:v>0.85784443548218714</c:v>
                </c:pt>
                <c:pt idx="53">
                  <c:v>0.85672738901239476</c:v>
                </c:pt>
                <c:pt idx="54">
                  <c:v>0.85425208436585498</c:v>
                </c:pt>
                <c:pt idx="55">
                  <c:v>0.85403175203216741</c:v>
                </c:pt>
                <c:pt idx="56">
                  <c:v>0.85274217600432545</c:v>
                </c:pt>
                <c:pt idx="57">
                  <c:v>0.85240810603205097</c:v>
                </c:pt>
                <c:pt idx="58">
                  <c:v>0.85039489488334474</c:v>
                </c:pt>
                <c:pt idx="59">
                  <c:v>0.84962785264437268</c:v>
                </c:pt>
                <c:pt idx="60">
                  <c:v>0.84866245635936266</c:v>
                </c:pt>
                <c:pt idx="61">
                  <c:v>0.84795420603985316</c:v>
                </c:pt>
                <c:pt idx="62">
                  <c:v>0.84733496778532491</c:v>
                </c:pt>
                <c:pt idx="63">
                  <c:v>0.84621242674361996</c:v>
                </c:pt>
                <c:pt idx="64">
                  <c:v>0.84567285978182161</c:v>
                </c:pt>
                <c:pt idx="65">
                  <c:v>0.8445343844815707</c:v>
                </c:pt>
                <c:pt idx="66">
                  <c:v>0.84150797427221657</c:v>
                </c:pt>
                <c:pt idx="67">
                  <c:v>0.83985520704096417</c:v>
                </c:pt>
                <c:pt idx="68">
                  <c:v>0.836401868594016</c:v>
                </c:pt>
                <c:pt idx="69">
                  <c:v>0.83570405796114022</c:v>
                </c:pt>
                <c:pt idx="70">
                  <c:v>0.83322161037111442</c:v>
                </c:pt>
                <c:pt idx="71">
                  <c:v>0.8322551151717219</c:v>
                </c:pt>
                <c:pt idx="72">
                  <c:v>0.83181664833311175</c:v>
                </c:pt>
                <c:pt idx="73">
                  <c:v>0.83128312540041704</c:v>
                </c:pt>
                <c:pt idx="74">
                  <c:v>0.83082542756011335</c:v>
                </c:pt>
                <c:pt idx="75">
                  <c:v>0.8265259250386543</c:v>
                </c:pt>
                <c:pt idx="76">
                  <c:v>0.82564569461828674</c:v>
                </c:pt>
                <c:pt idx="77">
                  <c:v>0.82531766867511591</c:v>
                </c:pt>
                <c:pt idx="78">
                  <c:v>0.82401655404625784</c:v>
                </c:pt>
                <c:pt idx="79">
                  <c:v>0.82307972953519226</c:v>
                </c:pt>
                <c:pt idx="80">
                  <c:v>0.8206835467241913</c:v>
                </c:pt>
                <c:pt idx="81">
                  <c:v>0.81888627225164268</c:v>
                </c:pt>
                <c:pt idx="82">
                  <c:v>0.81852088321946759</c:v>
                </c:pt>
                <c:pt idx="83">
                  <c:v>0.81656646399022403</c:v>
                </c:pt>
                <c:pt idx="84">
                  <c:v>0.81478622269060397</c:v>
                </c:pt>
                <c:pt idx="85">
                  <c:v>0.81444995488956473</c:v>
                </c:pt>
                <c:pt idx="86">
                  <c:v>0.81406478539850491</c:v>
                </c:pt>
                <c:pt idx="87">
                  <c:v>0.8100900120770691</c:v>
                </c:pt>
                <c:pt idx="88">
                  <c:v>0.8073564625506463</c:v>
                </c:pt>
                <c:pt idx="89">
                  <c:v>0.80668612477733259</c:v>
                </c:pt>
                <c:pt idx="90">
                  <c:v>0.80391411324752282</c:v>
                </c:pt>
                <c:pt idx="91">
                  <c:v>0.80333113916761634</c:v>
                </c:pt>
                <c:pt idx="92">
                  <c:v>0.80181518677698305</c:v>
                </c:pt>
                <c:pt idx="93">
                  <c:v>0.80121572898133941</c:v>
                </c:pt>
                <c:pt idx="94">
                  <c:v>0.79994538395519066</c:v>
                </c:pt>
                <c:pt idx="95">
                  <c:v>0.79954922532030615</c:v>
                </c:pt>
                <c:pt idx="96">
                  <c:v>0.79759260826229772</c:v>
                </c:pt>
                <c:pt idx="97">
                  <c:v>0.79690523731605556</c:v>
                </c:pt>
                <c:pt idx="98">
                  <c:v>0.79517609553522073</c:v>
                </c:pt>
                <c:pt idx="99">
                  <c:v>0.789507895150381</c:v>
                </c:pt>
                <c:pt idx="100">
                  <c:v>0.78393584977400832</c:v>
                </c:pt>
                <c:pt idx="101">
                  <c:v>0.77845061863385157</c:v>
                </c:pt>
                <c:pt idx="102">
                  <c:v>0.77471815593375315</c:v>
                </c:pt>
                <c:pt idx="103">
                  <c:v>0.76246581002627511</c:v>
                </c:pt>
                <c:pt idx="104">
                  <c:v>0.75503165422878749</c:v>
                </c:pt>
                <c:pt idx="105">
                  <c:v>0.75136897259197644</c:v>
                </c:pt>
                <c:pt idx="106">
                  <c:v>0.74945686156645852</c:v>
                </c:pt>
                <c:pt idx="107">
                  <c:v>0.7464172643845145</c:v>
                </c:pt>
                <c:pt idx="108">
                  <c:v>0.74534527340440393</c:v>
                </c:pt>
                <c:pt idx="109">
                  <c:v>0.74493977399726807</c:v>
                </c:pt>
                <c:pt idx="110">
                  <c:v>0.73964960016000203</c:v>
                </c:pt>
                <c:pt idx="111">
                  <c:v>0.73715286668300395</c:v>
                </c:pt>
                <c:pt idx="112">
                  <c:v>0.73526822851704809</c:v>
                </c:pt>
                <c:pt idx="113">
                  <c:v>0.73146488583927938</c:v>
                </c:pt>
                <c:pt idx="114">
                  <c:v>0.85891295563337966</c:v>
                </c:pt>
                <c:pt idx="115">
                  <c:v>0.85829452203825352</c:v>
                </c:pt>
                <c:pt idx="116">
                  <c:v>0.85739050811281259</c:v>
                </c:pt>
                <c:pt idx="117">
                  <c:v>0.85394800236235169</c:v>
                </c:pt>
                <c:pt idx="118">
                  <c:v>0.85174754439770395</c:v>
                </c:pt>
                <c:pt idx="119">
                  <c:v>0.85075157490105069</c:v>
                </c:pt>
                <c:pt idx="120">
                  <c:v>0.8483717388150942</c:v>
                </c:pt>
                <c:pt idx="121">
                  <c:v>0.84800197380690889</c:v>
                </c:pt>
                <c:pt idx="122">
                  <c:v>0.84720739996269978</c:v>
                </c:pt>
                <c:pt idx="123">
                  <c:v>0.84557486478645583</c:v>
                </c:pt>
                <c:pt idx="124">
                  <c:v>0.84035476718403557</c:v>
                </c:pt>
                <c:pt idx="125">
                  <c:v>0.85135252398615746</c:v>
                </c:pt>
                <c:pt idx="126">
                  <c:v>0.86329120645709434</c:v>
                </c:pt>
                <c:pt idx="127">
                  <c:v>0.86249404231510451</c:v>
                </c:pt>
                <c:pt idx="128">
                  <c:v>0.86206340530907433</c:v>
                </c:pt>
                <c:pt idx="129">
                  <c:v>0.86052412085293339</c:v>
                </c:pt>
                <c:pt idx="130">
                  <c:v>0.85933387902273239</c:v>
                </c:pt>
                <c:pt idx="131">
                  <c:v>0.85852959156184605</c:v>
                </c:pt>
                <c:pt idx="132">
                  <c:v>0.85685820191889261</c:v>
                </c:pt>
                <c:pt idx="133">
                  <c:v>0.85540115941728667</c:v>
                </c:pt>
                <c:pt idx="134">
                  <c:v>0.85120876245933241</c:v>
                </c:pt>
                <c:pt idx="135">
                  <c:v>0.8506330687775866</c:v>
                </c:pt>
                <c:pt idx="136">
                  <c:v>0.84988771059120971</c:v>
                </c:pt>
                <c:pt idx="137">
                  <c:v>0.84762508547982685</c:v>
                </c:pt>
                <c:pt idx="138">
                  <c:v>0.84641088339515513</c:v>
                </c:pt>
                <c:pt idx="139">
                  <c:v>0.84570826512215846</c:v>
                </c:pt>
                <c:pt idx="140">
                  <c:v>0.84364509293988443</c:v>
                </c:pt>
                <c:pt idx="141">
                  <c:v>0.84257853782870884</c:v>
                </c:pt>
                <c:pt idx="142">
                  <c:v>0.83943715419524623</c:v>
                </c:pt>
                <c:pt idx="143">
                  <c:v>0.8376427254077129</c:v>
                </c:pt>
                <c:pt idx="144">
                  <c:v>0.83707480261930922</c:v>
                </c:pt>
                <c:pt idx="145">
                  <c:v>0.83540600327413639</c:v>
                </c:pt>
                <c:pt idx="146">
                  <c:v>0.83360833661437728</c:v>
                </c:pt>
                <c:pt idx="147">
                  <c:v>0.83085161220133874</c:v>
                </c:pt>
                <c:pt idx="148">
                  <c:v>0.82986535632136271</c:v>
                </c:pt>
                <c:pt idx="149">
                  <c:v>0.82848796547651127</c:v>
                </c:pt>
                <c:pt idx="150">
                  <c:v>0.82621886462067684</c:v>
                </c:pt>
                <c:pt idx="151">
                  <c:v>0.82495415172928277</c:v>
                </c:pt>
                <c:pt idx="152">
                  <c:v>0.82044509086764617</c:v>
                </c:pt>
                <c:pt idx="153">
                  <c:v>0.81922117516629722</c:v>
                </c:pt>
                <c:pt idx="154">
                  <c:v>0.81789947572372923</c:v>
                </c:pt>
                <c:pt idx="155">
                  <c:v>0.81656417721781305</c:v>
                </c:pt>
                <c:pt idx="156">
                  <c:v>0.81276809582029552</c:v>
                </c:pt>
                <c:pt idx="157">
                  <c:v>0.81128061731976708</c:v>
                </c:pt>
                <c:pt idx="158">
                  <c:v>0.80987279047599314</c:v>
                </c:pt>
                <c:pt idx="159">
                  <c:v>0.8063350912820938</c:v>
                </c:pt>
                <c:pt idx="160">
                  <c:v>0.80506649294402888</c:v>
                </c:pt>
                <c:pt idx="161">
                  <c:v>0.80352332304121687</c:v>
                </c:pt>
                <c:pt idx="162">
                  <c:v>0.8029359730194584</c:v>
                </c:pt>
                <c:pt idx="163">
                  <c:v>0.80212002921855896</c:v>
                </c:pt>
                <c:pt idx="164">
                  <c:v>0.7992571025965145</c:v>
                </c:pt>
                <c:pt idx="165">
                  <c:v>0.79771976086370899</c:v>
                </c:pt>
                <c:pt idx="166">
                  <c:v>0.79697893569844791</c:v>
                </c:pt>
                <c:pt idx="167">
                  <c:v>0.79641425078226991</c:v>
                </c:pt>
                <c:pt idx="168">
                  <c:v>0.79574012578486031</c:v>
                </c:pt>
              </c:numCache>
            </c:numRef>
          </c:val>
        </c:ser>
        <c:dLbls/>
        <c:marker val="1"/>
        <c:axId val="307381376"/>
        <c:axId val="307382912"/>
      </c:lineChart>
      <c:dateAx>
        <c:axId val="30738137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7382912"/>
        <c:crosses val="autoZero"/>
        <c:auto val="1"/>
        <c:lblOffset val="100"/>
        <c:baseTimeUnit val="days"/>
      </c:dateAx>
      <c:valAx>
        <c:axId val="30738291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738137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800818487863199"/>
          <c:y val="0.25591598928767589"/>
          <c:w val="0.73476543486411261"/>
          <c:h val="0.48459074354391396"/>
        </c:manualLayout>
      </c:layout>
      <c:lineChart>
        <c:grouping val="standard"/>
        <c:ser>
          <c:idx val="0"/>
          <c:order val="0"/>
          <c:tx>
            <c:strRef>
              <c:f>'used space Charts'!$G$2</c:f>
              <c:strCache>
                <c:ptCount val="1"/>
                <c:pt idx="0">
                  <c:v>RDC T4 V-MAX 3073</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Charts'!$G$3:$G$171</c:f>
              <c:numCache>
                <c:formatCode>0.00%</c:formatCode>
                <c:ptCount val="169"/>
                <c:pt idx="0">
                  <c:v>0.39464701964701965</c:v>
                </c:pt>
                <c:pt idx="1">
                  <c:v>0.39464701964701965</c:v>
                </c:pt>
                <c:pt idx="2">
                  <c:v>0.42291950473768652</c:v>
                </c:pt>
                <c:pt idx="3">
                  <c:v>0.42195229013410834</c:v>
                </c:pt>
                <c:pt idx="4">
                  <c:v>0.38604955650410194</c:v>
                </c:pt>
                <c:pt idx="5">
                  <c:v>0.38990025126388766</c:v>
                </c:pt>
                <c:pt idx="6">
                  <c:v>0.38039233493778946</c:v>
                </c:pt>
                <c:pt idx="7">
                  <c:v>0.37043865225683409</c:v>
                </c:pt>
                <c:pt idx="8">
                  <c:v>0.34652014652014651</c:v>
                </c:pt>
                <c:pt idx="9">
                  <c:v>0.35431992250174066</c:v>
                </c:pt>
                <c:pt idx="10">
                  <c:v>0.35446825901371354</c:v>
                </c:pt>
                <c:pt idx="11">
                  <c:v>0.26121000211909301</c:v>
                </c:pt>
                <c:pt idx="12">
                  <c:v>0.20652907698362244</c:v>
                </c:pt>
                <c:pt idx="13">
                  <c:v>0.21431144612962796</c:v>
                </c:pt>
                <c:pt idx="14">
                  <c:v>0.22276738413102051</c:v>
                </c:pt>
                <c:pt idx="15">
                  <c:v>0.22523310023310023</c:v>
                </c:pt>
                <c:pt idx="16">
                  <c:v>0.23180682953410225</c:v>
                </c:pt>
                <c:pt idx="17">
                  <c:v>0.25882602246238606</c:v>
                </c:pt>
                <c:pt idx="18">
                  <c:v>0.2766778675869585</c:v>
                </c:pt>
                <c:pt idx="19">
                  <c:v>0.2882806587352042</c:v>
                </c:pt>
                <c:pt idx="20">
                  <c:v>0.29534253625162715</c:v>
                </c:pt>
                <c:pt idx="21">
                  <c:v>0.30136454454636274</c:v>
                </c:pt>
                <c:pt idx="22">
                  <c:v>0.30862924953834048</c:v>
                </c:pt>
                <c:pt idx="23">
                  <c:v>0.31387022068840253</c:v>
                </c:pt>
                <c:pt idx="24">
                  <c:v>0.30865649502013137</c:v>
                </c:pt>
                <c:pt idx="25">
                  <c:v>0.30014455241727966</c:v>
                </c:pt>
                <c:pt idx="26">
                  <c:v>0.29254381981654709</c:v>
                </c:pt>
                <c:pt idx="27">
                  <c:v>0.29138361638361637</c:v>
                </c:pt>
                <c:pt idx="28">
                  <c:v>0.28824977128585955</c:v>
                </c:pt>
                <c:pt idx="29">
                  <c:v>0.21551549487198823</c:v>
                </c:pt>
                <c:pt idx="30">
                  <c:v>0.22763484595069225</c:v>
                </c:pt>
                <c:pt idx="31">
                  <c:v>0.24870380178774057</c:v>
                </c:pt>
                <c:pt idx="32">
                  <c:v>0.25689117749398349</c:v>
                </c:pt>
                <c:pt idx="33">
                  <c:v>0.24601828441227963</c:v>
                </c:pt>
                <c:pt idx="34">
                  <c:v>0.23552150912267344</c:v>
                </c:pt>
                <c:pt idx="35">
                  <c:v>0.23917366739376716</c:v>
                </c:pt>
                <c:pt idx="36">
                  <c:v>0.24582659152790132</c:v>
                </c:pt>
                <c:pt idx="37">
                  <c:v>0.24435573475155786</c:v>
                </c:pt>
                <c:pt idx="38">
                  <c:v>0.24291485837893231</c:v>
                </c:pt>
                <c:pt idx="39">
                  <c:v>0.24332459056307743</c:v>
                </c:pt>
                <c:pt idx="40">
                  <c:v>0.24386968881249441</c:v>
                </c:pt>
                <c:pt idx="41">
                  <c:v>0.24325645328190029</c:v>
                </c:pt>
                <c:pt idx="42">
                  <c:v>0.24714209530316095</c:v>
                </c:pt>
                <c:pt idx="43">
                  <c:v>0.24196275343661736</c:v>
                </c:pt>
                <c:pt idx="44">
                  <c:v>0.2413104525314817</c:v>
                </c:pt>
                <c:pt idx="45">
                  <c:v>0.23818431407107538</c:v>
                </c:pt>
                <c:pt idx="46">
                  <c:v>0.238354203025477</c:v>
                </c:pt>
                <c:pt idx="47">
                  <c:v>0.28565601211571712</c:v>
                </c:pt>
                <c:pt idx="48">
                  <c:v>0.32948372836300638</c:v>
                </c:pt>
                <c:pt idx="49">
                  <c:v>0.41892617461859022</c:v>
                </c:pt>
                <c:pt idx="50">
                  <c:v>0.43540086071013584</c:v>
                </c:pt>
                <c:pt idx="51">
                  <c:v>0.43259723871396794</c:v>
                </c:pt>
                <c:pt idx="52">
                  <c:v>0.43381553330141481</c:v>
                </c:pt>
                <c:pt idx="53">
                  <c:v>0.43365836330616625</c:v>
                </c:pt>
                <c:pt idx="54">
                  <c:v>0.43348756585468229</c:v>
                </c:pt>
                <c:pt idx="55">
                  <c:v>0.43343941550931714</c:v>
                </c:pt>
                <c:pt idx="56">
                  <c:v>0.4310055518256703</c:v>
                </c:pt>
                <c:pt idx="57">
                  <c:v>0.43023423780274528</c:v>
                </c:pt>
                <c:pt idx="58">
                  <c:v>0.42125374414360067</c:v>
                </c:pt>
                <c:pt idx="59">
                  <c:v>0.42009450186650726</c:v>
                </c:pt>
                <c:pt idx="60">
                  <c:v>0.42027710978006194</c:v>
                </c:pt>
                <c:pt idx="61">
                  <c:v>0.41873448173421196</c:v>
                </c:pt>
                <c:pt idx="62">
                  <c:v>0.42093031918227997</c:v>
                </c:pt>
                <c:pt idx="63">
                  <c:v>0.42125374414360067</c:v>
                </c:pt>
                <c:pt idx="64">
                  <c:v>0.41863000456974037</c:v>
                </c:pt>
                <c:pt idx="65">
                  <c:v>0.41845648162700932</c:v>
                </c:pt>
                <c:pt idx="66">
                  <c:v>0.41415202245077992</c:v>
                </c:pt>
                <c:pt idx="67">
                  <c:v>0.41256215255664708</c:v>
                </c:pt>
                <c:pt idx="68">
                  <c:v>0.41127662918510538</c:v>
                </c:pt>
                <c:pt idx="69">
                  <c:v>0.40456737823186484</c:v>
                </c:pt>
                <c:pt idx="70">
                  <c:v>0.40214259951904163</c:v>
                </c:pt>
                <c:pt idx="71">
                  <c:v>0.4016093117316954</c:v>
                </c:pt>
                <c:pt idx="72">
                  <c:v>0.4017664817269439</c:v>
                </c:pt>
                <c:pt idx="73">
                  <c:v>0.40184188698477996</c:v>
                </c:pt>
                <c:pt idx="74">
                  <c:v>0.40318918815792226</c:v>
                </c:pt>
                <c:pt idx="75">
                  <c:v>0.40070172314641611</c:v>
                </c:pt>
                <c:pt idx="76">
                  <c:v>0.39726124469551272</c:v>
                </c:pt>
                <c:pt idx="77">
                  <c:v>0.39481193656146574</c:v>
                </c:pt>
                <c:pt idx="78">
                  <c:v>0.39357819752361867</c:v>
                </c:pt>
                <c:pt idx="79">
                  <c:v>0.39090176511898139</c:v>
                </c:pt>
                <c:pt idx="80">
                  <c:v>0.38898029378978655</c:v>
                </c:pt>
                <c:pt idx="81">
                  <c:v>0.38626297901644291</c:v>
                </c:pt>
                <c:pt idx="82">
                  <c:v>0.38456136398117963</c:v>
                </c:pt>
                <c:pt idx="83">
                  <c:v>0.38086196386180304</c:v>
                </c:pt>
                <c:pt idx="84">
                  <c:v>0.37653206676726758</c:v>
                </c:pt>
                <c:pt idx="85">
                  <c:v>0.37487678508320471</c:v>
                </c:pt>
                <c:pt idx="86">
                  <c:v>0.36946305096941184</c:v>
                </c:pt>
                <c:pt idx="87">
                  <c:v>0.34643900941112127</c:v>
                </c:pt>
                <c:pt idx="88">
                  <c:v>0.3422072300014809</c:v>
                </c:pt>
                <c:pt idx="89">
                  <c:v>0.34087900726706816</c:v>
                </c:pt>
                <c:pt idx="90">
                  <c:v>0.33432056682949968</c:v>
                </c:pt>
                <c:pt idx="91">
                  <c:v>0.3314369970900839</c:v>
                </c:pt>
                <c:pt idx="92">
                  <c:v>0.31997812339025672</c:v>
                </c:pt>
                <c:pt idx="93">
                  <c:v>0.31858267187174932</c:v>
                </c:pt>
                <c:pt idx="94">
                  <c:v>0.31215051252862902</c:v>
                </c:pt>
                <c:pt idx="95">
                  <c:v>0.31062423743026152</c:v>
                </c:pt>
                <c:pt idx="96">
                  <c:v>0.30970029589749976</c:v>
                </c:pt>
                <c:pt idx="97">
                  <c:v>0.30591822254362833</c:v>
                </c:pt>
                <c:pt idx="98">
                  <c:v>0.3055275687982128</c:v>
                </c:pt>
                <c:pt idx="99">
                  <c:v>0.30267852194792677</c:v>
                </c:pt>
                <c:pt idx="100">
                  <c:v>0.30204802497276784</c:v>
                </c:pt>
                <c:pt idx="101">
                  <c:v>0.30190720792500175</c:v>
                </c:pt>
                <c:pt idx="102">
                  <c:v>0.30002116798201905</c:v>
                </c:pt>
                <c:pt idx="103">
                  <c:v>0.30101324679595792</c:v>
                </c:pt>
                <c:pt idx="104">
                  <c:v>0.30009203075444324</c:v>
                </c:pt>
                <c:pt idx="105">
                  <c:v>0.299558742967097</c:v>
                </c:pt>
                <c:pt idx="106">
                  <c:v>0.30547033348202401</c:v>
                </c:pt>
                <c:pt idx="107">
                  <c:v>0.30033823346376326</c:v>
                </c:pt>
                <c:pt idx="108">
                  <c:v>0.29541872176277506</c:v>
                </c:pt>
                <c:pt idx="109">
                  <c:v>0.29338005430995562</c:v>
                </c:pt>
                <c:pt idx="110">
                  <c:v>0.29392061007396075</c:v>
                </c:pt>
                <c:pt idx="111">
                  <c:v>0.28680980341031637</c:v>
                </c:pt>
                <c:pt idx="112">
                  <c:v>0.28574050234437676</c:v>
                </c:pt>
                <c:pt idx="113">
                  <c:v>0.28497645629811064</c:v>
                </c:pt>
                <c:pt idx="114">
                  <c:v>0.28551973755336285</c:v>
                </c:pt>
                <c:pt idx="115">
                  <c:v>0.28483291375909747</c:v>
                </c:pt>
                <c:pt idx="116">
                  <c:v>0.28243084747333336</c:v>
                </c:pt>
                <c:pt idx="117">
                  <c:v>0.27677363614146755</c:v>
                </c:pt>
                <c:pt idx="118">
                  <c:v>0.27589875345115333</c:v>
                </c:pt>
                <c:pt idx="119">
                  <c:v>0.27144802624466374</c:v>
                </c:pt>
                <c:pt idx="120">
                  <c:v>0.26832643026966924</c:v>
                </c:pt>
                <c:pt idx="121">
                  <c:v>0.26803026022081933</c:v>
                </c:pt>
                <c:pt idx="122">
                  <c:v>0.26675473031718361</c:v>
                </c:pt>
                <c:pt idx="123">
                  <c:v>0.26728075012787095</c:v>
                </c:pt>
                <c:pt idx="124">
                  <c:v>0.29174930204711652</c:v>
                </c:pt>
                <c:pt idx="125">
                  <c:v>0.28694880346391771</c:v>
                </c:pt>
                <c:pt idx="126">
                  <c:v>0.28196933095549365</c:v>
                </c:pt>
                <c:pt idx="127">
                  <c:v>0.27949912738855243</c:v>
                </c:pt>
                <c:pt idx="128">
                  <c:v>0.27725150560678974</c:v>
                </c:pt>
                <c:pt idx="129">
                  <c:v>0.27458234117881131</c:v>
                </c:pt>
                <c:pt idx="130">
                  <c:v>0.27240649066655526</c:v>
                </c:pt>
                <c:pt idx="131">
                  <c:v>0.26970734583485889</c:v>
                </c:pt>
                <c:pt idx="132">
                  <c:v>0.26724986122707067</c:v>
                </c:pt>
                <c:pt idx="133">
                  <c:v>0.26697822059944454</c:v>
                </c:pt>
                <c:pt idx="134">
                  <c:v>0.24383970840877647</c:v>
                </c:pt>
                <c:pt idx="135">
                  <c:v>0.24219896267803137</c:v>
                </c:pt>
                <c:pt idx="136">
                  <c:v>0.24155483824663701</c:v>
                </c:pt>
                <c:pt idx="137">
                  <c:v>0.24086347196695979</c:v>
                </c:pt>
                <c:pt idx="138">
                  <c:v>0.24006399453448155</c:v>
                </c:pt>
                <c:pt idx="139">
                  <c:v>0.23992499448088023</c:v>
                </c:pt>
                <c:pt idx="140">
                  <c:v>0.23912733404256675</c:v>
                </c:pt>
                <c:pt idx="141">
                  <c:v>0.23879482411042238</c:v>
                </c:pt>
                <c:pt idx="142">
                  <c:v>0.23547063328606122</c:v>
                </c:pt>
                <c:pt idx="143">
                  <c:v>0.23498367884991536</c:v>
                </c:pt>
                <c:pt idx="144">
                  <c:v>0.23420237135908437</c:v>
                </c:pt>
                <c:pt idx="145">
                  <c:v>0.23230361245694858</c:v>
                </c:pt>
                <c:pt idx="146">
                  <c:v>0.23164222658098935</c:v>
                </c:pt>
                <c:pt idx="147">
                  <c:v>0.21907952892609286</c:v>
                </c:pt>
                <c:pt idx="148">
                  <c:v>0.21844085547719266</c:v>
                </c:pt>
                <c:pt idx="149">
                  <c:v>0.21694910326795486</c:v>
                </c:pt>
                <c:pt idx="150">
                  <c:v>0.21504125939499547</c:v>
                </c:pt>
                <c:pt idx="151">
                  <c:v>0.21216314063807387</c:v>
                </c:pt>
                <c:pt idx="152">
                  <c:v>0.20978651227061584</c:v>
                </c:pt>
                <c:pt idx="153">
                  <c:v>0.20971655799527403</c:v>
                </c:pt>
                <c:pt idx="154">
                  <c:v>0.20586180487481365</c:v>
                </c:pt>
                <c:pt idx="155">
                  <c:v>0.18343737139088179</c:v>
                </c:pt>
                <c:pt idx="156">
                  <c:v>0.13364809728913557</c:v>
                </c:pt>
                <c:pt idx="157">
                  <c:v>0.13207003785707344</c:v>
                </c:pt>
                <c:pt idx="158">
                  <c:v>0.13188107046394221</c:v>
                </c:pt>
                <c:pt idx="159">
                  <c:v>0.13037478230138666</c:v>
                </c:pt>
                <c:pt idx="160">
                  <c:v>0.12636285918567774</c:v>
                </c:pt>
                <c:pt idx="161">
                  <c:v>0.12272432837081944</c:v>
                </c:pt>
                <c:pt idx="162">
                  <c:v>0.12245995571985221</c:v>
                </c:pt>
                <c:pt idx="163">
                  <c:v>0.12223010595801473</c:v>
                </c:pt>
                <c:pt idx="164">
                  <c:v>0.12180856331179894</c:v>
                </c:pt>
                <c:pt idx="165">
                  <c:v>0.12121804020826388</c:v>
                </c:pt>
                <c:pt idx="166">
                  <c:v>0.11997158221126374</c:v>
                </c:pt>
                <c:pt idx="167">
                  <c:v>0.11781935262314906</c:v>
                </c:pt>
                <c:pt idx="168">
                  <c:v>0.1173614700936388</c:v>
                </c:pt>
              </c:numCache>
            </c:numRef>
          </c:val>
        </c:ser>
        <c:dLbls/>
        <c:marker val="1"/>
        <c:axId val="735624192"/>
        <c:axId val="735630080"/>
      </c:lineChart>
      <c:dateAx>
        <c:axId val="73562419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35630080"/>
        <c:crosses val="autoZero"/>
        <c:auto val="1"/>
        <c:lblOffset val="100"/>
        <c:baseTimeUnit val="days"/>
      </c:dateAx>
      <c:valAx>
        <c:axId val="735630080"/>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3562419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3756513880323642"/>
        </c:manualLayout>
      </c:layout>
      <c:lineChart>
        <c:grouping val="standard"/>
        <c:ser>
          <c:idx val="0"/>
          <c:order val="0"/>
          <c:tx>
            <c:strRef>
              <c:f>'used space Charts'!$H$2</c:f>
              <c:strCache>
                <c:ptCount val="1"/>
                <c:pt idx="0">
                  <c:v>RDC T3 V-MAX 2230</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Charts'!$H$3:$H$171</c:f>
              <c:numCache>
                <c:formatCode>0.00%</c:formatCode>
                <c:ptCount val="169"/>
                <c:pt idx="0">
                  <c:v>0.50159912404967921</c:v>
                </c:pt>
                <c:pt idx="1">
                  <c:v>0.50159912404967921</c:v>
                </c:pt>
                <c:pt idx="2">
                  <c:v>0.50159912404967921</c:v>
                </c:pt>
                <c:pt idx="3">
                  <c:v>0.49927998474573693</c:v>
                </c:pt>
                <c:pt idx="4">
                  <c:v>0.69532884206778434</c:v>
                </c:pt>
                <c:pt idx="5">
                  <c:v>0.6927837549595407</c:v>
                </c:pt>
                <c:pt idx="6">
                  <c:v>0.62978543135435228</c:v>
                </c:pt>
                <c:pt idx="7">
                  <c:v>0.56124857621827096</c:v>
                </c:pt>
                <c:pt idx="8">
                  <c:v>0.56124857621827096</c:v>
                </c:pt>
                <c:pt idx="9">
                  <c:v>0.56082082355985807</c:v>
                </c:pt>
                <c:pt idx="10">
                  <c:v>0.5582600769130599</c:v>
                </c:pt>
                <c:pt idx="11">
                  <c:v>0.44254927397434146</c:v>
                </c:pt>
                <c:pt idx="12">
                  <c:v>0.40494412841480959</c:v>
                </c:pt>
                <c:pt idx="13">
                  <c:v>0.40466143253458697</c:v>
                </c:pt>
                <c:pt idx="14">
                  <c:v>0.40062044740125835</c:v>
                </c:pt>
                <c:pt idx="15">
                  <c:v>0.39854184970469408</c:v>
                </c:pt>
                <c:pt idx="16">
                  <c:v>0.39677809115170137</c:v>
                </c:pt>
                <c:pt idx="17">
                  <c:v>0.39598769654781352</c:v>
                </c:pt>
                <c:pt idx="18">
                  <c:v>0.39542560153232703</c:v>
                </c:pt>
                <c:pt idx="19">
                  <c:v>0.39403849609088465</c:v>
                </c:pt>
                <c:pt idx="20">
                  <c:v>0.39366596391053288</c:v>
                </c:pt>
                <c:pt idx="21">
                  <c:v>0.39358272110032155</c:v>
                </c:pt>
                <c:pt idx="22">
                  <c:v>0.39045493432059852</c:v>
                </c:pt>
                <c:pt idx="23">
                  <c:v>0.39032800963968223</c:v>
                </c:pt>
                <c:pt idx="24">
                  <c:v>0.39002800584842556</c:v>
                </c:pt>
                <c:pt idx="25">
                  <c:v>0.38963157226712203</c:v>
                </c:pt>
                <c:pt idx="26">
                  <c:v>0.3886112297023534</c:v>
                </c:pt>
                <c:pt idx="27">
                  <c:v>0.38855518503805264</c:v>
                </c:pt>
                <c:pt idx="28">
                  <c:v>0.38837056732035619</c:v>
                </c:pt>
                <c:pt idx="29">
                  <c:v>0.38744500617315492</c:v>
                </c:pt>
                <c:pt idx="30">
                  <c:v>0.3872562675242599</c:v>
                </c:pt>
                <c:pt idx="31">
                  <c:v>0.38618894634382739</c:v>
                </c:pt>
                <c:pt idx="32">
                  <c:v>0.38505898700917651</c:v>
                </c:pt>
                <c:pt idx="33">
                  <c:v>0.380637227833099</c:v>
                </c:pt>
                <c:pt idx="34">
                  <c:v>0.38027458588762386</c:v>
                </c:pt>
                <c:pt idx="35">
                  <c:v>0.37979820624106786</c:v>
                </c:pt>
                <c:pt idx="36">
                  <c:v>0.37897814093255022</c:v>
                </c:pt>
                <c:pt idx="37">
                  <c:v>0.37887264509386659</c:v>
                </c:pt>
                <c:pt idx="38">
                  <c:v>0.37879764414605238</c:v>
                </c:pt>
                <c:pt idx="39">
                  <c:v>0.37869956598352617</c:v>
                </c:pt>
                <c:pt idx="40">
                  <c:v>0.37839049614363263</c:v>
                </c:pt>
                <c:pt idx="41">
                  <c:v>0.37756548571767662</c:v>
                </c:pt>
                <c:pt idx="42">
                  <c:v>0.37729597681728944</c:v>
                </c:pt>
                <c:pt idx="43">
                  <c:v>0.37486874834132516</c:v>
                </c:pt>
                <c:pt idx="44">
                  <c:v>0.37482012135318193</c:v>
                </c:pt>
                <c:pt idx="45">
                  <c:v>0.34794588063475529</c:v>
                </c:pt>
                <c:pt idx="46">
                  <c:v>0.34617882533680372</c:v>
                </c:pt>
                <c:pt idx="47">
                  <c:v>0.34301065343133458</c:v>
                </c:pt>
                <c:pt idx="48">
                  <c:v>0.2227866066439301</c:v>
                </c:pt>
                <c:pt idx="49">
                  <c:v>0.22146049098422674</c:v>
                </c:pt>
                <c:pt idx="50">
                  <c:v>0.21622855673450819</c:v>
                </c:pt>
                <c:pt idx="51">
                  <c:v>0.21534420489929268</c:v>
                </c:pt>
                <c:pt idx="52">
                  <c:v>0.2149848596987764</c:v>
                </c:pt>
                <c:pt idx="53">
                  <c:v>0.19434970881500149</c:v>
                </c:pt>
                <c:pt idx="54">
                  <c:v>0.19420712459553061</c:v>
                </c:pt>
                <c:pt idx="55">
                  <c:v>0.19386920823724696</c:v>
                </c:pt>
                <c:pt idx="56">
                  <c:v>0.19373651425265265</c:v>
                </c:pt>
                <c:pt idx="57">
                  <c:v>0.19338128998333495</c:v>
                </c:pt>
                <c:pt idx="58">
                  <c:v>0.19251836699035205</c:v>
                </c:pt>
                <c:pt idx="59">
                  <c:v>0.19204940501995355</c:v>
                </c:pt>
                <c:pt idx="60">
                  <c:v>0.1919620412785436</c:v>
                </c:pt>
                <c:pt idx="61">
                  <c:v>0.19174445611125854</c:v>
                </c:pt>
                <c:pt idx="62">
                  <c:v>0.19159610258810963</c:v>
                </c:pt>
                <c:pt idx="63">
                  <c:v>0.19072988285016787</c:v>
                </c:pt>
                <c:pt idx="64">
                  <c:v>0.19034746043493955</c:v>
                </c:pt>
                <c:pt idx="65">
                  <c:v>0.18994196080499917</c:v>
                </c:pt>
                <c:pt idx="66">
                  <c:v>0.18570317097413869</c:v>
                </c:pt>
                <c:pt idx="67">
                  <c:v>0.18199103615045684</c:v>
                </c:pt>
                <c:pt idx="68">
                  <c:v>0.17871984096502319</c:v>
                </c:pt>
                <c:pt idx="69">
                  <c:v>0.17850802510141611</c:v>
                </c:pt>
                <c:pt idx="70">
                  <c:v>0.17801186498510696</c:v>
                </c:pt>
                <c:pt idx="71">
                  <c:v>0.17742504438242901</c:v>
                </c:pt>
                <c:pt idx="72">
                  <c:v>0.17707806197550849</c:v>
                </c:pt>
                <c:pt idx="73">
                  <c:v>0.17697998381298224</c:v>
                </c:pt>
                <c:pt idx="74">
                  <c:v>0.17671047491259503</c:v>
                </c:pt>
                <c:pt idx="75">
                  <c:v>0.17647310927555676</c:v>
                </c:pt>
                <c:pt idx="76">
                  <c:v>0.17637585529927027</c:v>
                </c:pt>
                <c:pt idx="77">
                  <c:v>0.1763115687725724</c:v>
                </c:pt>
                <c:pt idx="78">
                  <c:v>0.17637420692679082</c:v>
                </c:pt>
                <c:pt idx="79">
                  <c:v>0.17554589975587603</c:v>
                </c:pt>
                <c:pt idx="80">
                  <c:v>0.17530276481515975</c:v>
                </c:pt>
                <c:pt idx="81">
                  <c:v>0.1739840668316138</c:v>
                </c:pt>
                <c:pt idx="82">
                  <c:v>0.17395604449946347</c:v>
                </c:pt>
                <c:pt idx="83">
                  <c:v>0.17276509538307352</c:v>
                </c:pt>
                <c:pt idx="84">
                  <c:v>0.17242058553487213</c:v>
                </c:pt>
                <c:pt idx="85">
                  <c:v>0.17236618924305086</c:v>
                </c:pt>
                <c:pt idx="86">
                  <c:v>0.1723422878420991</c:v>
                </c:pt>
                <c:pt idx="87">
                  <c:v>0.17045325298066955</c:v>
                </c:pt>
                <c:pt idx="88">
                  <c:v>0.17038731808149224</c:v>
                </c:pt>
                <c:pt idx="89">
                  <c:v>0.17032715248599295</c:v>
                </c:pt>
                <c:pt idx="90">
                  <c:v>0.17022495339226815</c:v>
                </c:pt>
                <c:pt idx="91">
                  <c:v>0.17018456826652203</c:v>
                </c:pt>
                <c:pt idx="92">
                  <c:v>0.17008484173151639</c:v>
                </c:pt>
                <c:pt idx="93">
                  <c:v>0.17004445660577028</c:v>
                </c:pt>
                <c:pt idx="94">
                  <c:v>0.16958950580144694</c:v>
                </c:pt>
                <c:pt idx="95">
                  <c:v>0.16952274671602993</c:v>
                </c:pt>
                <c:pt idx="96">
                  <c:v>0.16947411972788665</c:v>
                </c:pt>
                <c:pt idx="97">
                  <c:v>0.169429613670942</c:v>
                </c:pt>
                <c:pt idx="98">
                  <c:v>0.16936615133048386</c:v>
                </c:pt>
                <c:pt idx="99">
                  <c:v>0.16924169920828672</c:v>
                </c:pt>
                <c:pt idx="100">
                  <c:v>0.16913208243840441</c:v>
                </c:pt>
                <c:pt idx="101">
                  <c:v>0.16908427963650088</c:v>
                </c:pt>
                <c:pt idx="102">
                  <c:v>0.16885350748938036</c:v>
                </c:pt>
                <c:pt idx="103">
                  <c:v>0.16869443954511512</c:v>
                </c:pt>
                <c:pt idx="104">
                  <c:v>0.16860460324498605</c:v>
                </c:pt>
                <c:pt idx="105">
                  <c:v>0.16855020695316478</c:v>
                </c:pt>
                <c:pt idx="106">
                  <c:v>0.16835652318683147</c:v>
                </c:pt>
                <c:pt idx="107">
                  <c:v>0.1681991036150457</c:v>
                </c:pt>
                <c:pt idx="108">
                  <c:v>0.1676963500088188</c:v>
                </c:pt>
                <c:pt idx="109">
                  <c:v>0.16767162442162731</c:v>
                </c:pt>
                <c:pt idx="110">
                  <c:v>0.16763288766836065</c:v>
                </c:pt>
                <c:pt idx="111">
                  <c:v>0.16760156859125144</c:v>
                </c:pt>
                <c:pt idx="112">
                  <c:v>0.16731227922111103</c:v>
                </c:pt>
                <c:pt idx="113">
                  <c:v>0.16707079265287417</c:v>
                </c:pt>
                <c:pt idx="114">
                  <c:v>0.16698425309770398</c:v>
                </c:pt>
                <c:pt idx="115">
                  <c:v>0.16690348284621179</c:v>
                </c:pt>
                <c:pt idx="116">
                  <c:v>0.1668177674772813</c:v>
                </c:pt>
                <c:pt idx="117">
                  <c:v>0.16547928902398218</c:v>
                </c:pt>
                <c:pt idx="118">
                  <c:v>0.16539274946881197</c:v>
                </c:pt>
                <c:pt idx="119">
                  <c:v>0.16528066014021056</c:v>
                </c:pt>
                <c:pt idx="120">
                  <c:v>0.16517269174280774</c:v>
                </c:pt>
                <c:pt idx="121">
                  <c:v>0.16514796615561625</c:v>
                </c:pt>
                <c:pt idx="122">
                  <c:v>0.16506307497292549</c:v>
                </c:pt>
                <c:pt idx="123">
                  <c:v>0.16483972050196238</c:v>
                </c:pt>
                <c:pt idx="124">
                  <c:v>0.1645718599740546</c:v>
                </c:pt>
                <c:pt idx="125">
                  <c:v>0.16451004600607588</c:v>
                </c:pt>
                <c:pt idx="126">
                  <c:v>0.16448037530144613</c:v>
                </c:pt>
                <c:pt idx="127">
                  <c:v>0.16446059483169292</c:v>
                </c:pt>
                <c:pt idx="128">
                  <c:v>0.16439960504995393</c:v>
                </c:pt>
                <c:pt idx="129">
                  <c:v>0.16426691106535959</c:v>
                </c:pt>
                <c:pt idx="130">
                  <c:v>0.16306195078289448</c:v>
                </c:pt>
                <c:pt idx="131">
                  <c:v>0.16304464287186046</c:v>
                </c:pt>
                <c:pt idx="132">
                  <c:v>0.16285837678168461</c:v>
                </c:pt>
                <c:pt idx="133">
                  <c:v>0.16279738699994559</c:v>
                </c:pt>
                <c:pt idx="134">
                  <c:v>0.1621322687044946</c:v>
                </c:pt>
                <c:pt idx="135">
                  <c:v>0.16204243240436556</c:v>
                </c:pt>
                <c:pt idx="136">
                  <c:v>0.16197237657398969</c:v>
                </c:pt>
                <c:pt idx="137">
                  <c:v>0.16178858304253294</c:v>
                </c:pt>
                <c:pt idx="138">
                  <c:v>0.16175396722046489</c:v>
                </c:pt>
                <c:pt idx="139">
                  <c:v>0.16174490117182799</c:v>
                </c:pt>
                <c:pt idx="140">
                  <c:v>0.16173583512319112</c:v>
                </c:pt>
                <c:pt idx="141">
                  <c:v>0.16173253837823223</c:v>
                </c:pt>
                <c:pt idx="142">
                  <c:v>0.16172512070207481</c:v>
                </c:pt>
                <c:pt idx="143">
                  <c:v>0.16172099977087623</c:v>
                </c:pt>
                <c:pt idx="144">
                  <c:v>0.16167649371393156</c:v>
                </c:pt>
                <c:pt idx="145">
                  <c:v>0.16159407508995993</c:v>
                </c:pt>
                <c:pt idx="146">
                  <c:v>0.16157429462020673</c:v>
                </c:pt>
                <c:pt idx="147">
                  <c:v>0.16111604707092453</c:v>
                </c:pt>
                <c:pt idx="148">
                  <c:v>0.16111275032596564</c:v>
                </c:pt>
                <c:pt idx="149">
                  <c:v>0.16110450846356847</c:v>
                </c:pt>
                <c:pt idx="150">
                  <c:v>0.16110121171860964</c:v>
                </c:pt>
                <c:pt idx="151">
                  <c:v>0.16108307962133586</c:v>
                </c:pt>
                <c:pt idx="152">
                  <c:v>0.16102621077079543</c:v>
                </c:pt>
                <c:pt idx="153">
                  <c:v>0.16101796890839828</c:v>
                </c:pt>
                <c:pt idx="154">
                  <c:v>0.16101467216343943</c:v>
                </c:pt>
                <c:pt idx="155">
                  <c:v>0.16101302379096</c:v>
                </c:pt>
                <c:pt idx="156">
                  <c:v>0.16100560611480252</c:v>
                </c:pt>
                <c:pt idx="157">
                  <c:v>0.1609891223900082</c:v>
                </c:pt>
                <c:pt idx="158">
                  <c:v>0.16089928608987916</c:v>
                </c:pt>
                <c:pt idx="159">
                  <c:v>0.15969844673861264</c:v>
                </c:pt>
                <c:pt idx="160">
                  <c:v>0.15969597417989348</c:v>
                </c:pt>
                <c:pt idx="161">
                  <c:v>0.15969350162117435</c:v>
                </c:pt>
                <c:pt idx="162">
                  <c:v>0.15969102906245516</c:v>
                </c:pt>
                <c:pt idx="163">
                  <c:v>0.1592550345416453</c:v>
                </c:pt>
                <c:pt idx="164">
                  <c:v>0.15907453775514743</c:v>
                </c:pt>
                <c:pt idx="165">
                  <c:v>0.15900118517981271</c:v>
                </c:pt>
                <c:pt idx="166">
                  <c:v>0.15898552564125809</c:v>
                </c:pt>
                <c:pt idx="167">
                  <c:v>0.15863112555818012</c:v>
                </c:pt>
                <c:pt idx="168">
                  <c:v>0.15862782881322124</c:v>
                </c:pt>
              </c:numCache>
            </c:numRef>
          </c:val>
        </c:ser>
        <c:dLbls/>
        <c:marker val="1"/>
        <c:axId val="203366400"/>
        <c:axId val="203367936"/>
      </c:lineChart>
      <c:dateAx>
        <c:axId val="2033664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3367936"/>
        <c:crosses val="autoZero"/>
        <c:auto val="1"/>
        <c:lblOffset val="100"/>
        <c:baseTimeUnit val="days"/>
      </c:dateAx>
      <c:valAx>
        <c:axId val="20336793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33664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5750987745313921"/>
          <c:y val="1.5708269806231689E-2"/>
        </c:manualLayout>
      </c:layout>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4876325204889831"/>
        </c:manualLayout>
      </c:layout>
      <c:lineChart>
        <c:grouping val="standard"/>
        <c:ser>
          <c:idx val="0"/>
          <c:order val="0"/>
          <c:tx>
            <c:strRef>
              <c:f>'used space Charts'!$L$2</c:f>
              <c:strCache>
                <c:ptCount val="1"/>
                <c:pt idx="0">
                  <c:v>FDC T4 V-MAX 0879</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Charts'!$L$2:$L$171</c:f>
              <c:numCache>
                <c:formatCode>0.00%</c:formatCode>
                <c:ptCount val="170"/>
                <c:pt idx="0" formatCode="General">
                  <c:v>0</c:v>
                </c:pt>
                <c:pt idx="1">
                  <c:v>0.82796707196402575</c:v>
                </c:pt>
                <c:pt idx="2">
                  <c:v>0.82796707196402575</c:v>
                </c:pt>
                <c:pt idx="3">
                  <c:v>0.82796707196402575</c:v>
                </c:pt>
                <c:pt idx="4">
                  <c:v>0.82496904578116004</c:v>
                </c:pt>
                <c:pt idx="5">
                  <c:v>0.82352727856724706</c:v>
                </c:pt>
                <c:pt idx="6">
                  <c:v>0.82151823320053674</c:v>
                </c:pt>
                <c:pt idx="7">
                  <c:v>0.81258684018297966</c:v>
                </c:pt>
                <c:pt idx="8">
                  <c:v>0.80695913006988662</c:v>
                </c:pt>
                <c:pt idx="9">
                  <c:v>0.80695913006988662</c:v>
                </c:pt>
                <c:pt idx="10">
                  <c:v>0.80660322131100837</c:v>
                </c:pt>
                <c:pt idx="11">
                  <c:v>0.80452475560413828</c:v>
                </c:pt>
                <c:pt idx="12">
                  <c:v>0.78172690867080763</c:v>
                </c:pt>
                <c:pt idx="13">
                  <c:v>0.76662124987696023</c:v>
                </c:pt>
                <c:pt idx="14">
                  <c:v>0.76627984686080197</c:v>
                </c:pt>
                <c:pt idx="15">
                  <c:v>0.76551415087008545</c:v>
                </c:pt>
                <c:pt idx="16">
                  <c:v>0.76344397415905541</c:v>
                </c:pt>
                <c:pt idx="17">
                  <c:v>0.76272283152097897</c:v>
                </c:pt>
                <c:pt idx="18">
                  <c:v>0.76163127438130418</c:v>
                </c:pt>
                <c:pt idx="19">
                  <c:v>0.76114895843586639</c:v>
                </c:pt>
                <c:pt idx="20">
                  <c:v>0.85736888158926006</c:v>
                </c:pt>
                <c:pt idx="21">
                  <c:v>0.8569120698892656</c:v>
                </c:pt>
                <c:pt idx="22">
                  <c:v>0.85684773021321003</c:v>
                </c:pt>
                <c:pt idx="23">
                  <c:v>0.85488010593820107</c:v>
                </c:pt>
                <c:pt idx="24">
                  <c:v>0.85462099251554091</c:v>
                </c:pt>
                <c:pt idx="25">
                  <c:v>0.85448353957124035</c:v>
                </c:pt>
                <c:pt idx="26">
                  <c:v>0.85382318053245176</c:v>
                </c:pt>
                <c:pt idx="27">
                  <c:v>0.85298033077612367</c:v>
                </c:pt>
                <c:pt idx="28">
                  <c:v>0.85281129289994129</c:v>
                </c:pt>
                <c:pt idx="29">
                  <c:v>0.85147419745027708</c:v>
                </c:pt>
                <c:pt idx="30">
                  <c:v>0.85002012077142097</c:v>
                </c:pt>
                <c:pt idx="31">
                  <c:v>0.84744185448003018</c:v>
                </c:pt>
                <c:pt idx="32">
                  <c:v>0.84517534316443588</c:v>
                </c:pt>
                <c:pt idx="33">
                  <c:v>0.84322468116765981</c:v>
                </c:pt>
                <c:pt idx="34">
                  <c:v>0.84033173536974259</c:v>
                </c:pt>
                <c:pt idx="35">
                  <c:v>0.83827462045440182</c:v>
                </c:pt>
                <c:pt idx="36">
                  <c:v>0.83717792143072711</c:v>
                </c:pt>
                <c:pt idx="37">
                  <c:v>0.83436744739939017</c:v>
                </c:pt>
                <c:pt idx="38">
                  <c:v>0.83393461685137993</c:v>
                </c:pt>
                <c:pt idx="39">
                  <c:v>0.83375914500759196</c:v>
                </c:pt>
                <c:pt idx="40">
                  <c:v>0.83348423911899083</c:v>
                </c:pt>
                <c:pt idx="41">
                  <c:v>0.83270689885101035</c:v>
                </c:pt>
                <c:pt idx="42">
                  <c:v>0.82922963181327913</c:v>
                </c:pt>
                <c:pt idx="43">
                  <c:v>0.82819025359190868</c:v>
                </c:pt>
                <c:pt idx="44">
                  <c:v>0.82589800640589206</c:v>
                </c:pt>
                <c:pt idx="45">
                  <c:v>0.82517740203406964</c:v>
                </c:pt>
                <c:pt idx="46">
                  <c:v>0.82283017367033273</c:v>
                </c:pt>
                <c:pt idx="47">
                  <c:v>0.82236400347200289</c:v>
                </c:pt>
                <c:pt idx="48">
                  <c:v>0.82049464342951528</c:v>
                </c:pt>
                <c:pt idx="49">
                  <c:v>0.81868845325079143</c:v>
                </c:pt>
                <c:pt idx="50">
                  <c:v>0.81864458528984441</c:v>
                </c:pt>
                <c:pt idx="51">
                  <c:v>0.81813630184900521</c:v>
                </c:pt>
                <c:pt idx="52">
                  <c:v>0.81749582961917922</c:v>
                </c:pt>
                <c:pt idx="53">
                  <c:v>0.82471474127261535</c:v>
                </c:pt>
                <c:pt idx="54">
                  <c:v>0.82415791062166155</c:v>
                </c:pt>
                <c:pt idx="55">
                  <c:v>0.82392979722473725</c:v>
                </c:pt>
                <c:pt idx="56">
                  <c:v>0.82354141954381999</c:v>
                </c:pt>
                <c:pt idx="57">
                  <c:v>0.82280151326918072</c:v>
                </c:pt>
                <c:pt idx="58">
                  <c:v>0.82238272046867356</c:v>
                </c:pt>
                <c:pt idx="59">
                  <c:v>0.82113628547163331</c:v>
                </c:pt>
                <c:pt idx="60">
                  <c:v>0.82013726577433377</c:v>
                </c:pt>
                <c:pt idx="61">
                  <c:v>0.81834218881238319</c:v>
                </c:pt>
                <c:pt idx="62">
                  <c:v>0.8152737711706779</c:v>
                </c:pt>
                <c:pt idx="63">
                  <c:v>0.8135015055484196</c:v>
                </c:pt>
                <c:pt idx="64">
                  <c:v>0.81146076800516587</c:v>
                </c:pt>
                <c:pt idx="65">
                  <c:v>0.81098757893308437</c:v>
                </c:pt>
                <c:pt idx="66">
                  <c:v>0.81010261593424715</c:v>
                </c:pt>
                <c:pt idx="67">
                  <c:v>0.80593749926886737</c:v>
                </c:pt>
                <c:pt idx="68">
                  <c:v>0.80348323308041991</c:v>
                </c:pt>
                <c:pt idx="69">
                  <c:v>0.80348323308041991</c:v>
                </c:pt>
                <c:pt idx="70">
                  <c:v>0.80296559114124544</c:v>
                </c:pt>
                <c:pt idx="71">
                  <c:v>0.80111202356469879</c:v>
                </c:pt>
                <c:pt idx="72">
                  <c:v>0.80012353217802679</c:v>
                </c:pt>
                <c:pt idx="73">
                  <c:v>0.80001941888404582</c:v>
                </c:pt>
                <c:pt idx="74">
                  <c:v>0.79984277722796604</c:v>
                </c:pt>
                <c:pt idx="75">
                  <c:v>0.79907187092759091</c:v>
                </c:pt>
                <c:pt idx="76">
                  <c:v>0.79686209550815479</c:v>
                </c:pt>
                <c:pt idx="77">
                  <c:v>0.79573790589561988</c:v>
                </c:pt>
                <c:pt idx="78">
                  <c:v>0.79520271677206666</c:v>
                </c:pt>
                <c:pt idx="79">
                  <c:v>0.79231445022331715</c:v>
                </c:pt>
                <c:pt idx="80">
                  <c:v>0.79194128010219467</c:v>
                </c:pt>
                <c:pt idx="81">
                  <c:v>0.79067788282692153</c:v>
                </c:pt>
                <c:pt idx="82">
                  <c:v>0.78810722031542813</c:v>
                </c:pt>
                <c:pt idx="83">
                  <c:v>0.78788378616767152</c:v>
                </c:pt>
                <c:pt idx="84">
                  <c:v>0.78715791764053533</c:v>
                </c:pt>
                <c:pt idx="85">
                  <c:v>0.78570091643094941</c:v>
                </c:pt>
                <c:pt idx="86">
                  <c:v>0.78538565201827715</c:v>
                </c:pt>
                <c:pt idx="87">
                  <c:v>0.78520316130073764</c:v>
                </c:pt>
                <c:pt idx="88">
                  <c:v>0.7809737049593023</c:v>
                </c:pt>
                <c:pt idx="89">
                  <c:v>0.77510241706615746</c:v>
                </c:pt>
                <c:pt idx="90">
                  <c:v>0.77485500176641653</c:v>
                </c:pt>
                <c:pt idx="91">
                  <c:v>0.76826135478301139</c:v>
                </c:pt>
                <c:pt idx="92">
                  <c:v>0.76750741076086926</c:v>
                </c:pt>
                <c:pt idx="93">
                  <c:v>0.76566905074411762</c:v>
                </c:pt>
                <c:pt idx="94">
                  <c:v>0.76528125796934621</c:v>
                </c:pt>
                <c:pt idx="95">
                  <c:v>0.76083948069692731</c:v>
                </c:pt>
                <c:pt idx="96">
                  <c:v>0.75587128789314462</c:v>
                </c:pt>
                <c:pt idx="97">
                  <c:v>0.75182958642456232</c:v>
                </c:pt>
                <c:pt idx="98">
                  <c:v>0.75122128403276411</c:v>
                </c:pt>
                <c:pt idx="99">
                  <c:v>0.74847631948977467</c:v>
                </c:pt>
                <c:pt idx="100">
                  <c:v>0.74686431815150944</c:v>
                </c:pt>
                <c:pt idx="101">
                  <c:v>0.74632620449722642</c:v>
                </c:pt>
                <c:pt idx="102">
                  <c:v>0.74594016644089289</c:v>
                </c:pt>
                <c:pt idx="103">
                  <c:v>0.74553014723257505</c:v>
                </c:pt>
                <c:pt idx="104">
                  <c:v>0.74121353987539162</c:v>
                </c:pt>
                <c:pt idx="105">
                  <c:v>0.73614123377762808</c:v>
                </c:pt>
                <c:pt idx="106">
                  <c:v>0.7349725912980003</c:v>
                </c:pt>
                <c:pt idx="107">
                  <c:v>0.73361502413322754</c:v>
                </c:pt>
                <c:pt idx="108">
                  <c:v>0.73151579597537775</c:v>
                </c:pt>
                <c:pt idx="109">
                  <c:v>0.73100926725297655</c:v>
                </c:pt>
                <c:pt idx="110">
                  <c:v>0.73013132312789086</c:v>
                </c:pt>
                <c:pt idx="111">
                  <c:v>0.72860705771151957</c:v>
                </c:pt>
                <c:pt idx="112">
                  <c:v>0.72759341536057121</c:v>
                </c:pt>
                <c:pt idx="113">
                  <c:v>0.72692662235417704</c:v>
                </c:pt>
                <c:pt idx="114">
                  <c:v>0.72316158149263365</c:v>
                </c:pt>
                <c:pt idx="115">
                  <c:v>0.71982937117910062</c:v>
                </c:pt>
                <c:pt idx="116">
                  <c:v>0.71719027464852991</c:v>
                </c:pt>
                <c:pt idx="117">
                  <c:v>0.71594793399451118</c:v>
                </c:pt>
                <c:pt idx="118">
                  <c:v>0.71297895039761916</c:v>
                </c:pt>
                <c:pt idx="119">
                  <c:v>0.71223436487381231</c:v>
                </c:pt>
                <c:pt idx="120">
                  <c:v>0.71196589295281676</c:v>
                </c:pt>
                <c:pt idx="121">
                  <c:v>0.71055392951646978</c:v>
                </c:pt>
                <c:pt idx="122">
                  <c:v>0.71031528780891817</c:v>
                </c:pt>
                <c:pt idx="123">
                  <c:v>0.70970990994784966</c:v>
                </c:pt>
                <c:pt idx="124">
                  <c:v>0.70581443501575736</c:v>
                </c:pt>
                <c:pt idx="125">
                  <c:v>0.69524167152138772</c:v>
                </c:pt>
                <c:pt idx="126">
                  <c:v>0.70223246977789944</c:v>
                </c:pt>
                <c:pt idx="127">
                  <c:v>0.70586824638118573</c:v>
                </c:pt>
                <c:pt idx="128">
                  <c:v>0.70546349132818142</c:v>
                </c:pt>
                <c:pt idx="129">
                  <c:v>0.70524883077261413</c:v>
                </c:pt>
                <c:pt idx="130">
                  <c:v>0.70474522658094285</c:v>
                </c:pt>
                <c:pt idx="131">
                  <c:v>0.70271443244217024</c:v>
                </c:pt>
                <c:pt idx="132">
                  <c:v>0.69829195707256808</c:v>
                </c:pt>
                <c:pt idx="133">
                  <c:v>0.69730872984120962</c:v>
                </c:pt>
                <c:pt idx="134">
                  <c:v>0.69661444624595537</c:v>
                </c:pt>
                <c:pt idx="135">
                  <c:v>0.6946380483787572</c:v>
                </c:pt>
                <c:pt idx="136">
                  <c:v>0.6940051799288286</c:v>
                </c:pt>
                <c:pt idx="137">
                  <c:v>0.69125202669979569</c:v>
                </c:pt>
                <c:pt idx="138">
                  <c:v>0.68921128915654195</c:v>
                </c:pt>
                <c:pt idx="139">
                  <c:v>0.68657394734440902</c:v>
                </c:pt>
                <c:pt idx="140">
                  <c:v>0.68577613536131987</c:v>
                </c:pt>
                <c:pt idx="141">
                  <c:v>0.68455426642240991</c:v>
                </c:pt>
                <c:pt idx="142">
                  <c:v>0.6841922095180607</c:v>
                </c:pt>
                <c:pt idx="143">
                  <c:v>0.67863267660071258</c:v>
                </c:pt>
                <c:pt idx="144">
                  <c:v>0.67814018562581446</c:v>
                </c:pt>
                <c:pt idx="145">
                  <c:v>0.67744590203056021</c:v>
                </c:pt>
                <c:pt idx="146">
                  <c:v>0.67531216441009878</c:v>
                </c:pt>
                <c:pt idx="147">
                  <c:v>0.67473954129320413</c:v>
                </c:pt>
                <c:pt idx="148">
                  <c:v>0.67338372884686926</c:v>
                </c:pt>
                <c:pt idx="149">
                  <c:v>0.67310355880295447</c:v>
                </c:pt>
                <c:pt idx="150">
                  <c:v>0.66598993025579112</c:v>
                </c:pt>
                <c:pt idx="151">
                  <c:v>0.66526113719792523</c:v>
                </c:pt>
                <c:pt idx="152">
                  <c:v>0.65950917015855637</c:v>
                </c:pt>
                <c:pt idx="153">
                  <c:v>0.65531656290431628</c:v>
                </c:pt>
                <c:pt idx="154">
                  <c:v>0.65437018476015341</c:v>
                </c:pt>
                <c:pt idx="155">
                  <c:v>0.65053670987953272</c:v>
                </c:pt>
                <c:pt idx="156">
                  <c:v>0.64873753857456029</c:v>
                </c:pt>
                <c:pt idx="157">
                  <c:v>0.64746770733168157</c:v>
                </c:pt>
                <c:pt idx="158">
                  <c:v>0.64593642304155874</c:v>
                </c:pt>
                <c:pt idx="159">
                  <c:v>0.64553927176845205</c:v>
                </c:pt>
                <c:pt idx="160">
                  <c:v>0.64263930709678319</c:v>
                </c:pt>
                <c:pt idx="161">
                  <c:v>0.64263930709678319</c:v>
                </c:pt>
                <c:pt idx="162">
                  <c:v>0.64164672136708945</c:v>
                </c:pt>
                <c:pt idx="163">
                  <c:v>0.64061377711332435</c:v>
                </c:pt>
                <c:pt idx="164">
                  <c:v>0.640299682512944</c:v>
                </c:pt>
                <c:pt idx="165">
                  <c:v>0.63951824790194156</c:v>
                </c:pt>
                <c:pt idx="166">
                  <c:v>0.63921585142448034</c:v>
                </c:pt>
                <c:pt idx="167">
                  <c:v>0.63899768143203739</c:v>
                </c:pt>
                <c:pt idx="168">
                  <c:v>0.63862685093549887</c:v>
                </c:pt>
                <c:pt idx="169">
                  <c:v>0.63838703941565533</c:v>
                </c:pt>
              </c:numCache>
            </c:numRef>
          </c:val>
        </c:ser>
        <c:dLbls/>
        <c:marker val="1"/>
        <c:axId val="203383936"/>
        <c:axId val="203385472"/>
      </c:lineChart>
      <c:dateAx>
        <c:axId val="20338393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3385472"/>
        <c:crosses val="autoZero"/>
        <c:auto val="1"/>
        <c:lblOffset val="100"/>
        <c:baseTimeUnit val="days"/>
      </c:dateAx>
      <c:valAx>
        <c:axId val="203385472"/>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338393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1378020076388065"/>
        </c:manualLayout>
      </c:layout>
      <c:lineChart>
        <c:grouping val="standard"/>
        <c:ser>
          <c:idx val="0"/>
          <c:order val="0"/>
          <c:tx>
            <c:strRef>
              <c:f>'used space Charts'!$N$2</c:f>
              <c:strCache>
                <c:ptCount val="1"/>
                <c:pt idx="0">
                  <c:v>FDC T4 V-MAX 2804</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Charts'!$N$2:$N$171</c:f>
              <c:numCache>
                <c:formatCode>0.00%</c:formatCode>
                <c:ptCount val="170"/>
                <c:pt idx="0" formatCode="General">
                  <c:v>0</c:v>
                </c:pt>
                <c:pt idx="1">
                  <c:v>0.62255050691255387</c:v>
                </c:pt>
                <c:pt idx="2">
                  <c:v>0.62255050691255387</c:v>
                </c:pt>
                <c:pt idx="3">
                  <c:v>0.62255050691255387</c:v>
                </c:pt>
                <c:pt idx="4">
                  <c:v>0.61796792555692681</c:v>
                </c:pt>
                <c:pt idx="5">
                  <c:v>0.61271083077570254</c:v>
                </c:pt>
                <c:pt idx="6">
                  <c:v>0.607152743444346</c:v>
                </c:pt>
                <c:pt idx="7">
                  <c:v>0.58787713218166415</c:v>
                </c:pt>
                <c:pt idx="8">
                  <c:v>0.5530792504922859</c:v>
                </c:pt>
                <c:pt idx="9">
                  <c:v>0.5530792504922859</c:v>
                </c:pt>
                <c:pt idx="10">
                  <c:v>0.54108064787135401</c:v>
                </c:pt>
                <c:pt idx="11">
                  <c:v>0.53708917236719156</c:v>
                </c:pt>
                <c:pt idx="12">
                  <c:v>0.47165049083544169</c:v>
                </c:pt>
                <c:pt idx="13">
                  <c:v>0.40228077407064011</c:v>
                </c:pt>
                <c:pt idx="14">
                  <c:v>0.40156637006610951</c:v>
                </c:pt>
                <c:pt idx="15">
                  <c:v>0.3974552228251475</c:v>
                </c:pt>
                <c:pt idx="16">
                  <c:v>0.38773159200882906</c:v>
                </c:pt>
                <c:pt idx="17">
                  <c:v>0.38692894520847665</c:v>
                </c:pt>
                <c:pt idx="18">
                  <c:v>0.38035062610076842</c:v>
                </c:pt>
                <c:pt idx="19">
                  <c:v>0.3793448999894834</c:v>
                </c:pt>
                <c:pt idx="20">
                  <c:v>0.37742894339526845</c:v>
                </c:pt>
                <c:pt idx="21">
                  <c:v>0.37555650379625344</c:v>
                </c:pt>
                <c:pt idx="22">
                  <c:v>0.3750947401249663</c:v>
                </c:pt>
                <c:pt idx="23">
                  <c:v>0.3721416284784887</c:v>
                </c:pt>
                <c:pt idx="24">
                  <c:v>0.36983764534374192</c:v>
                </c:pt>
                <c:pt idx="25">
                  <c:v>0.36801597557246002</c:v>
                </c:pt>
                <c:pt idx="26">
                  <c:v>0.36586430192091268</c:v>
                </c:pt>
                <c:pt idx="27">
                  <c:v>0.3604379743805779</c:v>
                </c:pt>
                <c:pt idx="28">
                  <c:v>0.35645858693063753</c:v>
                </c:pt>
                <c:pt idx="29">
                  <c:v>0.35212501949198743</c:v>
                </c:pt>
                <c:pt idx="30">
                  <c:v>0.3466273724317418</c:v>
                </c:pt>
                <c:pt idx="31">
                  <c:v>0.34342766447913176</c:v>
                </c:pt>
                <c:pt idx="32">
                  <c:v>0.33872420258128311</c:v>
                </c:pt>
                <c:pt idx="33">
                  <c:v>0.33573120035587228</c:v>
                </c:pt>
                <c:pt idx="34">
                  <c:v>0.33173126321375429</c:v>
                </c:pt>
                <c:pt idx="35">
                  <c:v>0.31737186360323139</c:v>
                </c:pt>
                <c:pt idx="36">
                  <c:v>0.30965484978779417</c:v>
                </c:pt>
                <c:pt idx="37">
                  <c:v>0.29451456187451874</c:v>
                </c:pt>
                <c:pt idx="38">
                  <c:v>0.29073704493008873</c:v>
                </c:pt>
                <c:pt idx="39">
                  <c:v>0.28825174098200934</c:v>
                </c:pt>
                <c:pt idx="40">
                  <c:v>0.28683018580548147</c:v>
                </c:pt>
                <c:pt idx="41">
                  <c:v>0.28170847723154546</c:v>
                </c:pt>
                <c:pt idx="42">
                  <c:v>0.27421025719752967</c:v>
                </c:pt>
                <c:pt idx="43">
                  <c:v>0.26885404037168348</c:v>
                </c:pt>
                <c:pt idx="44">
                  <c:v>0.26458937484209977</c:v>
                </c:pt>
                <c:pt idx="45">
                  <c:v>0.26436453703356733</c:v>
                </c:pt>
                <c:pt idx="46">
                  <c:v>0.26197714632468755</c:v>
                </c:pt>
                <c:pt idx="47">
                  <c:v>0.25992822113402875</c:v>
                </c:pt>
                <c:pt idx="48">
                  <c:v>0.25710807808399505</c:v>
                </c:pt>
                <c:pt idx="49">
                  <c:v>0.25548586120737904</c:v>
                </c:pt>
                <c:pt idx="50">
                  <c:v>0.25436650738640554</c:v>
                </c:pt>
                <c:pt idx="51">
                  <c:v>0.25383221538978534</c:v>
                </c:pt>
                <c:pt idx="52">
                  <c:v>0.25286879746827795</c:v>
                </c:pt>
                <c:pt idx="53">
                  <c:v>0.25265967413023427</c:v>
                </c:pt>
                <c:pt idx="54">
                  <c:v>0.25094800565237413</c:v>
                </c:pt>
                <c:pt idx="55">
                  <c:v>0.25025898656171014</c:v>
                </c:pt>
                <c:pt idx="56">
                  <c:v>0.24963161654757915</c:v>
                </c:pt>
                <c:pt idx="57">
                  <c:v>0.24714268618323315</c:v>
                </c:pt>
                <c:pt idx="58">
                  <c:v>0.24634729221541396</c:v>
                </c:pt>
                <c:pt idx="59">
                  <c:v>0.2420717474370303</c:v>
                </c:pt>
                <c:pt idx="60">
                  <c:v>0.23931446226895192</c:v>
                </c:pt>
                <c:pt idx="61">
                  <c:v>0.32491234779340616</c:v>
                </c:pt>
                <c:pt idx="62">
                  <c:v>0.32273649612055533</c:v>
                </c:pt>
                <c:pt idx="63">
                  <c:v>0.32154307444544628</c:v>
                </c:pt>
                <c:pt idx="64">
                  <c:v>0.32091504453078251</c:v>
                </c:pt>
                <c:pt idx="65">
                  <c:v>0.31991942755320535</c:v>
                </c:pt>
                <c:pt idx="66">
                  <c:v>0.3192963427559799</c:v>
                </c:pt>
                <c:pt idx="67">
                  <c:v>0.31705620455643119</c:v>
                </c:pt>
                <c:pt idx="68">
                  <c:v>0.312328672285419</c:v>
                </c:pt>
                <c:pt idx="69">
                  <c:v>0.312328672285419</c:v>
                </c:pt>
                <c:pt idx="70">
                  <c:v>0.31147646371355242</c:v>
                </c:pt>
                <c:pt idx="71">
                  <c:v>0.30953138418782217</c:v>
                </c:pt>
                <c:pt idx="72">
                  <c:v>0.29674660723734425</c:v>
                </c:pt>
                <c:pt idx="73">
                  <c:v>0.29522515943882804</c:v>
                </c:pt>
                <c:pt idx="74">
                  <c:v>0.291542695319776</c:v>
                </c:pt>
                <c:pt idx="75">
                  <c:v>0.28728165246044318</c:v>
                </c:pt>
                <c:pt idx="76">
                  <c:v>0.27000011538607355</c:v>
                </c:pt>
                <c:pt idx="77">
                  <c:v>0.26588083255997191</c:v>
                </c:pt>
                <c:pt idx="78">
                  <c:v>0.26319398541849703</c:v>
                </c:pt>
                <c:pt idx="79">
                  <c:v>0.25684775137268218</c:v>
                </c:pt>
                <c:pt idx="80">
                  <c:v>0.25496036488373203</c:v>
                </c:pt>
                <c:pt idx="81">
                  <c:v>0.25097624860094386</c:v>
                </c:pt>
                <c:pt idx="82">
                  <c:v>0.24968392457706881</c:v>
                </c:pt>
                <c:pt idx="83">
                  <c:v>0.24868995597197108</c:v>
                </c:pt>
                <c:pt idx="84">
                  <c:v>0.24839160055319379</c:v>
                </c:pt>
                <c:pt idx="85">
                  <c:v>0.23787828087937374</c:v>
                </c:pt>
                <c:pt idx="86">
                  <c:v>0.23780410411779929</c:v>
                </c:pt>
                <c:pt idx="87">
                  <c:v>0.2377084985139922</c:v>
                </c:pt>
                <c:pt idx="88">
                  <c:v>0.2357815510855357</c:v>
                </c:pt>
                <c:pt idx="89">
                  <c:v>0.23577330922313852</c:v>
                </c:pt>
                <c:pt idx="90">
                  <c:v>0.23534308400600665</c:v>
                </c:pt>
                <c:pt idx="91">
                  <c:v>0.22959520917022577</c:v>
                </c:pt>
                <c:pt idx="92">
                  <c:v>0.22956224172063713</c:v>
                </c:pt>
                <c:pt idx="93">
                  <c:v>0.22927377653673645</c:v>
                </c:pt>
                <c:pt idx="94">
                  <c:v>0.2292556444394627</c:v>
                </c:pt>
                <c:pt idx="95">
                  <c:v>0.19428212554334476</c:v>
                </c:pt>
                <c:pt idx="96">
                  <c:v>0.19304090106633215</c:v>
                </c:pt>
                <c:pt idx="97">
                  <c:v>0.19229253996066983</c:v>
                </c:pt>
                <c:pt idx="98">
                  <c:v>0.19192660127023581</c:v>
                </c:pt>
                <c:pt idx="99">
                  <c:v>0.19149967279806282</c:v>
                </c:pt>
                <c:pt idx="100">
                  <c:v>0.10278756269996818</c:v>
                </c:pt>
                <c:pt idx="101">
                  <c:v>0.10196172808777254</c:v>
                </c:pt>
                <c:pt idx="102">
                  <c:v>0.10142600703195701</c:v>
                </c:pt>
                <c:pt idx="103">
                  <c:v>0.10101226553961945</c:v>
                </c:pt>
                <c:pt idx="104">
                  <c:v>7.9972439212143892E-2</c:v>
                </c:pt>
                <c:pt idx="105">
                  <c:v>7.8068568998399437E-2</c:v>
                </c:pt>
                <c:pt idx="106">
                  <c:v>7.7376252557037811E-2</c:v>
                </c:pt>
                <c:pt idx="107">
                  <c:v>6.7490962797881512E-2</c:v>
                </c:pt>
                <c:pt idx="108">
                  <c:v>6.7055792463311351E-2</c:v>
                </c:pt>
                <c:pt idx="109">
                  <c:v>6.6711282615109974E-2</c:v>
                </c:pt>
                <c:pt idx="110">
                  <c:v>6.6534906759810705E-2</c:v>
                </c:pt>
                <c:pt idx="111">
                  <c:v>6.5982701979200836E-2</c:v>
                </c:pt>
                <c:pt idx="112">
                  <c:v>6.5883799630434892E-2</c:v>
                </c:pt>
                <c:pt idx="113">
                  <c:v>6.5751929832080294E-2</c:v>
                </c:pt>
                <c:pt idx="114">
                  <c:v>6.5529399547356912E-2</c:v>
                </c:pt>
                <c:pt idx="115">
                  <c:v>5.6427086715931024E-2</c:v>
                </c:pt>
                <c:pt idx="116">
                  <c:v>5.6346316464438835E-2</c:v>
                </c:pt>
                <c:pt idx="117">
                  <c:v>5.6047961045661565E-2</c:v>
                </c:pt>
                <c:pt idx="118">
                  <c:v>2.1296972434267026E-2</c:v>
                </c:pt>
                <c:pt idx="119">
                  <c:v>2.1229389162610298E-2</c:v>
                </c:pt>
                <c:pt idx="120">
                  <c:v>2.1198070085501081E-2</c:v>
                </c:pt>
                <c:pt idx="121">
                  <c:v>2.1133783558803215E-2</c:v>
                </c:pt>
                <c:pt idx="122">
                  <c:v>2.1104112854173431E-2</c:v>
                </c:pt>
                <c:pt idx="123">
                  <c:v>2.0952462586065645E-2</c:v>
                </c:pt>
                <c:pt idx="124">
                  <c:v>1.864968623229854E-2</c:v>
                </c:pt>
                <c:pt idx="125">
                  <c:v>1.5184807280531568E-2</c:v>
                </c:pt>
                <c:pt idx="126">
                  <c:v>1.486172627456281E-2</c:v>
                </c:pt>
                <c:pt idx="127">
                  <c:v>1.452216154379973E-2</c:v>
                </c:pt>
                <c:pt idx="128">
                  <c:v>1.397490188062816E-2</c:v>
                </c:pt>
                <c:pt idx="129">
                  <c:v>1.3950176293436674E-2</c:v>
                </c:pt>
                <c:pt idx="130">
                  <c:v>1.3932044196162919E-2</c:v>
                </c:pt>
                <c:pt idx="131">
                  <c:v>1.3663359482015431E-2</c:v>
                </c:pt>
                <c:pt idx="132">
                  <c:v>1.3620501797550187E-2</c:v>
                </c:pt>
                <c:pt idx="133">
                  <c:v>1.3521599448784241E-2</c:v>
                </c:pt>
                <c:pt idx="134">
                  <c:v>1.3478741764318999E-2</c:v>
                </c:pt>
                <c:pt idx="135">
                  <c:v>1.3180386345541729E-2</c:v>
                </c:pt>
                <c:pt idx="136">
                  <c:v>1.1541904100985892E-2</c:v>
                </c:pt>
                <c:pt idx="137">
                  <c:v>7.4061375500899191E-3</c:v>
                </c:pt>
                <c:pt idx="138">
                  <c:v>3.7714762329414055E-3</c:v>
                </c:pt>
                <c:pt idx="139">
                  <c:v>3.7500473907087837E-3</c:v>
                </c:pt>
                <c:pt idx="140">
                  <c:v>3.7352120383938917E-3</c:v>
                </c:pt>
                <c:pt idx="141">
                  <c:v>2.6654182992422431E-3</c:v>
                </c:pt>
                <c:pt idx="142">
                  <c:v>2.12804887094727E-3</c:v>
                </c:pt>
                <c:pt idx="143">
                  <c:v>1.3961714900792702E-3</c:v>
                </c:pt>
                <c:pt idx="144">
                  <c:v>1.0599035042750538E-3</c:v>
                </c:pt>
                <c:pt idx="145">
                  <c:v>1.0582551317956216E-3</c:v>
                </c:pt>
                <c:pt idx="146">
                  <c:v>1.0582551317956216E-3</c:v>
                </c:pt>
                <c:pt idx="147">
                  <c:v>1.0582551317956216E-3</c:v>
                </c:pt>
                <c:pt idx="148">
                  <c:v>1.0401230345218648E-3</c:v>
                </c:pt>
                <c:pt idx="149">
                  <c:v>1.0252876822069729E-3</c:v>
                </c:pt>
                <c:pt idx="150">
                  <c:v>1.013749074850946E-3</c:v>
                </c:pt>
                <c:pt idx="151">
                  <c:v>1.0038588399743512E-3</c:v>
                </c:pt>
                <c:pt idx="152">
                  <c:v>9.9396860509775664E-4</c:v>
                </c:pt>
                <c:pt idx="153">
                  <c:v>9.7418813534456755E-4</c:v>
                </c:pt>
                <c:pt idx="154">
                  <c:v>9.7418813534456755E-4</c:v>
                </c:pt>
                <c:pt idx="155">
                  <c:v>9.7418813534456755E-4</c:v>
                </c:pt>
                <c:pt idx="156">
                  <c:v>9.7418813534456755E-4</c:v>
                </c:pt>
                <c:pt idx="157">
                  <c:v>9.7418813534456755E-4</c:v>
                </c:pt>
                <c:pt idx="158">
                  <c:v>9.7418813534456755E-4</c:v>
                </c:pt>
                <c:pt idx="159">
                  <c:v>9.7253976286513512E-4</c:v>
                </c:pt>
                <c:pt idx="160">
                  <c:v>9.6429790046797289E-4</c:v>
                </c:pt>
                <c:pt idx="161">
                  <c:v>9.6429790046797289E-4</c:v>
                </c:pt>
                <c:pt idx="162">
                  <c:v>9.6429790046797289E-4</c:v>
                </c:pt>
                <c:pt idx="163">
                  <c:v>9.6429790046797289E-4</c:v>
                </c:pt>
                <c:pt idx="164">
                  <c:v>9.6429790046797289E-4</c:v>
                </c:pt>
                <c:pt idx="165">
                  <c:v>9.4286905823535137E-4</c:v>
                </c:pt>
                <c:pt idx="166">
                  <c:v>9.2968207839989186E-4</c:v>
                </c:pt>
                <c:pt idx="167">
                  <c:v>9.1649509856443236E-4</c:v>
                </c:pt>
                <c:pt idx="168">
                  <c:v>9.0495649120840539E-4</c:v>
                </c:pt>
                <c:pt idx="169">
                  <c:v>8.9176951137294588E-4</c:v>
                </c:pt>
              </c:numCache>
            </c:numRef>
          </c:val>
        </c:ser>
        <c:dLbls/>
        <c:marker val="1"/>
        <c:axId val="203405568"/>
        <c:axId val="204017664"/>
      </c:lineChart>
      <c:dateAx>
        <c:axId val="20340556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4017664"/>
        <c:crosses val="autoZero"/>
        <c:auto val="1"/>
        <c:lblOffset val="100"/>
        <c:baseTimeUnit val="days"/>
      </c:dateAx>
      <c:valAx>
        <c:axId val="204017664"/>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340556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3416484159011479"/>
        </c:manualLayout>
      </c:layout>
      <c:lineChart>
        <c:grouping val="standard"/>
        <c:ser>
          <c:idx val="0"/>
          <c:order val="0"/>
          <c:tx>
            <c:strRef>
              <c:f>'used space Charts'!$M$2</c:f>
              <c:strCache>
                <c:ptCount val="1"/>
                <c:pt idx="0">
                  <c:v>FDC T4 V-MAX 3004</c:v>
                </c:pt>
              </c:strCache>
            </c:strRef>
          </c:tx>
          <c:cat>
            <c:numRef>
              <c:f>'used space Charts'!$A$86:$A$171</c:f>
              <c:numCache>
                <c:formatCode>[$-409]d\-mmm\-yy;@</c:formatCode>
                <c:ptCount val="86"/>
                <c:pt idx="0">
                  <c:v>41071</c:v>
                </c:pt>
                <c:pt idx="1">
                  <c:v>41068</c:v>
                </c:pt>
                <c:pt idx="2">
                  <c:v>41067</c:v>
                </c:pt>
                <c:pt idx="3">
                  <c:v>41066</c:v>
                </c:pt>
                <c:pt idx="4">
                  <c:v>41059</c:v>
                </c:pt>
                <c:pt idx="5">
                  <c:v>41058</c:v>
                </c:pt>
                <c:pt idx="6">
                  <c:v>41057</c:v>
                </c:pt>
                <c:pt idx="7">
                  <c:v>41054</c:v>
                </c:pt>
                <c:pt idx="8">
                  <c:v>41053</c:v>
                </c:pt>
                <c:pt idx="9">
                  <c:v>41051</c:v>
                </c:pt>
                <c:pt idx="10">
                  <c:v>41050</c:v>
                </c:pt>
                <c:pt idx="11">
                  <c:v>41047</c:v>
                </c:pt>
                <c:pt idx="12">
                  <c:v>41046</c:v>
                </c:pt>
                <c:pt idx="13">
                  <c:v>41045</c:v>
                </c:pt>
                <c:pt idx="14">
                  <c:v>41044</c:v>
                </c:pt>
                <c:pt idx="15">
                  <c:v>41043</c:v>
                </c:pt>
                <c:pt idx="16">
                  <c:v>41040</c:v>
                </c:pt>
                <c:pt idx="17">
                  <c:v>41039</c:v>
                </c:pt>
                <c:pt idx="18">
                  <c:v>41038</c:v>
                </c:pt>
                <c:pt idx="19">
                  <c:v>41037</c:v>
                </c:pt>
                <c:pt idx="20">
                  <c:v>41033</c:v>
                </c:pt>
                <c:pt idx="21">
                  <c:v>41031</c:v>
                </c:pt>
                <c:pt idx="22">
                  <c:v>41030</c:v>
                </c:pt>
                <c:pt idx="23">
                  <c:v>41026</c:v>
                </c:pt>
                <c:pt idx="24">
                  <c:v>41024</c:v>
                </c:pt>
                <c:pt idx="25">
                  <c:v>41023</c:v>
                </c:pt>
                <c:pt idx="26">
                  <c:v>41022</c:v>
                </c:pt>
                <c:pt idx="27">
                  <c:v>41019</c:v>
                </c:pt>
                <c:pt idx="28">
                  <c:v>41018</c:v>
                </c:pt>
                <c:pt idx="29">
                  <c:v>41017</c:v>
                </c:pt>
                <c:pt idx="30">
                  <c:v>41015</c:v>
                </c:pt>
                <c:pt idx="31">
                  <c:v>41012</c:v>
                </c:pt>
                <c:pt idx="32">
                  <c:v>41011</c:v>
                </c:pt>
                <c:pt idx="33">
                  <c:v>41009</c:v>
                </c:pt>
                <c:pt idx="34">
                  <c:v>41003</c:v>
                </c:pt>
                <c:pt idx="35">
                  <c:v>41002</c:v>
                </c:pt>
                <c:pt idx="36">
                  <c:v>41001</c:v>
                </c:pt>
                <c:pt idx="37">
                  <c:v>40998</c:v>
                </c:pt>
                <c:pt idx="38">
                  <c:v>40997</c:v>
                </c:pt>
                <c:pt idx="39">
                  <c:v>40996</c:v>
                </c:pt>
                <c:pt idx="40">
                  <c:v>40994</c:v>
                </c:pt>
                <c:pt idx="41">
                  <c:v>40989</c:v>
                </c:pt>
                <c:pt idx="42">
                  <c:v>40984</c:v>
                </c:pt>
                <c:pt idx="43">
                  <c:v>40983</c:v>
                </c:pt>
                <c:pt idx="44">
                  <c:v>40982</c:v>
                </c:pt>
                <c:pt idx="45">
                  <c:v>40981</c:v>
                </c:pt>
                <c:pt idx="46">
                  <c:v>40980</c:v>
                </c:pt>
                <c:pt idx="47">
                  <c:v>40977</c:v>
                </c:pt>
                <c:pt idx="48">
                  <c:v>40976</c:v>
                </c:pt>
                <c:pt idx="49">
                  <c:v>40974</c:v>
                </c:pt>
                <c:pt idx="50">
                  <c:v>40973</c:v>
                </c:pt>
                <c:pt idx="51">
                  <c:v>40968</c:v>
                </c:pt>
                <c:pt idx="52">
                  <c:v>40967</c:v>
                </c:pt>
                <c:pt idx="53">
                  <c:v>40966</c:v>
                </c:pt>
                <c:pt idx="54">
                  <c:v>40963</c:v>
                </c:pt>
                <c:pt idx="55">
                  <c:v>40962</c:v>
                </c:pt>
                <c:pt idx="56">
                  <c:v>40961</c:v>
                </c:pt>
                <c:pt idx="57">
                  <c:v>40960</c:v>
                </c:pt>
                <c:pt idx="58">
                  <c:v>40959</c:v>
                </c:pt>
                <c:pt idx="59">
                  <c:v>40956</c:v>
                </c:pt>
                <c:pt idx="60">
                  <c:v>40955</c:v>
                </c:pt>
                <c:pt idx="61">
                  <c:v>40954</c:v>
                </c:pt>
                <c:pt idx="62">
                  <c:v>40953</c:v>
                </c:pt>
                <c:pt idx="63">
                  <c:v>40952</c:v>
                </c:pt>
                <c:pt idx="64">
                  <c:v>40949</c:v>
                </c:pt>
                <c:pt idx="65">
                  <c:v>40948</c:v>
                </c:pt>
                <c:pt idx="66">
                  <c:v>40947</c:v>
                </c:pt>
                <c:pt idx="67">
                  <c:v>40946</c:v>
                </c:pt>
                <c:pt idx="68">
                  <c:v>40945</c:v>
                </c:pt>
                <c:pt idx="69">
                  <c:v>40941</c:v>
                </c:pt>
                <c:pt idx="70">
                  <c:v>40940</c:v>
                </c:pt>
                <c:pt idx="71">
                  <c:v>40939</c:v>
                </c:pt>
                <c:pt idx="72">
                  <c:v>40938</c:v>
                </c:pt>
                <c:pt idx="73">
                  <c:v>40934</c:v>
                </c:pt>
                <c:pt idx="74">
                  <c:v>40932</c:v>
                </c:pt>
                <c:pt idx="75">
                  <c:v>40931</c:v>
                </c:pt>
                <c:pt idx="76">
                  <c:v>40928</c:v>
                </c:pt>
                <c:pt idx="77">
                  <c:v>40927</c:v>
                </c:pt>
                <c:pt idx="78">
                  <c:v>40926</c:v>
                </c:pt>
                <c:pt idx="79">
                  <c:v>40925</c:v>
                </c:pt>
                <c:pt idx="80">
                  <c:v>40924</c:v>
                </c:pt>
                <c:pt idx="81">
                  <c:v>40921</c:v>
                </c:pt>
                <c:pt idx="82">
                  <c:v>40920</c:v>
                </c:pt>
                <c:pt idx="83">
                  <c:v>40919</c:v>
                </c:pt>
                <c:pt idx="84">
                  <c:v>40918</c:v>
                </c:pt>
                <c:pt idx="85">
                  <c:v>40917</c:v>
                </c:pt>
              </c:numCache>
            </c:numRef>
          </c:cat>
          <c:val>
            <c:numRef>
              <c:f>'used space Charts'!$M$2:$M$171</c:f>
              <c:numCache>
                <c:formatCode>0.00%</c:formatCode>
                <c:ptCount val="170"/>
                <c:pt idx="0" formatCode="General">
                  <c:v>0</c:v>
                </c:pt>
                <c:pt idx="1">
                  <c:v>0.46060839068750836</c:v>
                </c:pt>
                <c:pt idx="2">
                  <c:v>0.46060839068750836</c:v>
                </c:pt>
                <c:pt idx="3">
                  <c:v>0.48381999240154927</c:v>
                </c:pt>
                <c:pt idx="4">
                  <c:v>0.48442544663602055</c:v>
                </c:pt>
                <c:pt idx="5">
                  <c:v>0.47882575178495473</c:v>
                </c:pt>
                <c:pt idx="6">
                  <c:v>0.49179155421615622</c:v>
                </c:pt>
                <c:pt idx="7">
                  <c:v>0.42306871451470568</c:v>
                </c:pt>
                <c:pt idx="8">
                  <c:v>0.49197243366870447</c:v>
                </c:pt>
                <c:pt idx="9">
                  <c:v>0.42537473833024797</c:v>
                </c:pt>
                <c:pt idx="10">
                  <c:v>0.44094929169422742</c:v>
                </c:pt>
                <c:pt idx="11">
                  <c:v>0.41286302657489993</c:v>
                </c:pt>
                <c:pt idx="12">
                  <c:v>0.31443811576587688</c:v>
                </c:pt>
                <c:pt idx="13">
                  <c:v>0.2834812407573627</c:v>
                </c:pt>
                <c:pt idx="14">
                  <c:v>0.28605820534283088</c:v>
                </c:pt>
                <c:pt idx="15">
                  <c:v>0.27999079709563601</c:v>
                </c:pt>
                <c:pt idx="16">
                  <c:v>0.2909192460278418</c:v>
                </c:pt>
                <c:pt idx="17">
                  <c:v>0.28355086799432683</c:v>
                </c:pt>
                <c:pt idx="18">
                  <c:v>0.28289092287875323</c:v>
                </c:pt>
                <c:pt idx="19">
                  <c:v>0.28069539446100195</c:v>
                </c:pt>
                <c:pt idx="20">
                  <c:v>0.31518282447427654</c:v>
                </c:pt>
                <c:pt idx="21">
                  <c:v>0.2919401932307189</c:v>
                </c:pt>
                <c:pt idx="22">
                  <c:v>0.29018513276854546</c:v>
                </c:pt>
                <c:pt idx="23">
                  <c:v>0.29398814217881786</c:v>
                </c:pt>
                <c:pt idx="24">
                  <c:v>0.29708125649917277</c:v>
                </c:pt>
                <c:pt idx="25">
                  <c:v>0.29618442741436224</c:v>
                </c:pt>
                <c:pt idx="26">
                  <c:v>0.29975509376215637</c:v>
                </c:pt>
                <c:pt idx="27">
                  <c:v>0.30781974416531321</c:v>
                </c:pt>
                <c:pt idx="28">
                  <c:v>0.30256591504568903</c:v>
                </c:pt>
                <c:pt idx="29">
                  <c:v>0.31591164000902122</c:v>
                </c:pt>
                <c:pt idx="30">
                  <c:v>0.33558209126919852</c:v>
                </c:pt>
                <c:pt idx="31">
                  <c:v>0.31686598724610648</c:v>
                </c:pt>
                <c:pt idx="32">
                  <c:v>0.30424302327517438</c:v>
                </c:pt>
                <c:pt idx="33">
                  <c:v>0.30161686553315542</c:v>
                </c:pt>
                <c:pt idx="34">
                  <c:v>0.29381483090420046</c:v>
                </c:pt>
                <c:pt idx="35">
                  <c:v>0.29674295894566199</c:v>
                </c:pt>
                <c:pt idx="36">
                  <c:v>0.29659008175145796</c:v>
                </c:pt>
                <c:pt idx="37">
                  <c:v>0.30430583915200077</c:v>
                </c:pt>
                <c:pt idx="38">
                  <c:v>0.30133154522516081</c:v>
                </c:pt>
                <c:pt idx="39">
                  <c:v>0.30190596993011543</c:v>
                </c:pt>
                <c:pt idx="40">
                  <c:v>0.30481593434454279</c:v>
                </c:pt>
                <c:pt idx="41">
                  <c:v>0.31313411870838442</c:v>
                </c:pt>
                <c:pt idx="42">
                  <c:v>0.320227015065215</c:v>
                </c:pt>
                <c:pt idx="43">
                  <c:v>0.27957454730943704</c:v>
                </c:pt>
                <c:pt idx="44">
                  <c:v>0.27396728428044032</c:v>
                </c:pt>
                <c:pt idx="45">
                  <c:v>0.27222660335633553</c:v>
                </c:pt>
                <c:pt idx="46">
                  <c:v>0.25276881789601624</c:v>
                </c:pt>
                <c:pt idx="47">
                  <c:v>0.25399788999199285</c:v>
                </c:pt>
                <c:pt idx="48">
                  <c:v>0.27166882864282887</c:v>
                </c:pt>
                <c:pt idx="49">
                  <c:v>0.30338327826222522</c:v>
                </c:pt>
                <c:pt idx="50">
                  <c:v>0.31653223059935426</c:v>
                </c:pt>
                <c:pt idx="51">
                  <c:v>0.34990032709665014</c:v>
                </c:pt>
                <c:pt idx="52">
                  <c:v>0.42881371838204457</c:v>
                </c:pt>
                <c:pt idx="53">
                  <c:v>0.42859045713308336</c:v>
                </c:pt>
                <c:pt idx="54">
                  <c:v>0.423301057577184</c:v>
                </c:pt>
                <c:pt idx="55">
                  <c:v>0.42157324255556178</c:v>
                </c:pt>
                <c:pt idx="56">
                  <c:v>0.42266230335981692</c:v>
                </c:pt>
                <c:pt idx="57">
                  <c:v>0.42244206938202794</c:v>
                </c:pt>
                <c:pt idx="58">
                  <c:v>0.42160881299183689</c:v>
                </c:pt>
                <c:pt idx="59">
                  <c:v>0.42255105114423275</c:v>
                </c:pt>
                <c:pt idx="60">
                  <c:v>0.41446596666066254</c:v>
                </c:pt>
                <c:pt idx="61">
                  <c:v>0.41530452077540519</c:v>
                </c:pt>
                <c:pt idx="62">
                  <c:v>0.39346578653802777</c:v>
                </c:pt>
                <c:pt idx="63">
                  <c:v>0.39301699358672598</c:v>
                </c:pt>
                <c:pt idx="64">
                  <c:v>0.39256441654645874</c:v>
                </c:pt>
                <c:pt idx="65">
                  <c:v>0.3916547215591657</c:v>
                </c:pt>
                <c:pt idx="66">
                  <c:v>0.38870388898391156</c:v>
                </c:pt>
                <c:pt idx="67">
                  <c:v>0.37558899344747154</c:v>
                </c:pt>
                <c:pt idx="68">
                  <c:v>0.37530140268609768</c:v>
                </c:pt>
                <c:pt idx="69">
                  <c:v>0.37530140268609768</c:v>
                </c:pt>
                <c:pt idx="70">
                  <c:v>0.3742093146106702</c:v>
                </c:pt>
                <c:pt idx="71">
                  <c:v>0.37581149787863971</c:v>
                </c:pt>
                <c:pt idx="72">
                  <c:v>0.37601281141160137</c:v>
                </c:pt>
                <c:pt idx="73">
                  <c:v>0.37571840929008976</c:v>
                </c:pt>
                <c:pt idx="74">
                  <c:v>0.37539676172802688</c:v>
                </c:pt>
                <c:pt idx="75">
                  <c:v>0.3750448414542405</c:v>
                </c:pt>
                <c:pt idx="76">
                  <c:v>0.37278574034186968</c:v>
                </c:pt>
                <c:pt idx="77">
                  <c:v>0.37034424614136446</c:v>
                </c:pt>
                <c:pt idx="78">
                  <c:v>0.3695859147126892</c:v>
                </c:pt>
                <c:pt idx="79">
                  <c:v>0.36903192408814806</c:v>
                </c:pt>
                <c:pt idx="80">
                  <c:v>0.36865881291615515</c:v>
                </c:pt>
                <c:pt idx="81">
                  <c:v>0.36853166752691618</c:v>
                </c:pt>
                <c:pt idx="82">
                  <c:v>0.36875417195808441</c:v>
                </c:pt>
                <c:pt idx="83">
                  <c:v>0.36840527895547032</c:v>
                </c:pt>
                <c:pt idx="84">
                  <c:v>0.35096592654931952</c:v>
                </c:pt>
                <c:pt idx="85">
                  <c:v>0.35083878116008055</c:v>
                </c:pt>
                <c:pt idx="86">
                  <c:v>0.35012812925236991</c:v>
                </c:pt>
                <c:pt idx="87">
                  <c:v>0.34967403857651652</c:v>
                </c:pt>
                <c:pt idx="88">
                  <c:v>0.34060509096193053</c:v>
                </c:pt>
                <c:pt idx="89">
                  <c:v>0.33919968032016412</c:v>
                </c:pt>
                <c:pt idx="90">
                  <c:v>0.34072466817323854</c:v>
                </c:pt>
                <c:pt idx="91">
                  <c:v>0.34265303991002949</c:v>
                </c:pt>
                <c:pt idx="92">
                  <c:v>0.34238588322906904</c:v>
                </c:pt>
                <c:pt idx="93">
                  <c:v>0.34256222177485879</c:v>
                </c:pt>
                <c:pt idx="94">
                  <c:v>0.34189470848135428</c:v>
                </c:pt>
                <c:pt idx="95">
                  <c:v>0.33856395337396933</c:v>
                </c:pt>
                <c:pt idx="96">
                  <c:v>0.33814846040556351</c:v>
                </c:pt>
                <c:pt idx="97">
                  <c:v>0.33349554461365205</c:v>
                </c:pt>
                <c:pt idx="98">
                  <c:v>0.33347284007985939</c:v>
                </c:pt>
                <c:pt idx="99">
                  <c:v>0.33406467159405501</c:v>
                </c:pt>
                <c:pt idx="100">
                  <c:v>0.33330406971200049</c:v>
                </c:pt>
                <c:pt idx="101">
                  <c:v>0.33427885102949922</c:v>
                </c:pt>
                <c:pt idx="102">
                  <c:v>0.32456736510858064</c:v>
                </c:pt>
                <c:pt idx="103">
                  <c:v>0.32384006320942205</c:v>
                </c:pt>
                <c:pt idx="104">
                  <c:v>0.32151587576684559</c:v>
                </c:pt>
                <c:pt idx="105">
                  <c:v>0.32033524000962671</c:v>
                </c:pt>
                <c:pt idx="106">
                  <c:v>0.32015436055707841</c:v>
                </c:pt>
                <c:pt idx="107">
                  <c:v>0.31618031032556781</c:v>
                </c:pt>
                <c:pt idx="108">
                  <c:v>0.31581325369591967</c:v>
                </c:pt>
                <c:pt idx="109">
                  <c:v>0.31580492870019566</c:v>
                </c:pt>
                <c:pt idx="110">
                  <c:v>0.31578373780198915</c:v>
                </c:pt>
                <c:pt idx="111">
                  <c:v>0.31481955193359379</c:v>
                </c:pt>
                <c:pt idx="112">
                  <c:v>0.31478776558628402</c:v>
                </c:pt>
                <c:pt idx="113">
                  <c:v>0.31464094293442474</c:v>
                </c:pt>
                <c:pt idx="114">
                  <c:v>0.31259602125749814</c:v>
                </c:pt>
                <c:pt idx="115">
                  <c:v>0.50723584785419062</c:v>
                </c:pt>
                <c:pt idx="116">
                  <c:v>0.50708654248830143</c:v>
                </c:pt>
                <c:pt idx="117">
                  <c:v>0.50494164345150305</c:v>
                </c:pt>
                <c:pt idx="118">
                  <c:v>0.50436262995939618</c:v>
                </c:pt>
                <c:pt idx="119">
                  <c:v>0.50419329582491212</c:v>
                </c:pt>
                <c:pt idx="120">
                  <c:v>0.50413685111341744</c:v>
                </c:pt>
                <c:pt idx="121">
                  <c:v>0.50349593051838093</c:v>
                </c:pt>
                <c:pt idx="122">
                  <c:v>0.50317000782942767</c:v>
                </c:pt>
                <c:pt idx="123">
                  <c:v>0.50271298774603523</c:v>
                </c:pt>
                <c:pt idx="124">
                  <c:v>0.50207752954243368</c:v>
                </c:pt>
                <c:pt idx="125">
                  <c:v>0.50081571712095552</c:v>
                </c:pt>
                <c:pt idx="126">
                  <c:v>0.54682179858341984</c:v>
                </c:pt>
                <c:pt idx="127">
                  <c:v>0.54554177819049177</c:v>
                </c:pt>
                <c:pt idx="128">
                  <c:v>0.54402505416871505</c:v>
                </c:pt>
                <c:pt idx="129">
                  <c:v>0.54396860945722036</c:v>
                </c:pt>
                <c:pt idx="130">
                  <c:v>0.53955863877205434</c:v>
                </c:pt>
                <c:pt idx="131">
                  <c:v>0.53894320933704776</c:v>
                </c:pt>
                <c:pt idx="132">
                  <c:v>0.53871378889677901</c:v>
                </c:pt>
                <c:pt idx="133">
                  <c:v>0.53819122011616682</c:v>
                </c:pt>
                <c:pt idx="134">
                  <c:v>0.53807833069317745</c:v>
                </c:pt>
                <c:pt idx="135">
                  <c:v>0.53366836000801143</c:v>
                </c:pt>
                <c:pt idx="136">
                  <c:v>0.53364104805083667</c:v>
                </c:pt>
                <c:pt idx="137">
                  <c:v>0.5334425811620328</c:v>
                </c:pt>
                <c:pt idx="138">
                  <c:v>0.53338431565339306</c:v>
                </c:pt>
                <c:pt idx="139">
                  <c:v>0.53337339087052316</c:v>
                </c:pt>
                <c:pt idx="140">
                  <c:v>0.5333715700733781</c:v>
                </c:pt>
                <c:pt idx="141">
                  <c:v>0.5333606452905082</c:v>
                </c:pt>
                <c:pt idx="142">
                  <c:v>0.53330237978186845</c:v>
                </c:pt>
                <c:pt idx="143">
                  <c:v>0.53315125361883431</c:v>
                </c:pt>
                <c:pt idx="144">
                  <c:v>0.53307295934159982</c:v>
                </c:pt>
                <c:pt idx="145">
                  <c:v>0.5330620345587298</c:v>
                </c:pt>
                <c:pt idx="146">
                  <c:v>0.5318839788059212</c:v>
                </c:pt>
                <c:pt idx="147">
                  <c:v>0.53178929735438174</c:v>
                </c:pt>
                <c:pt idx="148">
                  <c:v>0.52624497004788695</c:v>
                </c:pt>
                <c:pt idx="149">
                  <c:v>0.52614482620491254</c:v>
                </c:pt>
                <c:pt idx="150">
                  <c:v>0.52606471113053299</c:v>
                </c:pt>
                <c:pt idx="151">
                  <c:v>0.5260046248247483</c:v>
                </c:pt>
                <c:pt idx="152">
                  <c:v>0.52575153402159469</c:v>
                </c:pt>
                <c:pt idx="153">
                  <c:v>0.52132153456783381</c:v>
                </c:pt>
                <c:pt idx="154">
                  <c:v>0.52129786420494895</c:v>
                </c:pt>
                <c:pt idx="155">
                  <c:v>0.52125416507346911</c:v>
                </c:pt>
                <c:pt idx="156">
                  <c:v>0.48073050381457005</c:v>
                </c:pt>
                <c:pt idx="157">
                  <c:v>0.48051929134575116</c:v>
                </c:pt>
                <c:pt idx="158">
                  <c:v>0.4753973889768941</c:v>
                </c:pt>
                <c:pt idx="159">
                  <c:v>0.47442144170717943</c:v>
                </c:pt>
                <c:pt idx="160">
                  <c:v>0.47331439704302547</c:v>
                </c:pt>
                <c:pt idx="161">
                  <c:v>0.47331439704302547</c:v>
                </c:pt>
                <c:pt idx="162">
                  <c:v>0.4729775495712023</c:v>
                </c:pt>
                <c:pt idx="163">
                  <c:v>0.47013346443072779</c:v>
                </c:pt>
                <c:pt idx="164">
                  <c:v>0.4699878006591286</c:v>
                </c:pt>
                <c:pt idx="165">
                  <c:v>0.46764807632781635</c:v>
                </c:pt>
                <c:pt idx="166">
                  <c:v>0.46564884106261722</c:v>
                </c:pt>
                <c:pt idx="167">
                  <c:v>0.46512263068771509</c:v>
                </c:pt>
                <c:pt idx="168">
                  <c:v>0.46512263068771509</c:v>
                </c:pt>
                <c:pt idx="169">
                  <c:v>0.46512263068771509</c:v>
                </c:pt>
              </c:numCache>
            </c:numRef>
          </c:val>
        </c:ser>
        <c:dLbls/>
        <c:marker val="1"/>
        <c:axId val="204050432"/>
        <c:axId val="204051968"/>
      </c:lineChart>
      <c:dateAx>
        <c:axId val="20405043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4051968"/>
        <c:crosses val="autoZero"/>
        <c:auto val="1"/>
        <c:lblOffset val="100"/>
        <c:baseTimeUnit val="days"/>
      </c:dateAx>
      <c:valAx>
        <c:axId val="204051968"/>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405043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397647517437415"/>
        </c:manualLayout>
      </c:layout>
      <c:lineChart>
        <c:grouping val="standard"/>
        <c:ser>
          <c:idx val="0"/>
          <c:order val="0"/>
          <c:tx>
            <c:strRef>
              <c:f>'used space Charts'!$O$2</c:f>
              <c:strCache>
                <c:ptCount val="1"/>
                <c:pt idx="0">
                  <c:v>FDC T3 V-MAX 2231</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Charts'!$O$2:$O$171</c:f>
              <c:numCache>
                <c:formatCode>0.00%</c:formatCode>
                <c:ptCount val="170"/>
                <c:pt idx="0" formatCode="General">
                  <c:v>0</c:v>
                </c:pt>
                <c:pt idx="1">
                  <c:v>0.5679019419412159</c:v>
                </c:pt>
                <c:pt idx="2">
                  <c:v>0.5679019419412159</c:v>
                </c:pt>
                <c:pt idx="3">
                  <c:v>0.5679019419412159</c:v>
                </c:pt>
                <c:pt idx="4">
                  <c:v>0.56538086344762561</c:v>
                </c:pt>
                <c:pt idx="5">
                  <c:v>0.87670802860563657</c:v>
                </c:pt>
                <c:pt idx="6">
                  <c:v>0.87552434317924632</c:v>
                </c:pt>
                <c:pt idx="7">
                  <c:v>0.78343826335385836</c:v>
                </c:pt>
                <c:pt idx="8">
                  <c:v>0.75008371925406836</c:v>
                </c:pt>
                <c:pt idx="9">
                  <c:v>0.75008371925406836</c:v>
                </c:pt>
                <c:pt idx="10">
                  <c:v>0.74945759556035796</c:v>
                </c:pt>
                <c:pt idx="11">
                  <c:v>0.748365137206083</c:v>
                </c:pt>
                <c:pt idx="12">
                  <c:v>0.61196989846596861</c:v>
                </c:pt>
                <c:pt idx="13">
                  <c:v>0.56417484546643948</c:v>
                </c:pt>
                <c:pt idx="14">
                  <c:v>0.56380087113354449</c:v>
                </c:pt>
                <c:pt idx="15">
                  <c:v>0.55847683653978542</c:v>
                </c:pt>
                <c:pt idx="16">
                  <c:v>0.55797650421259415</c:v>
                </c:pt>
                <c:pt idx="17">
                  <c:v>0.55776968507394775</c:v>
                </c:pt>
                <c:pt idx="18">
                  <c:v>0.55668515950855235</c:v>
                </c:pt>
                <c:pt idx="19">
                  <c:v>0.55594967665385897</c:v>
                </c:pt>
                <c:pt idx="20">
                  <c:v>0.55447417792225528</c:v>
                </c:pt>
                <c:pt idx="21">
                  <c:v>0.55402540872278128</c:v>
                </c:pt>
                <c:pt idx="22">
                  <c:v>0.55391038328402731</c:v>
                </c:pt>
                <c:pt idx="23">
                  <c:v>0.55297998047400676</c:v>
                </c:pt>
                <c:pt idx="24">
                  <c:v>0.55280375923532443</c:v>
                </c:pt>
                <c:pt idx="25">
                  <c:v>0.55239068758580867</c:v>
                </c:pt>
                <c:pt idx="26">
                  <c:v>0.55186315712531597</c:v>
                </c:pt>
                <c:pt idx="27">
                  <c:v>0.55045735361029713</c:v>
                </c:pt>
                <c:pt idx="28">
                  <c:v>0.55037915897705547</c:v>
                </c:pt>
                <c:pt idx="29">
                  <c:v>0.55012530973290863</c:v>
                </c:pt>
                <c:pt idx="30">
                  <c:v>0.54888212838992145</c:v>
                </c:pt>
                <c:pt idx="31">
                  <c:v>0.54861184694023835</c:v>
                </c:pt>
                <c:pt idx="32">
                  <c:v>0.54714428099751422</c:v>
                </c:pt>
                <c:pt idx="33">
                  <c:v>0.54559002100489162</c:v>
                </c:pt>
                <c:pt idx="34">
                  <c:v>0.53954466925086708</c:v>
                </c:pt>
                <c:pt idx="35">
                  <c:v>0.53903980390145889</c:v>
                </c:pt>
                <c:pt idx="36">
                  <c:v>0.53856893621867752</c:v>
                </c:pt>
                <c:pt idx="37">
                  <c:v>0.53736485219231123</c:v>
                </c:pt>
                <c:pt idx="38">
                  <c:v>0.53736485219231123</c:v>
                </c:pt>
                <c:pt idx="39">
                  <c:v>0.53736485219231123</c:v>
                </c:pt>
                <c:pt idx="40">
                  <c:v>0.53663333573205751</c:v>
                </c:pt>
                <c:pt idx="41">
                  <c:v>0.53465977118437102</c:v>
                </c:pt>
                <c:pt idx="42">
                  <c:v>0.52712418837653774</c:v>
                </c:pt>
                <c:pt idx="43">
                  <c:v>0.526785911593601</c:v>
                </c:pt>
                <c:pt idx="44">
                  <c:v>0.52427291740210225</c:v>
                </c:pt>
                <c:pt idx="45">
                  <c:v>0.52406723151901002</c:v>
                </c:pt>
                <c:pt idx="46">
                  <c:v>0.52001357640153956</c:v>
                </c:pt>
                <c:pt idx="47">
                  <c:v>0.51860040672541841</c:v>
                </c:pt>
                <c:pt idx="48">
                  <c:v>0.51426513760272241</c:v>
                </c:pt>
                <c:pt idx="49">
                  <c:v>0.51340499663706418</c:v>
                </c:pt>
                <c:pt idx="50">
                  <c:v>0.51169094761129563</c:v>
                </c:pt>
                <c:pt idx="51">
                  <c:v>0.51081324118454663</c:v>
                </c:pt>
                <c:pt idx="52">
                  <c:v>0.50962502273593957</c:v>
                </c:pt>
                <c:pt idx="53">
                  <c:v>0.50916435435314622</c:v>
                </c:pt>
                <c:pt idx="54">
                  <c:v>0.4815831806743664</c:v>
                </c:pt>
                <c:pt idx="55">
                  <c:v>0.48141489222456357</c:v>
                </c:pt>
                <c:pt idx="56">
                  <c:v>0.4809706560473066</c:v>
                </c:pt>
                <c:pt idx="57">
                  <c:v>0.48085449735299829</c:v>
                </c:pt>
                <c:pt idx="58">
                  <c:v>0.48044312558681385</c:v>
                </c:pt>
                <c:pt idx="59">
                  <c:v>0.47956371927673358</c:v>
                </c:pt>
                <c:pt idx="60">
                  <c:v>0.47898915871074049</c:v>
                </c:pt>
                <c:pt idx="61">
                  <c:v>0.4788865990830829</c:v>
                </c:pt>
                <c:pt idx="62">
                  <c:v>0.47870527819440656</c:v>
                </c:pt>
                <c:pt idx="63">
                  <c:v>0.47852452393350736</c:v>
                </c:pt>
                <c:pt idx="64">
                  <c:v>0.47778904107881393</c:v>
                </c:pt>
                <c:pt idx="65">
                  <c:v>0.47729154189050821</c:v>
                </c:pt>
                <c:pt idx="66">
                  <c:v>0.47675267887447326</c:v>
                </c:pt>
                <c:pt idx="67">
                  <c:v>0.47060533412056815</c:v>
                </c:pt>
                <c:pt idx="68">
                  <c:v>0.46583772800393464</c:v>
                </c:pt>
                <c:pt idx="69">
                  <c:v>0.46583772800393464</c:v>
                </c:pt>
                <c:pt idx="70">
                  <c:v>0.46549265168767245</c:v>
                </c:pt>
                <c:pt idx="71">
                  <c:v>0.46489825914948035</c:v>
                </c:pt>
                <c:pt idx="72">
                  <c:v>0.46394689111170673</c:v>
                </c:pt>
                <c:pt idx="73">
                  <c:v>0.46348055645114222</c:v>
                </c:pt>
                <c:pt idx="74">
                  <c:v>0.46335136531796034</c:v>
                </c:pt>
                <c:pt idx="75">
                  <c:v>0.46294962622398683</c:v>
                </c:pt>
                <c:pt idx="76">
                  <c:v>0.46264194734101416</c:v>
                </c:pt>
                <c:pt idx="77">
                  <c:v>0.46251898911338052</c:v>
                </c:pt>
                <c:pt idx="78">
                  <c:v>0.46244079448013881</c:v>
                </c:pt>
                <c:pt idx="79">
                  <c:v>0.46189059890856154</c:v>
                </c:pt>
                <c:pt idx="80">
                  <c:v>0.46143729668687067</c:v>
                </c:pt>
                <c:pt idx="81">
                  <c:v>0.46112621803723536</c:v>
                </c:pt>
                <c:pt idx="82">
                  <c:v>0.45930110996715257</c:v>
                </c:pt>
                <c:pt idx="83">
                  <c:v>0.45926654567274866</c:v>
                </c:pt>
                <c:pt idx="84">
                  <c:v>0.45765448964686056</c:v>
                </c:pt>
                <c:pt idx="85">
                  <c:v>0.45720798695849507</c:v>
                </c:pt>
                <c:pt idx="86">
                  <c:v>0.45701873328093912</c:v>
                </c:pt>
                <c:pt idx="87">
                  <c:v>0.45698416898653521</c:v>
                </c:pt>
                <c:pt idx="88">
                  <c:v>0.45433858389519194</c:v>
                </c:pt>
                <c:pt idx="89">
                  <c:v>0.45424849007863088</c:v>
                </c:pt>
                <c:pt idx="90">
                  <c:v>0.45417482846760615</c:v>
                </c:pt>
                <c:pt idx="91">
                  <c:v>0.45403770454554465</c:v>
                </c:pt>
                <c:pt idx="92">
                  <c:v>0.45398670804560448</c:v>
                </c:pt>
                <c:pt idx="93">
                  <c:v>0.45384901749576584</c:v>
                </c:pt>
                <c:pt idx="94">
                  <c:v>0.45379178809027731</c:v>
                </c:pt>
                <c:pt idx="95">
                  <c:v>0.4531543318410246</c:v>
                </c:pt>
                <c:pt idx="96">
                  <c:v>0.45304837244670437</c:v>
                </c:pt>
                <c:pt idx="97">
                  <c:v>0.45298264362455926</c:v>
                </c:pt>
                <c:pt idx="98">
                  <c:v>0.45292484759129359</c:v>
                </c:pt>
                <c:pt idx="99">
                  <c:v>0.45280698901365402</c:v>
                </c:pt>
                <c:pt idx="100">
                  <c:v>0.4526120690583269</c:v>
                </c:pt>
                <c:pt idx="101">
                  <c:v>0.45248911083069326</c:v>
                </c:pt>
                <c:pt idx="102">
                  <c:v>0.45242451526410238</c:v>
                </c:pt>
                <c:pt idx="103">
                  <c:v>0.45210890359225003</c:v>
                </c:pt>
                <c:pt idx="104">
                  <c:v>0.45183918877034407</c:v>
                </c:pt>
                <c:pt idx="105">
                  <c:v>0.45116036869336196</c:v>
                </c:pt>
                <c:pt idx="106">
                  <c:v>0.45077846157158746</c:v>
                </c:pt>
                <c:pt idx="107">
                  <c:v>0.45029399482215537</c:v>
                </c:pt>
                <c:pt idx="108">
                  <c:v>0.4501438384612203</c:v>
                </c:pt>
                <c:pt idx="109">
                  <c:v>0.44993021978924841</c:v>
                </c:pt>
                <c:pt idx="110">
                  <c:v>0.4499047215392783</c:v>
                </c:pt>
                <c:pt idx="111">
                  <c:v>0.44985485829489236</c:v>
                </c:pt>
                <c:pt idx="112">
                  <c:v>0.4498168942338257</c:v>
                </c:pt>
                <c:pt idx="113">
                  <c:v>0.44971660111727663</c:v>
                </c:pt>
                <c:pt idx="114">
                  <c:v>0.44961800788405887</c:v>
                </c:pt>
                <c:pt idx="115">
                  <c:v>0.44943272060094275</c:v>
                </c:pt>
                <c:pt idx="116">
                  <c:v>0.44934602655104439</c:v>
                </c:pt>
                <c:pt idx="117">
                  <c:v>0.44922760134562756</c:v>
                </c:pt>
                <c:pt idx="118">
                  <c:v>0.44737302863113493</c:v>
                </c:pt>
                <c:pt idx="119">
                  <c:v>0.44725120365905552</c:v>
                </c:pt>
                <c:pt idx="120">
                  <c:v>0.44709368113701797</c:v>
                </c:pt>
                <c:pt idx="121">
                  <c:v>0.44692369280388389</c:v>
                </c:pt>
                <c:pt idx="122">
                  <c:v>0.44688969513725707</c:v>
                </c:pt>
                <c:pt idx="123">
                  <c:v>0.44683416561509992</c:v>
                </c:pt>
                <c:pt idx="124">
                  <c:v>0.44646019128220499</c:v>
                </c:pt>
                <c:pt idx="125">
                  <c:v>0.4460777175326533</c:v>
                </c:pt>
                <c:pt idx="126">
                  <c:v>0.44597119151055592</c:v>
                </c:pt>
                <c:pt idx="127">
                  <c:v>0.44592699454394108</c:v>
                </c:pt>
                <c:pt idx="128">
                  <c:v>0.44589469676064564</c:v>
                </c:pt>
                <c:pt idx="129">
                  <c:v>0.44581083584963277</c:v>
                </c:pt>
                <c:pt idx="130">
                  <c:v>0.44562441531096247</c:v>
                </c:pt>
                <c:pt idx="131">
                  <c:v>0.44474614225643644</c:v>
                </c:pt>
                <c:pt idx="132">
                  <c:v>0.4447223438897977</c:v>
                </c:pt>
                <c:pt idx="133">
                  <c:v>0.4444662281345424</c:v>
                </c:pt>
                <c:pt idx="134">
                  <c:v>0.44438236722352953</c:v>
                </c:pt>
                <c:pt idx="135">
                  <c:v>0.44340380105245442</c:v>
                </c:pt>
                <c:pt idx="136">
                  <c:v>0.44328140945259786</c:v>
                </c:pt>
                <c:pt idx="137">
                  <c:v>0.44317545005827763</c:v>
                </c:pt>
                <c:pt idx="138">
                  <c:v>0.44292103418635359</c:v>
                </c:pt>
                <c:pt idx="139">
                  <c:v>0.44288703651972677</c:v>
                </c:pt>
                <c:pt idx="140">
                  <c:v>0.44288420338084122</c:v>
                </c:pt>
                <c:pt idx="141">
                  <c:v>0.44296523115296849</c:v>
                </c:pt>
                <c:pt idx="142">
                  <c:v>0.44285190559754578</c:v>
                </c:pt>
                <c:pt idx="143">
                  <c:v>0.4428360400197866</c:v>
                </c:pt>
                <c:pt idx="144">
                  <c:v>0.44282810723090704</c:v>
                </c:pt>
                <c:pt idx="145">
                  <c:v>0.44275217910877385</c:v>
                </c:pt>
                <c:pt idx="146">
                  <c:v>0.44252326148681992</c:v>
                </c:pt>
                <c:pt idx="147">
                  <c:v>0.44249039707574733</c:v>
                </c:pt>
                <c:pt idx="148">
                  <c:v>0.44185804047648863</c:v>
                </c:pt>
                <c:pt idx="149">
                  <c:v>0.44184784117650056</c:v>
                </c:pt>
                <c:pt idx="150">
                  <c:v>0.44183707524873544</c:v>
                </c:pt>
                <c:pt idx="151">
                  <c:v>0.44180931048765681</c:v>
                </c:pt>
                <c:pt idx="152">
                  <c:v>0.44178494549324093</c:v>
                </c:pt>
                <c:pt idx="153">
                  <c:v>0.44170618423222219</c:v>
                </c:pt>
                <c:pt idx="154">
                  <c:v>0.44163365587675163</c:v>
                </c:pt>
                <c:pt idx="155">
                  <c:v>0.44162855622675762</c:v>
                </c:pt>
                <c:pt idx="156">
                  <c:v>0.44159739169901635</c:v>
                </c:pt>
                <c:pt idx="157">
                  <c:v>0.44158379263236558</c:v>
                </c:pt>
                <c:pt idx="158">
                  <c:v>0.44000176787866457</c:v>
                </c:pt>
                <c:pt idx="159">
                  <c:v>0.43987710976769956</c:v>
                </c:pt>
                <c:pt idx="160">
                  <c:v>0.4355667722671967</c:v>
                </c:pt>
                <c:pt idx="161">
                  <c:v>0.4355667722671967</c:v>
                </c:pt>
                <c:pt idx="162">
                  <c:v>0.43556167261720269</c:v>
                </c:pt>
                <c:pt idx="163">
                  <c:v>0.43499277832898064</c:v>
                </c:pt>
                <c:pt idx="164">
                  <c:v>0.43495594752346828</c:v>
                </c:pt>
                <c:pt idx="165">
                  <c:v>0.43468396619045374</c:v>
                </c:pt>
                <c:pt idx="166">
                  <c:v>0.43455760819615741</c:v>
                </c:pt>
                <c:pt idx="167">
                  <c:v>0.43453777622395845</c:v>
                </c:pt>
                <c:pt idx="168">
                  <c:v>0.43404650994120098</c:v>
                </c:pt>
                <c:pt idx="169">
                  <c:v>0.43404197691898405</c:v>
                </c:pt>
              </c:numCache>
            </c:numRef>
          </c:val>
        </c:ser>
        <c:dLbls/>
        <c:marker val="1"/>
        <c:axId val="204072064"/>
        <c:axId val="204073600"/>
      </c:lineChart>
      <c:dateAx>
        <c:axId val="20407206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4073600"/>
        <c:crosses val="autoZero"/>
        <c:auto val="1"/>
        <c:lblOffset val="100"/>
        <c:baseTimeUnit val="days"/>
      </c:dateAx>
      <c:valAx>
        <c:axId val="204073600"/>
        <c:scaling>
          <c:orientation val="minMax"/>
        </c:scaling>
        <c:axPos val="l"/>
        <c:majorGridlines/>
        <c:numFmt formatCode="0.00%" sourceLinked="0"/>
        <c:tickLblPos val="nextTo"/>
        <c:txPr>
          <a:bodyPr rot="0" vert="horz"/>
          <a:lstStyle/>
          <a:p>
            <a:pPr>
              <a:defRPr/>
            </a:pPr>
            <a:endParaRPr lang="en-US"/>
          </a:p>
        </c:txPr>
        <c:crossAx val="20407206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455984167521688"/>
        </c:manualLayout>
      </c:layout>
      <c:lineChart>
        <c:grouping val="standard"/>
        <c:ser>
          <c:idx val="0"/>
          <c:order val="0"/>
          <c:tx>
            <c:strRef>
              <c:f>'used space Charts'!$P$2</c:f>
              <c:strCache>
                <c:ptCount val="1"/>
                <c:pt idx="0">
                  <c:v>EDC T3 V-MAX 2262</c:v>
                </c:pt>
              </c:strCache>
            </c:strRef>
          </c:tx>
          <c:cat>
            <c:numRef>
              <c:f>'used space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'used space Charts'!$P$3:$P$171</c:f>
              <c:numCache>
                <c:formatCode>0.00%</c:formatCode>
                <c:ptCount val="169"/>
                <c:pt idx="0">
                  <c:v>0.13387064604449603</c:v>
                </c:pt>
                <c:pt idx="1">
                  <c:v>0.13387064604449603</c:v>
                </c:pt>
                <c:pt idx="2">
                  <c:v>0.13387064604449603</c:v>
                </c:pt>
                <c:pt idx="3">
                  <c:v>0.12786168881797247</c:v>
                </c:pt>
                <c:pt idx="4">
                  <c:v>0.12721800148682708</c:v>
                </c:pt>
                <c:pt idx="5">
                  <c:v>0.12686442675563453</c:v>
                </c:pt>
                <c:pt idx="6">
                  <c:v>0.12576743848706279</c:v>
                </c:pt>
                <c:pt idx="7">
                  <c:v>7.986437235952204E-2</c:v>
                </c:pt>
                <c:pt idx="8">
                  <c:v>7.986437235952204E-2</c:v>
                </c:pt>
                <c:pt idx="9">
                  <c:v>7.8506282750992723E-2</c:v>
                </c:pt>
                <c:pt idx="10">
                  <c:v>7.8321335968522782E-2</c:v>
                </c:pt>
                <c:pt idx="11">
                  <c:v>0</c:v>
                </c:pt>
                <c:pt idx="12">
                  <c:v>0.37863476630068643</c:v>
                </c:pt>
                <c:pt idx="13">
                  <c:v>0.37863476630068643</c:v>
                </c:pt>
                <c:pt idx="14">
                  <c:v>0.37863476630068643</c:v>
                </c:pt>
                <c:pt idx="15">
                  <c:v>0.37863476630068643</c:v>
                </c:pt>
                <c:pt idx="16">
                  <c:v>0.37863476630068643</c:v>
                </c:pt>
                <c:pt idx="17">
                  <c:v>0.37863476630068643</c:v>
                </c:pt>
                <c:pt idx="18">
                  <c:v>0.37863476630068643</c:v>
                </c:pt>
                <c:pt idx="19">
                  <c:v>0.37863476630068643</c:v>
                </c:pt>
                <c:pt idx="20">
                  <c:v>0.37863476630068643</c:v>
                </c:pt>
                <c:pt idx="21">
                  <c:v>0.37863476630068643</c:v>
                </c:pt>
                <c:pt idx="22">
                  <c:v>0.41978478177746215</c:v>
                </c:pt>
                <c:pt idx="23">
                  <c:v>0.41978478177746215</c:v>
                </c:pt>
                <c:pt idx="24">
                  <c:v>0.41978478177746215</c:v>
                </c:pt>
                <c:pt idx="25">
                  <c:v>0.41978478177746215</c:v>
                </c:pt>
                <c:pt idx="26">
                  <c:v>0.4197811401831722</c:v>
                </c:pt>
                <c:pt idx="27">
                  <c:v>0.4197811401831722</c:v>
                </c:pt>
                <c:pt idx="28">
                  <c:v>0.4197811401831722</c:v>
                </c:pt>
                <c:pt idx="29">
                  <c:v>0.41977385699459224</c:v>
                </c:pt>
                <c:pt idx="30">
                  <c:v>0.41976839460315724</c:v>
                </c:pt>
                <c:pt idx="31">
                  <c:v>0.41976839460315724</c:v>
                </c:pt>
                <c:pt idx="32">
                  <c:v>0.41976839460315724</c:v>
                </c:pt>
                <c:pt idx="33">
                  <c:v>0.41976657380601229</c:v>
                </c:pt>
                <c:pt idx="34">
                  <c:v>0.41975564902314239</c:v>
                </c:pt>
                <c:pt idx="35">
                  <c:v>0.41975382822599733</c:v>
                </c:pt>
                <c:pt idx="36">
                  <c:v>0.41975382822599733</c:v>
                </c:pt>
                <c:pt idx="37">
                  <c:v>0.41975382822599733</c:v>
                </c:pt>
                <c:pt idx="38">
                  <c:v>0.41975382822599733</c:v>
                </c:pt>
                <c:pt idx="39">
                  <c:v>0.41975382822599733</c:v>
                </c:pt>
                <c:pt idx="40">
                  <c:v>0.41975382822599733</c:v>
                </c:pt>
                <c:pt idx="41">
                  <c:v>0.41975200742885238</c:v>
                </c:pt>
                <c:pt idx="42">
                  <c:v>0.41975018663170732</c:v>
                </c:pt>
                <c:pt idx="43">
                  <c:v>0.41958631488865822</c:v>
                </c:pt>
                <c:pt idx="44">
                  <c:v>0.41935143205695452</c:v>
                </c:pt>
                <c:pt idx="45">
                  <c:v>0.41932412009977971</c:v>
                </c:pt>
                <c:pt idx="46">
                  <c:v>0.41929862893974978</c:v>
                </c:pt>
                <c:pt idx="47">
                  <c:v>0.41929862893974978</c:v>
                </c:pt>
                <c:pt idx="48">
                  <c:v>0.42370313723348085</c:v>
                </c:pt>
                <c:pt idx="49">
                  <c:v>0.42370313723348085</c:v>
                </c:pt>
                <c:pt idx="50">
                  <c:v>0.42370313723348085</c:v>
                </c:pt>
                <c:pt idx="51">
                  <c:v>0.42370313723348085</c:v>
                </c:pt>
                <c:pt idx="52">
                  <c:v>0.42370313723348085</c:v>
                </c:pt>
                <c:pt idx="53">
                  <c:v>0.42370313723348085</c:v>
                </c:pt>
                <c:pt idx="54">
                  <c:v>0.42370313723348085</c:v>
                </c:pt>
                <c:pt idx="55">
                  <c:v>0.42370313723348085</c:v>
                </c:pt>
                <c:pt idx="56">
                  <c:v>0.42370313723348085</c:v>
                </c:pt>
                <c:pt idx="57">
                  <c:v>0.42370313723348085</c:v>
                </c:pt>
                <c:pt idx="58">
                  <c:v>0.42370313723348085</c:v>
                </c:pt>
                <c:pt idx="59">
                  <c:v>0.4236940332477559</c:v>
                </c:pt>
                <c:pt idx="60">
                  <c:v>0.4236940332477559</c:v>
                </c:pt>
                <c:pt idx="61">
                  <c:v>0.43731177509513663</c:v>
                </c:pt>
                <c:pt idx="62">
                  <c:v>0.43731177509513663</c:v>
                </c:pt>
                <c:pt idx="63">
                  <c:v>0.43730813350084669</c:v>
                </c:pt>
                <c:pt idx="64">
                  <c:v>0.43730267110941168</c:v>
                </c:pt>
                <c:pt idx="65">
                  <c:v>0.43729902951512173</c:v>
                </c:pt>
                <c:pt idx="66">
                  <c:v>0.43714790335208753</c:v>
                </c:pt>
                <c:pt idx="67">
                  <c:v>0.4370168059576483</c:v>
                </c:pt>
                <c:pt idx="68">
                  <c:v>0.4370168059576483</c:v>
                </c:pt>
                <c:pt idx="69">
                  <c:v>0.4370168059576483</c:v>
                </c:pt>
                <c:pt idx="70">
                  <c:v>0.43694943646328366</c:v>
                </c:pt>
                <c:pt idx="71">
                  <c:v>0.43651062435134097</c:v>
                </c:pt>
                <c:pt idx="72">
                  <c:v>0.43651062435134097</c:v>
                </c:pt>
                <c:pt idx="73">
                  <c:v>0.43650698275705108</c:v>
                </c:pt>
                <c:pt idx="74">
                  <c:v>0.43644325485697644</c:v>
                </c:pt>
                <c:pt idx="75">
                  <c:v>0.43640865971122156</c:v>
                </c:pt>
                <c:pt idx="76">
                  <c:v>0.43640865971122156</c:v>
                </c:pt>
                <c:pt idx="77">
                  <c:v>0.43640865971122156</c:v>
                </c:pt>
                <c:pt idx="78">
                  <c:v>0.43639591413120665</c:v>
                </c:pt>
                <c:pt idx="79">
                  <c:v>0.4363868101454817</c:v>
                </c:pt>
                <c:pt idx="80">
                  <c:v>0.43638498934833669</c:v>
                </c:pt>
                <c:pt idx="81">
                  <c:v>0.43635767739116188</c:v>
                </c:pt>
                <c:pt idx="82">
                  <c:v>0.43635403579687188</c:v>
                </c:pt>
                <c:pt idx="83">
                  <c:v>0.43634129021685691</c:v>
                </c:pt>
                <c:pt idx="84">
                  <c:v>0.43629577028823219</c:v>
                </c:pt>
                <c:pt idx="85">
                  <c:v>0.43629212869394218</c:v>
                </c:pt>
                <c:pt idx="86">
                  <c:v>0.43628302470821723</c:v>
                </c:pt>
                <c:pt idx="87">
                  <c:v>0.43607181223939839</c:v>
                </c:pt>
                <c:pt idx="88">
                  <c:v>0.43606999144225345</c:v>
                </c:pt>
                <c:pt idx="89">
                  <c:v>0.43606999144225345</c:v>
                </c:pt>
                <c:pt idx="90">
                  <c:v>0.43606088745652849</c:v>
                </c:pt>
                <c:pt idx="91">
                  <c:v>0.43606088745652849</c:v>
                </c:pt>
                <c:pt idx="92">
                  <c:v>0.43604996267365853</c:v>
                </c:pt>
                <c:pt idx="93">
                  <c:v>0.43604632107936853</c:v>
                </c:pt>
                <c:pt idx="94">
                  <c:v>0.43602629231077367</c:v>
                </c:pt>
                <c:pt idx="95">
                  <c:v>0.43601354673075871</c:v>
                </c:pt>
                <c:pt idx="96">
                  <c:v>0.43601172593361376</c:v>
                </c:pt>
                <c:pt idx="97">
                  <c:v>0.43600444274503375</c:v>
                </c:pt>
                <c:pt idx="98">
                  <c:v>0.4359989803535988</c:v>
                </c:pt>
                <c:pt idx="99">
                  <c:v>0.43597348919356893</c:v>
                </c:pt>
                <c:pt idx="100">
                  <c:v>0.43597348919356893</c:v>
                </c:pt>
                <c:pt idx="101">
                  <c:v>0.43596438520784397</c:v>
                </c:pt>
                <c:pt idx="102">
                  <c:v>0.43596438520784397</c:v>
                </c:pt>
                <c:pt idx="103">
                  <c:v>0.43585513737914455</c:v>
                </c:pt>
                <c:pt idx="104">
                  <c:v>0.43559658418455605</c:v>
                </c:pt>
                <c:pt idx="105">
                  <c:v>0.43559112179312098</c:v>
                </c:pt>
                <c:pt idx="106">
                  <c:v>0.43558748019883109</c:v>
                </c:pt>
                <c:pt idx="107">
                  <c:v>0.4305129185557437</c:v>
                </c:pt>
                <c:pt idx="108">
                  <c:v>0.43050927696145375</c:v>
                </c:pt>
                <c:pt idx="109">
                  <c:v>0.43050927696145375</c:v>
                </c:pt>
                <c:pt idx="110">
                  <c:v>0.42583893228455416</c:v>
                </c:pt>
                <c:pt idx="111">
                  <c:v>0.42494856248065399</c:v>
                </c:pt>
                <c:pt idx="112">
                  <c:v>0.42282551300959559</c:v>
                </c:pt>
                <c:pt idx="113">
                  <c:v>0.42233389778044828</c:v>
                </c:pt>
                <c:pt idx="114">
                  <c:v>0.42217184683454412</c:v>
                </c:pt>
                <c:pt idx="115">
                  <c:v>0.42216274284881916</c:v>
                </c:pt>
                <c:pt idx="116">
                  <c:v>0.42031281294950928</c:v>
                </c:pt>
                <c:pt idx="117">
                  <c:v>0.42019264033793996</c:v>
                </c:pt>
                <c:pt idx="118">
                  <c:v>0.42018899874365001</c:v>
                </c:pt>
                <c:pt idx="119">
                  <c:v>0.42016532838076515</c:v>
                </c:pt>
                <c:pt idx="120">
                  <c:v>0.42014712040931523</c:v>
                </c:pt>
                <c:pt idx="121">
                  <c:v>0.42014712040931523</c:v>
                </c:pt>
                <c:pt idx="122">
                  <c:v>0.42014712040931523</c:v>
                </c:pt>
                <c:pt idx="123">
                  <c:v>0.42013801642359028</c:v>
                </c:pt>
                <c:pt idx="124">
                  <c:v>0.41817155550700097</c:v>
                </c:pt>
                <c:pt idx="125">
                  <c:v>0.41773456419220339</c:v>
                </c:pt>
                <c:pt idx="126">
                  <c:v>0.41773092259791339</c:v>
                </c:pt>
                <c:pt idx="127">
                  <c:v>0.41772363940933338</c:v>
                </c:pt>
                <c:pt idx="128">
                  <c:v>0.41772181861218843</c:v>
                </c:pt>
                <c:pt idx="129">
                  <c:v>0.41771635622075348</c:v>
                </c:pt>
                <c:pt idx="130">
                  <c:v>0.41770725223502853</c:v>
                </c:pt>
                <c:pt idx="131">
                  <c:v>0.41770725223502853</c:v>
                </c:pt>
                <c:pt idx="132">
                  <c:v>0.41770725223502853</c:v>
                </c:pt>
                <c:pt idx="133">
                  <c:v>0.41770725223502853</c:v>
                </c:pt>
                <c:pt idx="134">
                  <c:v>0.41760528759490906</c:v>
                </c:pt>
                <c:pt idx="135">
                  <c:v>0.41760346679776406</c:v>
                </c:pt>
                <c:pt idx="136">
                  <c:v>0.41758890042060415</c:v>
                </c:pt>
                <c:pt idx="137">
                  <c:v>0.4175852588263142</c:v>
                </c:pt>
                <c:pt idx="138">
                  <c:v>0.4175852588263142</c:v>
                </c:pt>
                <c:pt idx="139">
                  <c:v>0.4175852588263142</c:v>
                </c:pt>
                <c:pt idx="140">
                  <c:v>0.41756887165200923</c:v>
                </c:pt>
                <c:pt idx="141">
                  <c:v>0.41755976766628428</c:v>
                </c:pt>
                <c:pt idx="142">
                  <c:v>0.41755066368055932</c:v>
                </c:pt>
                <c:pt idx="143">
                  <c:v>0.41754520128912437</c:v>
                </c:pt>
                <c:pt idx="144">
                  <c:v>0.41752335172338451</c:v>
                </c:pt>
                <c:pt idx="145">
                  <c:v>0.41733580961745054</c:v>
                </c:pt>
                <c:pt idx="146">
                  <c:v>0.41732670563172558</c:v>
                </c:pt>
                <c:pt idx="147">
                  <c:v>0.41732306403743558</c:v>
                </c:pt>
                <c:pt idx="148">
                  <c:v>0.41731396005171062</c:v>
                </c:pt>
                <c:pt idx="149">
                  <c:v>0.41731031845742061</c:v>
                </c:pt>
                <c:pt idx="150">
                  <c:v>0.41727390251452084</c:v>
                </c:pt>
                <c:pt idx="151">
                  <c:v>0.41727390251452084</c:v>
                </c:pt>
                <c:pt idx="152">
                  <c:v>0.4172702609202309</c:v>
                </c:pt>
                <c:pt idx="153">
                  <c:v>0.41717193787440143</c:v>
                </c:pt>
                <c:pt idx="154">
                  <c:v>0.41717011707725643</c:v>
                </c:pt>
                <c:pt idx="155">
                  <c:v>0.4171245971486317</c:v>
                </c:pt>
                <c:pt idx="156">
                  <c:v>0.4171191347571967</c:v>
                </c:pt>
                <c:pt idx="157">
                  <c:v>0.41461371788569035</c:v>
                </c:pt>
                <c:pt idx="158">
                  <c:v>0.4146118970885454</c:v>
                </c:pt>
                <c:pt idx="159">
                  <c:v>0.41460461389996539</c:v>
                </c:pt>
                <c:pt idx="160">
                  <c:v>0.41460461389996539</c:v>
                </c:pt>
                <c:pt idx="161">
                  <c:v>0.41460279310282044</c:v>
                </c:pt>
                <c:pt idx="162">
                  <c:v>0.41460279310282044</c:v>
                </c:pt>
                <c:pt idx="163">
                  <c:v>0.41460097230567539</c:v>
                </c:pt>
                <c:pt idx="164">
                  <c:v>0.41456273556563067</c:v>
                </c:pt>
                <c:pt idx="165">
                  <c:v>0.41452267802844084</c:v>
                </c:pt>
                <c:pt idx="166">
                  <c:v>0.41452085723129589</c:v>
                </c:pt>
                <c:pt idx="167">
                  <c:v>0.41451357404271588</c:v>
                </c:pt>
                <c:pt idx="168">
                  <c:v>0.41451357404271588</c:v>
                </c:pt>
              </c:numCache>
            </c:numRef>
          </c:val>
        </c:ser>
        <c:dLbls/>
        <c:marker val="1"/>
        <c:axId val="204687616"/>
        <c:axId val="204697600"/>
      </c:lineChart>
      <c:dateAx>
        <c:axId val="2046876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4697600"/>
        <c:crosses val="autoZero"/>
        <c:auto val="1"/>
        <c:lblOffset val="100"/>
        <c:baseTimeUnit val="days"/>
      </c:dateAx>
      <c:valAx>
        <c:axId val="204697600"/>
        <c:scaling>
          <c:orientation val="minMax"/>
        </c:scaling>
        <c:axPos val="l"/>
        <c:majorGridlines/>
        <c:numFmt formatCode="0.00%"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46876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8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470619069708977"/>
          <c:y val="0.21343873517787937"/>
          <c:w val="0.74117753500911165"/>
          <c:h val="0.52175887656222164"/>
        </c:manualLayout>
      </c:layout>
      <c:lineChart>
        <c:grouping val="standard"/>
        <c:ser>
          <c:idx val="0"/>
          <c:order val="0"/>
          <c:tx>
            <c:strRef>
              <c:f>'used space Charts'!$F$2</c:f>
              <c:strCache>
                <c:ptCount val="1"/>
                <c:pt idx="0">
                  <c:v>RDC T3 V-MAX 3286</c:v>
                </c:pt>
              </c:strCache>
            </c:strRef>
          </c:tx>
          <c:cat>
            <c:numRef>
              <c:f>'used space Charts'!$A$3:$A$156</c:f>
              <c:numCache>
                <c:formatCode>[$-409]d\-mmm\-yy;@</c:formatCode>
                <c:ptCount val="154"/>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41162</c:v>
                </c:pt>
                <c:pt idx="42">
                  <c:v>41159</c:v>
                </c:pt>
                <c:pt idx="43">
                  <c:v>41156</c:v>
                </c:pt>
                <c:pt idx="44">
                  <c:v>41151</c:v>
                </c:pt>
                <c:pt idx="45">
                  <c:v>41150</c:v>
                </c:pt>
                <c:pt idx="46">
                  <c:v>41149</c:v>
                </c:pt>
                <c:pt idx="47">
                  <c:v>41144</c:v>
                </c:pt>
                <c:pt idx="48">
                  <c:v>41142</c:v>
                </c:pt>
                <c:pt idx="49">
                  <c:v>41138</c:v>
                </c:pt>
                <c:pt idx="50">
                  <c:v>41137</c:v>
                </c:pt>
                <c:pt idx="51">
                  <c:v>41135</c:v>
                </c:pt>
                <c:pt idx="52">
                  <c:v>41134</c:v>
                </c:pt>
                <c:pt idx="53">
                  <c:v>41131</c:v>
                </c:pt>
                <c:pt idx="54">
                  <c:v>41130</c:v>
                </c:pt>
                <c:pt idx="55">
                  <c:v>41129</c:v>
                </c:pt>
                <c:pt idx="56">
                  <c:v>41128</c:v>
                </c:pt>
                <c:pt idx="57">
                  <c:v>41124</c:v>
                </c:pt>
                <c:pt idx="58">
                  <c:v>41123</c:v>
                </c:pt>
                <c:pt idx="59">
                  <c:v>41120</c:v>
                </c:pt>
                <c:pt idx="60">
                  <c:v>41117</c:v>
                </c:pt>
                <c:pt idx="61">
                  <c:v>41115</c:v>
                </c:pt>
                <c:pt idx="62">
                  <c:v>41113</c:v>
                </c:pt>
                <c:pt idx="63">
                  <c:v>41110</c:v>
                </c:pt>
                <c:pt idx="64">
                  <c:v>41109</c:v>
                </c:pt>
                <c:pt idx="65">
                  <c:v>41108</c:v>
                </c:pt>
                <c:pt idx="66">
                  <c:v>41106</c:v>
                </c:pt>
                <c:pt idx="67">
                  <c:v>41103</c:v>
                </c:pt>
                <c:pt idx="68">
                  <c:v>41102</c:v>
                </c:pt>
                <c:pt idx="69">
                  <c:v>41101</c:v>
                </c:pt>
                <c:pt idx="70">
                  <c:v>41099</c:v>
                </c:pt>
                <c:pt idx="71">
                  <c:v>41095</c:v>
                </c:pt>
                <c:pt idx="72">
                  <c:v>41094</c:v>
                </c:pt>
                <c:pt idx="73">
                  <c:v>41093</c:v>
                </c:pt>
                <c:pt idx="74">
                  <c:v>41092</c:v>
                </c:pt>
                <c:pt idx="75">
                  <c:v>41087</c:v>
                </c:pt>
                <c:pt idx="76">
                  <c:v>41086</c:v>
                </c:pt>
                <c:pt idx="77">
                  <c:v>41085</c:v>
                </c:pt>
                <c:pt idx="78">
                  <c:v>41081</c:v>
                </c:pt>
                <c:pt idx="79">
                  <c:v>41080</c:v>
                </c:pt>
                <c:pt idx="80">
                  <c:v>41078</c:v>
                </c:pt>
                <c:pt idx="81">
                  <c:v>41075</c:v>
                </c:pt>
                <c:pt idx="82">
                  <c:v>41074</c:v>
                </c:pt>
                <c:pt idx="83">
                  <c:v>41071</c:v>
                </c:pt>
                <c:pt idx="84">
                  <c:v>41068</c:v>
                </c:pt>
                <c:pt idx="85">
                  <c:v>41067</c:v>
                </c:pt>
                <c:pt idx="86">
                  <c:v>41066</c:v>
                </c:pt>
                <c:pt idx="87">
                  <c:v>41059</c:v>
                </c:pt>
                <c:pt idx="88">
                  <c:v>41058</c:v>
                </c:pt>
                <c:pt idx="89">
                  <c:v>41057</c:v>
                </c:pt>
                <c:pt idx="90">
                  <c:v>41054</c:v>
                </c:pt>
                <c:pt idx="91">
                  <c:v>41053</c:v>
                </c:pt>
                <c:pt idx="92">
                  <c:v>41051</c:v>
                </c:pt>
                <c:pt idx="93">
                  <c:v>41050</c:v>
                </c:pt>
                <c:pt idx="94">
                  <c:v>41047</c:v>
                </c:pt>
                <c:pt idx="95">
                  <c:v>41046</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numCache>
            </c:numRef>
          </c:cat>
          <c:val>
            <c:numRef>
              <c:f>'used space Charts'!$F$3:$F$156</c:f>
              <c:numCache>
                <c:formatCode>0.00%</c:formatCode>
                <c:ptCount val="154"/>
                <c:pt idx="0">
                  <c:v>0.60585364379504691</c:v>
                </c:pt>
                <c:pt idx="1">
                  <c:v>0.60585364379504691</c:v>
                </c:pt>
                <c:pt idx="2">
                  <c:v>0.60585364379504691</c:v>
                </c:pt>
                <c:pt idx="3">
                  <c:v>0.6010716066544779</c:v>
                </c:pt>
                <c:pt idx="4">
                  <c:v>0.59451202006618209</c:v>
                </c:pt>
                <c:pt idx="5">
                  <c:v>0.58897931430470984</c:v>
                </c:pt>
                <c:pt idx="6">
                  <c:v>0.56729091431075385</c:v>
                </c:pt>
                <c:pt idx="7">
                  <c:v>0.53301279823514303</c:v>
                </c:pt>
                <c:pt idx="8">
                  <c:v>0.53301279823514303</c:v>
                </c:pt>
                <c:pt idx="9">
                  <c:v>0.53057886704643331</c:v>
                </c:pt>
                <c:pt idx="10">
                  <c:v>0.51726447167616085</c:v>
                </c:pt>
                <c:pt idx="11">
                  <c:v>0.45706229884710114</c:v>
                </c:pt>
                <c:pt idx="12">
                  <c:v>0.38361705021078557</c:v>
                </c:pt>
                <c:pt idx="13">
                  <c:v>0.38307671386047354</c:v>
                </c:pt>
                <c:pt idx="14">
                  <c:v>0.38187878696302568</c:v>
                </c:pt>
                <c:pt idx="15">
                  <c:v>0.37581360209123466</c:v>
                </c:pt>
                <c:pt idx="16">
                  <c:v>0.36811532010697934</c:v>
                </c:pt>
                <c:pt idx="17">
                  <c:v>0.36552726613378461</c:v>
                </c:pt>
                <c:pt idx="18">
                  <c:v>0.36453906710385159</c:v>
                </c:pt>
                <c:pt idx="19">
                  <c:v>0.36267206600081592</c:v>
                </c:pt>
                <c:pt idx="20">
                  <c:v>0.36087759326694974</c:v>
                </c:pt>
                <c:pt idx="21">
                  <c:v>0.36041764252580044</c:v>
                </c:pt>
                <c:pt idx="22">
                  <c:v>0.35766579531889814</c:v>
                </c:pt>
                <c:pt idx="23">
                  <c:v>0.35537631646545081</c:v>
                </c:pt>
                <c:pt idx="24">
                  <c:v>0.35354799715930557</c:v>
                </c:pt>
                <c:pt idx="25">
                  <c:v>0.35140236623804416</c:v>
                </c:pt>
                <c:pt idx="26">
                  <c:v>0.34934074734440401</c:v>
                </c:pt>
                <c:pt idx="27">
                  <c:v>0.3455221287076351</c:v>
                </c:pt>
                <c:pt idx="28">
                  <c:v>0.33537359665160699</c:v>
                </c:pt>
                <c:pt idx="29">
                  <c:v>0.33537359665160699</c:v>
                </c:pt>
                <c:pt idx="30">
                  <c:v>0.33217630437738926</c:v>
                </c:pt>
                <c:pt idx="31">
                  <c:v>0.32731267282150467</c:v>
                </c:pt>
                <c:pt idx="32">
                  <c:v>0.32436862543630346</c:v>
                </c:pt>
                <c:pt idx="33">
                  <c:v>0.29968903461718621</c:v>
                </c:pt>
                <c:pt idx="34">
                  <c:v>0.27092186579229688</c:v>
                </c:pt>
                <c:pt idx="35">
                  <c:v>0.2694398694489355</c:v>
                </c:pt>
                <c:pt idx="36">
                  <c:v>0.25440292531088982</c:v>
                </c:pt>
                <c:pt idx="37">
                  <c:v>0.25070156087094481</c:v>
                </c:pt>
                <c:pt idx="38">
                  <c:v>0.24843202731901903</c:v>
                </c:pt>
                <c:pt idx="39">
                  <c:v>0.24692283283721914</c:v>
                </c:pt>
                <c:pt idx="40">
                  <c:v>0.23483658451821521</c:v>
                </c:pt>
                <c:pt idx="41">
                  <c:v>0.22819902993306235</c:v>
                </c:pt>
                <c:pt idx="42">
                  <c:v>0.22418821111799458</c:v>
                </c:pt>
                <c:pt idx="43">
                  <c:v>0.22017255707831551</c:v>
                </c:pt>
                <c:pt idx="44">
                  <c:v>0.21997914809386379</c:v>
                </c:pt>
                <c:pt idx="45">
                  <c:v>0.21777428567111409</c:v>
                </c:pt>
                <c:pt idx="46">
                  <c:v>0.21592058143575951</c:v>
                </c:pt>
                <c:pt idx="47">
                  <c:v>0.21352956286547498</c:v>
                </c:pt>
                <c:pt idx="48">
                  <c:v>0.21214245780511023</c:v>
                </c:pt>
                <c:pt idx="49">
                  <c:v>0.2114824496456687</c:v>
                </c:pt>
                <c:pt idx="50">
                  <c:v>0.21117964370438644</c:v>
                </c:pt>
                <c:pt idx="51">
                  <c:v>0.21044771157885192</c:v>
                </c:pt>
                <c:pt idx="52">
                  <c:v>0.21028452274822079</c:v>
                </c:pt>
                <c:pt idx="53">
                  <c:v>0.20901890270621476</c:v>
                </c:pt>
                <c:pt idx="54">
                  <c:v>0.20856257838352396</c:v>
                </c:pt>
                <c:pt idx="55">
                  <c:v>0.20816608996539793</c:v>
                </c:pt>
                <c:pt idx="56">
                  <c:v>0.20696876747102644</c:v>
                </c:pt>
                <c:pt idx="57">
                  <c:v>0.20696876747102644</c:v>
                </c:pt>
                <c:pt idx="58">
                  <c:v>0.20376543116604465</c:v>
                </c:pt>
                <c:pt idx="59">
                  <c:v>0.27786202792672654</c:v>
                </c:pt>
                <c:pt idx="60">
                  <c:v>0.27670569463240469</c:v>
                </c:pt>
                <c:pt idx="61">
                  <c:v>0.25150537616684165</c:v>
                </c:pt>
                <c:pt idx="62">
                  <c:v>0.25116910818103744</c:v>
                </c:pt>
                <c:pt idx="63">
                  <c:v>0.25094245696511547</c:v>
                </c:pt>
                <c:pt idx="64">
                  <c:v>0.2407332620137507</c:v>
                </c:pt>
                <c:pt idx="65">
                  <c:v>0.24027831120942739</c:v>
                </c:pt>
                <c:pt idx="66">
                  <c:v>0.23537687564183504</c:v>
                </c:pt>
                <c:pt idx="67">
                  <c:v>0.23537687564183504</c:v>
                </c:pt>
                <c:pt idx="68">
                  <c:v>0.23418345396672596</c:v>
                </c:pt>
                <c:pt idx="69">
                  <c:v>0.2333617402857289</c:v>
                </c:pt>
                <c:pt idx="70">
                  <c:v>0.23154111288219575</c:v>
                </c:pt>
                <c:pt idx="71">
                  <c:v>0.21826264837412782</c:v>
                </c:pt>
                <c:pt idx="72">
                  <c:v>0.19653627490896861</c:v>
                </c:pt>
                <c:pt idx="73">
                  <c:v>0.19594945430629068</c:v>
                </c:pt>
                <c:pt idx="74">
                  <c:v>0.1951211471353759</c:v>
                </c:pt>
                <c:pt idx="75">
                  <c:v>0.18227455621691924</c:v>
                </c:pt>
                <c:pt idx="76">
                  <c:v>0.17831351714884308</c:v>
                </c:pt>
                <c:pt idx="77">
                  <c:v>0.17731954854374532</c:v>
                </c:pt>
                <c:pt idx="78">
                  <c:v>0.17425934503567903</c:v>
                </c:pt>
                <c:pt idx="79">
                  <c:v>0.17383983423966345</c:v>
                </c:pt>
                <c:pt idx="80">
                  <c:v>0.17116534989178434</c:v>
                </c:pt>
                <c:pt idx="81">
                  <c:v>0.17011121569118731</c:v>
                </c:pt>
                <c:pt idx="82">
                  <c:v>0.16912219220352787</c:v>
                </c:pt>
                <c:pt idx="83">
                  <c:v>0.16894911309318744</c:v>
                </c:pt>
                <c:pt idx="84">
                  <c:v>0.16894828890694771</c:v>
                </c:pt>
                <c:pt idx="85">
                  <c:v>0.16888812331144842</c:v>
                </c:pt>
                <c:pt idx="86">
                  <c:v>0.16888812331144842</c:v>
                </c:pt>
                <c:pt idx="87">
                  <c:v>0.16888317819401016</c:v>
                </c:pt>
                <c:pt idx="88">
                  <c:v>0.16888317819401016</c:v>
                </c:pt>
                <c:pt idx="89">
                  <c:v>0.16888235400777041</c:v>
                </c:pt>
                <c:pt idx="90">
                  <c:v>0.16887576051785269</c:v>
                </c:pt>
                <c:pt idx="91">
                  <c:v>0.16884444144074348</c:v>
                </c:pt>
                <c:pt idx="92">
                  <c:v>0.16858235021651374</c:v>
                </c:pt>
                <c:pt idx="93">
                  <c:v>0.16856998742291798</c:v>
                </c:pt>
                <c:pt idx="94">
                  <c:v>0.13471818599905383</c:v>
                </c:pt>
                <c:pt idx="95">
                  <c:v>0.13440911615916026</c:v>
                </c:pt>
                <c:pt idx="96">
                  <c:v>0.13440252266924252</c:v>
                </c:pt>
                <c:pt idx="97">
                  <c:v>0.13438768731692763</c:v>
                </c:pt>
                <c:pt idx="98">
                  <c:v>0.13429867520303829</c:v>
                </c:pt>
                <c:pt idx="99">
                  <c:v>7.7966369904674607E-2</c:v>
                </c:pt>
                <c:pt idx="100">
                  <c:v>7.7441363269975388E-2</c:v>
                </c:pt>
                <c:pt idx="101">
                  <c:v>7.7243558572443499E-2</c:v>
                </c:pt>
                <c:pt idx="102">
                  <c:v>7.7164436693430732E-2</c:v>
                </c:pt>
                <c:pt idx="103">
                  <c:v>7.5193807394269258E-2</c:v>
                </c:pt>
                <c:pt idx="104">
                  <c:v>7.3514940023967343E-2</c:v>
                </c:pt>
                <c:pt idx="105">
                  <c:v>7.3063285964602848E-2</c:v>
                </c:pt>
                <c:pt idx="106">
                  <c:v>6.4291471815303161E-2</c:v>
                </c:pt>
                <c:pt idx="107">
                  <c:v>6.4091194559052114E-2</c:v>
                </c:pt>
                <c:pt idx="108">
                  <c:v>6.3836521010979808E-2</c:v>
                </c:pt>
                <c:pt idx="109">
                  <c:v>6.3705475398864925E-2</c:v>
                </c:pt>
                <c:pt idx="110">
                  <c:v>6.3276898554212493E-2</c:v>
                </c:pt>
                <c:pt idx="111">
                  <c:v>6.3276898554212493E-2</c:v>
                </c:pt>
                <c:pt idx="112">
                  <c:v>6.2814530073731695E-2</c:v>
                </c:pt>
                <c:pt idx="113">
                  <c:v>6.270079237265086E-2</c:v>
                </c:pt>
                <c:pt idx="114">
                  <c:v>5.4099584774972433E-2</c:v>
                </c:pt>
                <c:pt idx="115">
                  <c:v>3.9037581244158577E-2</c:v>
                </c:pt>
                <c:pt idx="116">
                  <c:v>1.9177989611956634E-2</c:v>
                </c:pt>
                <c:pt idx="117">
                  <c:v>1.9145846348607703E-2</c:v>
                </c:pt>
                <c:pt idx="118">
                  <c:v>1.9145846348607703E-2</c:v>
                </c:pt>
                <c:pt idx="119">
                  <c:v>1.9145022162367985E-2</c:v>
                </c:pt>
                <c:pt idx="120">
                  <c:v>1.9145022162367985E-2</c:v>
                </c:pt>
                <c:pt idx="121">
                  <c:v>1.9145022162367985E-2</c:v>
                </c:pt>
                <c:pt idx="122">
                  <c:v>1.6793618820457622E-2</c:v>
                </c:pt>
                <c:pt idx="123">
                  <c:v>1.6742519273595217E-2</c:v>
                </c:pt>
                <c:pt idx="124">
                  <c:v>1.397984699806646E-2</c:v>
                </c:pt>
                <c:pt idx="125">
                  <c:v>1.3878472090581365E-2</c:v>
                </c:pt>
                <c:pt idx="126">
                  <c:v>1.3594952024118985E-2</c:v>
                </c:pt>
                <c:pt idx="127">
                  <c:v>1.312763842619989E-2</c:v>
                </c:pt>
                <c:pt idx="128">
                  <c:v>1.312763842619989E-2</c:v>
                </c:pt>
                <c:pt idx="129">
                  <c:v>1.312763842619989E-2</c:v>
                </c:pt>
                <c:pt idx="130">
                  <c:v>1.2905108141476513E-2</c:v>
                </c:pt>
                <c:pt idx="131">
                  <c:v>1.2905108141476513E-2</c:v>
                </c:pt>
                <c:pt idx="132">
                  <c:v>1.2905108141476513E-2</c:v>
                </c:pt>
                <c:pt idx="133">
                  <c:v>1.2905108141476513E-2</c:v>
                </c:pt>
                <c:pt idx="134">
                  <c:v>1.2827634634943189E-2</c:v>
                </c:pt>
                <c:pt idx="135">
                  <c:v>1.1216350536297987E-2</c:v>
                </c:pt>
                <c:pt idx="136">
                  <c:v>7.0583309569296751E-3</c:v>
                </c:pt>
                <c:pt idx="137">
                  <c:v>3.4722966279244188E-3</c:v>
                </c:pt>
                <c:pt idx="138">
                  <c:v>3.4657031380066891E-3</c:v>
                </c:pt>
                <c:pt idx="139">
                  <c:v>3.4624063930478242E-3</c:v>
                </c:pt>
                <c:pt idx="140">
                  <c:v>2.3926126538961756E-3</c:v>
                </c:pt>
                <c:pt idx="141">
                  <c:v>1.8568915980806352E-3</c:v>
                </c:pt>
                <c:pt idx="142">
                  <c:v>1.1283109621715E-3</c:v>
                </c:pt>
                <c:pt idx="143">
                  <c:v>7.9121879012756754E-4</c:v>
                </c:pt>
                <c:pt idx="144">
                  <c:v>7.9121879012756754E-4</c:v>
                </c:pt>
                <c:pt idx="145">
                  <c:v>7.9121879012756754E-4</c:v>
                </c:pt>
                <c:pt idx="146">
                  <c:v>7.9121879012756754E-4</c:v>
                </c:pt>
                <c:pt idx="147">
                  <c:v>7.9121879012756754E-4</c:v>
                </c:pt>
                <c:pt idx="148">
                  <c:v>7.7720762405239182E-4</c:v>
                </c:pt>
                <c:pt idx="149">
                  <c:v>7.6484483045664864E-4</c:v>
                </c:pt>
                <c:pt idx="150">
                  <c:v>7.5413040934033777E-4</c:v>
                </c:pt>
                <c:pt idx="151">
                  <c:v>7.4341598822402701E-4</c:v>
                </c:pt>
                <c:pt idx="152">
                  <c:v>7.2445970471055401E-4</c:v>
                </c:pt>
                <c:pt idx="153">
                  <c:v>7.2445970471055401E-4</c:v>
                </c:pt>
              </c:numCache>
            </c:numRef>
          </c:val>
        </c:ser>
        <c:dLbls/>
        <c:marker val="1"/>
        <c:axId val="204705152"/>
        <c:axId val="204723328"/>
      </c:lineChart>
      <c:dateAx>
        <c:axId val="20470515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04723328"/>
        <c:crosses val="autoZero"/>
        <c:auto val="1"/>
        <c:lblOffset val="100"/>
        <c:baseTimeUnit val="days"/>
      </c:dateAx>
      <c:valAx>
        <c:axId val="20472332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0470515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533985337117406"/>
          <c:y val="0.21495327102803741"/>
          <c:w val="0.74041511227620382"/>
          <c:h val="0.57943925233645865"/>
        </c:manualLayout>
      </c:layout>
      <c:lineChart>
        <c:grouping val="standard"/>
        <c:ser>
          <c:idx val="0"/>
          <c:order val="0"/>
          <c:tx>
            <c:strRef>
              <c:f>'subscription charts'!$B$2</c:f>
              <c:strCache>
                <c:ptCount val="1"/>
                <c:pt idx="0">
                  <c:v>CGC T4 V-MAX 0623</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charts'!$B$3:$B$171</c:f>
              <c:numCache>
                <c:formatCode>0.00%</c:formatCode>
                <c:ptCount val="169"/>
                <c:pt idx="0">
                  <c:v>0.72000315697774886</c:v>
                </c:pt>
                <c:pt idx="1">
                  <c:v>0.72000315697774886</c:v>
                </c:pt>
                <c:pt idx="2">
                  <c:v>0.71973344236565751</c:v>
                </c:pt>
                <c:pt idx="3">
                  <c:v>0.71406943551173996</c:v>
                </c:pt>
                <c:pt idx="4">
                  <c:v>0.70503399600668115</c:v>
                </c:pt>
                <c:pt idx="5">
                  <c:v>0.76895635907232129</c:v>
                </c:pt>
                <c:pt idx="6">
                  <c:v>0.76895635907232129</c:v>
                </c:pt>
                <c:pt idx="7">
                  <c:v>0.7689632009906503</c:v>
                </c:pt>
                <c:pt idx="8">
                  <c:v>0.7689632009906503</c:v>
                </c:pt>
                <c:pt idx="9">
                  <c:v>0.7689632009906503</c:v>
                </c:pt>
                <c:pt idx="10">
                  <c:v>0.7689632009906503</c:v>
                </c:pt>
                <c:pt idx="11">
                  <c:v>1.3215948984672805</c:v>
                </c:pt>
                <c:pt idx="12">
                  <c:v>1.2980789750070085</c:v>
                </c:pt>
                <c:pt idx="13">
                  <c:v>48923.7</c:v>
                </c:pt>
                <c:pt idx="14">
                  <c:v>50060.2</c:v>
                </c:pt>
                <c:pt idx="15">
                  <c:v>54116.9</c:v>
                </c:pt>
                <c:pt idx="16">
                  <c:v>55627.7</c:v>
                </c:pt>
                <c:pt idx="17">
                  <c:v>55783.7</c:v>
                </c:pt>
                <c:pt idx="18">
                  <c:v>62457.1</c:v>
                </c:pt>
                <c:pt idx="19">
                  <c:v>63919.6</c:v>
                </c:pt>
                <c:pt idx="20">
                  <c:v>65815.899999999994</c:v>
                </c:pt>
                <c:pt idx="21">
                  <c:v>67593</c:v>
                </c:pt>
                <c:pt idx="22">
                  <c:v>68904.5</c:v>
                </c:pt>
                <c:pt idx="23">
                  <c:v>70253.399999999994</c:v>
                </c:pt>
                <c:pt idx="24">
                  <c:v>71967.199999999997</c:v>
                </c:pt>
                <c:pt idx="25">
                  <c:v>62709.3</c:v>
                </c:pt>
                <c:pt idx="26">
                  <c:v>64251.8</c:v>
                </c:pt>
                <c:pt idx="27">
                  <c:v>67167.7</c:v>
                </c:pt>
                <c:pt idx="28">
                  <c:v>75311.5</c:v>
                </c:pt>
                <c:pt idx="29">
                  <c:v>143392.20000000001</c:v>
                </c:pt>
                <c:pt idx="30">
                  <c:v>143392.20000000001</c:v>
                </c:pt>
                <c:pt idx="31">
                  <c:v>143392.20000000001</c:v>
                </c:pt>
                <c:pt idx="32">
                  <c:v>143392.20000000001</c:v>
                </c:pt>
                <c:pt idx="33">
                  <c:v>143392.20000000001</c:v>
                </c:pt>
                <c:pt idx="34">
                  <c:v>143392.20000000001</c:v>
                </c:pt>
                <c:pt idx="35">
                  <c:v>143392.20000000001</c:v>
                </c:pt>
                <c:pt idx="36">
                  <c:v>143392.20000000001</c:v>
                </c:pt>
                <c:pt idx="37">
                  <c:v>143392.20000000001</c:v>
                </c:pt>
                <c:pt idx="38">
                  <c:v>143392.20000000001</c:v>
                </c:pt>
                <c:pt idx="39">
                  <c:v>143392.20000000001</c:v>
                </c:pt>
                <c:pt idx="40">
                  <c:v>143392.20000000001</c:v>
                </c:pt>
                <c:pt idx="41">
                  <c:v>143392.20000000001</c:v>
                </c:pt>
                <c:pt idx="42">
                  <c:v>143392.20000000001</c:v>
                </c:pt>
                <c:pt idx="43">
                  <c:v>143392.20000000001</c:v>
                </c:pt>
                <c:pt idx="44">
                  <c:v>143392.20000000001</c:v>
                </c:pt>
                <c:pt idx="45">
                  <c:v>143392.20000000001</c:v>
                </c:pt>
                <c:pt idx="46">
                  <c:v>143392.20000000001</c:v>
                </c:pt>
                <c:pt idx="47">
                  <c:v>143392.20000000001</c:v>
                </c:pt>
                <c:pt idx="48">
                  <c:v>143392.20000000001</c:v>
                </c:pt>
                <c:pt idx="49">
                  <c:v>143392.20000000001</c:v>
                </c:pt>
                <c:pt idx="50">
                  <c:v>143392.20000000001</c:v>
                </c:pt>
                <c:pt idx="51">
                  <c:v>143392.20000000001</c:v>
                </c:pt>
                <c:pt idx="52">
                  <c:v>143392.20000000001</c:v>
                </c:pt>
                <c:pt idx="53">
                  <c:v>143392.20000000001</c:v>
                </c:pt>
                <c:pt idx="54">
                  <c:v>143392.20000000001</c:v>
                </c:pt>
                <c:pt idx="55">
                  <c:v>143392.20000000001</c:v>
                </c:pt>
                <c:pt idx="56">
                  <c:v>143392.20000000001</c:v>
                </c:pt>
                <c:pt idx="57">
                  <c:v>143392.20000000001</c:v>
                </c:pt>
                <c:pt idx="58">
                  <c:v>143392.20000000001</c:v>
                </c:pt>
                <c:pt idx="59">
                  <c:v>143392.20000000001</c:v>
                </c:pt>
                <c:pt idx="60">
                  <c:v>115816.8</c:v>
                </c:pt>
                <c:pt idx="61">
                  <c:v>115816.8</c:v>
                </c:pt>
                <c:pt idx="62">
                  <c:v>115816.8</c:v>
                </c:pt>
                <c:pt idx="63">
                  <c:v>115816.8</c:v>
                </c:pt>
                <c:pt idx="64">
                  <c:v>115816.8</c:v>
                </c:pt>
                <c:pt idx="65">
                  <c:v>115816.8</c:v>
                </c:pt>
                <c:pt idx="66">
                  <c:v>115816.8</c:v>
                </c:pt>
                <c:pt idx="67">
                  <c:v>115816.8</c:v>
                </c:pt>
                <c:pt idx="68">
                  <c:v>115816.8</c:v>
                </c:pt>
                <c:pt idx="69">
                  <c:v>115816.8</c:v>
                </c:pt>
                <c:pt idx="70">
                  <c:v>115816.8</c:v>
                </c:pt>
                <c:pt idx="71">
                  <c:v>115816.8</c:v>
                </c:pt>
                <c:pt idx="72">
                  <c:v>115816.8</c:v>
                </c:pt>
                <c:pt idx="73">
                  <c:v>115816.8</c:v>
                </c:pt>
                <c:pt idx="74">
                  <c:v>115816.8</c:v>
                </c:pt>
                <c:pt idx="75">
                  <c:v>115816.8</c:v>
                </c:pt>
                <c:pt idx="76">
                  <c:v>115816.8</c:v>
                </c:pt>
                <c:pt idx="77">
                  <c:v>115816.8</c:v>
                </c:pt>
                <c:pt idx="78">
                  <c:v>115816.8</c:v>
                </c:pt>
                <c:pt idx="79">
                  <c:v>115816.8</c:v>
                </c:pt>
                <c:pt idx="80">
                  <c:v>115816.8</c:v>
                </c:pt>
                <c:pt idx="81">
                  <c:v>115816.8</c:v>
                </c:pt>
                <c:pt idx="82">
                  <c:v>115816.8</c:v>
                </c:pt>
                <c:pt idx="83">
                  <c:v>115816.8</c:v>
                </c:pt>
                <c:pt idx="84">
                  <c:v>115816.8</c:v>
                </c:pt>
                <c:pt idx="85">
                  <c:v>115816.8</c:v>
                </c:pt>
                <c:pt idx="86">
                  <c:v>115816.8</c:v>
                </c:pt>
                <c:pt idx="87">
                  <c:v>115816.8</c:v>
                </c:pt>
                <c:pt idx="88">
                  <c:v>115816.8</c:v>
                </c:pt>
                <c:pt idx="89">
                  <c:v>115816.8</c:v>
                </c:pt>
                <c:pt idx="90">
                  <c:v>115816.8</c:v>
                </c:pt>
                <c:pt idx="91">
                  <c:v>115816.8</c:v>
                </c:pt>
                <c:pt idx="92">
                  <c:v>115816.8</c:v>
                </c:pt>
                <c:pt idx="93">
                  <c:v>115816.8</c:v>
                </c:pt>
                <c:pt idx="94">
                  <c:v>115816.8</c:v>
                </c:pt>
                <c:pt idx="95">
                  <c:v>1.3041579459974721</c:v>
                </c:pt>
                <c:pt idx="96">
                  <c:v>115816.8</c:v>
                </c:pt>
                <c:pt idx="97">
                  <c:v>115816.8</c:v>
                </c:pt>
                <c:pt idx="98">
                  <c:v>115816.8</c:v>
                </c:pt>
                <c:pt idx="99">
                  <c:v>115816.8</c:v>
                </c:pt>
                <c:pt idx="100">
                  <c:v>115816.8</c:v>
                </c:pt>
                <c:pt idx="101">
                  <c:v>115816.8</c:v>
                </c:pt>
                <c:pt idx="102">
                  <c:v>115816.8</c:v>
                </c:pt>
                <c:pt idx="103">
                  <c:v>115816.8</c:v>
                </c:pt>
                <c:pt idx="104">
                  <c:v>115816.8</c:v>
                </c:pt>
                <c:pt idx="105">
                  <c:v>115816.8</c:v>
                </c:pt>
                <c:pt idx="106">
                  <c:v>115816.8</c:v>
                </c:pt>
                <c:pt idx="107">
                  <c:v>115816.8</c:v>
                </c:pt>
                <c:pt idx="108">
                  <c:v>115816.8</c:v>
                </c:pt>
                <c:pt idx="109">
                  <c:v>115816.8</c:v>
                </c:pt>
                <c:pt idx="110">
                  <c:v>115816.8</c:v>
                </c:pt>
                <c:pt idx="111">
                  <c:v>115816.8</c:v>
                </c:pt>
                <c:pt idx="112">
                  <c:v>115816.8</c:v>
                </c:pt>
                <c:pt idx="113">
                  <c:v>115816.8</c:v>
                </c:pt>
                <c:pt idx="114">
                  <c:v>115816.8</c:v>
                </c:pt>
                <c:pt idx="115">
                  <c:v>115816.8</c:v>
                </c:pt>
                <c:pt idx="116">
                  <c:v>115816.8</c:v>
                </c:pt>
                <c:pt idx="117">
                  <c:v>115816.8</c:v>
                </c:pt>
                <c:pt idx="118">
                  <c:v>115816.8</c:v>
                </c:pt>
                <c:pt idx="119">
                  <c:v>115816.8</c:v>
                </c:pt>
                <c:pt idx="120">
                  <c:v>115816.8</c:v>
                </c:pt>
                <c:pt idx="121">
                  <c:v>115816.8</c:v>
                </c:pt>
                <c:pt idx="122">
                  <c:v>115816.8</c:v>
                </c:pt>
                <c:pt idx="123">
                  <c:v>115816.8</c:v>
                </c:pt>
                <c:pt idx="124">
                  <c:v>115816.8</c:v>
                </c:pt>
                <c:pt idx="125">
                  <c:v>115816.8</c:v>
                </c:pt>
                <c:pt idx="126">
                  <c:v>115816.8</c:v>
                </c:pt>
                <c:pt idx="127">
                  <c:v>115816.8</c:v>
                </c:pt>
                <c:pt idx="128">
                  <c:v>115816.8</c:v>
                </c:pt>
                <c:pt idx="129">
                  <c:v>115816.8</c:v>
                </c:pt>
                <c:pt idx="130">
                  <c:v>115816.8</c:v>
                </c:pt>
                <c:pt idx="131">
                  <c:v>115816.8</c:v>
                </c:pt>
                <c:pt idx="132">
                  <c:v>115816.8</c:v>
                </c:pt>
                <c:pt idx="133">
                  <c:v>115816.8</c:v>
                </c:pt>
                <c:pt idx="134">
                  <c:v>115816.8</c:v>
                </c:pt>
                <c:pt idx="135">
                  <c:v>115816.8</c:v>
                </c:pt>
                <c:pt idx="136">
                  <c:v>115816.8</c:v>
                </c:pt>
                <c:pt idx="137">
                  <c:v>115816.8</c:v>
                </c:pt>
                <c:pt idx="138">
                  <c:v>115816.8</c:v>
                </c:pt>
                <c:pt idx="139">
                  <c:v>115816.8</c:v>
                </c:pt>
                <c:pt idx="140">
                  <c:v>115816.8</c:v>
                </c:pt>
                <c:pt idx="141">
                  <c:v>115816.8</c:v>
                </c:pt>
                <c:pt idx="142">
                  <c:v>115816.8</c:v>
                </c:pt>
                <c:pt idx="143">
                  <c:v>115816.8</c:v>
                </c:pt>
                <c:pt idx="144">
                  <c:v>115816.8</c:v>
                </c:pt>
                <c:pt idx="145">
                  <c:v>115816.8</c:v>
                </c:pt>
                <c:pt idx="146">
                  <c:v>115816.8</c:v>
                </c:pt>
                <c:pt idx="147">
                  <c:v>115816.8</c:v>
                </c:pt>
                <c:pt idx="148">
                  <c:v>115816.8</c:v>
                </c:pt>
                <c:pt idx="149">
                  <c:v>115816.8</c:v>
                </c:pt>
                <c:pt idx="150">
                  <c:v>115816.8</c:v>
                </c:pt>
                <c:pt idx="151">
                  <c:v>115816.8</c:v>
                </c:pt>
                <c:pt idx="152">
                  <c:v>115816.8</c:v>
                </c:pt>
                <c:pt idx="153">
                  <c:v>115816.8</c:v>
                </c:pt>
                <c:pt idx="154">
                  <c:v>115816.8</c:v>
                </c:pt>
                <c:pt idx="155">
                  <c:v>115816.8</c:v>
                </c:pt>
                <c:pt idx="156">
                  <c:v>115816.8</c:v>
                </c:pt>
                <c:pt idx="157">
                  <c:v>115816.8</c:v>
                </c:pt>
                <c:pt idx="158">
                  <c:v>115816.8</c:v>
                </c:pt>
                <c:pt idx="159">
                  <c:v>115816.8</c:v>
                </c:pt>
                <c:pt idx="160">
                  <c:v>115816.8</c:v>
                </c:pt>
                <c:pt idx="161">
                  <c:v>115816.8</c:v>
                </c:pt>
                <c:pt idx="162">
                  <c:v>115816.8</c:v>
                </c:pt>
                <c:pt idx="163">
                  <c:v>115816.8</c:v>
                </c:pt>
                <c:pt idx="164">
                  <c:v>115816.8</c:v>
                </c:pt>
                <c:pt idx="165">
                  <c:v>115816.8</c:v>
                </c:pt>
                <c:pt idx="166">
                  <c:v>115816.8</c:v>
                </c:pt>
                <c:pt idx="167">
                  <c:v>115816.8</c:v>
                </c:pt>
                <c:pt idx="168">
                  <c:v>115816.8</c:v>
                </c:pt>
              </c:numCache>
            </c:numRef>
          </c:val>
        </c:ser>
        <c:dLbls/>
        <c:marker val="1"/>
        <c:axId val="224703616"/>
        <c:axId val="224705152"/>
      </c:lineChart>
      <c:dateAx>
        <c:axId val="22470361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4705152"/>
        <c:crosses val="autoZero"/>
        <c:auto val="1"/>
        <c:lblOffset val="100"/>
        <c:baseTimeUnit val="days"/>
      </c:dateAx>
      <c:valAx>
        <c:axId val="224705152"/>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47036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lineChart>
        <c:grouping val="standard"/>
        <c:ser>
          <c:idx val="0"/>
          <c:order val="0"/>
          <c:tx>
            <c:strRef>
              <c:f>'subscription charts'!$C$2</c:f>
              <c:strCache>
                <c:ptCount val="1"/>
                <c:pt idx="0">
                  <c:v>CGC T3 V-MAX 0745</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charts'!$C$3:$C$171</c:f>
              <c:numCache>
                <c:formatCode>0.00%</c:formatCode>
                <c:ptCount val="169"/>
                <c:pt idx="0">
                  <c:v>0.60101269169083915</c:v>
                </c:pt>
                <c:pt idx="1">
                  <c:v>0.60101269169083915</c:v>
                </c:pt>
                <c:pt idx="2">
                  <c:v>0.59429246032642424</c:v>
                </c:pt>
                <c:pt idx="3">
                  <c:v>0.59429246032642424</c:v>
                </c:pt>
                <c:pt idx="4">
                  <c:v>0.59294841405354126</c:v>
                </c:pt>
                <c:pt idx="5">
                  <c:v>0.59294841405354126</c:v>
                </c:pt>
                <c:pt idx="6">
                  <c:v>0.59294841405354126</c:v>
                </c:pt>
                <c:pt idx="7">
                  <c:v>0.70899071725360396</c:v>
                </c:pt>
                <c:pt idx="8">
                  <c:v>0.59295368991162389</c:v>
                </c:pt>
                <c:pt idx="9">
                  <c:v>0.59295368991162389</c:v>
                </c:pt>
                <c:pt idx="10">
                  <c:v>0.59295368991162389</c:v>
                </c:pt>
                <c:pt idx="11">
                  <c:v>0.60062345614214585</c:v>
                </c:pt>
                <c:pt idx="12">
                  <c:v>0.61675358998855945</c:v>
                </c:pt>
                <c:pt idx="13">
                  <c:v>74934.2</c:v>
                </c:pt>
                <c:pt idx="14">
                  <c:v>74664.899999999994</c:v>
                </c:pt>
                <c:pt idx="15">
                  <c:v>74607.399999999994</c:v>
                </c:pt>
                <c:pt idx="16">
                  <c:v>73841</c:v>
                </c:pt>
                <c:pt idx="17">
                  <c:v>73738.7</c:v>
                </c:pt>
                <c:pt idx="18">
                  <c:v>73564.2</c:v>
                </c:pt>
                <c:pt idx="19">
                  <c:v>73539.399999999994</c:v>
                </c:pt>
                <c:pt idx="20">
                  <c:v>73530.5</c:v>
                </c:pt>
                <c:pt idx="21">
                  <c:v>73478.399999999994</c:v>
                </c:pt>
                <c:pt idx="22">
                  <c:v>73467.100000000006</c:v>
                </c:pt>
                <c:pt idx="23">
                  <c:v>73454.899999999994</c:v>
                </c:pt>
                <c:pt idx="24">
                  <c:v>73291.7</c:v>
                </c:pt>
                <c:pt idx="25">
                  <c:v>72056.399999999994</c:v>
                </c:pt>
                <c:pt idx="26">
                  <c:v>72039.399999999994</c:v>
                </c:pt>
                <c:pt idx="27">
                  <c:v>72004.100000000006</c:v>
                </c:pt>
                <c:pt idx="28">
                  <c:v>71952.600000000006</c:v>
                </c:pt>
                <c:pt idx="29">
                  <c:v>150515.79999999999</c:v>
                </c:pt>
                <c:pt idx="30">
                  <c:v>150515.79999999999</c:v>
                </c:pt>
                <c:pt idx="31">
                  <c:v>150515.79999999999</c:v>
                </c:pt>
                <c:pt idx="32">
                  <c:v>150515.79999999999</c:v>
                </c:pt>
                <c:pt idx="33">
                  <c:v>150515.79999999999</c:v>
                </c:pt>
                <c:pt idx="34">
                  <c:v>150515.79999999999</c:v>
                </c:pt>
                <c:pt idx="35">
                  <c:v>150515.79999999999</c:v>
                </c:pt>
                <c:pt idx="36">
                  <c:v>150515.79999999999</c:v>
                </c:pt>
                <c:pt idx="37">
                  <c:v>150515.79999999999</c:v>
                </c:pt>
                <c:pt idx="38">
                  <c:v>150515.79999999999</c:v>
                </c:pt>
                <c:pt idx="39">
                  <c:v>150515.79999999999</c:v>
                </c:pt>
                <c:pt idx="40">
                  <c:v>150515.79999999999</c:v>
                </c:pt>
                <c:pt idx="41">
                  <c:v>150515.79999999999</c:v>
                </c:pt>
                <c:pt idx="42">
                  <c:v>150515.79999999999</c:v>
                </c:pt>
                <c:pt idx="43">
                  <c:v>150515.79999999999</c:v>
                </c:pt>
                <c:pt idx="44">
                  <c:v>150515.79999999999</c:v>
                </c:pt>
                <c:pt idx="45">
                  <c:v>150515.79999999999</c:v>
                </c:pt>
                <c:pt idx="46">
                  <c:v>150515.79999999999</c:v>
                </c:pt>
                <c:pt idx="47">
                  <c:v>150515.79999999999</c:v>
                </c:pt>
                <c:pt idx="48">
                  <c:v>150515.79999999999</c:v>
                </c:pt>
                <c:pt idx="49">
                  <c:v>150515.79999999999</c:v>
                </c:pt>
                <c:pt idx="50">
                  <c:v>150515.79999999999</c:v>
                </c:pt>
                <c:pt idx="51">
                  <c:v>150515.79999999999</c:v>
                </c:pt>
                <c:pt idx="52">
                  <c:v>150515.79999999999</c:v>
                </c:pt>
                <c:pt idx="53">
                  <c:v>150515.79999999999</c:v>
                </c:pt>
                <c:pt idx="54">
                  <c:v>150515.79999999999</c:v>
                </c:pt>
                <c:pt idx="55">
                  <c:v>150515.79999999999</c:v>
                </c:pt>
                <c:pt idx="56">
                  <c:v>150515.79999999999</c:v>
                </c:pt>
                <c:pt idx="57">
                  <c:v>150515.79999999999</c:v>
                </c:pt>
                <c:pt idx="58">
                  <c:v>150515.79999999999</c:v>
                </c:pt>
                <c:pt idx="59">
                  <c:v>150515.79999999999</c:v>
                </c:pt>
                <c:pt idx="60">
                  <c:v>99041.7</c:v>
                </c:pt>
                <c:pt idx="61">
                  <c:v>99041.7</c:v>
                </c:pt>
                <c:pt idx="62">
                  <c:v>99041.7</c:v>
                </c:pt>
                <c:pt idx="63">
                  <c:v>99041.7</c:v>
                </c:pt>
                <c:pt idx="64">
                  <c:v>99041.7</c:v>
                </c:pt>
                <c:pt idx="65">
                  <c:v>99041.7</c:v>
                </c:pt>
                <c:pt idx="66">
                  <c:v>99041.7</c:v>
                </c:pt>
                <c:pt idx="67">
                  <c:v>99041.7</c:v>
                </c:pt>
                <c:pt idx="68">
                  <c:v>99041.7</c:v>
                </c:pt>
                <c:pt idx="69">
                  <c:v>99041.7</c:v>
                </c:pt>
                <c:pt idx="70">
                  <c:v>99041.7</c:v>
                </c:pt>
                <c:pt idx="71">
                  <c:v>99041.7</c:v>
                </c:pt>
                <c:pt idx="72">
                  <c:v>99041.7</c:v>
                </c:pt>
                <c:pt idx="73">
                  <c:v>99041.7</c:v>
                </c:pt>
                <c:pt idx="74">
                  <c:v>99041.7</c:v>
                </c:pt>
                <c:pt idx="75">
                  <c:v>99041.7</c:v>
                </c:pt>
                <c:pt idx="76">
                  <c:v>99041.7</c:v>
                </c:pt>
                <c:pt idx="77">
                  <c:v>99041.7</c:v>
                </c:pt>
                <c:pt idx="78">
                  <c:v>99041.7</c:v>
                </c:pt>
                <c:pt idx="79">
                  <c:v>99041.7</c:v>
                </c:pt>
                <c:pt idx="80">
                  <c:v>99041.7</c:v>
                </c:pt>
                <c:pt idx="81">
                  <c:v>99041.7</c:v>
                </c:pt>
                <c:pt idx="82">
                  <c:v>99041.7</c:v>
                </c:pt>
                <c:pt idx="83">
                  <c:v>99041.7</c:v>
                </c:pt>
                <c:pt idx="84">
                  <c:v>99041.7</c:v>
                </c:pt>
                <c:pt idx="85">
                  <c:v>99041.7</c:v>
                </c:pt>
                <c:pt idx="86">
                  <c:v>99041.7</c:v>
                </c:pt>
                <c:pt idx="87">
                  <c:v>99041.7</c:v>
                </c:pt>
                <c:pt idx="88">
                  <c:v>99041.7</c:v>
                </c:pt>
                <c:pt idx="89">
                  <c:v>99041.7</c:v>
                </c:pt>
                <c:pt idx="90">
                  <c:v>99041.7</c:v>
                </c:pt>
                <c:pt idx="91">
                  <c:v>99041.7</c:v>
                </c:pt>
                <c:pt idx="92">
                  <c:v>99041.7</c:v>
                </c:pt>
                <c:pt idx="93">
                  <c:v>99041.7</c:v>
                </c:pt>
                <c:pt idx="94">
                  <c:v>99041.7</c:v>
                </c:pt>
                <c:pt idx="95">
                  <c:v>0.83840241029788465</c:v>
                </c:pt>
                <c:pt idx="96">
                  <c:v>99041.7</c:v>
                </c:pt>
                <c:pt idx="97">
                  <c:v>99041.7</c:v>
                </c:pt>
                <c:pt idx="98">
                  <c:v>99041.7</c:v>
                </c:pt>
                <c:pt idx="99">
                  <c:v>99041.7</c:v>
                </c:pt>
                <c:pt idx="100">
                  <c:v>99041.7</c:v>
                </c:pt>
                <c:pt idx="101">
                  <c:v>99041.7</c:v>
                </c:pt>
                <c:pt idx="102">
                  <c:v>99041.7</c:v>
                </c:pt>
                <c:pt idx="103">
                  <c:v>99041.7</c:v>
                </c:pt>
                <c:pt idx="104">
                  <c:v>99041.7</c:v>
                </c:pt>
                <c:pt idx="105">
                  <c:v>99041.7</c:v>
                </c:pt>
                <c:pt idx="106">
                  <c:v>99041.7</c:v>
                </c:pt>
                <c:pt idx="107">
                  <c:v>99041.7</c:v>
                </c:pt>
                <c:pt idx="108">
                  <c:v>99041.7</c:v>
                </c:pt>
                <c:pt idx="109">
                  <c:v>99041.7</c:v>
                </c:pt>
                <c:pt idx="110">
                  <c:v>99041.7</c:v>
                </c:pt>
                <c:pt idx="111">
                  <c:v>99041.7</c:v>
                </c:pt>
                <c:pt idx="112">
                  <c:v>99041.7</c:v>
                </c:pt>
                <c:pt idx="113">
                  <c:v>99041.7</c:v>
                </c:pt>
                <c:pt idx="114">
                  <c:v>99041.7</c:v>
                </c:pt>
                <c:pt idx="115">
                  <c:v>99041.7</c:v>
                </c:pt>
                <c:pt idx="116">
                  <c:v>99042</c:v>
                </c:pt>
                <c:pt idx="117">
                  <c:v>99042</c:v>
                </c:pt>
                <c:pt idx="118">
                  <c:v>99042</c:v>
                </c:pt>
                <c:pt idx="119">
                  <c:v>99042</c:v>
                </c:pt>
                <c:pt idx="120">
                  <c:v>99042</c:v>
                </c:pt>
                <c:pt idx="121">
                  <c:v>99042</c:v>
                </c:pt>
                <c:pt idx="122">
                  <c:v>99042</c:v>
                </c:pt>
                <c:pt idx="123">
                  <c:v>99042</c:v>
                </c:pt>
                <c:pt idx="124">
                  <c:v>99042</c:v>
                </c:pt>
                <c:pt idx="125">
                  <c:v>99042</c:v>
                </c:pt>
                <c:pt idx="126">
                  <c:v>99042</c:v>
                </c:pt>
                <c:pt idx="127">
                  <c:v>99042</c:v>
                </c:pt>
                <c:pt idx="128">
                  <c:v>99042</c:v>
                </c:pt>
                <c:pt idx="129">
                  <c:v>99042</c:v>
                </c:pt>
                <c:pt idx="130">
                  <c:v>99042</c:v>
                </c:pt>
                <c:pt idx="131">
                  <c:v>99042</c:v>
                </c:pt>
                <c:pt idx="132">
                  <c:v>79968.7</c:v>
                </c:pt>
                <c:pt idx="133">
                  <c:v>79968.7</c:v>
                </c:pt>
                <c:pt idx="134">
                  <c:v>79968.7</c:v>
                </c:pt>
                <c:pt idx="135">
                  <c:v>79968.7</c:v>
                </c:pt>
                <c:pt idx="136">
                  <c:v>79968.7</c:v>
                </c:pt>
                <c:pt idx="137">
                  <c:v>79968.7</c:v>
                </c:pt>
                <c:pt idx="138">
                  <c:v>79968.7</c:v>
                </c:pt>
                <c:pt idx="139">
                  <c:v>79968.7</c:v>
                </c:pt>
                <c:pt idx="140">
                  <c:v>79968.7</c:v>
                </c:pt>
                <c:pt idx="141">
                  <c:v>79968.7</c:v>
                </c:pt>
                <c:pt idx="142">
                  <c:v>79968.7</c:v>
                </c:pt>
                <c:pt idx="143">
                  <c:v>79968.7</c:v>
                </c:pt>
                <c:pt idx="144">
                  <c:v>79968.7</c:v>
                </c:pt>
                <c:pt idx="145">
                  <c:v>79968.7</c:v>
                </c:pt>
                <c:pt idx="146">
                  <c:v>79968.7</c:v>
                </c:pt>
                <c:pt idx="147">
                  <c:v>79968.7</c:v>
                </c:pt>
                <c:pt idx="148">
                  <c:v>79968.7</c:v>
                </c:pt>
                <c:pt idx="149">
                  <c:v>79968.7</c:v>
                </c:pt>
                <c:pt idx="150">
                  <c:v>79968.7</c:v>
                </c:pt>
                <c:pt idx="151">
                  <c:v>79968.7</c:v>
                </c:pt>
                <c:pt idx="152">
                  <c:v>79968.7</c:v>
                </c:pt>
                <c:pt idx="153">
                  <c:v>79968.7</c:v>
                </c:pt>
                <c:pt idx="154">
                  <c:v>79968.7</c:v>
                </c:pt>
                <c:pt idx="155">
                  <c:v>79968.7</c:v>
                </c:pt>
                <c:pt idx="156">
                  <c:v>79968.7</c:v>
                </c:pt>
                <c:pt idx="157">
                  <c:v>79968.7</c:v>
                </c:pt>
                <c:pt idx="158">
                  <c:v>79968.7</c:v>
                </c:pt>
                <c:pt idx="159">
                  <c:v>79968.7</c:v>
                </c:pt>
                <c:pt idx="160">
                  <c:v>79968.7</c:v>
                </c:pt>
                <c:pt idx="161">
                  <c:v>79968.7</c:v>
                </c:pt>
                <c:pt idx="162">
                  <c:v>79968.7</c:v>
                </c:pt>
                <c:pt idx="163">
                  <c:v>79968.7</c:v>
                </c:pt>
                <c:pt idx="164">
                  <c:v>79968.7</c:v>
                </c:pt>
                <c:pt idx="165">
                  <c:v>79968.7</c:v>
                </c:pt>
                <c:pt idx="166">
                  <c:v>79968.7</c:v>
                </c:pt>
                <c:pt idx="167">
                  <c:v>79968.7</c:v>
                </c:pt>
                <c:pt idx="168">
                  <c:v>79968.7</c:v>
                </c:pt>
              </c:numCache>
            </c:numRef>
          </c:val>
        </c:ser>
        <c:dLbls/>
        <c:marker val="1"/>
        <c:axId val="224790784"/>
        <c:axId val="224792576"/>
      </c:lineChart>
      <c:dateAx>
        <c:axId val="22479078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4792576"/>
        <c:crosses val="autoZero"/>
        <c:auto val="1"/>
        <c:lblOffset val="100"/>
        <c:baseTimeUnit val="days"/>
      </c:dateAx>
      <c:valAx>
        <c:axId val="22479257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479078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1828971437625141"/>
          <c:y val="0.21261682242990654"/>
          <c:w val="0.73746525127111962"/>
          <c:h val="0.58411214953265533"/>
        </c:manualLayout>
      </c:layout>
      <c:lineChart>
        <c:grouping val="standard"/>
        <c:ser>
          <c:idx val="0"/>
          <c:order val="0"/>
          <c:tx>
            <c:strRef>
              <c:f>'subscription charts'!$E$2</c:f>
              <c:strCache>
                <c:ptCount val="1"/>
                <c:pt idx="0">
                  <c:v>RDC T4 V-MAX 0678</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charts'!$E$3:$E$171</c:f>
              <c:numCache>
                <c:formatCode>0.00%</c:formatCode>
                <c:ptCount val="169"/>
                <c:pt idx="0">
                  <c:v>1.5276443352611957</c:v>
                </c:pt>
                <c:pt idx="1">
                  <c:v>1.5276443352611957</c:v>
                </c:pt>
                <c:pt idx="2">
                  <c:v>1.5276443352611957</c:v>
                </c:pt>
                <c:pt idx="3">
                  <c:v>1.5276443352611957</c:v>
                </c:pt>
                <c:pt idx="4">
                  <c:v>1.5276443352611957</c:v>
                </c:pt>
                <c:pt idx="5">
                  <c:v>1.5276443352611957</c:v>
                </c:pt>
                <c:pt idx="6">
                  <c:v>1.5276443352611957</c:v>
                </c:pt>
                <c:pt idx="7">
                  <c:v>1.7208846095941819</c:v>
                </c:pt>
                <c:pt idx="8">
                  <c:v>1.5276579277331923</c:v>
                </c:pt>
                <c:pt idx="9">
                  <c:v>1.5276579277331923</c:v>
                </c:pt>
                <c:pt idx="10">
                  <c:v>1.5276579277331923</c:v>
                </c:pt>
                <c:pt idx="11">
                  <c:v>1.5190858351035013</c:v>
                </c:pt>
                <c:pt idx="12">
                  <c:v>1.5263116367340703</c:v>
                </c:pt>
                <c:pt idx="13">
                  <c:v>159588.6</c:v>
                </c:pt>
                <c:pt idx="14">
                  <c:v>159178.6</c:v>
                </c:pt>
                <c:pt idx="15">
                  <c:v>158852.5</c:v>
                </c:pt>
                <c:pt idx="16">
                  <c:v>158586.5</c:v>
                </c:pt>
                <c:pt idx="17">
                  <c:v>158449.60000000001</c:v>
                </c:pt>
                <c:pt idx="18">
                  <c:v>158263.79999999999</c:v>
                </c:pt>
                <c:pt idx="19">
                  <c:v>158054.20000000001</c:v>
                </c:pt>
                <c:pt idx="20">
                  <c:v>157992.1</c:v>
                </c:pt>
                <c:pt idx="21">
                  <c:v>161637.5</c:v>
                </c:pt>
                <c:pt idx="22">
                  <c:v>161575.20000000001</c:v>
                </c:pt>
                <c:pt idx="23">
                  <c:v>161535.70000000001</c:v>
                </c:pt>
                <c:pt idx="24">
                  <c:v>161437.5</c:v>
                </c:pt>
                <c:pt idx="25">
                  <c:v>161306.9</c:v>
                </c:pt>
                <c:pt idx="26">
                  <c:v>161279.29999999999</c:v>
                </c:pt>
                <c:pt idx="27">
                  <c:v>161216.9</c:v>
                </c:pt>
                <c:pt idx="28">
                  <c:v>161033.1</c:v>
                </c:pt>
                <c:pt idx="29">
                  <c:v>181997.8</c:v>
                </c:pt>
                <c:pt idx="30">
                  <c:v>181997.8</c:v>
                </c:pt>
                <c:pt idx="31">
                  <c:v>181997.8</c:v>
                </c:pt>
                <c:pt idx="32">
                  <c:v>181997.8</c:v>
                </c:pt>
                <c:pt idx="33">
                  <c:v>181997.8</c:v>
                </c:pt>
                <c:pt idx="34">
                  <c:v>181997.8</c:v>
                </c:pt>
                <c:pt idx="35">
                  <c:v>181997.8</c:v>
                </c:pt>
                <c:pt idx="36">
                  <c:v>181997.8</c:v>
                </c:pt>
                <c:pt idx="37">
                  <c:v>181997.8</c:v>
                </c:pt>
                <c:pt idx="38">
                  <c:v>181997.8</c:v>
                </c:pt>
                <c:pt idx="39">
                  <c:v>181997.8</c:v>
                </c:pt>
                <c:pt idx="40">
                  <c:v>181997.8</c:v>
                </c:pt>
                <c:pt idx="41">
                  <c:v>181997.8</c:v>
                </c:pt>
                <c:pt idx="42">
                  <c:v>181997.8</c:v>
                </c:pt>
                <c:pt idx="43">
                  <c:v>181997.8</c:v>
                </c:pt>
                <c:pt idx="44">
                  <c:v>181997.8</c:v>
                </c:pt>
                <c:pt idx="45">
                  <c:v>181997.8</c:v>
                </c:pt>
                <c:pt idx="46">
                  <c:v>181997.8</c:v>
                </c:pt>
                <c:pt idx="47">
                  <c:v>181997.8</c:v>
                </c:pt>
                <c:pt idx="48">
                  <c:v>181997.8</c:v>
                </c:pt>
                <c:pt idx="49">
                  <c:v>181997.8</c:v>
                </c:pt>
                <c:pt idx="50">
                  <c:v>181997.8</c:v>
                </c:pt>
                <c:pt idx="51">
                  <c:v>181997.8</c:v>
                </c:pt>
                <c:pt idx="52">
                  <c:v>181997.8</c:v>
                </c:pt>
                <c:pt idx="53">
                  <c:v>181997.8</c:v>
                </c:pt>
                <c:pt idx="54">
                  <c:v>181997.8</c:v>
                </c:pt>
                <c:pt idx="55">
                  <c:v>181997.8</c:v>
                </c:pt>
                <c:pt idx="56">
                  <c:v>181997.8</c:v>
                </c:pt>
                <c:pt idx="57">
                  <c:v>181997.8</c:v>
                </c:pt>
                <c:pt idx="58">
                  <c:v>181997.8</c:v>
                </c:pt>
                <c:pt idx="59">
                  <c:v>181997.8</c:v>
                </c:pt>
                <c:pt idx="60">
                  <c:v>181997.8</c:v>
                </c:pt>
                <c:pt idx="61">
                  <c:v>181997.8</c:v>
                </c:pt>
                <c:pt idx="62">
                  <c:v>181997.8</c:v>
                </c:pt>
                <c:pt idx="63">
                  <c:v>181997.8</c:v>
                </c:pt>
                <c:pt idx="64">
                  <c:v>181997.8</c:v>
                </c:pt>
                <c:pt idx="65">
                  <c:v>181997.8</c:v>
                </c:pt>
                <c:pt idx="66">
                  <c:v>181997.8</c:v>
                </c:pt>
                <c:pt idx="67">
                  <c:v>181997.8</c:v>
                </c:pt>
                <c:pt idx="68">
                  <c:v>181997.8</c:v>
                </c:pt>
                <c:pt idx="69">
                  <c:v>181997.8</c:v>
                </c:pt>
                <c:pt idx="70">
                  <c:v>181997.8</c:v>
                </c:pt>
                <c:pt idx="71">
                  <c:v>181997.8</c:v>
                </c:pt>
                <c:pt idx="72">
                  <c:v>181997.8</c:v>
                </c:pt>
                <c:pt idx="73">
                  <c:v>181997.8</c:v>
                </c:pt>
                <c:pt idx="74">
                  <c:v>181997.8</c:v>
                </c:pt>
                <c:pt idx="75">
                  <c:v>181997.8</c:v>
                </c:pt>
                <c:pt idx="76">
                  <c:v>181997.8</c:v>
                </c:pt>
                <c:pt idx="77">
                  <c:v>181997.8</c:v>
                </c:pt>
                <c:pt idx="78">
                  <c:v>181997.8</c:v>
                </c:pt>
                <c:pt idx="79">
                  <c:v>181997.8</c:v>
                </c:pt>
                <c:pt idx="80">
                  <c:v>181997.8</c:v>
                </c:pt>
                <c:pt idx="81">
                  <c:v>181997.8</c:v>
                </c:pt>
                <c:pt idx="82">
                  <c:v>181997.8</c:v>
                </c:pt>
                <c:pt idx="83">
                  <c:v>181997.8</c:v>
                </c:pt>
                <c:pt idx="84">
                  <c:v>181997.8</c:v>
                </c:pt>
                <c:pt idx="85">
                  <c:v>181997.8</c:v>
                </c:pt>
                <c:pt idx="86">
                  <c:v>181997.8</c:v>
                </c:pt>
                <c:pt idx="87">
                  <c:v>181997.8</c:v>
                </c:pt>
                <c:pt idx="88">
                  <c:v>181997.8</c:v>
                </c:pt>
                <c:pt idx="89">
                  <c:v>181997.8</c:v>
                </c:pt>
                <c:pt idx="90">
                  <c:v>181997.8</c:v>
                </c:pt>
                <c:pt idx="91">
                  <c:v>181997.8</c:v>
                </c:pt>
                <c:pt idx="92">
                  <c:v>181997.8</c:v>
                </c:pt>
                <c:pt idx="93">
                  <c:v>181997.8</c:v>
                </c:pt>
                <c:pt idx="94">
                  <c:v>181997.8</c:v>
                </c:pt>
                <c:pt idx="95">
                  <c:v>1.5429972230433557</c:v>
                </c:pt>
                <c:pt idx="96">
                  <c:v>181997.8</c:v>
                </c:pt>
                <c:pt idx="97">
                  <c:v>181997.8</c:v>
                </c:pt>
                <c:pt idx="98">
                  <c:v>181997.8</c:v>
                </c:pt>
                <c:pt idx="99">
                  <c:v>181997.8</c:v>
                </c:pt>
                <c:pt idx="100">
                  <c:v>181997.8</c:v>
                </c:pt>
                <c:pt idx="101">
                  <c:v>181997.8</c:v>
                </c:pt>
                <c:pt idx="102">
                  <c:v>181997.8</c:v>
                </c:pt>
                <c:pt idx="103">
                  <c:v>181997.8</c:v>
                </c:pt>
                <c:pt idx="104">
                  <c:v>181997.8</c:v>
                </c:pt>
                <c:pt idx="105">
                  <c:v>181997.8</c:v>
                </c:pt>
                <c:pt idx="106">
                  <c:v>181997.8</c:v>
                </c:pt>
                <c:pt idx="107">
                  <c:v>181997.8</c:v>
                </c:pt>
                <c:pt idx="108">
                  <c:v>181997.8</c:v>
                </c:pt>
                <c:pt idx="109">
                  <c:v>181997.8</c:v>
                </c:pt>
                <c:pt idx="110">
                  <c:v>181997.8</c:v>
                </c:pt>
                <c:pt idx="111">
                  <c:v>181997.8</c:v>
                </c:pt>
                <c:pt idx="112">
                  <c:v>181997.8</c:v>
                </c:pt>
                <c:pt idx="113">
                  <c:v>154422.39999999999</c:v>
                </c:pt>
                <c:pt idx="114">
                  <c:v>154422.39999999999</c:v>
                </c:pt>
                <c:pt idx="115">
                  <c:v>154422.39999999999</c:v>
                </c:pt>
                <c:pt idx="116">
                  <c:v>154422.39999999999</c:v>
                </c:pt>
                <c:pt idx="117">
                  <c:v>154422.39999999999</c:v>
                </c:pt>
                <c:pt idx="118">
                  <c:v>154422.39999999999</c:v>
                </c:pt>
                <c:pt idx="119">
                  <c:v>154422.39999999999</c:v>
                </c:pt>
                <c:pt idx="120">
                  <c:v>154422.39999999999</c:v>
                </c:pt>
                <c:pt idx="121">
                  <c:v>154422.39999999999</c:v>
                </c:pt>
                <c:pt idx="122">
                  <c:v>154422.39999999999</c:v>
                </c:pt>
                <c:pt idx="123">
                  <c:v>154422.39999999999</c:v>
                </c:pt>
                <c:pt idx="124">
                  <c:v>154422.39999999999</c:v>
                </c:pt>
                <c:pt idx="125">
                  <c:v>154422.39999999999</c:v>
                </c:pt>
                <c:pt idx="126">
                  <c:v>154422.39999999999</c:v>
                </c:pt>
                <c:pt idx="127">
                  <c:v>154422.39999999999</c:v>
                </c:pt>
                <c:pt idx="128">
                  <c:v>154422.39999999999</c:v>
                </c:pt>
                <c:pt idx="129">
                  <c:v>154422.39999999999</c:v>
                </c:pt>
                <c:pt idx="130">
                  <c:v>154422.39999999999</c:v>
                </c:pt>
                <c:pt idx="131">
                  <c:v>154422.39999999999</c:v>
                </c:pt>
                <c:pt idx="132">
                  <c:v>154422.39999999999</c:v>
                </c:pt>
                <c:pt idx="133">
                  <c:v>154422.39999999999</c:v>
                </c:pt>
                <c:pt idx="134">
                  <c:v>154422.39999999999</c:v>
                </c:pt>
                <c:pt idx="135">
                  <c:v>154422.39999999999</c:v>
                </c:pt>
                <c:pt idx="136">
                  <c:v>154422.39999999999</c:v>
                </c:pt>
                <c:pt idx="137">
                  <c:v>154422.39999999999</c:v>
                </c:pt>
                <c:pt idx="138">
                  <c:v>154422.39999999999</c:v>
                </c:pt>
                <c:pt idx="139">
                  <c:v>154422.39999999999</c:v>
                </c:pt>
                <c:pt idx="140">
                  <c:v>154422.39999999999</c:v>
                </c:pt>
                <c:pt idx="141">
                  <c:v>154422.39999999999</c:v>
                </c:pt>
                <c:pt idx="142">
                  <c:v>154422.39999999999</c:v>
                </c:pt>
                <c:pt idx="143">
                  <c:v>154422.39999999999</c:v>
                </c:pt>
                <c:pt idx="144">
                  <c:v>154422.39999999999</c:v>
                </c:pt>
                <c:pt idx="145">
                  <c:v>154422.39999999999</c:v>
                </c:pt>
                <c:pt idx="146">
                  <c:v>154422.39999999999</c:v>
                </c:pt>
                <c:pt idx="147">
                  <c:v>154422.39999999999</c:v>
                </c:pt>
                <c:pt idx="148">
                  <c:v>154422.39999999999</c:v>
                </c:pt>
                <c:pt idx="149">
                  <c:v>154422.39999999999</c:v>
                </c:pt>
                <c:pt idx="150">
                  <c:v>154422.39999999999</c:v>
                </c:pt>
                <c:pt idx="151">
                  <c:v>154422.39999999999</c:v>
                </c:pt>
                <c:pt idx="152">
                  <c:v>154422.39999999999</c:v>
                </c:pt>
                <c:pt idx="153">
                  <c:v>154422.39999999999</c:v>
                </c:pt>
                <c:pt idx="154">
                  <c:v>154422.39999999999</c:v>
                </c:pt>
                <c:pt idx="155">
                  <c:v>154422.39999999999</c:v>
                </c:pt>
                <c:pt idx="156">
                  <c:v>154422.39999999999</c:v>
                </c:pt>
                <c:pt idx="157">
                  <c:v>154422.39999999999</c:v>
                </c:pt>
                <c:pt idx="158">
                  <c:v>154422.39999999999</c:v>
                </c:pt>
                <c:pt idx="159">
                  <c:v>154422.39999999999</c:v>
                </c:pt>
                <c:pt idx="160">
                  <c:v>154422.39999999999</c:v>
                </c:pt>
                <c:pt idx="161">
                  <c:v>154422.39999999999</c:v>
                </c:pt>
                <c:pt idx="162">
                  <c:v>154422.39999999999</c:v>
                </c:pt>
                <c:pt idx="163">
                  <c:v>154422.39999999999</c:v>
                </c:pt>
                <c:pt idx="164">
                  <c:v>154422.39999999999</c:v>
                </c:pt>
                <c:pt idx="165">
                  <c:v>154422.39999999999</c:v>
                </c:pt>
                <c:pt idx="166">
                  <c:v>154422.39999999999</c:v>
                </c:pt>
                <c:pt idx="167">
                  <c:v>154422.39999999999</c:v>
                </c:pt>
                <c:pt idx="168">
                  <c:v>154422.39999999999</c:v>
                </c:pt>
              </c:numCache>
            </c:numRef>
          </c:val>
        </c:ser>
        <c:dLbls/>
        <c:marker val="1"/>
        <c:axId val="224828800"/>
        <c:axId val="224834688"/>
      </c:lineChart>
      <c:dateAx>
        <c:axId val="2248288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4834688"/>
        <c:crosses val="autoZero"/>
        <c:auto val="1"/>
        <c:lblOffset val="100"/>
        <c:baseTimeUnit val="days"/>
      </c:dateAx>
      <c:valAx>
        <c:axId val="22483468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48288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en-US"/>
  <c:chart>
    <c:title/>
    <c:plotArea>
      <c:layout>
        <c:manualLayout>
          <c:layoutTarget val="inner"/>
          <c:xMode val="edge"/>
          <c:yMode val="edge"/>
          <c:x val="0.20409323654167569"/>
          <c:y val="0.23233367568184413"/>
          <c:w val="0.74358381879930169"/>
          <c:h val="0.55309070960776952"/>
        </c:manualLayout>
      </c:layout>
      <c:lineChart>
        <c:grouping val="standard"/>
        <c:ser>
          <c:idx val="0"/>
          <c:order val="0"/>
          <c:tx>
            <c:strRef>
              <c:f>'subscription charts'!$D$2</c:f>
              <c:strCache>
                <c:ptCount val="1"/>
                <c:pt idx="0">
                  <c:v>RDC T3 V-MAX 0552</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charts'!$D$3:$D$171</c:f>
              <c:numCache>
                <c:formatCode>0.00%</c:formatCode>
                <c:ptCount val="169"/>
                <c:pt idx="0">
                  <c:v>0.6079569307674012</c:v>
                </c:pt>
                <c:pt idx="1">
                  <c:v>0.6079569307674012</c:v>
                </c:pt>
                <c:pt idx="2">
                  <c:v>0.60123669940298641</c:v>
                </c:pt>
                <c:pt idx="3">
                  <c:v>0.60123669940298641</c:v>
                </c:pt>
                <c:pt idx="4">
                  <c:v>0.59989265313010343</c:v>
                </c:pt>
                <c:pt idx="5">
                  <c:v>0.59989265313010343</c:v>
                </c:pt>
                <c:pt idx="6">
                  <c:v>0.59989265313010343</c:v>
                </c:pt>
                <c:pt idx="7">
                  <c:v>0.70831868813772381</c:v>
                </c:pt>
                <c:pt idx="8">
                  <c:v>0.59989799077571926</c:v>
                </c:pt>
                <c:pt idx="9">
                  <c:v>0.59989799077571926</c:v>
                </c:pt>
                <c:pt idx="10">
                  <c:v>0.59989799077571926</c:v>
                </c:pt>
                <c:pt idx="11">
                  <c:v>0.60488001924050505</c:v>
                </c:pt>
                <c:pt idx="12">
                  <c:v>0.61540941216802492</c:v>
                </c:pt>
                <c:pt idx="13">
                  <c:v>76350.2</c:v>
                </c:pt>
                <c:pt idx="14">
                  <c:v>76090.7</c:v>
                </c:pt>
                <c:pt idx="15">
                  <c:v>76034.399999999994</c:v>
                </c:pt>
                <c:pt idx="16">
                  <c:v>75268</c:v>
                </c:pt>
                <c:pt idx="17">
                  <c:v>75165.7</c:v>
                </c:pt>
                <c:pt idx="18">
                  <c:v>74991.3</c:v>
                </c:pt>
                <c:pt idx="19">
                  <c:v>74966.7</c:v>
                </c:pt>
                <c:pt idx="20">
                  <c:v>74962</c:v>
                </c:pt>
                <c:pt idx="21">
                  <c:v>74921.399999999994</c:v>
                </c:pt>
                <c:pt idx="22">
                  <c:v>74910</c:v>
                </c:pt>
                <c:pt idx="23">
                  <c:v>74897.899999999994</c:v>
                </c:pt>
                <c:pt idx="24">
                  <c:v>74723.5</c:v>
                </c:pt>
                <c:pt idx="25">
                  <c:v>73485.7</c:v>
                </c:pt>
                <c:pt idx="26">
                  <c:v>73460.899999999994</c:v>
                </c:pt>
                <c:pt idx="27">
                  <c:v>73425.5</c:v>
                </c:pt>
                <c:pt idx="28">
                  <c:v>73371.5</c:v>
                </c:pt>
                <c:pt idx="29">
                  <c:v>150515.79999999999</c:v>
                </c:pt>
                <c:pt idx="30">
                  <c:v>150515.79999999999</c:v>
                </c:pt>
                <c:pt idx="31">
                  <c:v>150515.79999999999</c:v>
                </c:pt>
                <c:pt idx="32">
                  <c:v>150515.79999999999</c:v>
                </c:pt>
                <c:pt idx="33">
                  <c:v>150515.79999999999</c:v>
                </c:pt>
                <c:pt idx="34">
                  <c:v>150515.79999999999</c:v>
                </c:pt>
                <c:pt idx="35">
                  <c:v>150515.79999999999</c:v>
                </c:pt>
                <c:pt idx="36">
                  <c:v>150515.79999999999</c:v>
                </c:pt>
                <c:pt idx="37">
                  <c:v>150515.79999999999</c:v>
                </c:pt>
                <c:pt idx="38">
                  <c:v>150515.79999999999</c:v>
                </c:pt>
                <c:pt idx="39">
                  <c:v>150515.79999999999</c:v>
                </c:pt>
                <c:pt idx="40">
                  <c:v>150515.79999999999</c:v>
                </c:pt>
                <c:pt idx="41">
                  <c:v>150515.79999999999</c:v>
                </c:pt>
                <c:pt idx="42">
                  <c:v>150515.79999999999</c:v>
                </c:pt>
                <c:pt idx="43">
                  <c:v>150515.79999999999</c:v>
                </c:pt>
                <c:pt idx="44">
                  <c:v>150515.79999999999</c:v>
                </c:pt>
                <c:pt idx="45">
                  <c:v>150515.79999999999</c:v>
                </c:pt>
                <c:pt idx="46">
                  <c:v>150515.79999999999</c:v>
                </c:pt>
                <c:pt idx="47">
                  <c:v>150515.79999999999</c:v>
                </c:pt>
                <c:pt idx="48">
                  <c:v>150515.79999999999</c:v>
                </c:pt>
                <c:pt idx="49">
                  <c:v>150515.79999999999</c:v>
                </c:pt>
                <c:pt idx="50">
                  <c:v>150515.79999999999</c:v>
                </c:pt>
                <c:pt idx="51">
                  <c:v>150515.79999999999</c:v>
                </c:pt>
                <c:pt idx="52">
                  <c:v>150515.79999999999</c:v>
                </c:pt>
                <c:pt idx="53">
                  <c:v>150515.79999999999</c:v>
                </c:pt>
                <c:pt idx="54">
                  <c:v>150515.79999999999</c:v>
                </c:pt>
                <c:pt idx="55">
                  <c:v>150515.79999999999</c:v>
                </c:pt>
                <c:pt idx="56">
                  <c:v>150515.79999999999</c:v>
                </c:pt>
                <c:pt idx="57">
                  <c:v>150515.79999999999</c:v>
                </c:pt>
                <c:pt idx="58">
                  <c:v>150515.79999999999</c:v>
                </c:pt>
                <c:pt idx="59">
                  <c:v>150515.79999999999</c:v>
                </c:pt>
                <c:pt idx="60">
                  <c:v>99041.7</c:v>
                </c:pt>
                <c:pt idx="61">
                  <c:v>99041.7</c:v>
                </c:pt>
                <c:pt idx="62">
                  <c:v>99041.7</c:v>
                </c:pt>
                <c:pt idx="63">
                  <c:v>99041.7</c:v>
                </c:pt>
                <c:pt idx="64">
                  <c:v>99041.7</c:v>
                </c:pt>
                <c:pt idx="65">
                  <c:v>99041.7</c:v>
                </c:pt>
                <c:pt idx="66">
                  <c:v>99041.7</c:v>
                </c:pt>
                <c:pt idx="67">
                  <c:v>99041.7</c:v>
                </c:pt>
                <c:pt idx="68">
                  <c:v>99041.7</c:v>
                </c:pt>
                <c:pt idx="69">
                  <c:v>99041.7</c:v>
                </c:pt>
                <c:pt idx="70">
                  <c:v>99041.7</c:v>
                </c:pt>
                <c:pt idx="71">
                  <c:v>99041.7</c:v>
                </c:pt>
                <c:pt idx="72">
                  <c:v>99041.7</c:v>
                </c:pt>
                <c:pt idx="73">
                  <c:v>99041.7</c:v>
                </c:pt>
                <c:pt idx="74">
                  <c:v>99041.7</c:v>
                </c:pt>
                <c:pt idx="75">
                  <c:v>99041.7</c:v>
                </c:pt>
                <c:pt idx="76">
                  <c:v>99041.7</c:v>
                </c:pt>
                <c:pt idx="77">
                  <c:v>99041.7</c:v>
                </c:pt>
                <c:pt idx="78">
                  <c:v>99041.7</c:v>
                </c:pt>
                <c:pt idx="79">
                  <c:v>99041.7</c:v>
                </c:pt>
                <c:pt idx="80">
                  <c:v>99041.7</c:v>
                </c:pt>
                <c:pt idx="81">
                  <c:v>99041.7</c:v>
                </c:pt>
                <c:pt idx="82">
                  <c:v>99041.7</c:v>
                </c:pt>
                <c:pt idx="83">
                  <c:v>99041.7</c:v>
                </c:pt>
                <c:pt idx="84">
                  <c:v>99041.7</c:v>
                </c:pt>
                <c:pt idx="85">
                  <c:v>99041.7</c:v>
                </c:pt>
                <c:pt idx="86">
                  <c:v>99041.7</c:v>
                </c:pt>
                <c:pt idx="87">
                  <c:v>99041.7</c:v>
                </c:pt>
                <c:pt idx="88">
                  <c:v>99041.7</c:v>
                </c:pt>
                <c:pt idx="89">
                  <c:v>99041.7</c:v>
                </c:pt>
                <c:pt idx="90">
                  <c:v>99041.7</c:v>
                </c:pt>
                <c:pt idx="91">
                  <c:v>99041.7</c:v>
                </c:pt>
                <c:pt idx="92">
                  <c:v>99041.7</c:v>
                </c:pt>
                <c:pt idx="93">
                  <c:v>99041.7</c:v>
                </c:pt>
                <c:pt idx="94">
                  <c:v>99041.7</c:v>
                </c:pt>
                <c:pt idx="95">
                  <c:v>0.83193745664704866</c:v>
                </c:pt>
                <c:pt idx="96">
                  <c:v>99041.7</c:v>
                </c:pt>
                <c:pt idx="97">
                  <c:v>99041.7</c:v>
                </c:pt>
                <c:pt idx="98">
                  <c:v>99041.7</c:v>
                </c:pt>
                <c:pt idx="99">
                  <c:v>99041.7</c:v>
                </c:pt>
                <c:pt idx="100">
                  <c:v>99041.7</c:v>
                </c:pt>
                <c:pt idx="101">
                  <c:v>99041.7</c:v>
                </c:pt>
                <c:pt idx="102">
                  <c:v>99041.7</c:v>
                </c:pt>
                <c:pt idx="103">
                  <c:v>99041.7</c:v>
                </c:pt>
                <c:pt idx="104">
                  <c:v>99041.7</c:v>
                </c:pt>
                <c:pt idx="105">
                  <c:v>99041.7</c:v>
                </c:pt>
                <c:pt idx="106">
                  <c:v>99041.7</c:v>
                </c:pt>
                <c:pt idx="107">
                  <c:v>99041.7</c:v>
                </c:pt>
                <c:pt idx="108">
                  <c:v>99041.7</c:v>
                </c:pt>
                <c:pt idx="109">
                  <c:v>99041.7</c:v>
                </c:pt>
                <c:pt idx="110">
                  <c:v>99041.7</c:v>
                </c:pt>
                <c:pt idx="111">
                  <c:v>99041.7</c:v>
                </c:pt>
                <c:pt idx="112">
                  <c:v>99041.7</c:v>
                </c:pt>
                <c:pt idx="113">
                  <c:v>99041.7</c:v>
                </c:pt>
                <c:pt idx="114">
                  <c:v>99041.7</c:v>
                </c:pt>
                <c:pt idx="115">
                  <c:v>99041.7</c:v>
                </c:pt>
                <c:pt idx="116">
                  <c:v>99042</c:v>
                </c:pt>
                <c:pt idx="117">
                  <c:v>99042</c:v>
                </c:pt>
                <c:pt idx="118">
                  <c:v>99042</c:v>
                </c:pt>
                <c:pt idx="119">
                  <c:v>99042</c:v>
                </c:pt>
                <c:pt idx="120">
                  <c:v>99042</c:v>
                </c:pt>
                <c:pt idx="121">
                  <c:v>99042</c:v>
                </c:pt>
                <c:pt idx="122">
                  <c:v>99042</c:v>
                </c:pt>
                <c:pt idx="123">
                  <c:v>99042</c:v>
                </c:pt>
                <c:pt idx="124">
                  <c:v>99042</c:v>
                </c:pt>
                <c:pt idx="125">
                  <c:v>99042</c:v>
                </c:pt>
                <c:pt idx="126">
                  <c:v>99042</c:v>
                </c:pt>
                <c:pt idx="127">
                  <c:v>99042</c:v>
                </c:pt>
                <c:pt idx="128">
                  <c:v>99042</c:v>
                </c:pt>
                <c:pt idx="129">
                  <c:v>99042</c:v>
                </c:pt>
                <c:pt idx="130">
                  <c:v>99042</c:v>
                </c:pt>
                <c:pt idx="131">
                  <c:v>99042</c:v>
                </c:pt>
                <c:pt idx="132">
                  <c:v>79968.7</c:v>
                </c:pt>
                <c:pt idx="133">
                  <c:v>79968.7</c:v>
                </c:pt>
                <c:pt idx="134">
                  <c:v>79968.7</c:v>
                </c:pt>
                <c:pt idx="135">
                  <c:v>79968.7</c:v>
                </c:pt>
                <c:pt idx="136">
                  <c:v>79968.7</c:v>
                </c:pt>
                <c:pt idx="137">
                  <c:v>79968.7</c:v>
                </c:pt>
                <c:pt idx="138">
                  <c:v>79968.7</c:v>
                </c:pt>
                <c:pt idx="139">
                  <c:v>79968.7</c:v>
                </c:pt>
                <c:pt idx="140">
                  <c:v>79968.7</c:v>
                </c:pt>
                <c:pt idx="141">
                  <c:v>79968.7</c:v>
                </c:pt>
                <c:pt idx="142">
                  <c:v>79968.7</c:v>
                </c:pt>
                <c:pt idx="143">
                  <c:v>79968.7</c:v>
                </c:pt>
                <c:pt idx="144">
                  <c:v>79968.7</c:v>
                </c:pt>
                <c:pt idx="145">
                  <c:v>79968.7</c:v>
                </c:pt>
                <c:pt idx="146">
                  <c:v>79968.7</c:v>
                </c:pt>
                <c:pt idx="147">
                  <c:v>79968.7</c:v>
                </c:pt>
                <c:pt idx="148">
                  <c:v>79968.7</c:v>
                </c:pt>
                <c:pt idx="149">
                  <c:v>79968.7</c:v>
                </c:pt>
                <c:pt idx="150">
                  <c:v>79968.7</c:v>
                </c:pt>
                <c:pt idx="151">
                  <c:v>79968.7</c:v>
                </c:pt>
                <c:pt idx="152">
                  <c:v>79968.7</c:v>
                </c:pt>
                <c:pt idx="153">
                  <c:v>79968.7</c:v>
                </c:pt>
                <c:pt idx="154">
                  <c:v>79968.7</c:v>
                </c:pt>
                <c:pt idx="155">
                  <c:v>79968.7</c:v>
                </c:pt>
                <c:pt idx="156">
                  <c:v>79968.7</c:v>
                </c:pt>
                <c:pt idx="157">
                  <c:v>79968.7</c:v>
                </c:pt>
                <c:pt idx="158">
                  <c:v>79968.7</c:v>
                </c:pt>
                <c:pt idx="159">
                  <c:v>79968.7</c:v>
                </c:pt>
                <c:pt idx="160">
                  <c:v>79968.7</c:v>
                </c:pt>
                <c:pt idx="161">
                  <c:v>79968.7</c:v>
                </c:pt>
                <c:pt idx="162">
                  <c:v>79968.7</c:v>
                </c:pt>
                <c:pt idx="163">
                  <c:v>79968.7</c:v>
                </c:pt>
                <c:pt idx="164">
                  <c:v>79968.7</c:v>
                </c:pt>
                <c:pt idx="165">
                  <c:v>79968.7</c:v>
                </c:pt>
                <c:pt idx="166">
                  <c:v>79968.7</c:v>
                </c:pt>
                <c:pt idx="167">
                  <c:v>79968.7</c:v>
                </c:pt>
                <c:pt idx="168">
                  <c:v>79968.7</c:v>
                </c:pt>
              </c:numCache>
            </c:numRef>
          </c:val>
        </c:ser>
        <c:dLbls/>
        <c:marker val="1"/>
        <c:axId val="224998144"/>
        <c:axId val="224999680"/>
      </c:lineChart>
      <c:dateAx>
        <c:axId val="224998144"/>
        <c:scaling>
          <c:orientation val="minMax"/>
        </c:scaling>
        <c:axPos val="b"/>
        <c:numFmt formatCode="[$-409]d\-mmm\-yy;@" sourceLinked="0"/>
        <c:tickLblPos val="nextTo"/>
        <c:txPr>
          <a:bodyPr rot="-2700000" vert="horz"/>
          <a:lstStyle/>
          <a:p>
            <a:pPr>
              <a:defRPr/>
            </a:pPr>
            <a:endParaRPr lang="en-US"/>
          </a:p>
        </c:txPr>
        <c:crossAx val="224999680"/>
        <c:crosses val="autoZero"/>
        <c:auto val="1"/>
        <c:lblOffset val="100"/>
        <c:baseTimeUnit val="days"/>
      </c:dateAx>
      <c:valAx>
        <c:axId val="224999680"/>
        <c:scaling>
          <c:orientation val="minMax"/>
        </c:scaling>
        <c:axPos val="l"/>
        <c:majorGridlines/>
        <c:numFmt formatCode="0.00%" sourceLinked="1"/>
        <c:tickLblPos val="nextTo"/>
        <c:txPr>
          <a:bodyPr rot="0" vert="horz"/>
          <a:lstStyle/>
          <a:p>
            <a:pPr>
              <a:defRPr/>
            </a:pPr>
            <a:endParaRPr lang="en-US"/>
          </a:p>
        </c:txPr>
        <c:crossAx val="224998144"/>
        <c:crosses val="autoZero"/>
        <c:crossBetween val="between"/>
      </c:valAx>
    </c:plotArea>
    <c:plotVisOnly val="1"/>
    <c:dispBlanksAs val="gap"/>
  </c:chart>
  <c:printSettings>
    <c:headerFooter/>
    <c:pageMargins b="0.75000000000001465" l="0.70000000000000062" r="0.70000000000000062" t="0.75000000000001465"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11332114358816"/>
        </c:manualLayout>
      </c:layout>
      <c:lineChart>
        <c:grouping val="standard"/>
        <c:ser>
          <c:idx val="0"/>
          <c:order val="0"/>
          <c:tx>
            <c:strRef>
              <c:f>'subscription charts'!$I$2</c:f>
              <c:strCache>
                <c:ptCount val="1"/>
                <c:pt idx="0">
                  <c:v>FDC T4 V-MAX 0879</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charts'!$I$3:$I$171</c:f>
              <c:numCache>
                <c:formatCode>0.00%</c:formatCode>
                <c:ptCount val="169"/>
                <c:pt idx="0">
                  <c:v>1.4637638568697644</c:v>
                </c:pt>
                <c:pt idx="1">
                  <c:v>1.4637638568697644</c:v>
                </c:pt>
                <c:pt idx="2">
                  <c:v>1.4637638568697644</c:v>
                </c:pt>
                <c:pt idx="3">
                  <c:v>1.4637638568697644</c:v>
                </c:pt>
                <c:pt idx="4">
                  <c:v>1.4637638568697644</c:v>
                </c:pt>
                <c:pt idx="5">
                  <c:v>1.4676066736777758</c:v>
                </c:pt>
                <c:pt idx="6">
                  <c:v>1.4676066736777758</c:v>
                </c:pt>
                <c:pt idx="7">
                  <c:v>1.5932110896403093</c:v>
                </c:pt>
                <c:pt idx="8">
                  <c:v>1.4676197319545969</c:v>
                </c:pt>
                <c:pt idx="9">
                  <c:v>1.4545191035450997</c:v>
                </c:pt>
                <c:pt idx="10">
                  <c:v>1.4545191035450997</c:v>
                </c:pt>
                <c:pt idx="11">
                  <c:v>1.3863445010283535</c:v>
                </c:pt>
                <c:pt idx="12">
                  <c:v>1.3873926445523164</c:v>
                </c:pt>
                <c:pt idx="13">
                  <c:v>147764.9</c:v>
                </c:pt>
                <c:pt idx="14">
                  <c:v>147365.29999999999</c:v>
                </c:pt>
                <c:pt idx="15">
                  <c:v>147226.1</c:v>
                </c:pt>
                <c:pt idx="16">
                  <c:v>147015.4</c:v>
                </c:pt>
                <c:pt idx="17">
                  <c:v>146922.29999999999</c:v>
                </c:pt>
                <c:pt idx="18">
                  <c:v>146582.29999999999</c:v>
                </c:pt>
                <c:pt idx="19">
                  <c:v>146504.20000000001</c:v>
                </c:pt>
                <c:pt idx="20">
                  <c:v>146493.20000000001</c:v>
                </c:pt>
                <c:pt idx="21">
                  <c:v>146156.79999999999</c:v>
                </c:pt>
                <c:pt idx="22">
                  <c:v>146112.5</c:v>
                </c:pt>
                <c:pt idx="23">
                  <c:v>146089</c:v>
                </c:pt>
                <c:pt idx="24">
                  <c:v>145976.1</c:v>
                </c:pt>
                <c:pt idx="25">
                  <c:v>145832</c:v>
                </c:pt>
                <c:pt idx="26">
                  <c:v>145803.1</c:v>
                </c:pt>
                <c:pt idx="27">
                  <c:v>145574.5</c:v>
                </c:pt>
                <c:pt idx="28">
                  <c:v>145325.9</c:v>
                </c:pt>
                <c:pt idx="29">
                  <c:v>170967.6</c:v>
                </c:pt>
                <c:pt idx="30">
                  <c:v>170967.6</c:v>
                </c:pt>
                <c:pt idx="31">
                  <c:v>170967.6</c:v>
                </c:pt>
                <c:pt idx="32">
                  <c:v>170967.6</c:v>
                </c:pt>
                <c:pt idx="33">
                  <c:v>170967.6</c:v>
                </c:pt>
                <c:pt idx="34">
                  <c:v>170967.6</c:v>
                </c:pt>
                <c:pt idx="35">
                  <c:v>170967.6</c:v>
                </c:pt>
                <c:pt idx="36">
                  <c:v>170967.6</c:v>
                </c:pt>
                <c:pt idx="37">
                  <c:v>170967.6</c:v>
                </c:pt>
                <c:pt idx="38">
                  <c:v>170967.6</c:v>
                </c:pt>
                <c:pt idx="39">
                  <c:v>170967.6</c:v>
                </c:pt>
                <c:pt idx="40">
                  <c:v>170967.6</c:v>
                </c:pt>
                <c:pt idx="41">
                  <c:v>170967.6</c:v>
                </c:pt>
                <c:pt idx="42">
                  <c:v>170967.6</c:v>
                </c:pt>
                <c:pt idx="43">
                  <c:v>170967.6</c:v>
                </c:pt>
                <c:pt idx="44">
                  <c:v>170967.6</c:v>
                </c:pt>
                <c:pt idx="45">
                  <c:v>170967.6</c:v>
                </c:pt>
                <c:pt idx="46">
                  <c:v>170967.6</c:v>
                </c:pt>
                <c:pt idx="47">
                  <c:v>170967.6</c:v>
                </c:pt>
                <c:pt idx="48">
                  <c:v>170967.6</c:v>
                </c:pt>
                <c:pt idx="49">
                  <c:v>170967.6</c:v>
                </c:pt>
                <c:pt idx="50">
                  <c:v>170967.6</c:v>
                </c:pt>
                <c:pt idx="51">
                  <c:v>170967.6</c:v>
                </c:pt>
                <c:pt idx="52">
                  <c:v>170967.6</c:v>
                </c:pt>
                <c:pt idx="53">
                  <c:v>170967.6</c:v>
                </c:pt>
                <c:pt idx="54">
                  <c:v>170967.6</c:v>
                </c:pt>
                <c:pt idx="55">
                  <c:v>170967.6</c:v>
                </c:pt>
                <c:pt idx="56">
                  <c:v>170967.6</c:v>
                </c:pt>
                <c:pt idx="57">
                  <c:v>170967.6</c:v>
                </c:pt>
                <c:pt idx="58">
                  <c:v>170967.6</c:v>
                </c:pt>
                <c:pt idx="59">
                  <c:v>170967.6</c:v>
                </c:pt>
                <c:pt idx="60">
                  <c:v>170967.6</c:v>
                </c:pt>
                <c:pt idx="61">
                  <c:v>170967.6</c:v>
                </c:pt>
                <c:pt idx="62">
                  <c:v>170967.6</c:v>
                </c:pt>
                <c:pt idx="63">
                  <c:v>170967.6</c:v>
                </c:pt>
                <c:pt idx="64">
                  <c:v>170967.6</c:v>
                </c:pt>
                <c:pt idx="65">
                  <c:v>170967.6</c:v>
                </c:pt>
                <c:pt idx="66">
                  <c:v>170967.6</c:v>
                </c:pt>
                <c:pt idx="67">
                  <c:v>170967.6</c:v>
                </c:pt>
                <c:pt idx="68">
                  <c:v>170967.6</c:v>
                </c:pt>
                <c:pt idx="69">
                  <c:v>170967.6</c:v>
                </c:pt>
                <c:pt idx="70">
                  <c:v>170967.6</c:v>
                </c:pt>
                <c:pt idx="71">
                  <c:v>170967.6</c:v>
                </c:pt>
                <c:pt idx="72">
                  <c:v>170967.6</c:v>
                </c:pt>
                <c:pt idx="73">
                  <c:v>170967.6</c:v>
                </c:pt>
                <c:pt idx="74">
                  <c:v>170967.6</c:v>
                </c:pt>
                <c:pt idx="75">
                  <c:v>170967.6</c:v>
                </c:pt>
                <c:pt idx="76">
                  <c:v>170967.6</c:v>
                </c:pt>
                <c:pt idx="77">
                  <c:v>170967.6</c:v>
                </c:pt>
                <c:pt idx="78">
                  <c:v>170967.6</c:v>
                </c:pt>
                <c:pt idx="79">
                  <c:v>170967.6</c:v>
                </c:pt>
                <c:pt idx="80">
                  <c:v>170967.6</c:v>
                </c:pt>
                <c:pt idx="81">
                  <c:v>170967.6</c:v>
                </c:pt>
                <c:pt idx="82">
                  <c:v>170967.6</c:v>
                </c:pt>
                <c:pt idx="83">
                  <c:v>170967.6</c:v>
                </c:pt>
                <c:pt idx="84">
                  <c:v>170967.6</c:v>
                </c:pt>
                <c:pt idx="85">
                  <c:v>170967.6</c:v>
                </c:pt>
                <c:pt idx="86">
                  <c:v>170967.6</c:v>
                </c:pt>
                <c:pt idx="87">
                  <c:v>170967.6</c:v>
                </c:pt>
                <c:pt idx="88">
                  <c:v>170967.6</c:v>
                </c:pt>
                <c:pt idx="89">
                  <c:v>170967.6</c:v>
                </c:pt>
                <c:pt idx="90">
                  <c:v>170967.6</c:v>
                </c:pt>
                <c:pt idx="91">
                  <c:v>170967.6</c:v>
                </c:pt>
                <c:pt idx="92">
                  <c:v>170967.6</c:v>
                </c:pt>
                <c:pt idx="93">
                  <c:v>170967.6</c:v>
                </c:pt>
                <c:pt idx="94">
                  <c:v>170967.6</c:v>
                </c:pt>
                <c:pt idx="95">
                  <c:v>1.5489168707989118</c:v>
                </c:pt>
                <c:pt idx="96">
                  <c:v>170967.6</c:v>
                </c:pt>
                <c:pt idx="97">
                  <c:v>170967.6</c:v>
                </c:pt>
                <c:pt idx="98">
                  <c:v>170967.6</c:v>
                </c:pt>
                <c:pt idx="99">
                  <c:v>170967.6</c:v>
                </c:pt>
                <c:pt idx="100">
                  <c:v>170967.6</c:v>
                </c:pt>
                <c:pt idx="101">
                  <c:v>170967.6</c:v>
                </c:pt>
                <c:pt idx="102">
                  <c:v>170967.6</c:v>
                </c:pt>
                <c:pt idx="103">
                  <c:v>170967.6</c:v>
                </c:pt>
                <c:pt idx="104">
                  <c:v>170967.6</c:v>
                </c:pt>
                <c:pt idx="105">
                  <c:v>170967.6</c:v>
                </c:pt>
                <c:pt idx="106">
                  <c:v>170967.6</c:v>
                </c:pt>
                <c:pt idx="107">
                  <c:v>170967.6</c:v>
                </c:pt>
                <c:pt idx="108">
                  <c:v>170967.6</c:v>
                </c:pt>
                <c:pt idx="109">
                  <c:v>170967.6</c:v>
                </c:pt>
                <c:pt idx="110">
                  <c:v>170967.6</c:v>
                </c:pt>
                <c:pt idx="111">
                  <c:v>170967.6</c:v>
                </c:pt>
                <c:pt idx="112">
                  <c:v>170967.6</c:v>
                </c:pt>
                <c:pt idx="113">
                  <c:v>170967.6</c:v>
                </c:pt>
                <c:pt idx="114">
                  <c:v>170967.6</c:v>
                </c:pt>
                <c:pt idx="115">
                  <c:v>170967.6</c:v>
                </c:pt>
                <c:pt idx="116">
                  <c:v>170967.6</c:v>
                </c:pt>
                <c:pt idx="117">
                  <c:v>170967.6</c:v>
                </c:pt>
                <c:pt idx="118">
                  <c:v>170967.6</c:v>
                </c:pt>
                <c:pt idx="119">
                  <c:v>170967.6</c:v>
                </c:pt>
                <c:pt idx="120">
                  <c:v>170967.6</c:v>
                </c:pt>
                <c:pt idx="121">
                  <c:v>170967.6</c:v>
                </c:pt>
                <c:pt idx="122">
                  <c:v>170967.6</c:v>
                </c:pt>
                <c:pt idx="123">
                  <c:v>170967.6</c:v>
                </c:pt>
                <c:pt idx="124">
                  <c:v>170967.6</c:v>
                </c:pt>
                <c:pt idx="125">
                  <c:v>170967.6</c:v>
                </c:pt>
                <c:pt idx="126">
                  <c:v>170967.6</c:v>
                </c:pt>
                <c:pt idx="127">
                  <c:v>170967.6</c:v>
                </c:pt>
                <c:pt idx="128">
                  <c:v>170967.6</c:v>
                </c:pt>
                <c:pt idx="129">
                  <c:v>170967.6</c:v>
                </c:pt>
                <c:pt idx="130">
                  <c:v>170967.6</c:v>
                </c:pt>
                <c:pt idx="131">
                  <c:v>170967.6</c:v>
                </c:pt>
                <c:pt idx="132">
                  <c:v>170967.6</c:v>
                </c:pt>
                <c:pt idx="133">
                  <c:v>170967.6</c:v>
                </c:pt>
                <c:pt idx="134">
                  <c:v>170967.6</c:v>
                </c:pt>
                <c:pt idx="135">
                  <c:v>170967.6</c:v>
                </c:pt>
                <c:pt idx="136">
                  <c:v>170967.6</c:v>
                </c:pt>
                <c:pt idx="137">
                  <c:v>170967.6</c:v>
                </c:pt>
                <c:pt idx="138">
                  <c:v>170967.6</c:v>
                </c:pt>
                <c:pt idx="139">
                  <c:v>170967.6</c:v>
                </c:pt>
                <c:pt idx="140">
                  <c:v>170967.6</c:v>
                </c:pt>
                <c:pt idx="141">
                  <c:v>170967.6</c:v>
                </c:pt>
                <c:pt idx="142">
                  <c:v>170967.6</c:v>
                </c:pt>
                <c:pt idx="143">
                  <c:v>170967.6</c:v>
                </c:pt>
                <c:pt idx="144">
                  <c:v>170967.6</c:v>
                </c:pt>
                <c:pt idx="145">
                  <c:v>170967.6</c:v>
                </c:pt>
                <c:pt idx="146">
                  <c:v>170967.6</c:v>
                </c:pt>
                <c:pt idx="147">
                  <c:v>170967.6</c:v>
                </c:pt>
                <c:pt idx="148">
                  <c:v>170967.6</c:v>
                </c:pt>
                <c:pt idx="149">
                  <c:v>170967.6</c:v>
                </c:pt>
                <c:pt idx="150">
                  <c:v>170967.6</c:v>
                </c:pt>
                <c:pt idx="151">
                  <c:v>170967.6</c:v>
                </c:pt>
                <c:pt idx="152">
                  <c:v>170967.6</c:v>
                </c:pt>
                <c:pt idx="153">
                  <c:v>170967.6</c:v>
                </c:pt>
                <c:pt idx="154">
                  <c:v>170967.6</c:v>
                </c:pt>
                <c:pt idx="155">
                  <c:v>170967.6</c:v>
                </c:pt>
                <c:pt idx="156">
                  <c:v>170967.6</c:v>
                </c:pt>
                <c:pt idx="157">
                  <c:v>170967.6</c:v>
                </c:pt>
                <c:pt idx="158">
                  <c:v>170967.6</c:v>
                </c:pt>
                <c:pt idx="159">
                  <c:v>170967.6</c:v>
                </c:pt>
                <c:pt idx="160">
                  <c:v>170967.6</c:v>
                </c:pt>
                <c:pt idx="161">
                  <c:v>170967.6</c:v>
                </c:pt>
                <c:pt idx="162">
                  <c:v>170967.6</c:v>
                </c:pt>
                <c:pt idx="163">
                  <c:v>170967.6</c:v>
                </c:pt>
                <c:pt idx="164">
                  <c:v>170967.6</c:v>
                </c:pt>
                <c:pt idx="165">
                  <c:v>170967.6</c:v>
                </c:pt>
                <c:pt idx="166">
                  <c:v>170967.6</c:v>
                </c:pt>
                <c:pt idx="167">
                  <c:v>170967.6</c:v>
                </c:pt>
                <c:pt idx="168">
                  <c:v>170967.6</c:v>
                </c:pt>
              </c:numCache>
            </c:numRef>
          </c:val>
        </c:ser>
        <c:dLbls/>
        <c:marker val="1"/>
        <c:axId val="225027968"/>
        <c:axId val="225029504"/>
      </c:lineChart>
      <c:dateAx>
        <c:axId val="22502796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5029504"/>
        <c:crosses val="autoZero"/>
        <c:auto val="1"/>
        <c:lblOffset val="100"/>
        <c:baseTimeUnit val="days"/>
      </c:dateAx>
      <c:valAx>
        <c:axId val="22502950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502796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lgn="ct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4022472559613794"/>
          <c:y val="0.26710671804322333"/>
          <c:w val="0.70240037799843069"/>
          <c:h val="0.53539054529883767"/>
        </c:manualLayout>
      </c:layout>
      <c:lineChart>
        <c:grouping val="standard"/>
        <c:ser>
          <c:idx val="0"/>
          <c:order val="0"/>
          <c:tx>
            <c:strRef>
              <c:f>'subscription charts'!$L$2</c:f>
              <c:strCache>
                <c:ptCount val="1"/>
                <c:pt idx="0">
                  <c:v>FDC T3 V-MAX 2231</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charts'!$L$3:$L$171</c:f>
              <c:numCache>
                <c:formatCode>0.00%</c:formatCode>
                <c:ptCount val="169"/>
                <c:pt idx="0">
                  <c:v>0.90969247339123505</c:v>
                </c:pt>
                <c:pt idx="1">
                  <c:v>0.90969247339123505</c:v>
                </c:pt>
                <c:pt idx="2">
                  <c:v>0.9068802520353213</c:v>
                </c:pt>
                <c:pt idx="3">
                  <c:v>0.9068802520353213</c:v>
                </c:pt>
                <c:pt idx="4">
                  <c:v>1.4496736484652604</c:v>
                </c:pt>
                <c:pt idx="5">
                  <c:v>1.3915949993965415</c:v>
                </c:pt>
                <c:pt idx="6">
                  <c:v>1.3915949993965415</c:v>
                </c:pt>
                <c:pt idx="7">
                  <c:v>1.8592975062144899</c:v>
                </c:pt>
                <c:pt idx="8">
                  <c:v>1.357600501352257</c:v>
                </c:pt>
                <c:pt idx="9">
                  <c:v>1.2632218568732232</c:v>
                </c:pt>
                <c:pt idx="10">
                  <c:v>1.2366659224955194</c:v>
                </c:pt>
                <c:pt idx="11">
                  <c:v>1.2835873431220168</c:v>
                </c:pt>
                <c:pt idx="12">
                  <c:v>1.2457560996063635</c:v>
                </c:pt>
                <c:pt idx="13">
                  <c:v>98561.5</c:v>
                </c:pt>
                <c:pt idx="14">
                  <c:v>98473.2</c:v>
                </c:pt>
                <c:pt idx="15">
                  <c:v>98436.7</c:v>
                </c:pt>
                <c:pt idx="16">
                  <c:v>98245.3</c:v>
                </c:pt>
                <c:pt idx="17">
                  <c:v>98115.5</c:v>
                </c:pt>
                <c:pt idx="18">
                  <c:v>97855.1</c:v>
                </c:pt>
                <c:pt idx="19">
                  <c:v>97775.9</c:v>
                </c:pt>
                <c:pt idx="20">
                  <c:v>97755.6</c:v>
                </c:pt>
                <c:pt idx="21">
                  <c:v>97591.4</c:v>
                </c:pt>
                <c:pt idx="22">
                  <c:v>97560.3</c:v>
                </c:pt>
                <c:pt idx="23">
                  <c:v>97487.4</c:v>
                </c:pt>
                <c:pt idx="24">
                  <c:v>97394.3</c:v>
                </c:pt>
                <c:pt idx="25">
                  <c:v>97146.2</c:v>
                </c:pt>
                <c:pt idx="26">
                  <c:v>97132.4</c:v>
                </c:pt>
                <c:pt idx="27">
                  <c:v>97087.6</c:v>
                </c:pt>
                <c:pt idx="28">
                  <c:v>96868.2</c:v>
                </c:pt>
                <c:pt idx="29">
                  <c:v>176482.7</c:v>
                </c:pt>
                <c:pt idx="30">
                  <c:v>176482.7</c:v>
                </c:pt>
                <c:pt idx="31">
                  <c:v>176482.7</c:v>
                </c:pt>
                <c:pt idx="32">
                  <c:v>176482.7</c:v>
                </c:pt>
                <c:pt idx="33">
                  <c:v>176482.7</c:v>
                </c:pt>
                <c:pt idx="34">
                  <c:v>176482.7</c:v>
                </c:pt>
                <c:pt idx="35">
                  <c:v>176482.7</c:v>
                </c:pt>
                <c:pt idx="36">
                  <c:v>176482.7</c:v>
                </c:pt>
                <c:pt idx="37">
                  <c:v>176482.7</c:v>
                </c:pt>
                <c:pt idx="38">
                  <c:v>176482.7</c:v>
                </c:pt>
                <c:pt idx="39">
                  <c:v>176482.7</c:v>
                </c:pt>
                <c:pt idx="40">
                  <c:v>176482.7</c:v>
                </c:pt>
                <c:pt idx="41">
                  <c:v>176482.7</c:v>
                </c:pt>
                <c:pt idx="42">
                  <c:v>176482.7</c:v>
                </c:pt>
                <c:pt idx="43">
                  <c:v>176482.7</c:v>
                </c:pt>
                <c:pt idx="44">
                  <c:v>176482.7</c:v>
                </c:pt>
                <c:pt idx="45">
                  <c:v>176482.7</c:v>
                </c:pt>
                <c:pt idx="46">
                  <c:v>176482.7</c:v>
                </c:pt>
                <c:pt idx="47">
                  <c:v>176482.7</c:v>
                </c:pt>
                <c:pt idx="48">
                  <c:v>176482.7</c:v>
                </c:pt>
                <c:pt idx="49">
                  <c:v>176482.7</c:v>
                </c:pt>
                <c:pt idx="50">
                  <c:v>176482.7</c:v>
                </c:pt>
                <c:pt idx="51">
                  <c:v>176482.7</c:v>
                </c:pt>
                <c:pt idx="52">
                  <c:v>176482.7</c:v>
                </c:pt>
                <c:pt idx="53">
                  <c:v>176482.7</c:v>
                </c:pt>
                <c:pt idx="54">
                  <c:v>176482.7</c:v>
                </c:pt>
                <c:pt idx="55">
                  <c:v>176482.7</c:v>
                </c:pt>
                <c:pt idx="56">
                  <c:v>176482.7</c:v>
                </c:pt>
                <c:pt idx="57">
                  <c:v>176482.7</c:v>
                </c:pt>
                <c:pt idx="58">
                  <c:v>176482.7</c:v>
                </c:pt>
                <c:pt idx="59">
                  <c:v>176482.7</c:v>
                </c:pt>
                <c:pt idx="60">
                  <c:v>176482.7</c:v>
                </c:pt>
                <c:pt idx="61">
                  <c:v>176482.7</c:v>
                </c:pt>
                <c:pt idx="62">
                  <c:v>176482.7</c:v>
                </c:pt>
                <c:pt idx="63">
                  <c:v>176482.7</c:v>
                </c:pt>
                <c:pt idx="64">
                  <c:v>176482.7</c:v>
                </c:pt>
                <c:pt idx="65">
                  <c:v>176482.7</c:v>
                </c:pt>
                <c:pt idx="66">
                  <c:v>176482.7</c:v>
                </c:pt>
                <c:pt idx="67">
                  <c:v>176482.7</c:v>
                </c:pt>
                <c:pt idx="68">
                  <c:v>176482.7</c:v>
                </c:pt>
                <c:pt idx="69">
                  <c:v>176482.7</c:v>
                </c:pt>
                <c:pt idx="70">
                  <c:v>176482.7</c:v>
                </c:pt>
                <c:pt idx="71">
                  <c:v>176482.7</c:v>
                </c:pt>
                <c:pt idx="72">
                  <c:v>176482.7</c:v>
                </c:pt>
                <c:pt idx="73">
                  <c:v>176482.7</c:v>
                </c:pt>
                <c:pt idx="74">
                  <c:v>176482.7</c:v>
                </c:pt>
                <c:pt idx="75">
                  <c:v>176482.7</c:v>
                </c:pt>
                <c:pt idx="76">
                  <c:v>176482.7</c:v>
                </c:pt>
                <c:pt idx="77">
                  <c:v>176482.7</c:v>
                </c:pt>
                <c:pt idx="78">
                  <c:v>176482.7</c:v>
                </c:pt>
                <c:pt idx="79">
                  <c:v>176482.7</c:v>
                </c:pt>
                <c:pt idx="80">
                  <c:v>176482.7</c:v>
                </c:pt>
                <c:pt idx="81">
                  <c:v>176482.7</c:v>
                </c:pt>
                <c:pt idx="82">
                  <c:v>176482.7</c:v>
                </c:pt>
                <c:pt idx="83">
                  <c:v>176482.7</c:v>
                </c:pt>
                <c:pt idx="84">
                  <c:v>176482.7</c:v>
                </c:pt>
                <c:pt idx="85">
                  <c:v>176482.7</c:v>
                </c:pt>
                <c:pt idx="86">
                  <c:v>176482.7</c:v>
                </c:pt>
                <c:pt idx="87">
                  <c:v>176482.7</c:v>
                </c:pt>
                <c:pt idx="88">
                  <c:v>176482.7</c:v>
                </c:pt>
                <c:pt idx="89">
                  <c:v>176482.7</c:v>
                </c:pt>
                <c:pt idx="90">
                  <c:v>176482.7</c:v>
                </c:pt>
                <c:pt idx="91">
                  <c:v>176482.7</c:v>
                </c:pt>
                <c:pt idx="92">
                  <c:v>176482.7</c:v>
                </c:pt>
                <c:pt idx="93">
                  <c:v>176482.7</c:v>
                </c:pt>
                <c:pt idx="94">
                  <c:v>176482.7</c:v>
                </c:pt>
                <c:pt idx="95">
                  <c:v>0.46382619939518149</c:v>
                </c:pt>
                <c:pt idx="96">
                  <c:v>176482.7</c:v>
                </c:pt>
                <c:pt idx="97">
                  <c:v>176482.7</c:v>
                </c:pt>
                <c:pt idx="98">
                  <c:v>176482.7</c:v>
                </c:pt>
                <c:pt idx="99">
                  <c:v>176482.7</c:v>
                </c:pt>
                <c:pt idx="100">
                  <c:v>176482.7</c:v>
                </c:pt>
                <c:pt idx="101">
                  <c:v>176482.7</c:v>
                </c:pt>
                <c:pt idx="102">
                  <c:v>176482.7</c:v>
                </c:pt>
                <c:pt idx="103">
                  <c:v>176482.7</c:v>
                </c:pt>
                <c:pt idx="104">
                  <c:v>176482.7</c:v>
                </c:pt>
                <c:pt idx="105">
                  <c:v>176482.7</c:v>
                </c:pt>
                <c:pt idx="106">
                  <c:v>176482.7</c:v>
                </c:pt>
                <c:pt idx="107">
                  <c:v>176482.7</c:v>
                </c:pt>
                <c:pt idx="108">
                  <c:v>176482.7</c:v>
                </c:pt>
                <c:pt idx="109">
                  <c:v>176482.7</c:v>
                </c:pt>
                <c:pt idx="110">
                  <c:v>176482.7</c:v>
                </c:pt>
                <c:pt idx="111">
                  <c:v>176482.7</c:v>
                </c:pt>
                <c:pt idx="112">
                  <c:v>176482.7</c:v>
                </c:pt>
                <c:pt idx="113">
                  <c:v>176482.7</c:v>
                </c:pt>
                <c:pt idx="114">
                  <c:v>176482.7</c:v>
                </c:pt>
                <c:pt idx="115">
                  <c:v>176482.7</c:v>
                </c:pt>
                <c:pt idx="116">
                  <c:v>176482.7</c:v>
                </c:pt>
                <c:pt idx="117">
                  <c:v>176482.7</c:v>
                </c:pt>
                <c:pt idx="118">
                  <c:v>176482.7</c:v>
                </c:pt>
                <c:pt idx="119">
                  <c:v>176482.7</c:v>
                </c:pt>
                <c:pt idx="120">
                  <c:v>176482.7</c:v>
                </c:pt>
                <c:pt idx="121">
                  <c:v>176482.7</c:v>
                </c:pt>
                <c:pt idx="122">
                  <c:v>176482.7</c:v>
                </c:pt>
                <c:pt idx="123">
                  <c:v>176482.7</c:v>
                </c:pt>
                <c:pt idx="124">
                  <c:v>176482.7</c:v>
                </c:pt>
                <c:pt idx="125">
                  <c:v>176482.7</c:v>
                </c:pt>
                <c:pt idx="126">
                  <c:v>176482.7</c:v>
                </c:pt>
                <c:pt idx="127">
                  <c:v>176482.7</c:v>
                </c:pt>
                <c:pt idx="128">
                  <c:v>176482.7</c:v>
                </c:pt>
                <c:pt idx="129">
                  <c:v>176482.7</c:v>
                </c:pt>
                <c:pt idx="130">
                  <c:v>176482.7</c:v>
                </c:pt>
                <c:pt idx="131">
                  <c:v>176482.7</c:v>
                </c:pt>
                <c:pt idx="132">
                  <c:v>176482.7</c:v>
                </c:pt>
                <c:pt idx="133">
                  <c:v>176482.7</c:v>
                </c:pt>
                <c:pt idx="134">
                  <c:v>176482.7</c:v>
                </c:pt>
                <c:pt idx="135">
                  <c:v>176482.7</c:v>
                </c:pt>
                <c:pt idx="136">
                  <c:v>176482.7</c:v>
                </c:pt>
                <c:pt idx="137">
                  <c:v>176482.7</c:v>
                </c:pt>
                <c:pt idx="138">
                  <c:v>176482.7</c:v>
                </c:pt>
                <c:pt idx="139">
                  <c:v>176482.7</c:v>
                </c:pt>
                <c:pt idx="140">
                  <c:v>176482.7</c:v>
                </c:pt>
                <c:pt idx="141">
                  <c:v>176482.7</c:v>
                </c:pt>
                <c:pt idx="142">
                  <c:v>176482.7</c:v>
                </c:pt>
                <c:pt idx="143">
                  <c:v>176482.7</c:v>
                </c:pt>
                <c:pt idx="144">
                  <c:v>176482.7</c:v>
                </c:pt>
                <c:pt idx="145">
                  <c:v>176482.7</c:v>
                </c:pt>
                <c:pt idx="146">
                  <c:v>176482.7</c:v>
                </c:pt>
                <c:pt idx="147">
                  <c:v>176482.7</c:v>
                </c:pt>
                <c:pt idx="148">
                  <c:v>176482.7</c:v>
                </c:pt>
                <c:pt idx="149">
                  <c:v>176482.7</c:v>
                </c:pt>
                <c:pt idx="150">
                  <c:v>176482.7</c:v>
                </c:pt>
                <c:pt idx="151">
                  <c:v>176482.7</c:v>
                </c:pt>
                <c:pt idx="152">
                  <c:v>176482.7</c:v>
                </c:pt>
                <c:pt idx="153">
                  <c:v>176482.7</c:v>
                </c:pt>
                <c:pt idx="154">
                  <c:v>176482.7</c:v>
                </c:pt>
                <c:pt idx="155">
                  <c:v>176482.7</c:v>
                </c:pt>
                <c:pt idx="156">
                  <c:v>176482.7</c:v>
                </c:pt>
                <c:pt idx="157">
                  <c:v>176482.7</c:v>
                </c:pt>
                <c:pt idx="158">
                  <c:v>176482.7</c:v>
                </c:pt>
                <c:pt idx="159">
                  <c:v>176482.7</c:v>
                </c:pt>
                <c:pt idx="160">
                  <c:v>176482.7</c:v>
                </c:pt>
                <c:pt idx="161">
                  <c:v>176482.7</c:v>
                </c:pt>
                <c:pt idx="162">
                  <c:v>176482.7</c:v>
                </c:pt>
                <c:pt idx="163">
                  <c:v>176482.7</c:v>
                </c:pt>
                <c:pt idx="164">
                  <c:v>176482.7</c:v>
                </c:pt>
                <c:pt idx="165">
                  <c:v>176482.7</c:v>
                </c:pt>
                <c:pt idx="166">
                  <c:v>176482.7</c:v>
                </c:pt>
                <c:pt idx="167">
                  <c:v>176482.7</c:v>
                </c:pt>
                <c:pt idx="168">
                  <c:v>176482.7</c:v>
                </c:pt>
              </c:numCache>
            </c:numRef>
          </c:val>
        </c:ser>
        <c:dLbls/>
        <c:marker val="1"/>
        <c:axId val="225041408"/>
        <c:axId val="225059584"/>
      </c:lineChart>
      <c:dateAx>
        <c:axId val="22504140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5059584"/>
        <c:crosses val="autoZero"/>
        <c:auto val="1"/>
        <c:lblOffset val="100"/>
        <c:baseTimeUnit val="days"/>
      </c:dateAx>
      <c:valAx>
        <c:axId val="225059584"/>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504140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27"/>
          <c:y val="3.7636257810872188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61376113511525"/>
        </c:manualLayout>
      </c:layout>
      <c:lineChart>
        <c:grouping val="standard"/>
        <c:ser>
          <c:idx val="0"/>
          <c:order val="0"/>
          <c:tx>
            <c:strRef>
              <c:f>'subscription charts'!$M$2</c:f>
              <c:strCache>
                <c:ptCount val="1"/>
                <c:pt idx="0">
                  <c:v>EDC T3 V-MAX 2262</c:v>
                </c:pt>
              </c:strCache>
            </c:strRef>
          </c:tx>
          <c:cat>
            <c:numRef>
              <c:f>'subscription charts'!$A$3:$A$170</c:f>
              <c:numCache>
                <c:formatCode>[$-409]d\-mmm\-yy;@</c:formatCode>
                <c:ptCount val="168"/>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numCache>
            </c:numRef>
          </c:cat>
          <c:val>
            <c:numRef>
              <c:f>'subscription charts'!$M$3:$M$171</c:f>
              <c:numCache>
                <c:formatCode>0.00%</c:formatCode>
                <c:ptCount val="169"/>
                <c:pt idx="0">
                  <c:v>0.59117783721056738</c:v>
                </c:pt>
                <c:pt idx="1">
                  <c:v>0.59117783721056738</c:v>
                </c:pt>
                <c:pt idx="2">
                  <c:v>0.59117783721056738</c:v>
                </c:pt>
                <c:pt idx="3">
                  <c:v>0.59117783721056738</c:v>
                </c:pt>
                <c:pt idx="4">
                  <c:v>0.57650537796232171</c:v>
                </c:pt>
                <c:pt idx="5">
                  <c:v>0.45178947435223299</c:v>
                </c:pt>
                <c:pt idx="6">
                  <c:v>0.45178947435223299</c:v>
                </c:pt>
                <c:pt idx="7">
                  <c:v>1.1200076879838987</c:v>
                </c:pt>
                <c:pt idx="8">
                  <c:v>0.45179349422494602</c:v>
                </c:pt>
                <c:pt idx="9">
                  <c:v>0.32952191256731517</c:v>
                </c:pt>
                <c:pt idx="10">
                  <c:v>0.32952191256731517</c:v>
                </c:pt>
                <c:pt idx="11">
                  <c:v>0</c:v>
                </c:pt>
                <c:pt idx="12">
                  <c:v>0.38618888949582131</c:v>
                </c:pt>
                <c:pt idx="13">
                  <c:v>20795</c:v>
                </c:pt>
                <c:pt idx="14">
                  <c:v>20795</c:v>
                </c:pt>
                <c:pt idx="15">
                  <c:v>20795</c:v>
                </c:pt>
                <c:pt idx="16">
                  <c:v>20795</c:v>
                </c:pt>
                <c:pt idx="17">
                  <c:v>20795</c:v>
                </c:pt>
                <c:pt idx="18">
                  <c:v>20795</c:v>
                </c:pt>
                <c:pt idx="19">
                  <c:v>20795</c:v>
                </c:pt>
                <c:pt idx="20">
                  <c:v>20795</c:v>
                </c:pt>
                <c:pt idx="21">
                  <c:v>23055</c:v>
                </c:pt>
                <c:pt idx="22">
                  <c:v>23055</c:v>
                </c:pt>
                <c:pt idx="23">
                  <c:v>23055</c:v>
                </c:pt>
                <c:pt idx="24">
                  <c:v>23055</c:v>
                </c:pt>
                <c:pt idx="25">
                  <c:v>23054.799999999999</c:v>
                </c:pt>
                <c:pt idx="26">
                  <c:v>23054.799999999999</c:v>
                </c:pt>
                <c:pt idx="27">
                  <c:v>23054.799999999999</c:v>
                </c:pt>
                <c:pt idx="28">
                  <c:v>23054.400000000001</c:v>
                </c:pt>
                <c:pt idx="29">
                  <c:v>54921</c:v>
                </c:pt>
                <c:pt idx="30">
                  <c:v>54921</c:v>
                </c:pt>
                <c:pt idx="31">
                  <c:v>54921</c:v>
                </c:pt>
                <c:pt idx="32">
                  <c:v>54921</c:v>
                </c:pt>
                <c:pt idx="33">
                  <c:v>54921</c:v>
                </c:pt>
                <c:pt idx="34">
                  <c:v>54921</c:v>
                </c:pt>
                <c:pt idx="35">
                  <c:v>54921</c:v>
                </c:pt>
                <c:pt idx="36">
                  <c:v>54921</c:v>
                </c:pt>
                <c:pt idx="37">
                  <c:v>54921</c:v>
                </c:pt>
                <c:pt idx="38">
                  <c:v>54921</c:v>
                </c:pt>
                <c:pt idx="39">
                  <c:v>54921</c:v>
                </c:pt>
                <c:pt idx="40">
                  <c:v>54921</c:v>
                </c:pt>
                <c:pt idx="41">
                  <c:v>54921</c:v>
                </c:pt>
                <c:pt idx="42">
                  <c:v>54921</c:v>
                </c:pt>
                <c:pt idx="43">
                  <c:v>54921</c:v>
                </c:pt>
                <c:pt idx="44">
                  <c:v>54921</c:v>
                </c:pt>
                <c:pt idx="45">
                  <c:v>54921</c:v>
                </c:pt>
                <c:pt idx="46">
                  <c:v>54921</c:v>
                </c:pt>
                <c:pt idx="47">
                  <c:v>54921</c:v>
                </c:pt>
                <c:pt idx="48">
                  <c:v>54921</c:v>
                </c:pt>
                <c:pt idx="49">
                  <c:v>54921</c:v>
                </c:pt>
                <c:pt idx="50">
                  <c:v>54921</c:v>
                </c:pt>
                <c:pt idx="51">
                  <c:v>54921</c:v>
                </c:pt>
                <c:pt idx="52">
                  <c:v>54921</c:v>
                </c:pt>
                <c:pt idx="53">
                  <c:v>54921</c:v>
                </c:pt>
                <c:pt idx="54">
                  <c:v>54921</c:v>
                </c:pt>
                <c:pt idx="55">
                  <c:v>54921</c:v>
                </c:pt>
                <c:pt idx="56">
                  <c:v>54921</c:v>
                </c:pt>
                <c:pt idx="57">
                  <c:v>54921</c:v>
                </c:pt>
                <c:pt idx="58">
                  <c:v>54921</c:v>
                </c:pt>
                <c:pt idx="59">
                  <c:v>54921</c:v>
                </c:pt>
                <c:pt idx="60">
                  <c:v>54921</c:v>
                </c:pt>
                <c:pt idx="61">
                  <c:v>54921</c:v>
                </c:pt>
                <c:pt idx="62">
                  <c:v>54921</c:v>
                </c:pt>
                <c:pt idx="63">
                  <c:v>54921</c:v>
                </c:pt>
                <c:pt idx="64">
                  <c:v>54921</c:v>
                </c:pt>
                <c:pt idx="65">
                  <c:v>54921</c:v>
                </c:pt>
                <c:pt idx="66">
                  <c:v>54921</c:v>
                </c:pt>
                <c:pt idx="67">
                  <c:v>54921</c:v>
                </c:pt>
                <c:pt idx="68">
                  <c:v>54921</c:v>
                </c:pt>
                <c:pt idx="69">
                  <c:v>54921</c:v>
                </c:pt>
                <c:pt idx="70">
                  <c:v>54921</c:v>
                </c:pt>
                <c:pt idx="71">
                  <c:v>54921</c:v>
                </c:pt>
                <c:pt idx="72">
                  <c:v>54921</c:v>
                </c:pt>
                <c:pt idx="73">
                  <c:v>54921</c:v>
                </c:pt>
                <c:pt idx="74">
                  <c:v>54921</c:v>
                </c:pt>
                <c:pt idx="75">
                  <c:v>54921</c:v>
                </c:pt>
                <c:pt idx="76">
                  <c:v>54921</c:v>
                </c:pt>
                <c:pt idx="77">
                  <c:v>54921</c:v>
                </c:pt>
                <c:pt idx="78">
                  <c:v>54921</c:v>
                </c:pt>
                <c:pt idx="79">
                  <c:v>54921</c:v>
                </c:pt>
                <c:pt idx="80">
                  <c:v>54921</c:v>
                </c:pt>
                <c:pt idx="81">
                  <c:v>54921</c:v>
                </c:pt>
                <c:pt idx="82">
                  <c:v>54921</c:v>
                </c:pt>
                <c:pt idx="83">
                  <c:v>54921</c:v>
                </c:pt>
                <c:pt idx="84">
                  <c:v>54921</c:v>
                </c:pt>
                <c:pt idx="85">
                  <c:v>54921</c:v>
                </c:pt>
                <c:pt idx="86">
                  <c:v>54921</c:v>
                </c:pt>
                <c:pt idx="87">
                  <c:v>54921</c:v>
                </c:pt>
                <c:pt idx="88">
                  <c:v>54921</c:v>
                </c:pt>
                <c:pt idx="89">
                  <c:v>54921</c:v>
                </c:pt>
                <c:pt idx="90">
                  <c:v>54921</c:v>
                </c:pt>
                <c:pt idx="91">
                  <c:v>54921</c:v>
                </c:pt>
                <c:pt idx="92">
                  <c:v>54921</c:v>
                </c:pt>
                <c:pt idx="93">
                  <c:v>54921</c:v>
                </c:pt>
                <c:pt idx="94">
                  <c:v>54921</c:v>
                </c:pt>
                <c:pt idx="95">
                  <c:v>0.48106917208353822</c:v>
                </c:pt>
                <c:pt idx="96">
                  <c:v>54921</c:v>
                </c:pt>
                <c:pt idx="97">
                  <c:v>54921</c:v>
                </c:pt>
                <c:pt idx="98">
                  <c:v>54921</c:v>
                </c:pt>
                <c:pt idx="99">
                  <c:v>54921</c:v>
                </c:pt>
                <c:pt idx="100">
                  <c:v>54921</c:v>
                </c:pt>
                <c:pt idx="101">
                  <c:v>54921</c:v>
                </c:pt>
                <c:pt idx="102">
                  <c:v>54921</c:v>
                </c:pt>
                <c:pt idx="103">
                  <c:v>54921</c:v>
                </c:pt>
                <c:pt idx="104">
                  <c:v>54921</c:v>
                </c:pt>
                <c:pt idx="105">
                  <c:v>54921</c:v>
                </c:pt>
                <c:pt idx="106">
                  <c:v>54921</c:v>
                </c:pt>
                <c:pt idx="107">
                  <c:v>54921</c:v>
                </c:pt>
                <c:pt idx="108">
                  <c:v>54921</c:v>
                </c:pt>
                <c:pt idx="109">
                  <c:v>54921</c:v>
                </c:pt>
                <c:pt idx="110">
                  <c:v>54921</c:v>
                </c:pt>
                <c:pt idx="111">
                  <c:v>54921</c:v>
                </c:pt>
                <c:pt idx="112">
                  <c:v>54921</c:v>
                </c:pt>
                <c:pt idx="113">
                  <c:v>54921</c:v>
                </c:pt>
                <c:pt idx="114">
                  <c:v>54921</c:v>
                </c:pt>
                <c:pt idx="115">
                  <c:v>54921</c:v>
                </c:pt>
                <c:pt idx="116">
                  <c:v>54921</c:v>
                </c:pt>
                <c:pt idx="117">
                  <c:v>54921</c:v>
                </c:pt>
                <c:pt idx="118">
                  <c:v>54921</c:v>
                </c:pt>
                <c:pt idx="119">
                  <c:v>54921</c:v>
                </c:pt>
                <c:pt idx="120">
                  <c:v>54921</c:v>
                </c:pt>
                <c:pt idx="121">
                  <c:v>54921</c:v>
                </c:pt>
                <c:pt idx="122">
                  <c:v>54921</c:v>
                </c:pt>
                <c:pt idx="123">
                  <c:v>54921</c:v>
                </c:pt>
                <c:pt idx="124">
                  <c:v>54921</c:v>
                </c:pt>
                <c:pt idx="125">
                  <c:v>54921</c:v>
                </c:pt>
                <c:pt idx="126">
                  <c:v>54921</c:v>
                </c:pt>
                <c:pt idx="127">
                  <c:v>54921</c:v>
                </c:pt>
                <c:pt idx="128">
                  <c:v>54921</c:v>
                </c:pt>
                <c:pt idx="129">
                  <c:v>54921</c:v>
                </c:pt>
                <c:pt idx="130">
                  <c:v>54921</c:v>
                </c:pt>
                <c:pt idx="131">
                  <c:v>54921</c:v>
                </c:pt>
                <c:pt idx="132">
                  <c:v>54921</c:v>
                </c:pt>
                <c:pt idx="133">
                  <c:v>54921</c:v>
                </c:pt>
                <c:pt idx="134">
                  <c:v>54921</c:v>
                </c:pt>
                <c:pt idx="135">
                  <c:v>54921</c:v>
                </c:pt>
                <c:pt idx="136">
                  <c:v>54921</c:v>
                </c:pt>
                <c:pt idx="137">
                  <c:v>54921</c:v>
                </c:pt>
                <c:pt idx="138">
                  <c:v>54921</c:v>
                </c:pt>
                <c:pt idx="139">
                  <c:v>54921</c:v>
                </c:pt>
                <c:pt idx="140">
                  <c:v>54921</c:v>
                </c:pt>
                <c:pt idx="141">
                  <c:v>54921</c:v>
                </c:pt>
                <c:pt idx="142">
                  <c:v>54921</c:v>
                </c:pt>
                <c:pt idx="143">
                  <c:v>54921</c:v>
                </c:pt>
                <c:pt idx="144">
                  <c:v>54921</c:v>
                </c:pt>
                <c:pt idx="145">
                  <c:v>54921</c:v>
                </c:pt>
                <c:pt idx="146">
                  <c:v>54921</c:v>
                </c:pt>
                <c:pt idx="147">
                  <c:v>54921</c:v>
                </c:pt>
                <c:pt idx="148">
                  <c:v>54921</c:v>
                </c:pt>
                <c:pt idx="149">
                  <c:v>54921</c:v>
                </c:pt>
                <c:pt idx="150">
                  <c:v>54921</c:v>
                </c:pt>
                <c:pt idx="151">
                  <c:v>54921</c:v>
                </c:pt>
                <c:pt idx="152">
                  <c:v>54921</c:v>
                </c:pt>
                <c:pt idx="153">
                  <c:v>54921</c:v>
                </c:pt>
                <c:pt idx="154">
                  <c:v>54921</c:v>
                </c:pt>
                <c:pt idx="155">
                  <c:v>54921</c:v>
                </c:pt>
                <c:pt idx="156">
                  <c:v>54921</c:v>
                </c:pt>
                <c:pt idx="157">
                  <c:v>54921</c:v>
                </c:pt>
                <c:pt idx="158">
                  <c:v>54921</c:v>
                </c:pt>
                <c:pt idx="159">
                  <c:v>54921</c:v>
                </c:pt>
                <c:pt idx="160">
                  <c:v>54921</c:v>
                </c:pt>
                <c:pt idx="161">
                  <c:v>54921</c:v>
                </c:pt>
                <c:pt idx="162">
                  <c:v>54921</c:v>
                </c:pt>
                <c:pt idx="163">
                  <c:v>54921</c:v>
                </c:pt>
                <c:pt idx="164">
                  <c:v>54921</c:v>
                </c:pt>
                <c:pt idx="165">
                  <c:v>54921</c:v>
                </c:pt>
                <c:pt idx="166">
                  <c:v>54921</c:v>
                </c:pt>
                <c:pt idx="167">
                  <c:v>54921</c:v>
                </c:pt>
                <c:pt idx="168">
                  <c:v>54921</c:v>
                </c:pt>
              </c:numCache>
            </c:numRef>
          </c:val>
        </c:ser>
        <c:dLbls/>
        <c:marker val="1"/>
        <c:axId val="225087872"/>
        <c:axId val="225089408"/>
      </c:lineChart>
      <c:dateAx>
        <c:axId val="22508787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5089408"/>
        <c:crosses val="autoZero"/>
        <c:auto val="1"/>
        <c:lblOffset val="100"/>
        <c:baseTimeUnit val="days"/>
      </c:dateAx>
      <c:valAx>
        <c:axId val="225089408"/>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508787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38"/>
          <c:y val="3.7636257810872209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5910631320941762"/>
        </c:manualLayout>
      </c:layout>
      <c:lineChart>
        <c:grouping val="standard"/>
        <c:ser>
          <c:idx val="0"/>
          <c:order val="0"/>
          <c:tx>
            <c:strRef>
              <c:f>'subscription charts'!$G$2</c:f>
              <c:strCache>
                <c:ptCount val="1"/>
                <c:pt idx="0">
                  <c:v>RDC T4 V-MAX 3073</c:v>
                </c:pt>
              </c:strCache>
            </c:strRef>
          </c:tx>
          <c:cat>
            <c:numRef>
              <c:f>'subscription charts'!$A$3:$A$170</c:f>
              <c:numCache>
                <c:formatCode>[$-409]d\-mmm\-yy;@</c:formatCode>
                <c:ptCount val="168"/>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numCache>
            </c:numRef>
          </c:cat>
          <c:val>
            <c:numRef>
              <c:f>'subscription charts'!$G$3:$G$170</c:f>
              <c:numCache>
                <c:formatCode>0.00%</c:formatCode>
                <c:ptCount val="168"/>
                <c:pt idx="0">
                  <c:v>1.1793362914536716</c:v>
                </c:pt>
                <c:pt idx="1">
                  <c:v>1.1793362914536716</c:v>
                </c:pt>
                <c:pt idx="2">
                  <c:v>1.1791631651630883</c:v>
                </c:pt>
                <c:pt idx="3">
                  <c:v>1.1786437862913384</c:v>
                </c:pt>
                <c:pt idx="4">
                  <c:v>1.1750081341890883</c:v>
                </c:pt>
                <c:pt idx="5">
                  <c:v>1.1611580309424216</c:v>
                </c:pt>
                <c:pt idx="6">
                  <c:v>1.1611580309424216</c:v>
                </c:pt>
                <c:pt idx="7">
                  <c:v>1.3309202008399912</c:v>
                </c:pt>
                <c:pt idx="8">
                  <c:v>1.1611683625409848</c:v>
                </c:pt>
                <c:pt idx="9">
                  <c:v>1.1611683625409848</c:v>
                </c:pt>
                <c:pt idx="10">
                  <c:v>1.1591773924844437</c:v>
                </c:pt>
                <c:pt idx="11">
                  <c:v>3.3849641267823083</c:v>
                </c:pt>
                <c:pt idx="12">
                  <c:v>3.2828843883389336</c:v>
                </c:pt>
                <c:pt idx="13">
                  <c:v>29434.7</c:v>
                </c:pt>
                <c:pt idx="14">
                  <c:v>29760.5</c:v>
                </c:pt>
                <c:pt idx="15">
                  <c:v>30629.1</c:v>
                </c:pt>
                <c:pt idx="16">
                  <c:v>34199.199999999997</c:v>
                </c:pt>
                <c:pt idx="17">
                  <c:v>36558</c:v>
                </c:pt>
                <c:pt idx="18">
                  <c:v>38091.1</c:v>
                </c:pt>
                <c:pt idx="19">
                  <c:v>39024.199999999997</c:v>
                </c:pt>
                <c:pt idx="20">
                  <c:v>39819.9</c:v>
                </c:pt>
                <c:pt idx="21">
                  <c:v>40779.800000000003</c:v>
                </c:pt>
                <c:pt idx="22">
                  <c:v>41472.300000000003</c:v>
                </c:pt>
                <c:pt idx="23">
                  <c:v>40783.4</c:v>
                </c:pt>
                <c:pt idx="24">
                  <c:v>39658.699999999997</c:v>
                </c:pt>
                <c:pt idx="25">
                  <c:v>38654.400000000001</c:v>
                </c:pt>
                <c:pt idx="26">
                  <c:v>38501.1</c:v>
                </c:pt>
                <c:pt idx="27">
                  <c:v>31728.2</c:v>
                </c:pt>
                <c:pt idx="28">
                  <c:v>23722.2</c:v>
                </c:pt>
                <c:pt idx="29">
                  <c:v>110071.9</c:v>
                </c:pt>
                <c:pt idx="30">
                  <c:v>110071.9</c:v>
                </c:pt>
                <c:pt idx="31">
                  <c:v>110071.9</c:v>
                </c:pt>
                <c:pt idx="32">
                  <c:v>110071.9</c:v>
                </c:pt>
                <c:pt idx="33">
                  <c:v>110071.9</c:v>
                </c:pt>
                <c:pt idx="34">
                  <c:v>110071.9</c:v>
                </c:pt>
                <c:pt idx="35">
                  <c:v>110071.9</c:v>
                </c:pt>
                <c:pt idx="36">
                  <c:v>110071.9</c:v>
                </c:pt>
                <c:pt idx="37">
                  <c:v>110071.9</c:v>
                </c:pt>
                <c:pt idx="38">
                  <c:v>110071.9</c:v>
                </c:pt>
                <c:pt idx="39">
                  <c:v>110071.9</c:v>
                </c:pt>
                <c:pt idx="40">
                  <c:v>110071.9</c:v>
                </c:pt>
                <c:pt idx="41">
                  <c:v>110071.9</c:v>
                </c:pt>
                <c:pt idx="42">
                  <c:v>110071.9</c:v>
                </c:pt>
                <c:pt idx="43">
                  <c:v>110071.9</c:v>
                </c:pt>
                <c:pt idx="44">
                  <c:v>110071.9</c:v>
                </c:pt>
                <c:pt idx="45">
                  <c:v>110071.9</c:v>
                </c:pt>
                <c:pt idx="46">
                  <c:v>110071.9</c:v>
                </c:pt>
                <c:pt idx="47">
                  <c:v>110071.9</c:v>
                </c:pt>
                <c:pt idx="48">
                  <c:v>110071.9</c:v>
                </c:pt>
                <c:pt idx="49">
                  <c:v>110071.9</c:v>
                </c:pt>
                <c:pt idx="50">
                  <c:v>110071.9</c:v>
                </c:pt>
                <c:pt idx="51">
                  <c:v>110071.9</c:v>
                </c:pt>
                <c:pt idx="52">
                  <c:v>110071.9</c:v>
                </c:pt>
                <c:pt idx="53">
                  <c:v>110071.9</c:v>
                </c:pt>
                <c:pt idx="54">
                  <c:v>110071.9</c:v>
                </c:pt>
                <c:pt idx="55">
                  <c:v>110071.9</c:v>
                </c:pt>
                <c:pt idx="56">
                  <c:v>110071.9</c:v>
                </c:pt>
                <c:pt idx="57">
                  <c:v>110071.9</c:v>
                </c:pt>
                <c:pt idx="58">
                  <c:v>110071.9</c:v>
                </c:pt>
                <c:pt idx="59">
                  <c:v>110071.9</c:v>
                </c:pt>
                <c:pt idx="60">
                  <c:v>110071.9</c:v>
                </c:pt>
                <c:pt idx="61">
                  <c:v>110071.9</c:v>
                </c:pt>
                <c:pt idx="62">
                  <c:v>110071.9</c:v>
                </c:pt>
                <c:pt idx="63">
                  <c:v>110071.9</c:v>
                </c:pt>
                <c:pt idx="64">
                  <c:v>110071.9</c:v>
                </c:pt>
                <c:pt idx="65">
                  <c:v>110071.9</c:v>
                </c:pt>
                <c:pt idx="66">
                  <c:v>110071.9</c:v>
                </c:pt>
                <c:pt idx="67">
                  <c:v>110071.9</c:v>
                </c:pt>
                <c:pt idx="68">
                  <c:v>110071.9</c:v>
                </c:pt>
                <c:pt idx="69">
                  <c:v>110071.9</c:v>
                </c:pt>
                <c:pt idx="70">
                  <c:v>110071.9</c:v>
                </c:pt>
                <c:pt idx="71">
                  <c:v>110071.9</c:v>
                </c:pt>
                <c:pt idx="72">
                  <c:v>110071.9</c:v>
                </c:pt>
                <c:pt idx="73">
                  <c:v>110071.9</c:v>
                </c:pt>
                <c:pt idx="74">
                  <c:v>110071.9</c:v>
                </c:pt>
                <c:pt idx="75">
                  <c:v>110071.9</c:v>
                </c:pt>
                <c:pt idx="76">
                  <c:v>110071.9</c:v>
                </c:pt>
                <c:pt idx="77">
                  <c:v>110071.9</c:v>
                </c:pt>
                <c:pt idx="78">
                  <c:v>110071.9</c:v>
                </c:pt>
                <c:pt idx="79">
                  <c:v>110071.9</c:v>
                </c:pt>
                <c:pt idx="80">
                  <c:v>110071.9</c:v>
                </c:pt>
                <c:pt idx="81">
                  <c:v>110071.9</c:v>
                </c:pt>
                <c:pt idx="82">
                  <c:v>110071.9</c:v>
                </c:pt>
                <c:pt idx="83">
                  <c:v>110071.9</c:v>
                </c:pt>
                <c:pt idx="84">
                  <c:v>110071.9</c:v>
                </c:pt>
                <c:pt idx="85">
                  <c:v>110071.9</c:v>
                </c:pt>
                <c:pt idx="86">
                  <c:v>110071.9</c:v>
                </c:pt>
                <c:pt idx="87">
                  <c:v>110071.9</c:v>
                </c:pt>
                <c:pt idx="88">
                  <c:v>110071.9</c:v>
                </c:pt>
                <c:pt idx="89">
                  <c:v>110071.9</c:v>
                </c:pt>
                <c:pt idx="90">
                  <c:v>110071.9</c:v>
                </c:pt>
                <c:pt idx="91">
                  <c:v>110071.9</c:v>
                </c:pt>
                <c:pt idx="92">
                  <c:v>110071.9</c:v>
                </c:pt>
                <c:pt idx="93">
                  <c:v>110071.9</c:v>
                </c:pt>
                <c:pt idx="94">
                  <c:v>110071.9</c:v>
                </c:pt>
                <c:pt idx="95">
                  <c:v>1.5479627407176584</c:v>
                </c:pt>
                <c:pt idx="96">
                  <c:v>110071.9</c:v>
                </c:pt>
                <c:pt idx="97">
                  <c:v>110071.9</c:v>
                </c:pt>
                <c:pt idx="98">
                  <c:v>110071.9</c:v>
                </c:pt>
                <c:pt idx="99">
                  <c:v>110071.9</c:v>
                </c:pt>
                <c:pt idx="100">
                  <c:v>110071.9</c:v>
                </c:pt>
                <c:pt idx="101">
                  <c:v>110071.9</c:v>
                </c:pt>
                <c:pt idx="102">
                  <c:v>110071.9</c:v>
                </c:pt>
                <c:pt idx="103">
                  <c:v>110071.9</c:v>
                </c:pt>
                <c:pt idx="104">
                  <c:v>110071.9</c:v>
                </c:pt>
                <c:pt idx="105">
                  <c:v>110071.9</c:v>
                </c:pt>
                <c:pt idx="106">
                  <c:v>110071.9</c:v>
                </c:pt>
                <c:pt idx="107">
                  <c:v>110071.9</c:v>
                </c:pt>
                <c:pt idx="108">
                  <c:v>110071.9</c:v>
                </c:pt>
                <c:pt idx="109">
                  <c:v>110071.9</c:v>
                </c:pt>
                <c:pt idx="110">
                  <c:v>110071.9</c:v>
                </c:pt>
                <c:pt idx="111">
                  <c:v>110071.9</c:v>
                </c:pt>
                <c:pt idx="112">
                  <c:v>110071.9</c:v>
                </c:pt>
                <c:pt idx="113">
                  <c:v>110071.9</c:v>
                </c:pt>
                <c:pt idx="114">
                  <c:v>110071.9</c:v>
                </c:pt>
                <c:pt idx="115">
                  <c:v>110071.9</c:v>
                </c:pt>
                <c:pt idx="116">
                  <c:v>110071.9</c:v>
                </c:pt>
                <c:pt idx="117">
                  <c:v>110071.9</c:v>
                </c:pt>
                <c:pt idx="118">
                  <c:v>110071.9</c:v>
                </c:pt>
                <c:pt idx="119">
                  <c:v>110071.9</c:v>
                </c:pt>
                <c:pt idx="120">
                  <c:v>110071.9</c:v>
                </c:pt>
                <c:pt idx="121">
                  <c:v>110071.9</c:v>
                </c:pt>
                <c:pt idx="122">
                  <c:v>110071.9</c:v>
                </c:pt>
                <c:pt idx="123">
                  <c:v>110071.9</c:v>
                </c:pt>
                <c:pt idx="124">
                  <c:v>110071.9</c:v>
                </c:pt>
                <c:pt idx="125">
                  <c:v>110071.9</c:v>
                </c:pt>
                <c:pt idx="126">
                  <c:v>110071.9</c:v>
                </c:pt>
                <c:pt idx="127">
                  <c:v>110071.9</c:v>
                </c:pt>
                <c:pt idx="128">
                  <c:v>110071.9</c:v>
                </c:pt>
                <c:pt idx="129">
                  <c:v>110071.9</c:v>
                </c:pt>
                <c:pt idx="130">
                  <c:v>110071.9</c:v>
                </c:pt>
                <c:pt idx="131">
                  <c:v>110071.9</c:v>
                </c:pt>
                <c:pt idx="132">
                  <c:v>110071.9</c:v>
                </c:pt>
                <c:pt idx="133">
                  <c:v>110071.9</c:v>
                </c:pt>
                <c:pt idx="134">
                  <c:v>110071.9</c:v>
                </c:pt>
                <c:pt idx="135">
                  <c:v>110071.9</c:v>
                </c:pt>
                <c:pt idx="136">
                  <c:v>110071.9</c:v>
                </c:pt>
                <c:pt idx="137">
                  <c:v>110071.9</c:v>
                </c:pt>
                <c:pt idx="138">
                  <c:v>110071.9</c:v>
                </c:pt>
                <c:pt idx="139">
                  <c:v>110071.9</c:v>
                </c:pt>
                <c:pt idx="140">
                  <c:v>110071.9</c:v>
                </c:pt>
                <c:pt idx="141">
                  <c:v>110071.9</c:v>
                </c:pt>
                <c:pt idx="142">
                  <c:v>110071.9</c:v>
                </c:pt>
                <c:pt idx="143">
                  <c:v>110071.9</c:v>
                </c:pt>
                <c:pt idx="144">
                  <c:v>110071.9</c:v>
                </c:pt>
                <c:pt idx="145">
                  <c:v>110071.9</c:v>
                </c:pt>
                <c:pt idx="146">
                  <c:v>110071.9</c:v>
                </c:pt>
                <c:pt idx="147">
                  <c:v>110071.9</c:v>
                </c:pt>
                <c:pt idx="148">
                  <c:v>110071.9</c:v>
                </c:pt>
                <c:pt idx="149">
                  <c:v>110071.9</c:v>
                </c:pt>
                <c:pt idx="150">
                  <c:v>110071.9</c:v>
                </c:pt>
                <c:pt idx="151">
                  <c:v>110071.9</c:v>
                </c:pt>
                <c:pt idx="152">
                  <c:v>110071.9</c:v>
                </c:pt>
                <c:pt idx="153">
                  <c:v>110071.9</c:v>
                </c:pt>
                <c:pt idx="154">
                  <c:v>110071.9</c:v>
                </c:pt>
                <c:pt idx="155">
                  <c:v>110071.9</c:v>
                </c:pt>
                <c:pt idx="156">
                  <c:v>110071.9</c:v>
                </c:pt>
                <c:pt idx="157">
                  <c:v>110071.9</c:v>
                </c:pt>
                <c:pt idx="158">
                  <c:v>110071.9</c:v>
                </c:pt>
                <c:pt idx="159">
                  <c:v>110071.9</c:v>
                </c:pt>
                <c:pt idx="160">
                  <c:v>110071.9</c:v>
                </c:pt>
                <c:pt idx="161">
                  <c:v>110071.9</c:v>
                </c:pt>
                <c:pt idx="162">
                  <c:v>110071.9</c:v>
                </c:pt>
                <c:pt idx="163">
                  <c:v>110071.9</c:v>
                </c:pt>
                <c:pt idx="164">
                  <c:v>110071.9</c:v>
                </c:pt>
                <c:pt idx="165">
                  <c:v>110071.9</c:v>
                </c:pt>
                <c:pt idx="166">
                  <c:v>110071.9</c:v>
                </c:pt>
                <c:pt idx="167">
                  <c:v>110071.9</c:v>
                </c:pt>
              </c:numCache>
            </c:numRef>
          </c:val>
        </c:ser>
        <c:dLbls/>
        <c:marker val="1"/>
        <c:axId val="225318400"/>
        <c:axId val="225319936"/>
      </c:lineChart>
      <c:dateAx>
        <c:axId val="22531840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5319936"/>
        <c:crosses val="autoZero"/>
        <c:auto val="1"/>
        <c:lblOffset val="100"/>
        <c:baseTimeUnit val="days"/>
      </c:dateAx>
      <c:valAx>
        <c:axId val="22531993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531840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38"/>
          <c:y val="3.7636257810872209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730284760400699"/>
        </c:manualLayout>
      </c:layout>
      <c:lineChart>
        <c:grouping val="standard"/>
        <c:ser>
          <c:idx val="0"/>
          <c:order val="0"/>
          <c:tx>
            <c:strRef>
              <c:f>'subscription charts'!$F$2</c:f>
              <c:strCache>
                <c:ptCount val="1"/>
                <c:pt idx="0">
                  <c:v>RDC T3 V-MAX 3286</c:v>
                </c:pt>
              </c:strCache>
            </c:strRef>
          </c:tx>
          <c:cat>
            <c:numRef>
              <c:f>'subscription charts'!$A$3:$A$156</c:f>
              <c:numCache>
                <c:formatCode>[$-409]d\-mmm\-yy;@</c:formatCode>
                <c:ptCount val="154"/>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numCache>
            </c:numRef>
          </c:cat>
          <c:val>
            <c:numRef>
              <c:f>'subscription charts'!$F$3:$F$156</c:f>
              <c:numCache>
                <c:formatCode>0.00%</c:formatCode>
                <c:ptCount val="154"/>
                <c:pt idx="0">
                  <c:v>0.78844328311751111</c:v>
                </c:pt>
                <c:pt idx="1">
                  <c:v>0.78844328311751111</c:v>
                </c:pt>
                <c:pt idx="2">
                  <c:v>0.77947675314667364</c:v>
                </c:pt>
                <c:pt idx="3">
                  <c:v>0.77438213384506127</c:v>
                </c:pt>
                <c:pt idx="4">
                  <c:v>0.77295564044060994</c:v>
                </c:pt>
                <c:pt idx="5">
                  <c:v>0.76643452773454623</c:v>
                </c:pt>
                <c:pt idx="6">
                  <c:v>0.76643452773454623</c:v>
                </c:pt>
                <c:pt idx="7">
                  <c:v>3.1321998156570614</c:v>
                </c:pt>
                <c:pt idx="8">
                  <c:v>1.4888647920097913</c:v>
                </c:pt>
                <c:pt idx="9">
                  <c:v>1.4424014505673832</c:v>
                </c:pt>
                <c:pt idx="10">
                  <c:v>1.4424014505673832</c:v>
                </c:pt>
                <c:pt idx="11">
                  <c:v>1.4294862876052039</c:v>
                </c:pt>
                <c:pt idx="12">
                  <c:v>1.4058449403907465</c:v>
                </c:pt>
                <c:pt idx="13">
                  <c:v>63182.8</c:v>
                </c:pt>
                <c:pt idx="14">
                  <c:v>62179.3</c:v>
                </c:pt>
                <c:pt idx="15">
                  <c:v>60905.599999999999</c:v>
                </c:pt>
                <c:pt idx="16">
                  <c:v>60477.4</c:v>
                </c:pt>
                <c:pt idx="17">
                  <c:v>60313.9</c:v>
                </c:pt>
                <c:pt idx="18">
                  <c:v>60005</c:v>
                </c:pt>
                <c:pt idx="19">
                  <c:v>59708.1</c:v>
                </c:pt>
                <c:pt idx="20">
                  <c:v>59632</c:v>
                </c:pt>
                <c:pt idx="21">
                  <c:v>59176.7</c:v>
                </c:pt>
                <c:pt idx="22">
                  <c:v>58797.9</c:v>
                </c:pt>
                <c:pt idx="23">
                  <c:v>58495.4</c:v>
                </c:pt>
                <c:pt idx="24">
                  <c:v>58140.4</c:v>
                </c:pt>
                <c:pt idx="25">
                  <c:v>57799.3</c:v>
                </c:pt>
                <c:pt idx="26">
                  <c:v>57167.5</c:v>
                </c:pt>
                <c:pt idx="27">
                  <c:v>55488.4</c:v>
                </c:pt>
                <c:pt idx="28">
                  <c:v>55488.4</c:v>
                </c:pt>
                <c:pt idx="29">
                  <c:v>165452.5</c:v>
                </c:pt>
                <c:pt idx="30">
                  <c:v>165452.5</c:v>
                </c:pt>
                <c:pt idx="31">
                  <c:v>165452.5</c:v>
                </c:pt>
                <c:pt idx="32">
                  <c:v>165452.5</c:v>
                </c:pt>
                <c:pt idx="33">
                  <c:v>165452.5</c:v>
                </c:pt>
                <c:pt idx="34">
                  <c:v>165452.5</c:v>
                </c:pt>
                <c:pt idx="35">
                  <c:v>165452.5</c:v>
                </c:pt>
                <c:pt idx="36">
                  <c:v>165452.5</c:v>
                </c:pt>
                <c:pt idx="37">
                  <c:v>165452.5</c:v>
                </c:pt>
                <c:pt idx="38">
                  <c:v>165452.5</c:v>
                </c:pt>
                <c:pt idx="39">
                  <c:v>165452.5</c:v>
                </c:pt>
                <c:pt idx="40">
                  <c:v>165452.5</c:v>
                </c:pt>
                <c:pt idx="41">
                  <c:v>165452.5</c:v>
                </c:pt>
                <c:pt idx="42">
                  <c:v>165452.5</c:v>
                </c:pt>
                <c:pt idx="43">
                  <c:v>165452.5</c:v>
                </c:pt>
                <c:pt idx="44">
                  <c:v>165452.5</c:v>
                </c:pt>
                <c:pt idx="45">
                  <c:v>165452.5</c:v>
                </c:pt>
                <c:pt idx="46">
                  <c:v>165452.5</c:v>
                </c:pt>
                <c:pt idx="47">
                  <c:v>165452.5</c:v>
                </c:pt>
                <c:pt idx="48">
                  <c:v>165452.5</c:v>
                </c:pt>
                <c:pt idx="49">
                  <c:v>165452.5</c:v>
                </c:pt>
                <c:pt idx="50">
                  <c:v>165452.5</c:v>
                </c:pt>
                <c:pt idx="51">
                  <c:v>165452.5</c:v>
                </c:pt>
                <c:pt idx="52">
                  <c:v>165452.5</c:v>
                </c:pt>
                <c:pt idx="53">
                  <c:v>165452.5</c:v>
                </c:pt>
                <c:pt idx="54">
                  <c:v>165452.5</c:v>
                </c:pt>
                <c:pt idx="55">
                  <c:v>165452.5</c:v>
                </c:pt>
                <c:pt idx="56">
                  <c:v>165452.5</c:v>
                </c:pt>
                <c:pt idx="57">
                  <c:v>165452.5</c:v>
                </c:pt>
                <c:pt idx="58">
                  <c:v>165452.5</c:v>
                </c:pt>
                <c:pt idx="59">
                  <c:v>121331.8</c:v>
                </c:pt>
                <c:pt idx="60">
                  <c:v>121331.8</c:v>
                </c:pt>
                <c:pt idx="61">
                  <c:v>121331.8</c:v>
                </c:pt>
                <c:pt idx="62">
                  <c:v>121331.8</c:v>
                </c:pt>
                <c:pt idx="63">
                  <c:v>121331.8</c:v>
                </c:pt>
                <c:pt idx="64">
                  <c:v>121331.8</c:v>
                </c:pt>
                <c:pt idx="65">
                  <c:v>121331.8</c:v>
                </c:pt>
                <c:pt idx="66">
                  <c:v>121331.8</c:v>
                </c:pt>
                <c:pt idx="67">
                  <c:v>121331.8</c:v>
                </c:pt>
                <c:pt idx="68">
                  <c:v>121331.8</c:v>
                </c:pt>
                <c:pt idx="69">
                  <c:v>121331.8</c:v>
                </c:pt>
                <c:pt idx="70">
                  <c:v>121331.8</c:v>
                </c:pt>
                <c:pt idx="71">
                  <c:v>121331.8</c:v>
                </c:pt>
                <c:pt idx="72">
                  <c:v>121331.8</c:v>
                </c:pt>
                <c:pt idx="73">
                  <c:v>121331.8</c:v>
                </c:pt>
                <c:pt idx="74">
                  <c:v>121331.8</c:v>
                </c:pt>
                <c:pt idx="75">
                  <c:v>121331.8</c:v>
                </c:pt>
                <c:pt idx="76">
                  <c:v>121331.8</c:v>
                </c:pt>
                <c:pt idx="77">
                  <c:v>121331.8</c:v>
                </c:pt>
                <c:pt idx="78">
                  <c:v>121331.8</c:v>
                </c:pt>
                <c:pt idx="79">
                  <c:v>121331.8</c:v>
                </c:pt>
                <c:pt idx="80">
                  <c:v>121331.8</c:v>
                </c:pt>
                <c:pt idx="81">
                  <c:v>121331.8</c:v>
                </c:pt>
                <c:pt idx="82">
                  <c:v>121331.8</c:v>
                </c:pt>
                <c:pt idx="83">
                  <c:v>121331.8</c:v>
                </c:pt>
                <c:pt idx="84">
                  <c:v>121331.8</c:v>
                </c:pt>
                <c:pt idx="85">
                  <c:v>121331.8</c:v>
                </c:pt>
                <c:pt idx="86">
                  <c:v>121331.8</c:v>
                </c:pt>
                <c:pt idx="87">
                  <c:v>121331.8</c:v>
                </c:pt>
                <c:pt idx="88">
                  <c:v>121331.8</c:v>
                </c:pt>
                <c:pt idx="89">
                  <c:v>121331.8</c:v>
                </c:pt>
                <c:pt idx="90">
                  <c:v>121331.8</c:v>
                </c:pt>
                <c:pt idx="91">
                  <c:v>121331.8</c:v>
                </c:pt>
                <c:pt idx="92">
                  <c:v>121331.8</c:v>
                </c:pt>
                <c:pt idx="93">
                  <c:v>121331.8</c:v>
                </c:pt>
                <c:pt idx="94">
                  <c:v>121331.8</c:v>
                </c:pt>
                <c:pt idx="95">
                  <c:v>0.44134596206435578</c:v>
                </c:pt>
                <c:pt idx="96">
                  <c:v>121331.8</c:v>
                </c:pt>
                <c:pt idx="97">
                  <c:v>121331.8</c:v>
                </c:pt>
                <c:pt idx="98">
                  <c:v>121331.8</c:v>
                </c:pt>
                <c:pt idx="99">
                  <c:v>121331.8</c:v>
                </c:pt>
                <c:pt idx="100">
                  <c:v>121331.8</c:v>
                </c:pt>
                <c:pt idx="101">
                  <c:v>121331.8</c:v>
                </c:pt>
                <c:pt idx="102">
                  <c:v>121331.8</c:v>
                </c:pt>
                <c:pt idx="103">
                  <c:v>121331.8</c:v>
                </c:pt>
                <c:pt idx="104">
                  <c:v>121331.8</c:v>
                </c:pt>
                <c:pt idx="105">
                  <c:v>121331.8</c:v>
                </c:pt>
                <c:pt idx="106">
                  <c:v>121331.8</c:v>
                </c:pt>
                <c:pt idx="107">
                  <c:v>121331.8</c:v>
                </c:pt>
                <c:pt idx="108">
                  <c:v>121331.8</c:v>
                </c:pt>
                <c:pt idx="109">
                  <c:v>121331.8</c:v>
                </c:pt>
                <c:pt idx="110">
                  <c:v>121331.8</c:v>
                </c:pt>
                <c:pt idx="111">
                  <c:v>121331.8</c:v>
                </c:pt>
                <c:pt idx="112">
                  <c:v>121331.8</c:v>
                </c:pt>
                <c:pt idx="113">
                  <c:v>121331.8</c:v>
                </c:pt>
                <c:pt idx="114">
                  <c:v>121331.8</c:v>
                </c:pt>
                <c:pt idx="115">
                  <c:v>121331.8</c:v>
                </c:pt>
                <c:pt idx="116">
                  <c:v>121331.8</c:v>
                </c:pt>
                <c:pt idx="117">
                  <c:v>121331.8</c:v>
                </c:pt>
                <c:pt idx="118">
                  <c:v>121331.8</c:v>
                </c:pt>
                <c:pt idx="119">
                  <c:v>121331.8</c:v>
                </c:pt>
                <c:pt idx="120">
                  <c:v>121331.8</c:v>
                </c:pt>
                <c:pt idx="121">
                  <c:v>121331.8</c:v>
                </c:pt>
                <c:pt idx="122">
                  <c:v>121331.8</c:v>
                </c:pt>
                <c:pt idx="123">
                  <c:v>121331.8</c:v>
                </c:pt>
                <c:pt idx="124">
                  <c:v>121331.8</c:v>
                </c:pt>
                <c:pt idx="125">
                  <c:v>121331.8</c:v>
                </c:pt>
                <c:pt idx="126">
                  <c:v>121331.8</c:v>
                </c:pt>
                <c:pt idx="127">
                  <c:v>121331.8</c:v>
                </c:pt>
                <c:pt idx="128">
                  <c:v>121331.8</c:v>
                </c:pt>
                <c:pt idx="129">
                  <c:v>121331.8</c:v>
                </c:pt>
                <c:pt idx="130">
                  <c:v>121331.8</c:v>
                </c:pt>
                <c:pt idx="131">
                  <c:v>121331.8</c:v>
                </c:pt>
                <c:pt idx="132">
                  <c:v>121331.8</c:v>
                </c:pt>
                <c:pt idx="133">
                  <c:v>121331.8</c:v>
                </c:pt>
                <c:pt idx="134">
                  <c:v>121331.8</c:v>
                </c:pt>
                <c:pt idx="135">
                  <c:v>121331.8</c:v>
                </c:pt>
                <c:pt idx="136">
                  <c:v>121331.8</c:v>
                </c:pt>
                <c:pt idx="137">
                  <c:v>121331.8</c:v>
                </c:pt>
                <c:pt idx="138">
                  <c:v>121331.8</c:v>
                </c:pt>
                <c:pt idx="139">
                  <c:v>121331.8</c:v>
                </c:pt>
                <c:pt idx="140">
                  <c:v>121331.8</c:v>
                </c:pt>
                <c:pt idx="141">
                  <c:v>121331.8</c:v>
                </c:pt>
                <c:pt idx="142">
                  <c:v>121331.8</c:v>
                </c:pt>
                <c:pt idx="143">
                  <c:v>121331.8</c:v>
                </c:pt>
                <c:pt idx="144">
                  <c:v>121331.8</c:v>
                </c:pt>
                <c:pt idx="145">
                  <c:v>121331.8</c:v>
                </c:pt>
                <c:pt idx="146">
                  <c:v>121331.8</c:v>
                </c:pt>
                <c:pt idx="147">
                  <c:v>121331.8</c:v>
                </c:pt>
                <c:pt idx="148">
                  <c:v>121331.8</c:v>
                </c:pt>
                <c:pt idx="149">
                  <c:v>121331.8</c:v>
                </c:pt>
                <c:pt idx="150">
                  <c:v>121331.8</c:v>
                </c:pt>
                <c:pt idx="151">
                  <c:v>121331.8</c:v>
                </c:pt>
                <c:pt idx="152">
                  <c:v>121331.8</c:v>
                </c:pt>
                <c:pt idx="153">
                  <c:v>121331.8</c:v>
                </c:pt>
              </c:numCache>
            </c:numRef>
          </c:val>
        </c:ser>
        <c:dLbls/>
        <c:marker val="1"/>
        <c:axId val="225360512"/>
        <c:axId val="225370496"/>
      </c:lineChart>
      <c:dateAx>
        <c:axId val="22536051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25370496"/>
        <c:crosses val="autoZero"/>
        <c:auto val="1"/>
        <c:lblOffset val="100"/>
        <c:baseTimeUnit val="days"/>
      </c:dateAx>
      <c:valAx>
        <c:axId val="22537049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2536051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38"/>
          <c:y val="3.7636257810872209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7147385222224667"/>
        </c:manualLayout>
      </c:layout>
      <c:lineChart>
        <c:grouping val="standard"/>
        <c:ser>
          <c:idx val="0"/>
          <c:order val="0"/>
          <c:tx>
            <c:strRef>
              <c:f>'subscription charts'!$H$2</c:f>
              <c:strCache>
                <c:ptCount val="1"/>
                <c:pt idx="0">
                  <c:v>RDC T3 V-MAX 2230</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charts'!$H$2:$H$171</c:f>
              <c:numCache>
                <c:formatCode>0.00%</c:formatCode>
                <c:ptCount val="170"/>
                <c:pt idx="0" formatCode="General">
                  <c:v>0</c:v>
                </c:pt>
                <c:pt idx="1">
                  <c:v>1.2136297062735497</c:v>
                </c:pt>
                <c:pt idx="2">
                  <c:v>1.2136297062735497</c:v>
                </c:pt>
                <c:pt idx="3">
                  <c:v>1.2090938786420431</c:v>
                </c:pt>
                <c:pt idx="4">
                  <c:v>1.2090938786420431</c:v>
                </c:pt>
                <c:pt idx="5">
                  <c:v>1.733189962565461</c:v>
                </c:pt>
                <c:pt idx="6">
                  <c:v>1.6578822056542473</c:v>
                </c:pt>
                <c:pt idx="7">
                  <c:v>1.6578822056542473</c:v>
                </c:pt>
                <c:pt idx="8">
                  <c:v>1.4500345828546184</c:v>
                </c:pt>
                <c:pt idx="9">
                  <c:v>1.0582084498870039</c:v>
                </c:pt>
                <c:pt idx="10">
                  <c:v>0.97345173318124334</c:v>
                </c:pt>
                <c:pt idx="11">
                  <c:v>0.94288373699228056</c:v>
                </c:pt>
                <c:pt idx="12">
                  <c:v>0.84486342409821646</c:v>
                </c:pt>
                <c:pt idx="13">
                  <c:v>0.81734977969501799</c:v>
                </c:pt>
                <c:pt idx="14">
                  <c:v>48608</c:v>
                </c:pt>
                <c:pt idx="15">
                  <c:v>48355.8</c:v>
                </c:pt>
                <c:pt idx="16">
                  <c:v>48141.8</c:v>
                </c:pt>
                <c:pt idx="17">
                  <c:v>48045.9</c:v>
                </c:pt>
                <c:pt idx="18">
                  <c:v>47977.7</c:v>
                </c:pt>
                <c:pt idx="19">
                  <c:v>47809.4</c:v>
                </c:pt>
                <c:pt idx="20">
                  <c:v>47764.2</c:v>
                </c:pt>
                <c:pt idx="21">
                  <c:v>47754.1</c:v>
                </c:pt>
                <c:pt idx="22">
                  <c:v>47374.6</c:v>
                </c:pt>
                <c:pt idx="23">
                  <c:v>47359.199999999997</c:v>
                </c:pt>
                <c:pt idx="24">
                  <c:v>47322.8</c:v>
                </c:pt>
                <c:pt idx="25">
                  <c:v>47274.7</c:v>
                </c:pt>
                <c:pt idx="26">
                  <c:v>47150.9</c:v>
                </c:pt>
                <c:pt idx="27">
                  <c:v>47144.1</c:v>
                </c:pt>
                <c:pt idx="28">
                  <c:v>47121.7</c:v>
                </c:pt>
                <c:pt idx="29">
                  <c:v>47009.4</c:v>
                </c:pt>
                <c:pt idx="30">
                  <c:v>121331.8</c:v>
                </c:pt>
                <c:pt idx="31">
                  <c:v>121331.8</c:v>
                </c:pt>
                <c:pt idx="32">
                  <c:v>121331.8</c:v>
                </c:pt>
                <c:pt idx="33">
                  <c:v>121331.8</c:v>
                </c:pt>
                <c:pt idx="34">
                  <c:v>121331.8</c:v>
                </c:pt>
                <c:pt idx="35">
                  <c:v>121331.8</c:v>
                </c:pt>
                <c:pt idx="36">
                  <c:v>121331.8</c:v>
                </c:pt>
                <c:pt idx="37">
                  <c:v>121331.8</c:v>
                </c:pt>
                <c:pt idx="38">
                  <c:v>121331.8</c:v>
                </c:pt>
                <c:pt idx="39">
                  <c:v>121331.8</c:v>
                </c:pt>
                <c:pt idx="40">
                  <c:v>121331.8</c:v>
                </c:pt>
                <c:pt idx="41">
                  <c:v>121331.8</c:v>
                </c:pt>
                <c:pt idx="42">
                  <c:v>121331.8</c:v>
                </c:pt>
                <c:pt idx="43">
                  <c:v>121331.8</c:v>
                </c:pt>
                <c:pt idx="44">
                  <c:v>121331.8</c:v>
                </c:pt>
                <c:pt idx="45">
                  <c:v>121331.8</c:v>
                </c:pt>
                <c:pt idx="46">
                  <c:v>121331.8</c:v>
                </c:pt>
                <c:pt idx="47">
                  <c:v>121331.8</c:v>
                </c:pt>
                <c:pt idx="48">
                  <c:v>121331.8</c:v>
                </c:pt>
                <c:pt idx="49">
                  <c:v>121331.8</c:v>
                </c:pt>
                <c:pt idx="50">
                  <c:v>121331.8</c:v>
                </c:pt>
                <c:pt idx="51">
                  <c:v>121331.8</c:v>
                </c:pt>
                <c:pt idx="52">
                  <c:v>121331.8</c:v>
                </c:pt>
                <c:pt idx="53">
                  <c:v>121331.8</c:v>
                </c:pt>
                <c:pt idx="54">
                  <c:v>121331.8</c:v>
                </c:pt>
                <c:pt idx="55">
                  <c:v>121331.8</c:v>
                </c:pt>
                <c:pt idx="56">
                  <c:v>121331.8</c:v>
                </c:pt>
                <c:pt idx="57">
                  <c:v>121331.8</c:v>
                </c:pt>
                <c:pt idx="58">
                  <c:v>121331.8</c:v>
                </c:pt>
                <c:pt idx="59">
                  <c:v>121331.8</c:v>
                </c:pt>
                <c:pt idx="60">
                  <c:v>121331.8</c:v>
                </c:pt>
                <c:pt idx="61">
                  <c:v>121331.8</c:v>
                </c:pt>
                <c:pt idx="62">
                  <c:v>121331.8</c:v>
                </c:pt>
                <c:pt idx="63">
                  <c:v>121331.8</c:v>
                </c:pt>
                <c:pt idx="64">
                  <c:v>121331.8</c:v>
                </c:pt>
                <c:pt idx="65">
                  <c:v>121331.8</c:v>
                </c:pt>
                <c:pt idx="66">
                  <c:v>121331.8</c:v>
                </c:pt>
                <c:pt idx="67">
                  <c:v>121331.8</c:v>
                </c:pt>
                <c:pt idx="68">
                  <c:v>121331.8</c:v>
                </c:pt>
                <c:pt idx="69">
                  <c:v>121331.8</c:v>
                </c:pt>
                <c:pt idx="70">
                  <c:v>121331.8</c:v>
                </c:pt>
                <c:pt idx="71">
                  <c:v>121331.8</c:v>
                </c:pt>
                <c:pt idx="72">
                  <c:v>121331.8</c:v>
                </c:pt>
                <c:pt idx="73">
                  <c:v>121331.8</c:v>
                </c:pt>
                <c:pt idx="74">
                  <c:v>121331.8</c:v>
                </c:pt>
                <c:pt idx="75">
                  <c:v>121331.8</c:v>
                </c:pt>
                <c:pt idx="76">
                  <c:v>121331.8</c:v>
                </c:pt>
                <c:pt idx="77">
                  <c:v>121331.8</c:v>
                </c:pt>
                <c:pt idx="78">
                  <c:v>121331.8</c:v>
                </c:pt>
                <c:pt idx="79">
                  <c:v>121331.8</c:v>
                </c:pt>
                <c:pt idx="80">
                  <c:v>121331.8</c:v>
                </c:pt>
                <c:pt idx="81">
                  <c:v>121331.8</c:v>
                </c:pt>
                <c:pt idx="82">
                  <c:v>121331.8</c:v>
                </c:pt>
                <c:pt idx="83">
                  <c:v>121331.8</c:v>
                </c:pt>
                <c:pt idx="84">
                  <c:v>121331.8</c:v>
                </c:pt>
                <c:pt idx="85">
                  <c:v>121331.8</c:v>
                </c:pt>
                <c:pt idx="86">
                  <c:v>121331.8</c:v>
                </c:pt>
                <c:pt idx="87">
                  <c:v>121331.8</c:v>
                </c:pt>
                <c:pt idx="88">
                  <c:v>121331.8</c:v>
                </c:pt>
                <c:pt idx="89">
                  <c:v>121331.8</c:v>
                </c:pt>
                <c:pt idx="90">
                  <c:v>121331.8</c:v>
                </c:pt>
                <c:pt idx="91">
                  <c:v>121331.8</c:v>
                </c:pt>
                <c:pt idx="92">
                  <c:v>121331.8</c:v>
                </c:pt>
                <c:pt idx="93">
                  <c:v>121331.8</c:v>
                </c:pt>
                <c:pt idx="94">
                  <c:v>121331.8</c:v>
                </c:pt>
                <c:pt idx="95">
                  <c:v>121331.8</c:v>
                </c:pt>
                <c:pt idx="96">
                  <c:v>0.39412833239101375</c:v>
                </c:pt>
                <c:pt idx="97">
                  <c:v>121331.8</c:v>
                </c:pt>
                <c:pt idx="98">
                  <c:v>121331.8</c:v>
                </c:pt>
                <c:pt idx="99">
                  <c:v>121331.8</c:v>
                </c:pt>
                <c:pt idx="100">
                  <c:v>121331.8</c:v>
                </c:pt>
                <c:pt idx="101">
                  <c:v>121331.8</c:v>
                </c:pt>
                <c:pt idx="102">
                  <c:v>121331.8</c:v>
                </c:pt>
                <c:pt idx="103">
                  <c:v>121331.8</c:v>
                </c:pt>
                <c:pt idx="104">
                  <c:v>121331.8</c:v>
                </c:pt>
                <c:pt idx="105">
                  <c:v>121331.8</c:v>
                </c:pt>
                <c:pt idx="106">
                  <c:v>121331.8</c:v>
                </c:pt>
                <c:pt idx="107">
                  <c:v>121331.8</c:v>
                </c:pt>
                <c:pt idx="108">
                  <c:v>121331.8</c:v>
                </c:pt>
                <c:pt idx="109">
                  <c:v>121331.8</c:v>
                </c:pt>
                <c:pt idx="110">
                  <c:v>121331.8</c:v>
                </c:pt>
                <c:pt idx="111">
                  <c:v>121331.8</c:v>
                </c:pt>
                <c:pt idx="112">
                  <c:v>121331.8</c:v>
                </c:pt>
                <c:pt idx="113">
                  <c:v>121331.8</c:v>
                </c:pt>
                <c:pt idx="114">
                  <c:v>121331.8</c:v>
                </c:pt>
                <c:pt idx="115">
                  <c:v>121331.8</c:v>
                </c:pt>
                <c:pt idx="116">
                  <c:v>121331.8</c:v>
                </c:pt>
                <c:pt idx="117">
                  <c:v>121331.8</c:v>
                </c:pt>
                <c:pt idx="118">
                  <c:v>121331.8</c:v>
                </c:pt>
                <c:pt idx="119">
                  <c:v>121331.8</c:v>
                </c:pt>
                <c:pt idx="120">
                  <c:v>121331.8</c:v>
                </c:pt>
                <c:pt idx="121">
                  <c:v>121331.8</c:v>
                </c:pt>
                <c:pt idx="122">
                  <c:v>121331.8</c:v>
                </c:pt>
                <c:pt idx="123">
                  <c:v>121331.8</c:v>
                </c:pt>
                <c:pt idx="124">
                  <c:v>121331.8</c:v>
                </c:pt>
                <c:pt idx="125">
                  <c:v>121331.8</c:v>
                </c:pt>
                <c:pt idx="126">
                  <c:v>121331.8</c:v>
                </c:pt>
                <c:pt idx="127">
                  <c:v>121331.8</c:v>
                </c:pt>
                <c:pt idx="128">
                  <c:v>121331.8</c:v>
                </c:pt>
                <c:pt idx="129">
                  <c:v>121331.8</c:v>
                </c:pt>
                <c:pt idx="130">
                  <c:v>121331.8</c:v>
                </c:pt>
                <c:pt idx="131">
                  <c:v>121331.8</c:v>
                </c:pt>
                <c:pt idx="132">
                  <c:v>121331.8</c:v>
                </c:pt>
                <c:pt idx="133">
                  <c:v>121331.8</c:v>
                </c:pt>
                <c:pt idx="134">
                  <c:v>121331.8</c:v>
                </c:pt>
                <c:pt idx="135">
                  <c:v>121331.8</c:v>
                </c:pt>
                <c:pt idx="136">
                  <c:v>121331.8</c:v>
                </c:pt>
                <c:pt idx="137">
                  <c:v>121331.8</c:v>
                </c:pt>
                <c:pt idx="138">
                  <c:v>121331.8</c:v>
                </c:pt>
                <c:pt idx="139">
                  <c:v>121331.8</c:v>
                </c:pt>
                <c:pt idx="140">
                  <c:v>121331.8</c:v>
                </c:pt>
                <c:pt idx="141">
                  <c:v>121331.8</c:v>
                </c:pt>
                <c:pt idx="142">
                  <c:v>121331.8</c:v>
                </c:pt>
                <c:pt idx="143">
                  <c:v>121331.8</c:v>
                </c:pt>
                <c:pt idx="144">
                  <c:v>121331.8</c:v>
                </c:pt>
                <c:pt idx="145">
                  <c:v>121331.8</c:v>
                </c:pt>
                <c:pt idx="146">
                  <c:v>121331.8</c:v>
                </c:pt>
                <c:pt idx="147">
                  <c:v>121331.8</c:v>
                </c:pt>
                <c:pt idx="148">
                  <c:v>121331.8</c:v>
                </c:pt>
                <c:pt idx="149">
                  <c:v>121331.8</c:v>
                </c:pt>
                <c:pt idx="150">
                  <c:v>121331.8</c:v>
                </c:pt>
                <c:pt idx="151">
                  <c:v>121331.8</c:v>
                </c:pt>
                <c:pt idx="152">
                  <c:v>121331.8</c:v>
                </c:pt>
                <c:pt idx="153">
                  <c:v>121331.8</c:v>
                </c:pt>
                <c:pt idx="154">
                  <c:v>121331.8</c:v>
                </c:pt>
                <c:pt idx="155">
                  <c:v>121331.8</c:v>
                </c:pt>
                <c:pt idx="156">
                  <c:v>121331.8</c:v>
                </c:pt>
                <c:pt idx="157">
                  <c:v>121331.8</c:v>
                </c:pt>
                <c:pt idx="158">
                  <c:v>121331.8</c:v>
                </c:pt>
                <c:pt idx="159">
                  <c:v>121331.8</c:v>
                </c:pt>
                <c:pt idx="160">
                  <c:v>121331.8</c:v>
                </c:pt>
                <c:pt idx="161">
                  <c:v>121331.8</c:v>
                </c:pt>
                <c:pt idx="162">
                  <c:v>121331.8</c:v>
                </c:pt>
                <c:pt idx="163">
                  <c:v>121331.8</c:v>
                </c:pt>
                <c:pt idx="164">
                  <c:v>121331.8</c:v>
                </c:pt>
                <c:pt idx="165">
                  <c:v>121331.8</c:v>
                </c:pt>
                <c:pt idx="166">
                  <c:v>121331.8</c:v>
                </c:pt>
                <c:pt idx="167">
                  <c:v>121331.8</c:v>
                </c:pt>
                <c:pt idx="168">
                  <c:v>121331.8</c:v>
                </c:pt>
                <c:pt idx="169">
                  <c:v>121331.8</c:v>
                </c:pt>
              </c:numCache>
            </c:numRef>
          </c:val>
        </c:ser>
        <c:dLbls/>
        <c:marker val="1"/>
        <c:axId val="242954240"/>
        <c:axId val="242955776"/>
      </c:lineChart>
      <c:dateAx>
        <c:axId val="2429542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2955776"/>
        <c:crosses val="autoZero"/>
        <c:auto val="1"/>
        <c:lblOffset val="100"/>
        <c:baseTimeUnit val="days"/>
      </c:dateAx>
      <c:valAx>
        <c:axId val="242955776"/>
        <c:scaling>
          <c:orientation val="minMax"/>
        </c:scaling>
        <c:axPos val="l"/>
        <c:majorGridlines/>
        <c:numFmt formatCode="General"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2954240"/>
        <c:crosses val="autoZero"/>
        <c:crossBetween val="between"/>
      </c:valAx>
    </c:plotArea>
    <c:plotVisOnly val="1"/>
    <c:dispBlanksAs val="gap"/>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38"/>
          <c:y val="3.7636257810872209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8146835614823977"/>
        </c:manualLayout>
      </c:layout>
      <c:lineChart>
        <c:grouping val="standard"/>
        <c:ser>
          <c:idx val="0"/>
          <c:order val="0"/>
          <c:tx>
            <c:strRef>
              <c:f>'subscription charts'!$K$2</c:f>
              <c:strCache>
                <c:ptCount val="1"/>
                <c:pt idx="0">
                  <c:v>FDC T4 V-MAX 2804</c:v>
                </c:pt>
              </c:strCache>
            </c:strRef>
          </c:tx>
          <c:cat>
            <c:numRef>
              <c:f>'subscription charts'!$A$3:$A$171</c:f>
              <c:numCache>
                <c:formatCode>[$-409]d\-mmm\-yy;@</c:formatCode>
                <c:ptCount val="169"/>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charts'!$K$3:$K$171</c:f>
              <c:numCache>
                <c:formatCode>0.00%</c:formatCode>
                <c:ptCount val="169"/>
                <c:pt idx="0">
                  <c:v>1.6367982999360542</c:v>
                </c:pt>
                <c:pt idx="1">
                  <c:v>1.6367982999360542</c:v>
                </c:pt>
                <c:pt idx="2">
                  <c:v>1.6188652508331691</c:v>
                </c:pt>
                <c:pt idx="3">
                  <c:v>1.608676018388348</c:v>
                </c:pt>
                <c:pt idx="4">
                  <c:v>1.6037851868148338</c:v>
                </c:pt>
                <c:pt idx="5">
                  <c:v>1.5976716473479413</c:v>
                </c:pt>
                <c:pt idx="6">
                  <c:v>1.5976716473479413</c:v>
                </c:pt>
                <c:pt idx="7">
                  <c:v>1.6160266444891165</c:v>
                </c:pt>
                <c:pt idx="8">
                  <c:v>1.5536679870851229</c:v>
                </c:pt>
                <c:pt idx="9">
                  <c:v>1.5182091426789304</c:v>
                </c:pt>
                <c:pt idx="10">
                  <c:v>1.5182091426789304</c:v>
                </c:pt>
                <c:pt idx="11">
                  <c:v>1.502447468338364</c:v>
                </c:pt>
                <c:pt idx="12">
                  <c:v>1.502447468338364</c:v>
                </c:pt>
                <c:pt idx="13">
                  <c:v>32880</c:v>
                </c:pt>
                <c:pt idx="14">
                  <c:v>32075.599999999999</c:v>
                </c:pt>
                <c:pt idx="15">
                  <c:v>32009.200000000001</c:v>
                </c:pt>
                <c:pt idx="16">
                  <c:v>31465</c:v>
                </c:pt>
                <c:pt idx="17">
                  <c:v>31381.8</c:v>
                </c:pt>
                <c:pt idx="18">
                  <c:v>31223.3</c:v>
                </c:pt>
                <c:pt idx="19">
                  <c:v>31068.400000000001</c:v>
                </c:pt>
                <c:pt idx="20">
                  <c:v>31030.2</c:v>
                </c:pt>
                <c:pt idx="21">
                  <c:v>30785.9</c:v>
                </c:pt>
                <c:pt idx="22">
                  <c:v>30595.3</c:v>
                </c:pt>
                <c:pt idx="23">
                  <c:v>30444.6</c:v>
                </c:pt>
                <c:pt idx="24">
                  <c:v>30266.6</c:v>
                </c:pt>
                <c:pt idx="25">
                  <c:v>29817.7</c:v>
                </c:pt>
                <c:pt idx="26">
                  <c:v>29488.5</c:v>
                </c:pt>
                <c:pt idx="27">
                  <c:v>29130</c:v>
                </c:pt>
                <c:pt idx="28">
                  <c:v>28675.200000000001</c:v>
                </c:pt>
                <c:pt idx="29">
                  <c:v>82726.3</c:v>
                </c:pt>
                <c:pt idx="30">
                  <c:v>82726.3</c:v>
                </c:pt>
                <c:pt idx="31">
                  <c:v>82726.3</c:v>
                </c:pt>
                <c:pt idx="32">
                  <c:v>82726.3</c:v>
                </c:pt>
                <c:pt idx="33">
                  <c:v>82726.3</c:v>
                </c:pt>
                <c:pt idx="34">
                  <c:v>82726.3</c:v>
                </c:pt>
                <c:pt idx="35">
                  <c:v>82726.3</c:v>
                </c:pt>
                <c:pt idx="36">
                  <c:v>82726.3</c:v>
                </c:pt>
                <c:pt idx="37">
                  <c:v>82726.3</c:v>
                </c:pt>
                <c:pt idx="38">
                  <c:v>82726.3</c:v>
                </c:pt>
                <c:pt idx="39">
                  <c:v>82726.3</c:v>
                </c:pt>
                <c:pt idx="40">
                  <c:v>82726.3</c:v>
                </c:pt>
                <c:pt idx="41">
                  <c:v>82726.3</c:v>
                </c:pt>
                <c:pt idx="42">
                  <c:v>82726.3</c:v>
                </c:pt>
                <c:pt idx="43">
                  <c:v>82726.3</c:v>
                </c:pt>
                <c:pt idx="44">
                  <c:v>82726.3</c:v>
                </c:pt>
                <c:pt idx="45">
                  <c:v>82726.3</c:v>
                </c:pt>
                <c:pt idx="46">
                  <c:v>82726.3</c:v>
                </c:pt>
                <c:pt idx="47">
                  <c:v>82726.3</c:v>
                </c:pt>
                <c:pt idx="48">
                  <c:v>82726.3</c:v>
                </c:pt>
                <c:pt idx="49">
                  <c:v>82726.3</c:v>
                </c:pt>
                <c:pt idx="50">
                  <c:v>82726.3</c:v>
                </c:pt>
                <c:pt idx="51">
                  <c:v>82726.3</c:v>
                </c:pt>
                <c:pt idx="52">
                  <c:v>82726.3</c:v>
                </c:pt>
                <c:pt idx="53">
                  <c:v>82726.3</c:v>
                </c:pt>
                <c:pt idx="54">
                  <c:v>82726.3</c:v>
                </c:pt>
                <c:pt idx="55">
                  <c:v>82726.3</c:v>
                </c:pt>
                <c:pt idx="56">
                  <c:v>82726.3</c:v>
                </c:pt>
                <c:pt idx="57">
                  <c:v>82726.3</c:v>
                </c:pt>
                <c:pt idx="58">
                  <c:v>82726.3</c:v>
                </c:pt>
                <c:pt idx="59">
                  <c:v>82726.3</c:v>
                </c:pt>
                <c:pt idx="60">
                  <c:v>60665.9</c:v>
                </c:pt>
                <c:pt idx="61">
                  <c:v>60665.9</c:v>
                </c:pt>
                <c:pt idx="62">
                  <c:v>60665.9</c:v>
                </c:pt>
                <c:pt idx="63">
                  <c:v>60665.9</c:v>
                </c:pt>
                <c:pt idx="64">
                  <c:v>60665.9</c:v>
                </c:pt>
                <c:pt idx="65">
                  <c:v>60665.9</c:v>
                </c:pt>
                <c:pt idx="66">
                  <c:v>60665.9</c:v>
                </c:pt>
                <c:pt idx="67">
                  <c:v>60665.9</c:v>
                </c:pt>
                <c:pt idx="68">
                  <c:v>60665.9</c:v>
                </c:pt>
                <c:pt idx="69">
                  <c:v>60665.9</c:v>
                </c:pt>
                <c:pt idx="70">
                  <c:v>60665.9</c:v>
                </c:pt>
                <c:pt idx="71">
                  <c:v>60665.9</c:v>
                </c:pt>
                <c:pt idx="72">
                  <c:v>60665.9</c:v>
                </c:pt>
                <c:pt idx="73">
                  <c:v>60665.9</c:v>
                </c:pt>
                <c:pt idx="74">
                  <c:v>60665.9</c:v>
                </c:pt>
                <c:pt idx="75">
                  <c:v>60665.9</c:v>
                </c:pt>
                <c:pt idx="76">
                  <c:v>60665.9</c:v>
                </c:pt>
                <c:pt idx="77">
                  <c:v>60665.9</c:v>
                </c:pt>
                <c:pt idx="78">
                  <c:v>60665.9</c:v>
                </c:pt>
                <c:pt idx="79">
                  <c:v>60665.9</c:v>
                </c:pt>
                <c:pt idx="80">
                  <c:v>60665.9</c:v>
                </c:pt>
                <c:pt idx="81">
                  <c:v>60665.9</c:v>
                </c:pt>
                <c:pt idx="82">
                  <c:v>60665.9</c:v>
                </c:pt>
                <c:pt idx="83">
                  <c:v>60665.9</c:v>
                </c:pt>
                <c:pt idx="84">
                  <c:v>60665.9</c:v>
                </c:pt>
                <c:pt idx="85">
                  <c:v>60665.9</c:v>
                </c:pt>
                <c:pt idx="86">
                  <c:v>60665.9</c:v>
                </c:pt>
                <c:pt idx="87">
                  <c:v>60665.9</c:v>
                </c:pt>
                <c:pt idx="88">
                  <c:v>60665.9</c:v>
                </c:pt>
                <c:pt idx="89">
                  <c:v>60665.9</c:v>
                </c:pt>
                <c:pt idx="90">
                  <c:v>60665.9</c:v>
                </c:pt>
                <c:pt idx="91">
                  <c:v>60665.9</c:v>
                </c:pt>
                <c:pt idx="92">
                  <c:v>60665.9</c:v>
                </c:pt>
                <c:pt idx="93">
                  <c:v>60665.9</c:v>
                </c:pt>
                <c:pt idx="94">
                  <c:v>60665.9</c:v>
                </c:pt>
                <c:pt idx="95">
                  <c:v>1.0304553299299937</c:v>
                </c:pt>
                <c:pt idx="96">
                  <c:v>60665.9</c:v>
                </c:pt>
                <c:pt idx="97">
                  <c:v>60665.9</c:v>
                </c:pt>
                <c:pt idx="98">
                  <c:v>60665.9</c:v>
                </c:pt>
                <c:pt idx="99">
                  <c:v>60665.9</c:v>
                </c:pt>
                <c:pt idx="100">
                  <c:v>60665.9</c:v>
                </c:pt>
                <c:pt idx="101">
                  <c:v>60665.9</c:v>
                </c:pt>
                <c:pt idx="102">
                  <c:v>60665.9</c:v>
                </c:pt>
                <c:pt idx="103">
                  <c:v>60665.9</c:v>
                </c:pt>
                <c:pt idx="104">
                  <c:v>60665.9</c:v>
                </c:pt>
                <c:pt idx="105">
                  <c:v>60665.9</c:v>
                </c:pt>
                <c:pt idx="106">
                  <c:v>60665.9</c:v>
                </c:pt>
                <c:pt idx="107">
                  <c:v>60665.9</c:v>
                </c:pt>
                <c:pt idx="108">
                  <c:v>60665.9</c:v>
                </c:pt>
                <c:pt idx="109">
                  <c:v>60665.9</c:v>
                </c:pt>
                <c:pt idx="110">
                  <c:v>60665.9</c:v>
                </c:pt>
                <c:pt idx="111">
                  <c:v>60665.9</c:v>
                </c:pt>
                <c:pt idx="112">
                  <c:v>60665.9</c:v>
                </c:pt>
                <c:pt idx="113">
                  <c:v>60665.9</c:v>
                </c:pt>
                <c:pt idx="114">
                  <c:v>60665.9</c:v>
                </c:pt>
                <c:pt idx="115">
                  <c:v>60665.9</c:v>
                </c:pt>
                <c:pt idx="116">
                  <c:v>60665.9</c:v>
                </c:pt>
                <c:pt idx="117">
                  <c:v>60665.9</c:v>
                </c:pt>
                <c:pt idx="118">
                  <c:v>60665.9</c:v>
                </c:pt>
                <c:pt idx="119">
                  <c:v>60665.9</c:v>
                </c:pt>
                <c:pt idx="120">
                  <c:v>60665.9</c:v>
                </c:pt>
                <c:pt idx="121">
                  <c:v>60665.9</c:v>
                </c:pt>
                <c:pt idx="122">
                  <c:v>60665.9</c:v>
                </c:pt>
                <c:pt idx="123">
                  <c:v>60665.9</c:v>
                </c:pt>
                <c:pt idx="124">
                  <c:v>60665.9</c:v>
                </c:pt>
                <c:pt idx="125">
                  <c:v>60665.9</c:v>
                </c:pt>
                <c:pt idx="126">
                  <c:v>60665.9</c:v>
                </c:pt>
                <c:pt idx="127">
                  <c:v>60665.9</c:v>
                </c:pt>
                <c:pt idx="128">
                  <c:v>60665.9</c:v>
                </c:pt>
                <c:pt idx="129">
                  <c:v>60665.9</c:v>
                </c:pt>
                <c:pt idx="130">
                  <c:v>60665.9</c:v>
                </c:pt>
                <c:pt idx="131">
                  <c:v>60665.9</c:v>
                </c:pt>
                <c:pt idx="132">
                  <c:v>60665.9</c:v>
                </c:pt>
                <c:pt idx="133">
                  <c:v>60665.9</c:v>
                </c:pt>
                <c:pt idx="134">
                  <c:v>60665.9</c:v>
                </c:pt>
                <c:pt idx="135">
                  <c:v>60665.9</c:v>
                </c:pt>
                <c:pt idx="136">
                  <c:v>60665.9</c:v>
                </c:pt>
                <c:pt idx="137">
                  <c:v>60665.9</c:v>
                </c:pt>
                <c:pt idx="138">
                  <c:v>60665.9</c:v>
                </c:pt>
                <c:pt idx="139">
                  <c:v>60665.9</c:v>
                </c:pt>
                <c:pt idx="140">
                  <c:v>60665.9</c:v>
                </c:pt>
                <c:pt idx="141">
                  <c:v>60665.9</c:v>
                </c:pt>
                <c:pt idx="142">
                  <c:v>60665.9</c:v>
                </c:pt>
                <c:pt idx="143">
                  <c:v>60665.9</c:v>
                </c:pt>
                <c:pt idx="144">
                  <c:v>60665.9</c:v>
                </c:pt>
                <c:pt idx="145">
                  <c:v>60665.9</c:v>
                </c:pt>
                <c:pt idx="146">
                  <c:v>60665.9</c:v>
                </c:pt>
                <c:pt idx="147">
                  <c:v>60665.9</c:v>
                </c:pt>
                <c:pt idx="148">
                  <c:v>60665.9</c:v>
                </c:pt>
                <c:pt idx="149">
                  <c:v>60665.9</c:v>
                </c:pt>
                <c:pt idx="150">
                  <c:v>60665.9</c:v>
                </c:pt>
                <c:pt idx="151">
                  <c:v>60665.9</c:v>
                </c:pt>
                <c:pt idx="152">
                  <c:v>60665.9</c:v>
                </c:pt>
                <c:pt idx="153">
                  <c:v>60665.9</c:v>
                </c:pt>
                <c:pt idx="154">
                  <c:v>60665.9</c:v>
                </c:pt>
                <c:pt idx="155">
                  <c:v>60665.9</c:v>
                </c:pt>
                <c:pt idx="156">
                  <c:v>60665.9</c:v>
                </c:pt>
                <c:pt idx="157">
                  <c:v>60665.9</c:v>
                </c:pt>
                <c:pt idx="158">
                  <c:v>60665.9</c:v>
                </c:pt>
                <c:pt idx="159">
                  <c:v>60665.9</c:v>
                </c:pt>
                <c:pt idx="160">
                  <c:v>60665.9</c:v>
                </c:pt>
                <c:pt idx="161">
                  <c:v>60665.9</c:v>
                </c:pt>
                <c:pt idx="162">
                  <c:v>60665.9</c:v>
                </c:pt>
                <c:pt idx="163">
                  <c:v>60665.9</c:v>
                </c:pt>
                <c:pt idx="164">
                  <c:v>60665.9</c:v>
                </c:pt>
                <c:pt idx="165">
                  <c:v>60665.9</c:v>
                </c:pt>
                <c:pt idx="166">
                  <c:v>60665.9</c:v>
                </c:pt>
                <c:pt idx="167">
                  <c:v>60665.9</c:v>
                </c:pt>
                <c:pt idx="168">
                  <c:v>60665.9</c:v>
                </c:pt>
              </c:numCache>
            </c:numRef>
          </c:val>
        </c:ser>
        <c:dLbls/>
        <c:marker val="1"/>
        <c:axId val="243008640"/>
        <c:axId val="243010176"/>
      </c:lineChart>
      <c:dateAx>
        <c:axId val="2430086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3010176"/>
        <c:crosses val="autoZero"/>
        <c:auto val="1"/>
        <c:lblOffset val="100"/>
        <c:baseTimeUnit val="days"/>
      </c:dateAx>
      <c:valAx>
        <c:axId val="24301017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30086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en-US"/>
  <c:chart>
    <c:title>
      <c:layout>
        <c:manualLayout>
          <c:xMode val="edge"/>
          <c:yMode val="edge"/>
          <c:x val="0.18571716658585838"/>
          <c:y val="3.7636257810872209E-2"/>
        </c:manualLayout>
      </c:layout>
      <c:spPr>
        <a:noFill/>
        <a:ln w="25400">
          <a:noFill/>
        </a:ln>
      </c:spPr>
      <c:txPr>
        <a:bodyPr/>
        <a:lstStyle/>
        <a:p>
          <a:pPr>
            <a:defRPr sz="20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2006925991853179"/>
          <c:y val="0.20469537052550021"/>
          <c:w val="0.70240037799843069"/>
          <c:h val="0.59306430429154322"/>
        </c:manualLayout>
      </c:layout>
      <c:lineChart>
        <c:grouping val="standard"/>
        <c:ser>
          <c:idx val="0"/>
          <c:order val="0"/>
          <c:tx>
            <c:strRef>
              <c:f>'subscription charts'!$J$2</c:f>
              <c:strCache>
                <c:ptCount val="1"/>
                <c:pt idx="0">
                  <c:v>FDC T4 V-MAX 3004</c:v>
                </c:pt>
              </c:strCache>
            </c:strRef>
          </c:tx>
          <c:cat>
            <c:numRef>
              <c:f>'subscription charts'!$A$3:$A$198</c:f>
              <c:numCache>
                <c:formatCode>[$-409]d\-mmm\-yy;@</c:formatCode>
                <c:ptCount val="196"/>
                <c:pt idx="0">
                  <c:v>41443</c:v>
                </c:pt>
                <c:pt idx="1">
                  <c:v>41430</c:v>
                </c:pt>
                <c:pt idx="2">
                  <c:v>41414</c:v>
                </c:pt>
                <c:pt idx="3">
                  <c:v>41408</c:v>
                </c:pt>
                <c:pt idx="4">
                  <c:v>41401</c:v>
                </c:pt>
                <c:pt idx="5">
                  <c:v>41393</c:v>
                </c:pt>
                <c:pt idx="6">
                  <c:v>41374</c:v>
                </c:pt>
                <c:pt idx="7">
                  <c:v>41361</c:v>
                </c:pt>
                <c:pt idx="8">
                  <c:v>41355</c:v>
                </c:pt>
                <c:pt idx="9">
                  <c:v>41351</c:v>
                </c:pt>
                <c:pt idx="10">
                  <c:v>41345</c:v>
                </c:pt>
                <c:pt idx="11">
                  <c:v>41289</c:v>
                </c:pt>
                <c:pt idx="12">
                  <c:v>41242</c:v>
                </c:pt>
                <c:pt idx="13">
                  <c:v>41241</c:v>
                </c:pt>
                <c:pt idx="14">
                  <c:v>41239</c:v>
                </c:pt>
                <c:pt idx="15">
                  <c:v>41234</c:v>
                </c:pt>
                <c:pt idx="16">
                  <c:v>41232</c:v>
                </c:pt>
                <c:pt idx="17">
                  <c:v>41227</c:v>
                </c:pt>
                <c:pt idx="18">
                  <c:v>41225</c:v>
                </c:pt>
                <c:pt idx="19">
                  <c:v>41221</c:v>
                </c:pt>
                <c:pt idx="20">
                  <c:v>41220</c:v>
                </c:pt>
                <c:pt idx="21">
                  <c:v>41219</c:v>
                </c:pt>
                <c:pt idx="22">
                  <c:v>41215</c:v>
                </c:pt>
                <c:pt idx="23">
                  <c:v>41214</c:v>
                </c:pt>
                <c:pt idx="24">
                  <c:v>41213</c:v>
                </c:pt>
                <c:pt idx="25">
                  <c:v>41211</c:v>
                </c:pt>
                <c:pt idx="26">
                  <c:v>41208</c:v>
                </c:pt>
                <c:pt idx="27">
                  <c:v>41207</c:v>
                </c:pt>
                <c:pt idx="28">
                  <c:v>41205</c:v>
                </c:pt>
                <c:pt idx="29">
                  <c:v>41200</c:v>
                </c:pt>
                <c:pt idx="30">
                  <c:v>41198</c:v>
                </c:pt>
                <c:pt idx="31">
                  <c:v>41193</c:v>
                </c:pt>
                <c:pt idx="32">
                  <c:v>41190</c:v>
                </c:pt>
                <c:pt idx="33">
                  <c:v>41184</c:v>
                </c:pt>
                <c:pt idx="34">
                  <c:v>41178</c:v>
                </c:pt>
                <c:pt idx="35">
                  <c:v>41176</c:v>
                </c:pt>
                <c:pt idx="36">
                  <c:v>41172</c:v>
                </c:pt>
                <c:pt idx="37">
                  <c:v>41171</c:v>
                </c:pt>
                <c:pt idx="38">
                  <c:v>41170</c:v>
                </c:pt>
                <c:pt idx="39">
                  <c:v>41169</c:v>
                </c:pt>
                <c:pt idx="40">
                  <c:v>41166</c:v>
                </c:pt>
                <c:pt idx="41">
                  <c:v>41164</c:v>
                </c:pt>
                <c:pt idx="42">
                  <c:v>41162</c:v>
                </c:pt>
                <c:pt idx="43">
                  <c:v>41159</c:v>
                </c:pt>
                <c:pt idx="44">
                  <c:v>41156</c:v>
                </c:pt>
                <c:pt idx="45">
                  <c:v>41151</c:v>
                </c:pt>
                <c:pt idx="46">
                  <c:v>41150</c:v>
                </c:pt>
                <c:pt idx="47">
                  <c:v>41149</c:v>
                </c:pt>
                <c:pt idx="48">
                  <c:v>41144</c:v>
                </c:pt>
                <c:pt idx="49">
                  <c:v>41142</c:v>
                </c:pt>
                <c:pt idx="50">
                  <c:v>41138</c:v>
                </c:pt>
                <c:pt idx="51">
                  <c:v>41137</c:v>
                </c:pt>
                <c:pt idx="52">
                  <c:v>41135</c:v>
                </c:pt>
                <c:pt idx="53">
                  <c:v>41134</c:v>
                </c:pt>
                <c:pt idx="54">
                  <c:v>41131</c:v>
                </c:pt>
                <c:pt idx="55">
                  <c:v>41130</c:v>
                </c:pt>
                <c:pt idx="56">
                  <c:v>41129</c:v>
                </c:pt>
                <c:pt idx="57">
                  <c:v>41128</c:v>
                </c:pt>
                <c:pt idx="58">
                  <c:v>41124</c:v>
                </c:pt>
                <c:pt idx="59">
                  <c:v>41123</c:v>
                </c:pt>
                <c:pt idx="60">
                  <c:v>41120</c:v>
                </c:pt>
                <c:pt idx="61">
                  <c:v>41117</c:v>
                </c:pt>
                <c:pt idx="62">
                  <c:v>41115</c:v>
                </c:pt>
                <c:pt idx="63">
                  <c:v>41113</c:v>
                </c:pt>
                <c:pt idx="64">
                  <c:v>41110</c:v>
                </c:pt>
                <c:pt idx="65">
                  <c:v>41109</c:v>
                </c:pt>
                <c:pt idx="66">
                  <c:v>41108</c:v>
                </c:pt>
                <c:pt idx="67">
                  <c:v>41106</c:v>
                </c:pt>
                <c:pt idx="68">
                  <c:v>41103</c:v>
                </c:pt>
                <c:pt idx="69">
                  <c:v>41102</c:v>
                </c:pt>
                <c:pt idx="70">
                  <c:v>41101</c:v>
                </c:pt>
                <c:pt idx="71">
                  <c:v>41099</c:v>
                </c:pt>
                <c:pt idx="72">
                  <c:v>41095</c:v>
                </c:pt>
                <c:pt idx="73">
                  <c:v>41094</c:v>
                </c:pt>
                <c:pt idx="74">
                  <c:v>41093</c:v>
                </c:pt>
                <c:pt idx="75">
                  <c:v>41092</c:v>
                </c:pt>
                <c:pt idx="76">
                  <c:v>41087</c:v>
                </c:pt>
                <c:pt idx="77">
                  <c:v>41086</c:v>
                </c:pt>
                <c:pt idx="78">
                  <c:v>41085</c:v>
                </c:pt>
                <c:pt idx="79">
                  <c:v>41081</c:v>
                </c:pt>
                <c:pt idx="80">
                  <c:v>41080</c:v>
                </c:pt>
                <c:pt idx="81">
                  <c:v>41078</c:v>
                </c:pt>
                <c:pt idx="82">
                  <c:v>41075</c:v>
                </c:pt>
                <c:pt idx="83">
                  <c:v>41074</c:v>
                </c:pt>
                <c:pt idx="84">
                  <c:v>41071</c:v>
                </c:pt>
                <c:pt idx="85">
                  <c:v>41068</c:v>
                </c:pt>
                <c:pt idx="86">
                  <c:v>41067</c:v>
                </c:pt>
                <c:pt idx="87">
                  <c:v>41066</c:v>
                </c:pt>
                <c:pt idx="88">
                  <c:v>41059</c:v>
                </c:pt>
                <c:pt idx="89">
                  <c:v>41058</c:v>
                </c:pt>
                <c:pt idx="90">
                  <c:v>41057</c:v>
                </c:pt>
                <c:pt idx="91">
                  <c:v>41054</c:v>
                </c:pt>
                <c:pt idx="92">
                  <c:v>41053</c:v>
                </c:pt>
                <c:pt idx="93">
                  <c:v>41051</c:v>
                </c:pt>
                <c:pt idx="94">
                  <c:v>41050</c:v>
                </c:pt>
                <c:pt idx="95">
                  <c:v>41047</c:v>
                </c:pt>
                <c:pt idx="96">
                  <c:v>41045</c:v>
                </c:pt>
                <c:pt idx="97">
                  <c:v>41044</c:v>
                </c:pt>
                <c:pt idx="98">
                  <c:v>41043</c:v>
                </c:pt>
                <c:pt idx="99">
                  <c:v>41040</c:v>
                </c:pt>
                <c:pt idx="100">
                  <c:v>41039</c:v>
                </c:pt>
                <c:pt idx="101">
                  <c:v>41038</c:v>
                </c:pt>
                <c:pt idx="102">
                  <c:v>41037</c:v>
                </c:pt>
                <c:pt idx="103">
                  <c:v>41033</c:v>
                </c:pt>
                <c:pt idx="104">
                  <c:v>41031</c:v>
                </c:pt>
                <c:pt idx="105">
                  <c:v>41030</c:v>
                </c:pt>
                <c:pt idx="106">
                  <c:v>41026</c:v>
                </c:pt>
                <c:pt idx="107">
                  <c:v>41024</c:v>
                </c:pt>
                <c:pt idx="108">
                  <c:v>41023</c:v>
                </c:pt>
                <c:pt idx="109">
                  <c:v>41022</c:v>
                </c:pt>
                <c:pt idx="110">
                  <c:v>41019</c:v>
                </c:pt>
                <c:pt idx="111">
                  <c:v>41018</c:v>
                </c:pt>
                <c:pt idx="112">
                  <c:v>41017</c:v>
                </c:pt>
                <c:pt idx="113">
                  <c:v>41015</c:v>
                </c:pt>
                <c:pt idx="114">
                  <c:v>41012</c:v>
                </c:pt>
                <c:pt idx="115">
                  <c:v>41011</c:v>
                </c:pt>
                <c:pt idx="116">
                  <c:v>41009</c:v>
                </c:pt>
                <c:pt idx="117">
                  <c:v>41003</c:v>
                </c:pt>
                <c:pt idx="118">
                  <c:v>41002</c:v>
                </c:pt>
                <c:pt idx="119">
                  <c:v>41001</c:v>
                </c:pt>
                <c:pt idx="120">
                  <c:v>40998</c:v>
                </c:pt>
                <c:pt idx="121">
                  <c:v>40997</c:v>
                </c:pt>
                <c:pt idx="122">
                  <c:v>40996</c:v>
                </c:pt>
                <c:pt idx="123">
                  <c:v>40994</c:v>
                </c:pt>
                <c:pt idx="124">
                  <c:v>40989</c:v>
                </c:pt>
                <c:pt idx="125">
                  <c:v>40984</c:v>
                </c:pt>
                <c:pt idx="126">
                  <c:v>40983</c:v>
                </c:pt>
                <c:pt idx="127">
                  <c:v>40982</c:v>
                </c:pt>
                <c:pt idx="128">
                  <c:v>40981</c:v>
                </c:pt>
                <c:pt idx="129">
                  <c:v>40980</c:v>
                </c:pt>
                <c:pt idx="130">
                  <c:v>40977</c:v>
                </c:pt>
                <c:pt idx="131">
                  <c:v>40976</c:v>
                </c:pt>
                <c:pt idx="132">
                  <c:v>40974</c:v>
                </c:pt>
                <c:pt idx="133">
                  <c:v>40973</c:v>
                </c:pt>
                <c:pt idx="134">
                  <c:v>40968</c:v>
                </c:pt>
                <c:pt idx="135">
                  <c:v>40967</c:v>
                </c:pt>
                <c:pt idx="136">
                  <c:v>40966</c:v>
                </c:pt>
                <c:pt idx="137">
                  <c:v>40963</c:v>
                </c:pt>
                <c:pt idx="138">
                  <c:v>40962</c:v>
                </c:pt>
                <c:pt idx="139">
                  <c:v>40961</c:v>
                </c:pt>
                <c:pt idx="140">
                  <c:v>40960</c:v>
                </c:pt>
                <c:pt idx="141">
                  <c:v>40959</c:v>
                </c:pt>
                <c:pt idx="142">
                  <c:v>40956</c:v>
                </c:pt>
                <c:pt idx="143">
                  <c:v>40955</c:v>
                </c:pt>
                <c:pt idx="144">
                  <c:v>40954</c:v>
                </c:pt>
                <c:pt idx="145">
                  <c:v>40953</c:v>
                </c:pt>
                <c:pt idx="146">
                  <c:v>40952</c:v>
                </c:pt>
                <c:pt idx="147">
                  <c:v>40949</c:v>
                </c:pt>
                <c:pt idx="148">
                  <c:v>40948</c:v>
                </c:pt>
                <c:pt idx="149">
                  <c:v>40947</c:v>
                </c:pt>
                <c:pt idx="150">
                  <c:v>40946</c:v>
                </c:pt>
                <c:pt idx="151">
                  <c:v>40945</c:v>
                </c:pt>
                <c:pt idx="152">
                  <c:v>40941</c:v>
                </c:pt>
                <c:pt idx="153">
                  <c:v>40940</c:v>
                </c:pt>
                <c:pt idx="154">
                  <c:v>40939</c:v>
                </c:pt>
                <c:pt idx="155">
                  <c:v>40938</c:v>
                </c:pt>
                <c:pt idx="156">
                  <c:v>40934</c:v>
                </c:pt>
                <c:pt idx="157">
                  <c:v>40932</c:v>
                </c:pt>
                <c:pt idx="158">
                  <c:v>40931</c:v>
                </c:pt>
                <c:pt idx="159">
                  <c:v>40928</c:v>
                </c:pt>
                <c:pt idx="160">
                  <c:v>40927</c:v>
                </c:pt>
                <c:pt idx="161">
                  <c:v>40926</c:v>
                </c:pt>
                <c:pt idx="162">
                  <c:v>40925</c:v>
                </c:pt>
                <c:pt idx="163">
                  <c:v>40924</c:v>
                </c:pt>
                <c:pt idx="164">
                  <c:v>40921</c:v>
                </c:pt>
                <c:pt idx="165">
                  <c:v>40920</c:v>
                </c:pt>
                <c:pt idx="166">
                  <c:v>40919</c:v>
                </c:pt>
                <c:pt idx="167">
                  <c:v>40918</c:v>
                </c:pt>
                <c:pt idx="168">
                  <c:v>40917</c:v>
                </c:pt>
              </c:numCache>
            </c:numRef>
          </c:cat>
          <c:val>
            <c:numRef>
              <c:f>'subscription charts'!$J$3:$J$197</c:f>
              <c:numCache>
                <c:formatCode>0.00%</c:formatCode>
                <c:ptCount val="195"/>
                <c:pt idx="0">
                  <c:v>0.85480630926257906</c:v>
                </c:pt>
                <c:pt idx="1">
                  <c:v>0.85480630926257906</c:v>
                </c:pt>
                <c:pt idx="2">
                  <c:v>0.84995907276541049</c:v>
                </c:pt>
                <c:pt idx="3">
                  <c:v>0.84972825197983115</c:v>
                </c:pt>
                <c:pt idx="4">
                  <c:v>0.85049765459842941</c:v>
                </c:pt>
                <c:pt idx="5">
                  <c:v>0.85049765459842941</c:v>
                </c:pt>
                <c:pt idx="6">
                  <c:v>0.85049765459842941</c:v>
                </c:pt>
                <c:pt idx="7">
                  <c:v>0.93060074729724296</c:v>
                </c:pt>
                <c:pt idx="8">
                  <c:v>0.81111145746238411</c:v>
                </c:pt>
                <c:pt idx="9">
                  <c:v>0.80611029594321737</c:v>
                </c:pt>
                <c:pt idx="10">
                  <c:v>0.78502847661626873</c:v>
                </c:pt>
                <c:pt idx="11">
                  <c:v>2.4386812601318981</c:v>
                </c:pt>
                <c:pt idx="12">
                  <c:v>2.4348532757344534</c:v>
                </c:pt>
                <c:pt idx="13">
                  <c:v>36995.800000000003</c:v>
                </c:pt>
                <c:pt idx="14">
                  <c:v>38439.800000000003</c:v>
                </c:pt>
                <c:pt idx="15">
                  <c:v>37466.199999999997</c:v>
                </c:pt>
                <c:pt idx="16">
                  <c:v>37379</c:v>
                </c:pt>
                <c:pt idx="17">
                  <c:v>37088.9</c:v>
                </c:pt>
                <c:pt idx="18">
                  <c:v>41645.800000000003</c:v>
                </c:pt>
                <c:pt idx="19">
                  <c:v>38574.699999999997</c:v>
                </c:pt>
                <c:pt idx="20">
                  <c:v>38342.800000000003</c:v>
                </c:pt>
                <c:pt idx="21">
                  <c:v>38845.300000000003</c:v>
                </c:pt>
                <c:pt idx="22">
                  <c:v>39254</c:v>
                </c:pt>
                <c:pt idx="23">
                  <c:v>39135.5</c:v>
                </c:pt>
                <c:pt idx="24">
                  <c:v>39607.300000000003</c:v>
                </c:pt>
                <c:pt idx="25">
                  <c:v>40672.9</c:v>
                </c:pt>
                <c:pt idx="26">
                  <c:v>39978.699999999997</c:v>
                </c:pt>
                <c:pt idx="27">
                  <c:v>41742.1</c:v>
                </c:pt>
                <c:pt idx="28">
                  <c:v>44341.2</c:v>
                </c:pt>
                <c:pt idx="29">
                  <c:v>132132.20000000001</c:v>
                </c:pt>
                <c:pt idx="30">
                  <c:v>132132.20000000001</c:v>
                </c:pt>
                <c:pt idx="31">
                  <c:v>132132.20000000001</c:v>
                </c:pt>
                <c:pt idx="32">
                  <c:v>132132.20000000001</c:v>
                </c:pt>
                <c:pt idx="33">
                  <c:v>132132.20000000001</c:v>
                </c:pt>
                <c:pt idx="34">
                  <c:v>132132.20000000001</c:v>
                </c:pt>
                <c:pt idx="35">
                  <c:v>132132.20000000001</c:v>
                </c:pt>
                <c:pt idx="36">
                  <c:v>132132.20000000001</c:v>
                </c:pt>
                <c:pt idx="37">
                  <c:v>132132.20000000001</c:v>
                </c:pt>
                <c:pt idx="38">
                  <c:v>132132.20000000001</c:v>
                </c:pt>
                <c:pt idx="39">
                  <c:v>132132.20000000001</c:v>
                </c:pt>
                <c:pt idx="40">
                  <c:v>132132.20000000001</c:v>
                </c:pt>
                <c:pt idx="41">
                  <c:v>132132.20000000001</c:v>
                </c:pt>
                <c:pt idx="42">
                  <c:v>132132.20000000001</c:v>
                </c:pt>
                <c:pt idx="43">
                  <c:v>132132.20000000001</c:v>
                </c:pt>
                <c:pt idx="44">
                  <c:v>132132.20000000001</c:v>
                </c:pt>
                <c:pt idx="45">
                  <c:v>132132.20000000001</c:v>
                </c:pt>
                <c:pt idx="46">
                  <c:v>132132.20000000001</c:v>
                </c:pt>
                <c:pt idx="47">
                  <c:v>132132.20000000001</c:v>
                </c:pt>
                <c:pt idx="48">
                  <c:v>132132.20000000001</c:v>
                </c:pt>
                <c:pt idx="49">
                  <c:v>132132.20000000001</c:v>
                </c:pt>
                <c:pt idx="50">
                  <c:v>132132.20000000001</c:v>
                </c:pt>
                <c:pt idx="51">
                  <c:v>132132.20000000001</c:v>
                </c:pt>
                <c:pt idx="52">
                  <c:v>132132.20000000001</c:v>
                </c:pt>
                <c:pt idx="53">
                  <c:v>132132.20000000001</c:v>
                </c:pt>
                <c:pt idx="54">
                  <c:v>132132.20000000001</c:v>
                </c:pt>
                <c:pt idx="55">
                  <c:v>132132.20000000001</c:v>
                </c:pt>
                <c:pt idx="56">
                  <c:v>132132.20000000001</c:v>
                </c:pt>
                <c:pt idx="57">
                  <c:v>132132.20000000001</c:v>
                </c:pt>
                <c:pt idx="58">
                  <c:v>132132.20000000001</c:v>
                </c:pt>
                <c:pt idx="59">
                  <c:v>132132.20000000001</c:v>
                </c:pt>
                <c:pt idx="60">
                  <c:v>132132.20000000001</c:v>
                </c:pt>
                <c:pt idx="61">
                  <c:v>132132.20000000001</c:v>
                </c:pt>
                <c:pt idx="62">
                  <c:v>132132.20000000001</c:v>
                </c:pt>
                <c:pt idx="63">
                  <c:v>132132.20000000001</c:v>
                </c:pt>
                <c:pt idx="64">
                  <c:v>132132.20000000001</c:v>
                </c:pt>
                <c:pt idx="65">
                  <c:v>132132.20000000001</c:v>
                </c:pt>
                <c:pt idx="66">
                  <c:v>132132.20000000001</c:v>
                </c:pt>
                <c:pt idx="67">
                  <c:v>132132.20000000001</c:v>
                </c:pt>
                <c:pt idx="68">
                  <c:v>132132.20000000001</c:v>
                </c:pt>
                <c:pt idx="69">
                  <c:v>132132.20000000001</c:v>
                </c:pt>
                <c:pt idx="70">
                  <c:v>132132.20000000001</c:v>
                </c:pt>
                <c:pt idx="71">
                  <c:v>132132.20000000001</c:v>
                </c:pt>
                <c:pt idx="72">
                  <c:v>132132.20000000001</c:v>
                </c:pt>
                <c:pt idx="73">
                  <c:v>132132.20000000001</c:v>
                </c:pt>
                <c:pt idx="74">
                  <c:v>132132.20000000001</c:v>
                </c:pt>
                <c:pt idx="75">
                  <c:v>132132.20000000001</c:v>
                </c:pt>
                <c:pt idx="76">
                  <c:v>132132.20000000001</c:v>
                </c:pt>
                <c:pt idx="77">
                  <c:v>132132.20000000001</c:v>
                </c:pt>
                <c:pt idx="78">
                  <c:v>132132.20000000001</c:v>
                </c:pt>
                <c:pt idx="79">
                  <c:v>132132.20000000001</c:v>
                </c:pt>
                <c:pt idx="80">
                  <c:v>132132.20000000001</c:v>
                </c:pt>
                <c:pt idx="81">
                  <c:v>132132.20000000001</c:v>
                </c:pt>
                <c:pt idx="82">
                  <c:v>132132.20000000001</c:v>
                </c:pt>
                <c:pt idx="83">
                  <c:v>132132.20000000001</c:v>
                </c:pt>
                <c:pt idx="84">
                  <c:v>132132.20000000001</c:v>
                </c:pt>
                <c:pt idx="85">
                  <c:v>132132.20000000001</c:v>
                </c:pt>
                <c:pt idx="86">
                  <c:v>132132.20000000001</c:v>
                </c:pt>
                <c:pt idx="87">
                  <c:v>132132.20000000001</c:v>
                </c:pt>
                <c:pt idx="88">
                  <c:v>132132.20000000001</c:v>
                </c:pt>
                <c:pt idx="89">
                  <c:v>132132.20000000001</c:v>
                </c:pt>
                <c:pt idx="90">
                  <c:v>132132.20000000001</c:v>
                </c:pt>
                <c:pt idx="91">
                  <c:v>132132.20000000001</c:v>
                </c:pt>
                <c:pt idx="92">
                  <c:v>132132.20000000001</c:v>
                </c:pt>
                <c:pt idx="93">
                  <c:v>132132.20000000001</c:v>
                </c:pt>
                <c:pt idx="94">
                  <c:v>132132.20000000001</c:v>
                </c:pt>
                <c:pt idx="95">
                  <c:v>0.54478166563487174</c:v>
                </c:pt>
                <c:pt idx="96">
                  <c:v>132132.20000000001</c:v>
                </c:pt>
                <c:pt idx="97">
                  <c:v>132132.20000000001</c:v>
                </c:pt>
                <c:pt idx="98">
                  <c:v>132132.20000000001</c:v>
                </c:pt>
                <c:pt idx="99">
                  <c:v>132132.20000000001</c:v>
                </c:pt>
                <c:pt idx="100">
                  <c:v>132132.20000000001</c:v>
                </c:pt>
                <c:pt idx="101">
                  <c:v>132132.20000000001</c:v>
                </c:pt>
                <c:pt idx="102">
                  <c:v>132132.20000000001</c:v>
                </c:pt>
                <c:pt idx="103">
                  <c:v>132132.20000000001</c:v>
                </c:pt>
                <c:pt idx="104">
                  <c:v>132132.20000000001</c:v>
                </c:pt>
                <c:pt idx="105">
                  <c:v>132132.20000000001</c:v>
                </c:pt>
                <c:pt idx="106">
                  <c:v>132132.20000000001</c:v>
                </c:pt>
                <c:pt idx="107">
                  <c:v>132132.20000000001</c:v>
                </c:pt>
                <c:pt idx="108">
                  <c:v>132132.20000000001</c:v>
                </c:pt>
                <c:pt idx="109">
                  <c:v>132132.20000000001</c:v>
                </c:pt>
                <c:pt idx="110">
                  <c:v>132132.20000000001</c:v>
                </c:pt>
                <c:pt idx="111">
                  <c:v>132132.20000000001</c:v>
                </c:pt>
                <c:pt idx="112">
                  <c:v>132132.20000000001</c:v>
                </c:pt>
                <c:pt idx="113">
                  <c:v>54921</c:v>
                </c:pt>
                <c:pt idx="114">
                  <c:v>54921</c:v>
                </c:pt>
                <c:pt idx="115">
                  <c:v>54921</c:v>
                </c:pt>
                <c:pt idx="116">
                  <c:v>54921</c:v>
                </c:pt>
                <c:pt idx="117">
                  <c:v>54921</c:v>
                </c:pt>
                <c:pt idx="118">
                  <c:v>54921</c:v>
                </c:pt>
                <c:pt idx="119">
                  <c:v>54921</c:v>
                </c:pt>
                <c:pt idx="120">
                  <c:v>54921</c:v>
                </c:pt>
                <c:pt idx="121">
                  <c:v>54921</c:v>
                </c:pt>
                <c:pt idx="122">
                  <c:v>54921</c:v>
                </c:pt>
                <c:pt idx="123">
                  <c:v>54921</c:v>
                </c:pt>
                <c:pt idx="124">
                  <c:v>54921</c:v>
                </c:pt>
                <c:pt idx="125">
                  <c:v>54921</c:v>
                </c:pt>
                <c:pt idx="126">
                  <c:v>54921</c:v>
                </c:pt>
                <c:pt idx="127">
                  <c:v>54921</c:v>
                </c:pt>
                <c:pt idx="128">
                  <c:v>54921</c:v>
                </c:pt>
                <c:pt idx="129">
                  <c:v>54921</c:v>
                </c:pt>
                <c:pt idx="130">
                  <c:v>54921</c:v>
                </c:pt>
                <c:pt idx="131">
                  <c:v>54921</c:v>
                </c:pt>
                <c:pt idx="132">
                  <c:v>54921</c:v>
                </c:pt>
                <c:pt idx="133">
                  <c:v>54921</c:v>
                </c:pt>
                <c:pt idx="134">
                  <c:v>54921</c:v>
                </c:pt>
                <c:pt idx="135">
                  <c:v>54921</c:v>
                </c:pt>
                <c:pt idx="136">
                  <c:v>54921</c:v>
                </c:pt>
                <c:pt idx="137">
                  <c:v>54921</c:v>
                </c:pt>
                <c:pt idx="138">
                  <c:v>54921</c:v>
                </c:pt>
                <c:pt idx="139">
                  <c:v>54921</c:v>
                </c:pt>
                <c:pt idx="140">
                  <c:v>54921</c:v>
                </c:pt>
                <c:pt idx="141">
                  <c:v>54921</c:v>
                </c:pt>
                <c:pt idx="142">
                  <c:v>54921</c:v>
                </c:pt>
                <c:pt idx="143">
                  <c:v>54921</c:v>
                </c:pt>
                <c:pt idx="144">
                  <c:v>54921</c:v>
                </c:pt>
                <c:pt idx="145">
                  <c:v>54921</c:v>
                </c:pt>
                <c:pt idx="146">
                  <c:v>54921</c:v>
                </c:pt>
                <c:pt idx="147">
                  <c:v>54921</c:v>
                </c:pt>
                <c:pt idx="148">
                  <c:v>54921</c:v>
                </c:pt>
                <c:pt idx="149">
                  <c:v>54921</c:v>
                </c:pt>
                <c:pt idx="150">
                  <c:v>54921</c:v>
                </c:pt>
                <c:pt idx="151">
                  <c:v>54921</c:v>
                </c:pt>
                <c:pt idx="152">
                  <c:v>54921</c:v>
                </c:pt>
                <c:pt idx="153">
                  <c:v>54921</c:v>
                </c:pt>
                <c:pt idx="154">
                  <c:v>54921</c:v>
                </c:pt>
                <c:pt idx="155">
                  <c:v>54921</c:v>
                </c:pt>
                <c:pt idx="156">
                  <c:v>54921</c:v>
                </c:pt>
                <c:pt idx="157">
                  <c:v>54921</c:v>
                </c:pt>
                <c:pt idx="158">
                  <c:v>54921</c:v>
                </c:pt>
                <c:pt idx="159">
                  <c:v>54921</c:v>
                </c:pt>
                <c:pt idx="160">
                  <c:v>54921</c:v>
                </c:pt>
                <c:pt idx="161">
                  <c:v>54921</c:v>
                </c:pt>
                <c:pt idx="162">
                  <c:v>54921</c:v>
                </c:pt>
                <c:pt idx="163">
                  <c:v>54921</c:v>
                </c:pt>
                <c:pt idx="164">
                  <c:v>54921</c:v>
                </c:pt>
                <c:pt idx="165">
                  <c:v>54921</c:v>
                </c:pt>
                <c:pt idx="166">
                  <c:v>54921</c:v>
                </c:pt>
                <c:pt idx="167">
                  <c:v>54921</c:v>
                </c:pt>
                <c:pt idx="168">
                  <c:v>54921</c:v>
                </c:pt>
              </c:numCache>
            </c:numRef>
          </c:val>
        </c:ser>
        <c:dLbls/>
        <c:marker val="1"/>
        <c:axId val="243050752"/>
        <c:axId val="244207616"/>
      </c:lineChart>
      <c:dateAx>
        <c:axId val="243050752"/>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44207616"/>
        <c:crosses val="autoZero"/>
        <c:auto val="1"/>
        <c:lblOffset val="100"/>
        <c:baseTimeUnit val="days"/>
      </c:dateAx>
      <c:valAx>
        <c:axId val="244207616"/>
        <c:scaling>
          <c:orientation val="minMax"/>
        </c:scaling>
        <c:axPos val="l"/>
        <c:majorGridlines/>
        <c:numFmt formatCode="0.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4305075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0678 Used GB</a:t>
            </a:r>
          </a:p>
        </c:rich>
      </c:tx>
    </c:title>
    <c:plotArea>
      <c:layout>
        <c:manualLayout>
          <c:layoutTarget val="inner"/>
          <c:xMode val="edge"/>
          <c:yMode val="edge"/>
          <c:x val="0.12118285214348209"/>
          <c:y val="0.17587276512066086"/>
          <c:w val="0.66331004995343323"/>
          <c:h val="0.59058442146139989"/>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a:solidFill>
                  <a:schemeClr val="accent3"/>
                </a:solidFill>
              </a:ln>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Charts'!$E$3:$E$543</c:f>
              <c:numCache>
                <c:formatCode>0.0</c:formatCode>
                <c:ptCount val="541"/>
                <c:pt idx="0">
                  <c:v>159714.6</c:v>
                </c:pt>
                <c:pt idx="1">
                  <c:v>159662.79999999999</c:v>
                </c:pt>
                <c:pt idx="2">
                  <c:v>159588.6</c:v>
                </c:pt>
                <c:pt idx="3">
                  <c:v>159178.6</c:v>
                </c:pt>
                <c:pt idx="4">
                  <c:v>158852.5</c:v>
                </c:pt>
                <c:pt idx="5">
                  <c:v>158586.5</c:v>
                </c:pt>
                <c:pt idx="6">
                  <c:v>158449.60000000001</c:v>
                </c:pt>
                <c:pt idx="7">
                  <c:v>158263.79999999999</c:v>
                </c:pt>
                <c:pt idx="8">
                  <c:v>158054.20000000001</c:v>
                </c:pt>
                <c:pt idx="9">
                  <c:v>161637.5</c:v>
                </c:pt>
                <c:pt idx="10">
                  <c:v>161575.20000000001</c:v>
                </c:pt>
                <c:pt idx="11">
                  <c:v>161535.70000000001</c:v>
                </c:pt>
                <c:pt idx="12">
                  <c:v>161437.5</c:v>
                </c:pt>
                <c:pt idx="13">
                  <c:v>161306.9</c:v>
                </c:pt>
                <c:pt idx="14">
                  <c:v>161279.29999999999</c:v>
                </c:pt>
                <c:pt idx="15">
                  <c:v>161216.9</c:v>
                </c:pt>
                <c:pt idx="16">
                  <c:v>161033.1</c:v>
                </c:pt>
                <c:pt idx="17">
                  <c:v>160947.70000000001</c:v>
                </c:pt>
                <c:pt idx="18">
                  <c:v>161624</c:v>
                </c:pt>
                <c:pt idx="19">
                  <c:v>161389.29999999999</c:v>
                </c:pt>
                <c:pt idx="20">
                  <c:v>161121.79999999999</c:v>
                </c:pt>
                <c:pt idx="21">
                  <c:v>160686.5</c:v>
                </c:pt>
                <c:pt idx="22">
                  <c:v>160599.4</c:v>
                </c:pt>
                <c:pt idx="23">
                  <c:v>160188.9</c:v>
                </c:pt>
                <c:pt idx="24">
                  <c:v>159908.5</c:v>
                </c:pt>
                <c:pt idx="25">
                  <c:v>159872.6</c:v>
                </c:pt>
                <c:pt idx="26">
                  <c:v>159829.5</c:v>
                </c:pt>
                <c:pt idx="27">
                  <c:v>159661.4</c:v>
                </c:pt>
                <c:pt idx="28">
                  <c:v>159536.4</c:v>
                </c:pt>
                <c:pt idx="29">
                  <c:v>159312.20000000001</c:v>
                </c:pt>
                <c:pt idx="30">
                  <c:v>159094</c:v>
                </c:pt>
                <c:pt idx="31">
                  <c:v>158600.70000000001</c:v>
                </c:pt>
                <c:pt idx="32">
                  <c:v>158530.4</c:v>
                </c:pt>
                <c:pt idx="33">
                  <c:v>158116.29999999999</c:v>
                </c:pt>
                <c:pt idx="34">
                  <c:v>158060.9</c:v>
                </c:pt>
                <c:pt idx="35">
                  <c:v>157783.20000000001</c:v>
                </c:pt>
                <c:pt idx="36">
                  <c:v>157611.29999999999</c:v>
                </c:pt>
                <c:pt idx="37">
                  <c:v>157381.20000000001</c:v>
                </c:pt>
                <c:pt idx="38">
                  <c:v>157311.1</c:v>
                </c:pt>
                <c:pt idx="39">
                  <c:v>155965.29999999999</c:v>
                </c:pt>
                <c:pt idx="40">
                  <c:v>156125.79999999999</c:v>
                </c:pt>
                <c:pt idx="41">
                  <c:v>155922.5</c:v>
                </c:pt>
                <c:pt idx="42">
                  <c:v>155472</c:v>
                </c:pt>
                <c:pt idx="43">
                  <c:v>155431.9</c:v>
                </c:pt>
                <c:pt idx="44">
                  <c:v>155197.20000000001</c:v>
                </c:pt>
                <c:pt idx="45">
                  <c:v>155136.4</c:v>
                </c:pt>
                <c:pt idx="46">
                  <c:v>154770</c:v>
                </c:pt>
                <c:pt idx="47">
                  <c:v>154630.39999999999</c:v>
                </c:pt>
                <c:pt idx="48">
                  <c:v>154454.70000000001</c:v>
                </c:pt>
                <c:pt idx="49">
                  <c:v>154325.79999999999</c:v>
                </c:pt>
                <c:pt idx="50">
                  <c:v>154213.1</c:v>
                </c:pt>
                <c:pt idx="51">
                  <c:v>154008.79999999999</c:v>
                </c:pt>
                <c:pt idx="52">
                  <c:v>153910.6</c:v>
                </c:pt>
                <c:pt idx="53">
                  <c:v>153703.4</c:v>
                </c:pt>
                <c:pt idx="54">
                  <c:v>153152.6</c:v>
                </c:pt>
                <c:pt idx="55">
                  <c:v>152851.79999999999</c:v>
                </c:pt>
                <c:pt idx="56">
                  <c:v>152223.29999999999</c:v>
                </c:pt>
                <c:pt idx="57">
                  <c:v>152096.29999999999</c:v>
                </c:pt>
                <c:pt idx="58">
                  <c:v>151644.5</c:v>
                </c:pt>
                <c:pt idx="59">
                  <c:v>151468.6</c:v>
                </c:pt>
                <c:pt idx="60">
                  <c:v>151388.79999999999</c:v>
                </c:pt>
                <c:pt idx="61">
                  <c:v>151291.70000000001</c:v>
                </c:pt>
                <c:pt idx="62">
                  <c:v>151208.4</c:v>
                </c:pt>
                <c:pt idx="63">
                  <c:v>150425.9</c:v>
                </c:pt>
                <c:pt idx="64">
                  <c:v>150265.70000000001</c:v>
                </c:pt>
                <c:pt idx="65">
                  <c:v>150206</c:v>
                </c:pt>
                <c:pt idx="66">
                  <c:v>149969.20000000001</c:v>
                </c:pt>
                <c:pt idx="67">
                  <c:v>149798.70000000001</c:v>
                </c:pt>
                <c:pt idx="68">
                  <c:v>149362.6</c:v>
                </c:pt>
                <c:pt idx="69">
                  <c:v>149035.5</c:v>
                </c:pt>
                <c:pt idx="70">
                  <c:v>148969</c:v>
                </c:pt>
                <c:pt idx="71">
                  <c:v>148613.29999999999</c:v>
                </c:pt>
                <c:pt idx="72">
                  <c:v>148289.29999999999</c:v>
                </c:pt>
                <c:pt idx="73">
                  <c:v>148228.1</c:v>
                </c:pt>
                <c:pt idx="74">
                  <c:v>148158</c:v>
                </c:pt>
                <c:pt idx="75">
                  <c:v>147434.6</c:v>
                </c:pt>
                <c:pt idx="76">
                  <c:v>146937.1</c:v>
                </c:pt>
                <c:pt idx="77">
                  <c:v>146815.1</c:v>
                </c:pt>
                <c:pt idx="78">
                  <c:v>146310.6</c:v>
                </c:pt>
                <c:pt idx="79">
                  <c:v>146204.5</c:v>
                </c:pt>
                <c:pt idx="80">
                  <c:v>145928.6</c:v>
                </c:pt>
                <c:pt idx="81">
                  <c:v>145819.5</c:v>
                </c:pt>
                <c:pt idx="82">
                  <c:v>145588.29999999999</c:v>
                </c:pt>
                <c:pt idx="83">
                  <c:v>145516.20000000001</c:v>
                </c:pt>
                <c:pt idx="84">
                  <c:v>145160.1</c:v>
                </c:pt>
                <c:pt idx="85">
                  <c:v>145035</c:v>
                </c:pt>
                <c:pt idx="86">
                  <c:v>144720.29999999999</c:v>
                </c:pt>
                <c:pt idx="87">
                  <c:v>143688.70000000001</c:v>
                </c:pt>
                <c:pt idx="88">
                  <c:v>142674.6</c:v>
                </c:pt>
                <c:pt idx="89">
                  <c:v>141676.29999999999</c:v>
                </c:pt>
                <c:pt idx="90">
                  <c:v>140997</c:v>
                </c:pt>
                <c:pt idx="91">
                  <c:v>138767.1</c:v>
                </c:pt>
                <c:pt idx="92">
                  <c:v>137414.1</c:v>
                </c:pt>
                <c:pt idx="93">
                  <c:v>136747.5</c:v>
                </c:pt>
                <c:pt idx="94">
                  <c:v>136399.5</c:v>
                </c:pt>
                <c:pt idx="95">
                  <c:v>135846.29999999999</c:v>
                </c:pt>
                <c:pt idx="96">
                  <c:v>135651.20000000001</c:v>
                </c:pt>
                <c:pt idx="97">
                  <c:v>135577.4</c:v>
                </c:pt>
                <c:pt idx="98">
                  <c:v>134614.6</c:v>
                </c:pt>
                <c:pt idx="99">
                  <c:v>134160.20000000001</c:v>
                </c:pt>
                <c:pt idx="100">
                  <c:v>133817.20000000001</c:v>
                </c:pt>
                <c:pt idx="101">
                  <c:v>133125</c:v>
                </c:pt>
                <c:pt idx="102">
                  <c:v>132635.4</c:v>
                </c:pt>
                <c:pt idx="103">
                  <c:v>132539.9</c:v>
                </c:pt>
                <c:pt idx="104">
                  <c:v>132400.29999999999</c:v>
                </c:pt>
                <c:pt idx="105">
                  <c:v>131868.70000000001</c:v>
                </c:pt>
                <c:pt idx="106">
                  <c:v>131528.9</c:v>
                </c:pt>
                <c:pt idx="107">
                  <c:v>131375.1</c:v>
                </c:pt>
                <c:pt idx="108">
                  <c:v>131007.6</c:v>
                </c:pt>
                <c:pt idx="109">
                  <c:v>130950.5</c:v>
                </c:pt>
                <c:pt idx="110">
                  <c:v>130827.8</c:v>
                </c:pt>
                <c:pt idx="111">
                  <c:v>130575.7</c:v>
                </c:pt>
                <c:pt idx="112">
                  <c:v>129769.60000000001</c:v>
                </c:pt>
                <c:pt idx="113">
                  <c:v>131467.9</c:v>
                </c:pt>
                <c:pt idx="114">
                  <c:v>133311.5</c:v>
                </c:pt>
                <c:pt idx="115">
                  <c:v>133188.4</c:v>
                </c:pt>
                <c:pt idx="116">
                  <c:v>133121.9</c:v>
                </c:pt>
                <c:pt idx="117">
                  <c:v>132884.20000000001</c:v>
                </c:pt>
                <c:pt idx="118">
                  <c:v>132700.4</c:v>
                </c:pt>
                <c:pt idx="119">
                  <c:v>132576.20000000001</c:v>
                </c:pt>
                <c:pt idx="120">
                  <c:v>132318.1</c:v>
                </c:pt>
                <c:pt idx="121">
                  <c:v>132093.1</c:v>
                </c:pt>
                <c:pt idx="122">
                  <c:v>131445.70000000001</c:v>
                </c:pt>
                <c:pt idx="123">
                  <c:v>131356.79999999999</c:v>
                </c:pt>
                <c:pt idx="124">
                  <c:v>131241.70000000001</c:v>
                </c:pt>
                <c:pt idx="125">
                  <c:v>130892.3</c:v>
                </c:pt>
                <c:pt idx="126">
                  <c:v>130704.8</c:v>
                </c:pt>
                <c:pt idx="127">
                  <c:v>130596.3</c:v>
                </c:pt>
                <c:pt idx="128">
                  <c:v>130277.7</c:v>
                </c:pt>
                <c:pt idx="129">
                  <c:v>130113</c:v>
                </c:pt>
                <c:pt idx="130">
                  <c:v>129627.9</c:v>
                </c:pt>
                <c:pt idx="131">
                  <c:v>129350.8</c:v>
                </c:pt>
                <c:pt idx="132">
                  <c:v>129263.1</c:v>
                </c:pt>
                <c:pt idx="133">
                  <c:v>129005.4</c:v>
                </c:pt>
                <c:pt idx="134">
                  <c:v>128727.8</c:v>
                </c:pt>
                <c:pt idx="135">
                  <c:v>128302.1</c:v>
                </c:pt>
                <c:pt idx="136">
                  <c:v>128149.8</c:v>
                </c:pt>
                <c:pt idx="137">
                  <c:v>127937.1</c:v>
                </c:pt>
                <c:pt idx="138">
                  <c:v>127586.7</c:v>
                </c:pt>
                <c:pt idx="139">
                  <c:v>127391.4</c:v>
                </c:pt>
                <c:pt idx="140">
                  <c:v>126695.1</c:v>
                </c:pt>
                <c:pt idx="141">
                  <c:v>126506.1</c:v>
                </c:pt>
                <c:pt idx="142">
                  <c:v>126302</c:v>
                </c:pt>
                <c:pt idx="143">
                  <c:v>126095.8</c:v>
                </c:pt>
                <c:pt idx="144">
                  <c:v>125509.6</c:v>
                </c:pt>
                <c:pt idx="145">
                  <c:v>125279.9</c:v>
                </c:pt>
                <c:pt idx="146">
                  <c:v>125062.5</c:v>
                </c:pt>
                <c:pt idx="147">
                  <c:v>124516.2</c:v>
                </c:pt>
                <c:pt idx="148">
                  <c:v>124320.3</c:v>
                </c:pt>
                <c:pt idx="149">
                  <c:v>124082</c:v>
                </c:pt>
                <c:pt idx="150">
                  <c:v>123991.3</c:v>
                </c:pt>
                <c:pt idx="151">
                  <c:v>123865.3</c:v>
                </c:pt>
                <c:pt idx="152">
                  <c:v>123423.2</c:v>
                </c:pt>
                <c:pt idx="153">
                  <c:v>123185.8</c:v>
                </c:pt>
                <c:pt idx="154">
                  <c:v>123071.4</c:v>
                </c:pt>
                <c:pt idx="155">
                  <c:v>122984.2</c:v>
                </c:pt>
                <c:pt idx="156">
                  <c:v>122880.1</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Charts'!$R$3:$R$543</c:f>
              <c:numCache>
                <c:formatCode>0.0</c:formatCode>
                <c:ptCount val="541"/>
                <c:pt idx="0">
                  <c:v>181997.8</c:v>
                </c:pt>
                <c:pt idx="1">
                  <c:v>181997.8</c:v>
                </c:pt>
                <c:pt idx="2">
                  <c:v>181997.8</c:v>
                </c:pt>
                <c:pt idx="3">
                  <c:v>181997.8</c:v>
                </c:pt>
                <c:pt idx="4">
                  <c:v>181997.8</c:v>
                </c:pt>
                <c:pt idx="5">
                  <c:v>181997.8</c:v>
                </c:pt>
                <c:pt idx="6">
                  <c:v>181997.8</c:v>
                </c:pt>
                <c:pt idx="7">
                  <c:v>181997.8</c:v>
                </c:pt>
                <c:pt idx="8">
                  <c:v>181997.8</c:v>
                </c:pt>
                <c:pt idx="9">
                  <c:v>181997.8</c:v>
                </c:pt>
                <c:pt idx="10">
                  <c:v>181997.8</c:v>
                </c:pt>
                <c:pt idx="11">
                  <c:v>181997.8</c:v>
                </c:pt>
                <c:pt idx="12">
                  <c:v>181997.8</c:v>
                </c:pt>
                <c:pt idx="13">
                  <c:v>181997.8</c:v>
                </c:pt>
                <c:pt idx="14">
                  <c:v>181997.8</c:v>
                </c:pt>
                <c:pt idx="15">
                  <c:v>181997.8</c:v>
                </c:pt>
                <c:pt idx="16">
                  <c:v>181997.8</c:v>
                </c:pt>
                <c:pt idx="17">
                  <c:v>181997.8</c:v>
                </c:pt>
                <c:pt idx="18">
                  <c:v>181997.8</c:v>
                </c:pt>
                <c:pt idx="19">
                  <c:v>181997.8</c:v>
                </c:pt>
                <c:pt idx="20">
                  <c:v>181997.8</c:v>
                </c:pt>
                <c:pt idx="21">
                  <c:v>181997.8</c:v>
                </c:pt>
                <c:pt idx="22">
                  <c:v>181997.8</c:v>
                </c:pt>
                <c:pt idx="23">
                  <c:v>181997.8</c:v>
                </c:pt>
                <c:pt idx="24">
                  <c:v>181997.8</c:v>
                </c:pt>
                <c:pt idx="25">
                  <c:v>181997.8</c:v>
                </c:pt>
                <c:pt idx="26">
                  <c:v>181997.8</c:v>
                </c:pt>
                <c:pt idx="27">
                  <c:v>181997.8</c:v>
                </c:pt>
                <c:pt idx="28">
                  <c:v>181997.8</c:v>
                </c:pt>
                <c:pt idx="29">
                  <c:v>181997.8</c:v>
                </c:pt>
                <c:pt idx="30">
                  <c:v>181997.8</c:v>
                </c:pt>
                <c:pt idx="31">
                  <c:v>181997.8</c:v>
                </c:pt>
                <c:pt idx="32">
                  <c:v>181997.8</c:v>
                </c:pt>
                <c:pt idx="33">
                  <c:v>181997.8</c:v>
                </c:pt>
                <c:pt idx="34">
                  <c:v>181997.8</c:v>
                </c:pt>
                <c:pt idx="35">
                  <c:v>181997.8</c:v>
                </c:pt>
                <c:pt idx="36">
                  <c:v>181997.8</c:v>
                </c:pt>
                <c:pt idx="37">
                  <c:v>181997.8</c:v>
                </c:pt>
                <c:pt idx="38">
                  <c:v>181997.8</c:v>
                </c:pt>
                <c:pt idx="39">
                  <c:v>181997.8</c:v>
                </c:pt>
                <c:pt idx="40">
                  <c:v>181997.8</c:v>
                </c:pt>
                <c:pt idx="41">
                  <c:v>181997.8</c:v>
                </c:pt>
                <c:pt idx="42">
                  <c:v>181997.8</c:v>
                </c:pt>
                <c:pt idx="43">
                  <c:v>181997.8</c:v>
                </c:pt>
                <c:pt idx="44">
                  <c:v>181997.8</c:v>
                </c:pt>
                <c:pt idx="45">
                  <c:v>181997.8</c:v>
                </c:pt>
                <c:pt idx="46">
                  <c:v>181997.8</c:v>
                </c:pt>
                <c:pt idx="47">
                  <c:v>181997.8</c:v>
                </c:pt>
                <c:pt idx="48">
                  <c:v>181997.8</c:v>
                </c:pt>
                <c:pt idx="49">
                  <c:v>181997.8</c:v>
                </c:pt>
                <c:pt idx="50">
                  <c:v>181997.8</c:v>
                </c:pt>
                <c:pt idx="51">
                  <c:v>181997.8</c:v>
                </c:pt>
                <c:pt idx="52">
                  <c:v>181997.8</c:v>
                </c:pt>
                <c:pt idx="53">
                  <c:v>181997.8</c:v>
                </c:pt>
                <c:pt idx="54">
                  <c:v>181997.8</c:v>
                </c:pt>
                <c:pt idx="55">
                  <c:v>181997.8</c:v>
                </c:pt>
                <c:pt idx="56">
                  <c:v>181997.8</c:v>
                </c:pt>
                <c:pt idx="57">
                  <c:v>181997.8</c:v>
                </c:pt>
                <c:pt idx="58">
                  <c:v>181997.8</c:v>
                </c:pt>
                <c:pt idx="59">
                  <c:v>181997.8</c:v>
                </c:pt>
                <c:pt idx="60">
                  <c:v>181997.8</c:v>
                </c:pt>
                <c:pt idx="61">
                  <c:v>181997.8</c:v>
                </c:pt>
                <c:pt idx="62">
                  <c:v>181997.8</c:v>
                </c:pt>
                <c:pt idx="63">
                  <c:v>181997.8</c:v>
                </c:pt>
                <c:pt idx="64">
                  <c:v>181997.8</c:v>
                </c:pt>
                <c:pt idx="65">
                  <c:v>181997.8</c:v>
                </c:pt>
                <c:pt idx="66">
                  <c:v>181997.8</c:v>
                </c:pt>
                <c:pt idx="67">
                  <c:v>181997.8</c:v>
                </c:pt>
                <c:pt idx="68">
                  <c:v>181997.8</c:v>
                </c:pt>
                <c:pt idx="69">
                  <c:v>181997.8</c:v>
                </c:pt>
                <c:pt idx="70">
                  <c:v>181997.8</c:v>
                </c:pt>
                <c:pt idx="71">
                  <c:v>181997.8</c:v>
                </c:pt>
                <c:pt idx="72">
                  <c:v>181997.8</c:v>
                </c:pt>
                <c:pt idx="73">
                  <c:v>181997.8</c:v>
                </c:pt>
                <c:pt idx="74">
                  <c:v>181997.8</c:v>
                </c:pt>
                <c:pt idx="75">
                  <c:v>181997.8</c:v>
                </c:pt>
                <c:pt idx="76">
                  <c:v>181997.8</c:v>
                </c:pt>
                <c:pt idx="77">
                  <c:v>181997.8</c:v>
                </c:pt>
                <c:pt idx="78">
                  <c:v>181997.8</c:v>
                </c:pt>
                <c:pt idx="79">
                  <c:v>181997.8</c:v>
                </c:pt>
                <c:pt idx="80">
                  <c:v>181997.8</c:v>
                </c:pt>
                <c:pt idx="81">
                  <c:v>181997.8</c:v>
                </c:pt>
                <c:pt idx="82">
                  <c:v>181997.8</c:v>
                </c:pt>
                <c:pt idx="83">
                  <c:v>181997.8</c:v>
                </c:pt>
                <c:pt idx="84">
                  <c:v>181997.8</c:v>
                </c:pt>
                <c:pt idx="85">
                  <c:v>181997.8</c:v>
                </c:pt>
                <c:pt idx="86">
                  <c:v>181997.8</c:v>
                </c:pt>
                <c:pt idx="87">
                  <c:v>181997.8</c:v>
                </c:pt>
                <c:pt idx="88">
                  <c:v>181997.8</c:v>
                </c:pt>
                <c:pt idx="89">
                  <c:v>181997.8</c:v>
                </c:pt>
                <c:pt idx="90">
                  <c:v>181997.8</c:v>
                </c:pt>
                <c:pt idx="91">
                  <c:v>181997.8</c:v>
                </c:pt>
                <c:pt idx="92">
                  <c:v>181997.8</c:v>
                </c:pt>
                <c:pt idx="93">
                  <c:v>181997.8</c:v>
                </c:pt>
                <c:pt idx="94">
                  <c:v>181997.8</c:v>
                </c:pt>
                <c:pt idx="95">
                  <c:v>181997.8</c:v>
                </c:pt>
                <c:pt idx="96">
                  <c:v>181997.8</c:v>
                </c:pt>
                <c:pt idx="97">
                  <c:v>181997.8</c:v>
                </c:pt>
                <c:pt idx="98">
                  <c:v>181997.8</c:v>
                </c:pt>
                <c:pt idx="99">
                  <c:v>181997.8</c:v>
                </c:pt>
                <c:pt idx="100">
                  <c:v>181997.8</c:v>
                </c:pt>
                <c:pt idx="101">
                  <c:v>181997.8</c:v>
                </c:pt>
                <c:pt idx="102">
                  <c:v>154422.39999999999</c:v>
                </c:pt>
                <c:pt idx="103">
                  <c:v>154422.39999999999</c:v>
                </c:pt>
                <c:pt idx="104">
                  <c:v>154422.39999999999</c:v>
                </c:pt>
                <c:pt idx="105">
                  <c:v>154422.39999999999</c:v>
                </c:pt>
                <c:pt idx="106">
                  <c:v>154422.39999999999</c:v>
                </c:pt>
                <c:pt idx="107">
                  <c:v>154422.39999999999</c:v>
                </c:pt>
                <c:pt idx="108">
                  <c:v>154422.39999999999</c:v>
                </c:pt>
                <c:pt idx="109">
                  <c:v>154422.39999999999</c:v>
                </c:pt>
                <c:pt idx="110">
                  <c:v>154422.39999999999</c:v>
                </c:pt>
                <c:pt idx="111">
                  <c:v>154422.39999999999</c:v>
                </c:pt>
                <c:pt idx="112">
                  <c:v>154422.39999999999</c:v>
                </c:pt>
                <c:pt idx="113">
                  <c:v>154422.39999999999</c:v>
                </c:pt>
                <c:pt idx="114">
                  <c:v>154422.39999999999</c:v>
                </c:pt>
                <c:pt idx="115">
                  <c:v>154422.39999999999</c:v>
                </c:pt>
                <c:pt idx="116">
                  <c:v>154422.39999999999</c:v>
                </c:pt>
                <c:pt idx="117">
                  <c:v>154422.39999999999</c:v>
                </c:pt>
                <c:pt idx="118">
                  <c:v>154422.39999999999</c:v>
                </c:pt>
                <c:pt idx="119">
                  <c:v>154422.39999999999</c:v>
                </c:pt>
                <c:pt idx="120">
                  <c:v>154422.39999999999</c:v>
                </c:pt>
                <c:pt idx="121">
                  <c:v>154422.39999999999</c:v>
                </c:pt>
                <c:pt idx="122">
                  <c:v>154422.39999999999</c:v>
                </c:pt>
                <c:pt idx="123">
                  <c:v>154422.39999999999</c:v>
                </c:pt>
                <c:pt idx="124">
                  <c:v>154422.39999999999</c:v>
                </c:pt>
                <c:pt idx="125">
                  <c:v>154422.39999999999</c:v>
                </c:pt>
                <c:pt idx="126">
                  <c:v>154422.39999999999</c:v>
                </c:pt>
                <c:pt idx="127">
                  <c:v>154422.39999999999</c:v>
                </c:pt>
                <c:pt idx="128">
                  <c:v>154422.39999999999</c:v>
                </c:pt>
                <c:pt idx="129">
                  <c:v>154422.39999999999</c:v>
                </c:pt>
                <c:pt idx="130">
                  <c:v>154422.39999999999</c:v>
                </c:pt>
                <c:pt idx="131">
                  <c:v>154422.39999999999</c:v>
                </c:pt>
                <c:pt idx="132">
                  <c:v>154422.39999999999</c:v>
                </c:pt>
                <c:pt idx="133">
                  <c:v>154422.39999999999</c:v>
                </c:pt>
                <c:pt idx="134">
                  <c:v>154422.39999999999</c:v>
                </c:pt>
                <c:pt idx="135">
                  <c:v>154422.39999999999</c:v>
                </c:pt>
                <c:pt idx="136">
                  <c:v>154422.39999999999</c:v>
                </c:pt>
                <c:pt idx="137">
                  <c:v>154422.39999999999</c:v>
                </c:pt>
                <c:pt idx="138">
                  <c:v>154422.39999999999</c:v>
                </c:pt>
                <c:pt idx="139">
                  <c:v>154422.39999999999</c:v>
                </c:pt>
                <c:pt idx="140">
                  <c:v>154422.39999999999</c:v>
                </c:pt>
                <c:pt idx="141">
                  <c:v>154422.39999999999</c:v>
                </c:pt>
                <c:pt idx="142">
                  <c:v>154422.39999999999</c:v>
                </c:pt>
                <c:pt idx="143">
                  <c:v>154422.39999999999</c:v>
                </c:pt>
                <c:pt idx="144">
                  <c:v>154422.39999999999</c:v>
                </c:pt>
                <c:pt idx="145">
                  <c:v>154422.39999999999</c:v>
                </c:pt>
                <c:pt idx="146">
                  <c:v>154422.39999999999</c:v>
                </c:pt>
                <c:pt idx="147">
                  <c:v>154422.39999999999</c:v>
                </c:pt>
                <c:pt idx="148">
                  <c:v>154422.39999999999</c:v>
                </c:pt>
                <c:pt idx="149">
                  <c:v>154422.39999999999</c:v>
                </c:pt>
                <c:pt idx="150">
                  <c:v>154422.39999999999</c:v>
                </c:pt>
                <c:pt idx="151">
                  <c:v>154422.39999999999</c:v>
                </c:pt>
                <c:pt idx="152">
                  <c:v>154422.39999999999</c:v>
                </c:pt>
                <c:pt idx="153">
                  <c:v>154422.39999999999</c:v>
                </c:pt>
                <c:pt idx="154">
                  <c:v>154422.39999999999</c:v>
                </c:pt>
                <c:pt idx="155">
                  <c:v>154422.39999999999</c:v>
                </c:pt>
                <c:pt idx="156">
                  <c:v>154422.39999999999</c:v>
                </c:pt>
              </c:numCache>
            </c:numRef>
          </c:val>
        </c:ser>
        <c:dLbls/>
        <c:marker val="1"/>
        <c:axId val="287337472"/>
        <c:axId val="287351552"/>
      </c:lineChart>
      <c:dateAx>
        <c:axId val="28733747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7351552"/>
        <c:crosses val="autoZero"/>
        <c:lblOffset val="100"/>
        <c:baseTimeUnit val="days"/>
      </c:dateAx>
      <c:valAx>
        <c:axId val="287351552"/>
        <c:scaling>
          <c:orientation val="minMax"/>
          <c:max val="15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7337472"/>
        <c:crosses val="autoZero"/>
        <c:crossBetween val="between"/>
      </c:valAx>
    </c:plotArea>
    <c:legend>
      <c:legendPos val="r"/>
      <c:layout>
        <c:manualLayout>
          <c:xMode val="edge"/>
          <c:yMode val="edge"/>
          <c:x val="0.81751333502663492"/>
          <c:y val="0.21156106270415254"/>
          <c:w val="0.16635763271526544"/>
          <c:h val="0.64784176272636762"/>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0879 Used GB</a:t>
            </a:r>
          </a:p>
        </c:rich>
      </c:tx>
    </c:title>
    <c:plotArea>
      <c:layout>
        <c:manualLayout>
          <c:layoutTarget val="inner"/>
          <c:xMode val="edge"/>
          <c:yMode val="edge"/>
          <c:x val="0.14459910253154573"/>
          <c:y val="0.18763682967722844"/>
          <c:w val="0.65519409872155165"/>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Charts'!$I$3:$I$543</c:f>
              <c:numCache>
                <c:formatCode>0.0</c:formatCode>
                <c:ptCount val="541"/>
                <c:pt idx="0">
                  <c:v>147978.6</c:v>
                </c:pt>
                <c:pt idx="1">
                  <c:v>147912.70000000001</c:v>
                </c:pt>
                <c:pt idx="2">
                  <c:v>147764.9</c:v>
                </c:pt>
                <c:pt idx="3">
                  <c:v>147365.29999999999</c:v>
                </c:pt>
                <c:pt idx="4">
                  <c:v>147226.1</c:v>
                </c:pt>
                <c:pt idx="5">
                  <c:v>147015.4</c:v>
                </c:pt>
                <c:pt idx="6">
                  <c:v>146922.29999999999</c:v>
                </c:pt>
                <c:pt idx="7">
                  <c:v>146582.29999999999</c:v>
                </c:pt>
                <c:pt idx="8">
                  <c:v>146504.20000000001</c:v>
                </c:pt>
                <c:pt idx="9">
                  <c:v>146156.79999999999</c:v>
                </c:pt>
                <c:pt idx="10">
                  <c:v>146112.5</c:v>
                </c:pt>
                <c:pt idx="11">
                  <c:v>146089</c:v>
                </c:pt>
                <c:pt idx="12">
                  <c:v>145976.1</c:v>
                </c:pt>
                <c:pt idx="13">
                  <c:v>145832</c:v>
                </c:pt>
                <c:pt idx="14">
                  <c:v>145803.1</c:v>
                </c:pt>
                <c:pt idx="15">
                  <c:v>145574.5</c:v>
                </c:pt>
                <c:pt idx="16">
                  <c:v>145325.9</c:v>
                </c:pt>
                <c:pt idx="17">
                  <c:v>144885.1</c:v>
                </c:pt>
                <c:pt idx="18">
                  <c:v>144497.60000000001</c:v>
                </c:pt>
                <c:pt idx="19">
                  <c:v>144164.1</c:v>
                </c:pt>
                <c:pt idx="20">
                  <c:v>143669.5</c:v>
                </c:pt>
                <c:pt idx="21">
                  <c:v>143317.79999999999</c:v>
                </c:pt>
                <c:pt idx="22">
                  <c:v>143130.29999999999</c:v>
                </c:pt>
                <c:pt idx="23">
                  <c:v>142649.79999999999</c:v>
                </c:pt>
                <c:pt idx="24">
                  <c:v>142575.79999999999</c:v>
                </c:pt>
                <c:pt idx="25">
                  <c:v>142545.79999999999</c:v>
                </c:pt>
                <c:pt idx="26">
                  <c:v>142498.79999999999</c:v>
                </c:pt>
                <c:pt idx="27">
                  <c:v>142365.9</c:v>
                </c:pt>
                <c:pt idx="28">
                  <c:v>141954.79999999999</c:v>
                </c:pt>
                <c:pt idx="29">
                  <c:v>141771.4</c:v>
                </c:pt>
                <c:pt idx="30">
                  <c:v>141593.70000000001</c:v>
                </c:pt>
                <c:pt idx="31">
                  <c:v>141201.79999999999</c:v>
                </c:pt>
                <c:pt idx="32">
                  <c:v>141078.6</c:v>
                </c:pt>
                <c:pt idx="33">
                  <c:v>140677.29999999999</c:v>
                </c:pt>
                <c:pt idx="34">
                  <c:v>140597.6</c:v>
                </c:pt>
                <c:pt idx="35">
                  <c:v>140278</c:v>
                </c:pt>
                <c:pt idx="36">
                  <c:v>139969.20000000001</c:v>
                </c:pt>
                <c:pt idx="37">
                  <c:v>139961.70000000001</c:v>
                </c:pt>
                <c:pt idx="38">
                  <c:v>139874.79999999999</c:v>
                </c:pt>
                <c:pt idx="39">
                  <c:v>139765.29999999999</c:v>
                </c:pt>
                <c:pt idx="40">
                  <c:v>140999.5</c:v>
                </c:pt>
                <c:pt idx="41">
                  <c:v>140904.29999999999</c:v>
                </c:pt>
                <c:pt idx="42">
                  <c:v>140865.29999999999</c:v>
                </c:pt>
                <c:pt idx="43">
                  <c:v>140798.9</c:v>
                </c:pt>
                <c:pt idx="44">
                  <c:v>140672.4</c:v>
                </c:pt>
                <c:pt idx="45">
                  <c:v>140600.79999999999</c:v>
                </c:pt>
                <c:pt idx="46">
                  <c:v>140387.70000000001</c:v>
                </c:pt>
                <c:pt idx="47">
                  <c:v>140216.9</c:v>
                </c:pt>
                <c:pt idx="48">
                  <c:v>139910</c:v>
                </c:pt>
                <c:pt idx="49">
                  <c:v>139385.4</c:v>
                </c:pt>
                <c:pt idx="50">
                  <c:v>139082.4</c:v>
                </c:pt>
                <c:pt idx="51">
                  <c:v>138733.5</c:v>
                </c:pt>
                <c:pt idx="52">
                  <c:v>138652.6</c:v>
                </c:pt>
                <c:pt idx="53">
                  <c:v>138501.29999999999</c:v>
                </c:pt>
                <c:pt idx="54">
                  <c:v>137789.20000000001</c:v>
                </c:pt>
                <c:pt idx="55">
                  <c:v>137369.60000000001</c:v>
                </c:pt>
                <c:pt idx="56">
                  <c:v>137369.60000000001</c:v>
                </c:pt>
                <c:pt idx="57">
                  <c:v>137281.1</c:v>
                </c:pt>
                <c:pt idx="58">
                  <c:v>136964.20000000001</c:v>
                </c:pt>
                <c:pt idx="59">
                  <c:v>136795.20000000001</c:v>
                </c:pt>
                <c:pt idx="60">
                  <c:v>136777.4</c:v>
                </c:pt>
                <c:pt idx="61">
                  <c:v>136747.20000000001</c:v>
                </c:pt>
                <c:pt idx="62">
                  <c:v>136615.4</c:v>
                </c:pt>
                <c:pt idx="63">
                  <c:v>136237.6</c:v>
                </c:pt>
                <c:pt idx="64">
                  <c:v>136045.4</c:v>
                </c:pt>
                <c:pt idx="65">
                  <c:v>135953.9</c:v>
                </c:pt>
                <c:pt idx="66">
                  <c:v>135460.1</c:v>
                </c:pt>
                <c:pt idx="67">
                  <c:v>135396.29999999999</c:v>
                </c:pt>
                <c:pt idx="68">
                  <c:v>135180.29999999999</c:v>
                </c:pt>
                <c:pt idx="69">
                  <c:v>134740.79999999999</c:v>
                </c:pt>
                <c:pt idx="70">
                  <c:v>134702.6</c:v>
                </c:pt>
                <c:pt idx="71">
                  <c:v>134578.5</c:v>
                </c:pt>
                <c:pt idx="72">
                  <c:v>134329.4</c:v>
                </c:pt>
                <c:pt idx="73">
                  <c:v>134275.5</c:v>
                </c:pt>
                <c:pt idx="74">
                  <c:v>134244.29999999999</c:v>
                </c:pt>
                <c:pt idx="75">
                  <c:v>133521.20000000001</c:v>
                </c:pt>
                <c:pt idx="76">
                  <c:v>132517.4</c:v>
                </c:pt>
                <c:pt idx="77">
                  <c:v>132475.1</c:v>
                </c:pt>
                <c:pt idx="78">
                  <c:v>131347.79999999999</c:v>
                </c:pt>
                <c:pt idx="79">
                  <c:v>131218.9</c:v>
                </c:pt>
                <c:pt idx="80">
                  <c:v>130904.6</c:v>
                </c:pt>
                <c:pt idx="81">
                  <c:v>130838.3</c:v>
                </c:pt>
                <c:pt idx="82">
                  <c:v>130078.9</c:v>
                </c:pt>
                <c:pt idx="83">
                  <c:v>129229.5</c:v>
                </c:pt>
                <c:pt idx="84">
                  <c:v>128538.5</c:v>
                </c:pt>
                <c:pt idx="85">
                  <c:v>128434.5</c:v>
                </c:pt>
                <c:pt idx="86">
                  <c:v>127965.2</c:v>
                </c:pt>
                <c:pt idx="87">
                  <c:v>127689.60000000001</c:v>
                </c:pt>
                <c:pt idx="88">
                  <c:v>127597.6</c:v>
                </c:pt>
                <c:pt idx="89">
                  <c:v>127531.6</c:v>
                </c:pt>
                <c:pt idx="90">
                  <c:v>127461.5</c:v>
                </c:pt>
                <c:pt idx="91">
                  <c:v>126723.5</c:v>
                </c:pt>
                <c:pt idx="92">
                  <c:v>125856.3</c:v>
                </c:pt>
                <c:pt idx="93">
                  <c:v>125656.5</c:v>
                </c:pt>
                <c:pt idx="94">
                  <c:v>125424.4</c:v>
                </c:pt>
                <c:pt idx="95">
                  <c:v>125065.5</c:v>
                </c:pt>
                <c:pt idx="96">
                  <c:v>124978.9</c:v>
                </c:pt>
                <c:pt idx="97">
                  <c:v>124828.8</c:v>
                </c:pt>
                <c:pt idx="98">
                  <c:v>124568.2</c:v>
                </c:pt>
                <c:pt idx="99">
                  <c:v>124394.9</c:v>
                </c:pt>
                <c:pt idx="100">
                  <c:v>124280.9</c:v>
                </c:pt>
                <c:pt idx="101">
                  <c:v>123637.2</c:v>
                </c:pt>
                <c:pt idx="102">
                  <c:v>123067.5</c:v>
                </c:pt>
                <c:pt idx="103">
                  <c:v>122616.3</c:v>
                </c:pt>
                <c:pt idx="104">
                  <c:v>122403.9</c:v>
                </c:pt>
                <c:pt idx="105">
                  <c:v>121896.3</c:v>
                </c:pt>
                <c:pt idx="106">
                  <c:v>121769</c:v>
                </c:pt>
                <c:pt idx="107">
                  <c:v>121723.1</c:v>
                </c:pt>
                <c:pt idx="108">
                  <c:v>121481.7</c:v>
                </c:pt>
                <c:pt idx="109">
                  <c:v>121440.9</c:v>
                </c:pt>
                <c:pt idx="110">
                  <c:v>121337.4</c:v>
                </c:pt>
                <c:pt idx="111">
                  <c:v>120671.4</c:v>
                </c:pt>
                <c:pt idx="112">
                  <c:v>118863.8</c:v>
                </c:pt>
                <c:pt idx="113">
                  <c:v>120059</c:v>
                </c:pt>
                <c:pt idx="114">
                  <c:v>120680.6</c:v>
                </c:pt>
                <c:pt idx="115">
                  <c:v>120611.4</c:v>
                </c:pt>
                <c:pt idx="116">
                  <c:v>120574.7</c:v>
                </c:pt>
                <c:pt idx="117">
                  <c:v>120488.6</c:v>
                </c:pt>
                <c:pt idx="118">
                  <c:v>120141.4</c:v>
                </c:pt>
                <c:pt idx="119">
                  <c:v>119385.3</c:v>
                </c:pt>
                <c:pt idx="120">
                  <c:v>119217.2</c:v>
                </c:pt>
                <c:pt idx="121">
                  <c:v>119098.5</c:v>
                </c:pt>
                <c:pt idx="122">
                  <c:v>118760.6</c:v>
                </c:pt>
                <c:pt idx="123">
                  <c:v>118652.4</c:v>
                </c:pt>
                <c:pt idx="124">
                  <c:v>118181.7</c:v>
                </c:pt>
                <c:pt idx="125">
                  <c:v>117832.8</c:v>
                </c:pt>
                <c:pt idx="126">
                  <c:v>117381.9</c:v>
                </c:pt>
                <c:pt idx="127">
                  <c:v>117245.5</c:v>
                </c:pt>
                <c:pt idx="128">
                  <c:v>117036.6</c:v>
                </c:pt>
                <c:pt idx="129">
                  <c:v>116974.7</c:v>
                </c:pt>
                <c:pt idx="130">
                  <c:v>116024.2</c:v>
                </c:pt>
                <c:pt idx="131">
                  <c:v>115940</c:v>
                </c:pt>
                <c:pt idx="132">
                  <c:v>115821.3</c:v>
                </c:pt>
                <c:pt idx="133">
                  <c:v>115456.5</c:v>
                </c:pt>
                <c:pt idx="134">
                  <c:v>115358.6</c:v>
                </c:pt>
                <c:pt idx="135">
                  <c:v>115126.8</c:v>
                </c:pt>
                <c:pt idx="136">
                  <c:v>115078.9</c:v>
                </c:pt>
                <c:pt idx="137">
                  <c:v>113862.7</c:v>
                </c:pt>
                <c:pt idx="138">
                  <c:v>113738.1</c:v>
                </c:pt>
                <c:pt idx="139">
                  <c:v>112754.7</c:v>
                </c:pt>
                <c:pt idx="140">
                  <c:v>112037.9</c:v>
                </c:pt>
                <c:pt idx="141">
                  <c:v>111876.1</c:v>
                </c:pt>
                <c:pt idx="142">
                  <c:v>111220.7</c:v>
                </c:pt>
                <c:pt idx="143">
                  <c:v>110913.1</c:v>
                </c:pt>
                <c:pt idx="144">
                  <c:v>110696</c:v>
                </c:pt>
                <c:pt idx="145">
                  <c:v>110434.2</c:v>
                </c:pt>
                <c:pt idx="146">
                  <c:v>110366.3</c:v>
                </c:pt>
                <c:pt idx="147">
                  <c:v>109870.5</c:v>
                </c:pt>
                <c:pt idx="148">
                  <c:v>109870.5</c:v>
                </c:pt>
                <c:pt idx="149">
                  <c:v>109700.8</c:v>
                </c:pt>
                <c:pt idx="150">
                  <c:v>109524.2</c:v>
                </c:pt>
                <c:pt idx="151">
                  <c:v>109470.5</c:v>
                </c:pt>
                <c:pt idx="152">
                  <c:v>109336.9</c:v>
                </c:pt>
                <c:pt idx="153">
                  <c:v>109285.2</c:v>
                </c:pt>
                <c:pt idx="154">
                  <c:v>109247.9</c:v>
                </c:pt>
                <c:pt idx="155">
                  <c:v>109184.5</c:v>
                </c:pt>
                <c:pt idx="156">
                  <c:v>109143.5</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Charts'!$V$3:$V$543</c:f>
              <c:numCache>
                <c:formatCode>0.0</c:formatCode>
                <c:ptCount val="541"/>
                <c:pt idx="0">
                  <c:v>193027</c:v>
                </c:pt>
                <c:pt idx="1">
                  <c:v>193027</c:v>
                </c:pt>
                <c:pt idx="2">
                  <c:v>193027</c:v>
                </c:pt>
                <c:pt idx="3">
                  <c:v>193027</c:v>
                </c:pt>
                <c:pt idx="4">
                  <c:v>193027</c:v>
                </c:pt>
                <c:pt idx="5">
                  <c:v>193027</c:v>
                </c:pt>
                <c:pt idx="6">
                  <c:v>193027</c:v>
                </c:pt>
                <c:pt idx="7">
                  <c:v>170967.6</c:v>
                </c:pt>
                <c:pt idx="8">
                  <c:v>170967.6</c:v>
                </c:pt>
                <c:pt idx="9">
                  <c:v>170967.6</c:v>
                </c:pt>
                <c:pt idx="10">
                  <c:v>170967.6</c:v>
                </c:pt>
                <c:pt idx="11">
                  <c:v>170967.6</c:v>
                </c:pt>
                <c:pt idx="12">
                  <c:v>170967.6</c:v>
                </c:pt>
                <c:pt idx="13">
                  <c:v>170967.6</c:v>
                </c:pt>
                <c:pt idx="14">
                  <c:v>170967.6</c:v>
                </c:pt>
                <c:pt idx="15">
                  <c:v>170967.6</c:v>
                </c:pt>
                <c:pt idx="16">
                  <c:v>170967.6</c:v>
                </c:pt>
                <c:pt idx="17">
                  <c:v>170967.6</c:v>
                </c:pt>
                <c:pt idx="18">
                  <c:v>170967.6</c:v>
                </c:pt>
                <c:pt idx="19">
                  <c:v>170967.6</c:v>
                </c:pt>
                <c:pt idx="20">
                  <c:v>170967.6</c:v>
                </c:pt>
                <c:pt idx="21">
                  <c:v>170967.6</c:v>
                </c:pt>
                <c:pt idx="22">
                  <c:v>170967.6</c:v>
                </c:pt>
                <c:pt idx="23">
                  <c:v>170967.6</c:v>
                </c:pt>
                <c:pt idx="24">
                  <c:v>170967.6</c:v>
                </c:pt>
                <c:pt idx="25">
                  <c:v>170967.6</c:v>
                </c:pt>
                <c:pt idx="26">
                  <c:v>170967.6</c:v>
                </c:pt>
                <c:pt idx="27">
                  <c:v>170967.6</c:v>
                </c:pt>
                <c:pt idx="28">
                  <c:v>170967.6</c:v>
                </c:pt>
                <c:pt idx="29">
                  <c:v>170967.6</c:v>
                </c:pt>
                <c:pt idx="30">
                  <c:v>170967.6</c:v>
                </c:pt>
                <c:pt idx="31">
                  <c:v>170967.6</c:v>
                </c:pt>
                <c:pt idx="32">
                  <c:v>170967.6</c:v>
                </c:pt>
                <c:pt idx="33">
                  <c:v>170967.6</c:v>
                </c:pt>
                <c:pt idx="34">
                  <c:v>170967.6</c:v>
                </c:pt>
                <c:pt idx="35">
                  <c:v>170967.6</c:v>
                </c:pt>
                <c:pt idx="36">
                  <c:v>170967.6</c:v>
                </c:pt>
                <c:pt idx="37">
                  <c:v>170967.6</c:v>
                </c:pt>
                <c:pt idx="38">
                  <c:v>170967.6</c:v>
                </c:pt>
                <c:pt idx="39">
                  <c:v>170967.6</c:v>
                </c:pt>
                <c:pt idx="40">
                  <c:v>170967.6</c:v>
                </c:pt>
                <c:pt idx="41">
                  <c:v>170967.6</c:v>
                </c:pt>
                <c:pt idx="42">
                  <c:v>170967.6</c:v>
                </c:pt>
                <c:pt idx="43">
                  <c:v>170967.6</c:v>
                </c:pt>
                <c:pt idx="44">
                  <c:v>170967.6</c:v>
                </c:pt>
                <c:pt idx="45">
                  <c:v>170967.6</c:v>
                </c:pt>
                <c:pt idx="46">
                  <c:v>170967.6</c:v>
                </c:pt>
                <c:pt idx="47">
                  <c:v>170967.6</c:v>
                </c:pt>
                <c:pt idx="48">
                  <c:v>170967.6</c:v>
                </c:pt>
                <c:pt idx="49">
                  <c:v>170967.6</c:v>
                </c:pt>
                <c:pt idx="50">
                  <c:v>170967.6</c:v>
                </c:pt>
                <c:pt idx="51">
                  <c:v>170967.6</c:v>
                </c:pt>
                <c:pt idx="52">
                  <c:v>170967.6</c:v>
                </c:pt>
                <c:pt idx="53">
                  <c:v>170967.6</c:v>
                </c:pt>
                <c:pt idx="54">
                  <c:v>170967.6</c:v>
                </c:pt>
                <c:pt idx="55">
                  <c:v>170967.6</c:v>
                </c:pt>
                <c:pt idx="56">
                  <c:v>170967.6</c:v>
                </c:pt>
                <c:pt idx="57">
                  <c:v>170967.6</c:v>
                </c:pt>
                <c:pt idx="58">
                  <c:v>170967.6</c:v>
                </c:pt>
                <c:pt idx="59">
                  <c:v>170967.6</c:v>
                </c:pt>
                <c:pt idx="60">
                  <c:v>170967.6</c:v>
                </c:pt>
                <c:pt idx="61">
                  <c:v>170967.6</c:v>
                </c:pt>
                <c:pt idx="62">
                  <c:v>170967.6</c:v>
                </c:pt>
                <c:pt idx="63">
                  <c:v>170967.6</c:v>
                </c:pt>
                <c:pt idx="64">
                  <c:v>170967.6</c:v>
                </c:pt>
                <c:pt idx="65">
                  <c:v>170967.6</c:v>
                </c:pt>
                <c:pt idx="66">
                  <c:v>170967.6</c:v>
                </c:pt>
                <c:pt idx="67">
                  <c:v>170967.6</c:v>
                </c:pt>
                <c:pt idx="68">
                  <c:v>170967.6</c:v>
                </c:pt>
                <c:pt idx="69">
                  <c:v>170967.6</c:v>
                </c:pt>
                <c:pt idx="70">
                  <c:v>170967.6</c:v>
                </c:pt>
                <c:pt idx="71">
                  <c:v>170967.6</c:v>
                </c:pt>
                <c:pt idx="72">
                  <c:v>170967.6</c:v>
                </c:pt>
                <c:pt idx="73">
                  <c:v>170967.6</c:v>
                </c:pt>
                <c:pt idx="74">
                  <c:v>170967.6</c:v>
                </c:pt>
                <c:pt idx="75">
                  <c:v>170967.6</c:v>
                </c:pt>
                <c:pt idx="76">
                  <c:v>170967.6</c:v>
                </c:pt>
                <c:pt idx="77">
                  <c:v>170967.6</c:v>
                </c:pt>
                <c:pt idx="78">
                  <c:v>170967.6</c:v>
                </c:pt>
                <c:pt idx="79">
                  <c:v>170967.6</c:v>
                </c:pt>
                <c:pt idx="80">
                  <c:v>170967.6</c:v>
                </c:pt>
                <c:pt idx="81">
                  <c:v>170967.6</c:v>
                </c:pt>
                <c:pt idx="82">
                  <c:v>170967.6</c:v>
                </c:pt>
                <c:pt idx="83">
                  <c:v>170967.6</c:v>
                </c:pt>
                <c:pt idx="84">
                  <c:v>170967.6</c:v>
                </c:pt>
                <c:pt idx="85">
                  <c:v>170967.6</c:v>
                </c:pt>
                <c:pt idx="86">
                  <c:v>170967.6</c:v>
                </c:pt>
                <c:pt idx="87">
                  <c:v>170967.6</c:v>
                </c:pt>
                <c:pt idx="88">
                  <c:v>170967.6</c:v>
                </c:pt>
                <c:pt idx="89">
                  <c:v>170967.6</c:v>
                </c:pt>
                <c:pt idx="90">
                  <c:v>170967.6</c:v>
                </c:pt>
                <c:pt idx="91">
                  <c:v>170967.6</c:v>
                </c:pt>
                <c:pt idx="92">
                  <c:v>170967.6</c:v>
                </c:pt>
                <c:pt idx="93">
                  <c:v>170967.6</c:v>
                </c:pt>
                <c:pt idx="94">
                  <c:v>170967.6</c:v>
                </c:pt>
                <c:pt idx="95">
                  <c:v>170967.6</c:v>
                </c:pt>
                <c:pt idx="96">
                  <c:v>170967.6</c:v>
                </c:pt>
                <c:pt idx="97">
                  <c:v>170967.6</c:v>
                </c:pt>
                <c:pt idx="98">
                  <c:v>170967.6</c:v>
                </c:pt>
                <c:pt idx="99">
                  <c:v>170967.6</c:v>
                </c:pt>
                <c:pt idx="100">
                  <c:v>170967.6</c:v>
                </c:pt>
                <c:pt idx="101">
                  <c:v>170967.6</c:v>
                </c:pt>
                <c:pt idx="102">
                  <c:v>170967.6</c:v>
                </c:pt>
                <c:pt idx="103">
                  <c:v>170967.6</c:v>
                </c:pt>
                <c:pt idx="104">
                  <c:v>170967.6</c:v>
                </c:pt>
                <c:pt idx="105">
                  <c:v>170967.6</c:v>
                </c:pt>
                <c:pt idx="106">
                  <c:v>170967.6</c:v>
                </c:pt>
                <c:pt idx="107">
                  <c:v>170967.6</c:v>
                </c:pt>
                <c:pt idx="108">
                  <c:v>170967.6</c:v>
                </c:pt>
                <c:pt idx="109">
                  <c:v>170967.6</c:v>
                </c:pt>
                <c:pt idx="110">
                  <c:v>170967.6</c:v>
                </c:pt>
                <c:pt idx="111">
                  <c:v>170967.6</c:v>
                </c:pt>
                <c:pt idx="112">
                  <c:v>170967.6</c:v>
                </c:pt>
                <c:pt idx="113">
                  <c:v>170967.6</c:v>
                </c:pt>
                <c:pt idx="114">
                  <c:v>170967.6</c:v>
                </c:pt>
                <c:pt idx="115">
                  <c:v>170967.6</c:v>
                </c:pt>
                <c:pt idx="116">
                  <c:v>170967.6</c:v>
                </c:pt>
                <c:pt idx="117">
                  <c:v>170967.6</c:v>
                </c:pt>
                <c:pt idx="118">
                  <c:v>170967.6</c:v>
                </c:pt>
                <c:pt idx="119">
                  <c:v>170967.6</c:v>
                </c:pt>
                <c:pt idx="120">
                  <c:v>170967.6</c:v>
                </c:pt>
                <c:pt idx="121">
                  <c:v>170967.6</c:v>
                </c:pt>
                <c:pt idx="122">
                  <c:v>170967.6</c:v>
                </c:pt>
                <c:pt idx="123">
                  <c:v>170967.6</c:v>
                </c:pt>
                <c:pt idx="124">
                  <c:v>170967.6</c:v>
                </c:pt>
                <c:pt idx="125">
                  <c:v>170967.6</c:v>
                </c:pt>
                <c:pt idx="126">
                  <c:v>170967.6</c:v>
                </c:pt>
                <c:pt idx="127">
                  <c:v>170967.6</c:v>
                </c:pt>
                <c:pt idx="128">
                  <c:v>170967.6</c:v>
                </c:pt>
                <c:pt idx="129">
                  <c:v>170967.6</c:v>
                </c:pt>
                <c:pt idx="130">
                  <c:v>170967.6</c:v>
                </c:pt>
                <c:pt idx="131">
                  <c:v>170967.6</c:v>
                </c:pt>
                <c:pt idx="132">
                  <c:v>170967.6</c:v>
                </c:pt>
                <c:pt idx="133">
                  <c:v>170967.6</c:v>
                </c:pt>
                <c:pt idx="134">
                  <c:v>170967.6</c:v>
                </c:pt>
                <c:pt idx="135">
                  <c:v>170967.6</c:v>
                </c:pt>
                <c:pt idx="136">
                  <c:v>170967.6</c:v>
                </c:pt>
                <c:pt idx="137">
                  <c:v>170967.6</c:v>
                </c:pt>
                <c:pt idx="138">
                  <c:v>170967.6</c:v>
                </c:pt>
                <c:pt idx="139">
                  <c:v>170967.6</c:v>
                </c:pt>
                <c:pt idx="140">
                  <c:v>170967.6</c:v>
                </c:pt>
                <c:pt idx="141">
                  <c:v>170967.6</c:v>
                </c:pt>
                <c:pt idx="142">
                  <c:v>170967.6</c:v>
                </c:pt>
                <c:pt idx="143">
                  <c:v>170967.6</c:v>
                </c:pt>
                <c:pt idx="144">
                  <c:v>170967.6</c:v>
                </c:pt>
                <c:pt idx="145">
                  <c:v>170967.6</c:v>
                </c:pt>
                <c:pt idx="146">
                  <c:v>170967.6</c:v>
                </c:pt>
                <c:pt idx="147">
                  <c:v>170967.6</c:v>
                </c:pt>
                <c:pt idx="148">
                  <c:v>170967.6</c:v>
                </c:pt>
                <c:pt idx="149">
                  <c:v>170967.6</c:v>
                </c:pt>
                <c:pt idx="150">
                  <c:v>170967.6</c:v>
                </c:pt>
                <c:pt idx="151">
                  <c:v>170967.6</c:v>
                </c:pt>
                <c:pt idx="152">
                  <c:v>170967.6</c:v>
                </c:pt>
                <c:pt idx="153">
                  <c:v>170967.6</c:v>
                </c:pt>
                <c:pt idx="154">
                  <c:v>170967.6</c:v>
                </c:pt>
                <c:pt idx="155">
                  <c:v>170967.6</c:v>
                </c:pt>
                <c:pt idx="156">
                  <c:v>170967.6</c:v>
                </c:pt>
              </c:numCache>
            </c:numRef>
          </c:val>
        </c:ser>
        <c:dLbls/>
        <c:marker val="1"/>
        <c:axId val="287321472"/>
        <c:axId val="288986240"/>
      </c:lineChart>
      <c:dateAx>
        <c:axId val="28732147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8986240"/>
        <c:crosses val="autoZero"/>
        <c:lblOffset val="100"/>
        <c:baseTimeUnit val="days"/>
      </c:dateAx>
      <c:valAx>
        <c:axId val="288986240"/>
        <c:scaling>
          <c:orientation val="minMax"/>
          <c:max val="10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7321472"/>
        <c:crosses val="autoZero"/>
        <c:crossBetween val="between"/>
      </c:valAx>
    </c:plotArea>
    <c:legend>
      <c:legendPos val="r"/>
      <c:layout>
        <c:manualLayout>
          <c:xMode val="edge"/>
          <c:yMode val="edge"/>
          <c:x val="0.81051075268820005"/>
          <c:y val="0.20048736382868529"/>
          <c:w val="0.17336021505376348"/>
          <c:h val="0.68364083252140306"/>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0623 Used GB</a:t>
            </a:r>
          </a:p>
        </c:rich>
      </c:tx>
    </c:title>
    <c:plotArea>
      <c:layout>
        <c:manualLayout>
          <c:layoutTarget val="inner"/>
          <c:xMode val="edge"/>
          <c:yMode val="edge"/>
          <c:x val="0.14489100983589823"/>
          <c:y val="0.18763682967722844"/>
          <c:w val="0.64608839046634325"/>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Charts'!$A$159:$A$543</c:f>
              <c:numCache>
                <c:formatCode>[$-409]d\-mmm\-yy;@</c:formatCode>
                <c:ptCount val="385"/>
                <c:pt idx="0">
                  <c:v>40917</c:v>
                </c:pt>
              </c:numCache>
            </c:numRef>
          </c:cat>
          <c:val>
            <c:numRef>
              <c:f>'Used GB Charts'!$B$159:$B$543</c:f>
              <c:numCache>
                <c:formatCode>0.0</c:formatCode>
                <c:ptCount val="385"/>
                <c:pt idx="0">
                  <c:v>89011.1</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Charts'!$O$3:$O$543</c:f>
              <c:numCache>
                <c:formatCode>0.0</c:formatCode>
                <c:ptCount val="541"/>
                <c:pt idx="0">
                  <c:v>143392.20000000001</c:v>
                </c:pt>
                <c:pt idx="1">
                  <c:v>143392.20000000001</c:v>
                </c:pt>
                <c:pt idx="2">
                  <c:v>143392.20000000001</c:v>
                </c:pt>
                <c:pt idx="3">
                  <c:v>143392.20000000001</c:v>
                </c:pt>
                <c:pt idx="4">
                  <c:v>143392.20000000001</c:v>
                </c:pt>
                <c:pt idx="5">
                  <c:v>143392.20000000001</c:v>
                </c:pt>
                <c:pt idx="6">
                  <c:v>143392.20000000001</c:v>
                </c:pt>
                <c:pt idx="7">
                  <c:v>143392.20000000001</c:v>
                </c:pt>
                <c:pt idx="8">
                  <c:v>143392.20000000001</c:v>
                </c:pt>
                <c:pt idx="9">
                  <c:v>143392.20000000001</c:v>
                </c:pt>
                <c:pt idx="10">
                  <c:v>143392.20000000001</c:v>
                </c:pt>
                <c:pt idx="11">
                  <c:v>143392.20000000001</c:v>
                </c:pt>
                <c:pt idx="12">
                  <c:v>143392.20000000001</c:v>
                </c:pt>
                <c:pt idx="13">
                  <c:v>143392.20000000001</c:v>
                </c:pt>
                <c:pt idx="14">
                  <c:v>143392.20000000001</c:v>
                </c:pt>
                <c:pt idx="15">
                  <c:v>143392.20000000001</c:v>
                </c:pt>
                <c:pt idx="16">
                  <c:v>143392.20000000001</c:v>
                </c:pt>
                <c:pt idx="17">
                  <c:v>143392.20000000001</c:v>
                </c:pt>
                <c:pt idx="18">
                  <c:v>143392.20000000001</c:v>
                </c:pt>
                <c:pt idx="19">
                  <c:v>143392.20000000001</c:v>
                </c:pt>
                <c:pt idx="20">
                  <c:v>143392.20000000001</c:v>
                </c:pt>
                <c:pt idx="21">
                  <c:v>143392.20000000001</c:v>
                </c:pt>
                <c:pt idx="22">
                  <c:v>143392.20000000001</c:v>
                </c:pt>
                <c:pt idx="23">
                  <c:v>143392.20000000001</c:v>
                </c:pt>
                <c:pt idx="24">
                  <c:v>143392.20000000001</c:v>
                </c:pt>
                <c:pt idx="25">
                  <c:v>143392.20000000001</c:v>
                </c:pt>
                <c:pt idx="26">
                  <c:v>143392.20000000001</c:v>
                </c:pt>
                <c:pt idx="27">
                  <c:v>143392.20000000001</c:v>
                </c:pt>
                <c:pt idx="28">
                  <c:v>143392.20000000001</c:v>
                </c:pt>
                <c:pt idx="29">
                  <c:v>143392.20000000001</c:v>
                </c:pt>
                <c:pt idx="30">
                  <c:v>143392.20000000001</c:v>
                </c:pt>
                <c:pt idx="31">
                  <c:v>143392.20000000001</c:v>
                </c:pt>
                <c:pt idx="32">
                  <c:v>143392.20000000001</c:v>
                </c:pt>
                <c:pt idx="33">
                  <c:v>143392.20000000001</c:v>
                </c:pt>
                <c:pt idx="34">
                  <c:v>143392.20000000001</c:v>
                </c:pt>
                <c:pt idx="35">
                  <c:v>143392.20000000001</c:v>
                </c:pt>
                <c:pt idx="36">
                  <c:v>143392.20000000001</c:v>
                </c:pt>
                <c:pt idx="37">
                  <c:v>143392.20000000001</c:v>
                </c:pt>
                <c:pt idx="38">
                  <c:v>143392.20000000001</c:v>
                </c:pt>
                <c:pt idx="39">
                  <c:v>143392.20000000001</c:v>
                </c:pt>
                <c:pt idx="40">
                  <c:v>143392.20000000001</c:v>
                </c:pt>
                <c:pt idx="41">
                  <c:v>143392.20000000001</c:v>
                </c:pt>
                <c:pt idx="42">
                  <c:v>143392.20000000001</c:v>
                </c:pt>
                <c:pt idx="43">
                  <c:v>143392.20000000001</c:v>
                </c:pt>
                <c:pt idx="44">
                  <c:v>143392.20000000001</c:v>
                </c:pt>
                <c:pt idx="45">
                  <c:v>143392.20000000001</c:v>
                </c:pt>
                <c:pt idx="46">
                  <c:v>143392.20000000001</c:v>
                </c:pt>
                <c:pt idx="47">
                  <c:v>143392.20000000001</c:v>
                </c:pt>
                <c:pt idx="48">
                  <c:v>115816.8</c:v>
                </c:pt>
                <c:pt idx="49">
                  <c:v>115816.8</c:v>
                </c:pt>
                <c:pt idx="50">
                  <c:v>115816.8</c:v>
                </c:pt>
                <c:pt idx="51">
                  <c:v>115816.8</c:v>
                </c:pt>
                <c:pt idx="52">
                  <c:v>115816.8</c:v>
                </c:pt>
                <c:pt idx="53">
                  <c:v>115816.8</c:v>
                </c:pt>
                <c:pt idx="54">
                  <c:v>115816.8</c:v>
                </c:pt>
                <c:pt idx="55">
                  <c:v>115816.8</c:v>
                </c:pt>
                <c:pt idx="56">
                  <c:v>115816.8</c:v>
                </c:pt>
                <c:pt idx="57">
                  <c:v>115816.8</c:v>
                </c:pt>
                <c:pt idx="58">
                  <c:v>115816.8</c:v>
                </c:pt>
                <c:pt idx="59">
                  <c:v>115816.8</c:v>
                </c:pt>
                <c:pt idx="60">
                  <c:v>115816.8</c:v>
                </c:pt>
                <c:pt idx="61">
                  <c:v>115816.8</c:v>
                </c:pt>
                <c:pt idx="62">
                  <c:v>115816.8</c:v>
                </c:pt>
                <c:pt idx="63">
                  <c:v>115816.8</c:v>
                </c:pt>
                <c:pt idx="64">
                  <c:v>115816.8</c:v>
                </c:pt>
                <c:pt idx="65">
                  <c:v>115816.8</c:v>
                </c:pt>
                <c:pt idx="66">
                  <c:v>115816.8</c:v>
                </c:pt>
                <c:pt idx="67">
                  <c:v>115816.8</c:v>
                </c:pt>
                <c:pt idx="68">
                  <c:v>115816.8</c:v>
                </c:pt>
                <c:pt idx="69">
                  <c:v>115816.8</c:v>
                </c:pt>
                <c:pt idx="70">
                  <c:v>115816.8</c:v>
                </c:pt>
                <c:pt idx="71">
                  <c:v>115816.8</c:v>
                </c:pt>
                <c:pt idx="72">
                  <c:v>115816.8</c:v>
                </c:pt>
                <c:pt idx="73">
                  <c:v>115816.8</c:v>
                </c:pt>
                <c:pt idx="74">
                  <c:v>115816.8</c:v>
                </c:pt>
                <c:pt idx="75">
                  <c:v>115816.8</c:v>
                </c:pt>
                <c:pt idx="76">
                  <c:v>115816.8</c:v>
                </c:pt>
                <c:pt idx="77">
                  <c:v>115816.8</c:v>
                </c:pt>
                <c:pt idx="78">
                  <c:v>115816.8</c:v>
                </c:pt>
                <c:pt idx="79">
                  <c:v>115816.8</c:v>
                </c:pt>
                <c:pt idx="80">
                  <c:v>115816.8</c:v>
                </c:pt>
                <c:pt idx="81">
                  <c:v>115816.8</c:v>
                </c:pt>
                <c:pt idx="82">
                  <c:v>115816.8</c:v>
                </c:pt>
                <c:pt idx="83">
                  <c:v>115816.8</c:v>
                </c:pt>
                <c:pt idx="84">
                  <c:v>115816.8</c:v>
                </c:pt>
                <c:pt idx="85">
                  <c:v>115816.8</c:v>
                </c:pt>
                <c:pt idx="86">
                  <c:v>115816.8</c:v>
                </c:pt>
                <c:pt idx="87">
                  <c:v>115816.8</c:v>
                </c:pt>
                <c:pt idx="88">
                  <c:v>115816.8</c:v>
                </c:pt>
                <c:pt idx="89">
                  <c:v>115816.8</c:v>
                </c:pt>
                <c:pt idx="90">
                  <c:v>115816.8</c:v>
                </c:pt>
                <c:pt idx="91">
                  <c:v>115816.8</c:v>
                </c:pt>
                <c:pt idx="92">
                  <c:v>115816.8</c:v>
                </c:pt>
                <c:pt idx="93">
                  <c:v>115816.8</c:v>
                </c:pt>
                <c:pt idx="94">
                  <c:v>115816.8</c:v>
                </c:pt>
                <c:pt idx="95">
                  <c:v>115816.8</c:v>
                </c:pt>
                <c:pt idx="96">
                  <c:v>115816.8</c:v>
                </c:pt>
                <c:pt idx="97">
                  <c:v>115816.8</c:v>
                </c:pt>
                <c:pt idx="98">
                  <c:v>115816.8</c:v>
                </c:pt>
                <c:pt idx="99">
                  <c:v>115816.8</c:v>
                </c:pt>
                <c:pt idx="100">
                  <c:v>115816.8</c:v>
                </c:pt>
                <c:pt idx="101">
                  <c:v>115816.8</c:v>
                </c:pt>
                <c:pt idx="102">
                  <c:v>115816.8</c:v>
                </c:pt>
                <c:pt idx="103">
                  <c:v>115816.8</c:v>
                </c:pt>
                <c:pt idx="104">
                  <c:v>115816.8</c:v>
                </c:pt>
                <c:pt idx="105">
                  <c:v>115816.8</c:v>
                </c:pt>
                <c:pt idx="106">
                  <c:v>115816.8</c:v>
                </c:pt>
                <c:pt idx="107">
                  <c:v>115816.8</c:v>
                </c:pt>
                <c:pt idx="108">
                  <c:v>115816.8</c:v>
                </c:pt>
                <c:pt idx="109">
                  <c:v>115816.8</c:v>
                </c:pt>
                <c:pt idx="110">
                  <c:v>115816.8</c:v>
                </c:pt>
                <c:pt idx="111">
                  <c:v>115816.8</c:v>
                </c:pt>
                <c:pt idx="112">
                  <c:v>115816.8</c:v>
                </c:pt>
                <c:pt idx="113">
                  <c:v>115816.8</c:v>
                </c:pt>
                <c:pt idx="114">
                  <c:v>115816.8</c:v>
                </c:pt>
                <c:pt idx="115">
                  <c:v>115816.8</c:v>
                </c:pt>
                <c:pt idx="116">
                  <c:v>115816.8</c:v>
                </c:pt>
                <c:pt idx="117">
                  <c:v>115816.8</c:v>
                </c:pt>
                <c:pt idx="118">
                  <c:v>115816.8</c:v>
                </c:pt>
                <c:pt idx="119">
                  <c:v>115816.8</c:v>
                </c:pt>
                <c:pt idx="120">
                  <c:v>115816.8</c:v>
                </c:pt>
                <c:pt idx="121">
                  <c:v>115816.8</c:v>
                </c:pt>
                <c:pt idx="122">
                  <c:v>115816.8</c:v>
                </c:pt>
                <c:pt idx="123">
                  <c:v>115816.8</c:v>
                </c:pt>
                <c:pt idx="124">
                  <c:v>115816.8</c:v>
                </c:pt>
                <c:pt idx="125">
                  <c:v>115816.8</c:v>
                </c:pt>
                <c:pt idx="126">
                  <c:v>115816.8</c:v>
                </c:pt>
                <c:pt idx="127">
                  <c:v>115816.8</c:v>
                </c:pt>
                <c:pt idx="128">
                  <c:v>115816.8</c:v>
                </c:pt>
                <c:pt idx="129">
                  <c:v>115816.8</c:v>
                </c:pt>
                <c:pt idx="130">
                  <c:v>115816.8</c:v>
                </c:pt>
                <c:pt idx="131">
                  <c:v>115816.8</c:v>
                </c:pt>
                <c:pt idx="132">
                  <c:v>115816.8</c:v>
                </c:pt>
                <c:pt idx="133">
                  <c:v>115816.8</c:v>
                </c:pt>
                <c:pt idx="134">
                  <c:v>115816.8</c:v>
                </c:pt>
                <c:pt idx="135">
                  <c:v>115816.8</c:v>
                </c:pt>
                <c:pt idx="136">
                  <c:v>115816.8</c:v>
                </c:pt>
                <c:pt idx="137">
                  <c:v>115816.8</c:v>
                </c:pt>
                <c:pt idx="138">
                  <c:v>115816.8</c:v>
                </c:pt>
                <c:pt idx="139">
                  <c:v>115816.8</c:v>
                </c:pt>
                <c:pt idx="140">
                  <c:v>115816.8</c:v>
                </c:pt>
                <c:pt idx="141">
                  <c:v>115816.8</c:v>
                </c:pt>
                <c:pt idx="142">
                  <c:v>115816.8</c:v>
                </c:pt>
                <c:pt idx="143">
                  <c:v>115816.8</c:v>
                </c:pt>
                <c:pt idx="144">
                  <c:v>115816.8</c:v>
                </c:pt>
                <c:pt idx="145">
                  <c:v>115816.8</c:v>
                </c:pt>
                <c:pt idx="146">
                  <c:v>115816.8</c:v>
                </c:pt>
                <c:pt idx="147">
                  <c:v>115816.8</c:v>
                </c:pt>
                <c:pt idx="148">
                  <c:v>115816.8</c:v>
                </c:pt>
                <c:pt idx="149">
                  <c:v>115816.8</c:v>
                </c:pt>
                <c:pt idx="150">
                  <c:v>115816.8</c:v>
                </c:pt>
                <c:pt idx="151">
                  <c:v>115816.8</c:v>
                </c:pt>
                <c:pt idx="152">
                  <c:v>115816.8</c:v>
                </c:pt>
                <c:pt idx="153">
                  <c:v>115816.8</c:v>
                </c:pt>
                <c:pt idx="154">
                  <c:v>115816.8</c:v>
                </c:pt>
                <c:pt idx="155">
                  <c:v>115816.8</c:v>
                </c:pt>
                <c:pt idx="156">
                  <c:v>115816.8</c:v>
                </c:pt>
              </c:numCache>
            </c:numRef>
          </c:val>
        </c:ser>
        <c:dLbls/>
        <c:marker val="1"/>
        <c:axId val="289021952"/>
        <c:axId val="289023488"/>
      </c:lineChart>
      <c:dateAx>
        <c:axId val="28902195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9023488"/>
        <c:crosses val="autoZero"/>
        <c:auto val="1"/>
        <c:lblOffset val="100"/>
        <c:baseTimeUnit val="days"/>
      </c:dateAx>
      <c:valAx>
        <c:axId val="289023488"/>
        <c:scaling>
          <c:orientation val="minMax"/>
          <c:max val="10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021952"/>
        <c:crosses val="autoZero"/>
        <c:crossBetween val="between"/>
      </c:valAx>
    </c:plotArea>
    <c:legend>
      <c:legendPos val="r"/>
      <c:layout>
        <c:manualLayout>
          <c:xMode val="edge"/>
          <c:yMode val="edge"/>
          <c:x val="0.82026925422201025"/>
          <c:y val="0.18865579929599124"/>
          <c:w val="0.16356912961637371"/>
          <c:h val="0.6939260351653368"/>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0745 Used GB</a:t>
            </a:r>
          </a:p>
        </c:rich>
      </c:tx>
    </c:title>
    <c:plotArea>
      <c:layout>
        <c:manualLayout>
          <c:layoutTarget val="inner"/>
          <c:xMode val="edge"/>
          <c:yMode val="edge"/>
          <c:x val="0.13096985860638391"/>
          <c:y val="0.18701137357831202"/>
          <c:w val="0.69269050038101065"/>
          <c:h val="0.59767349081364829"/>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Charts'!$C$3:$C$543</c:f>
              <c:numCache>
                <c:formatCode>0.0</c:formatCode>
                <c:ptCount val="541"/>
                <c:pt idx="0">
                  <c:v>74987.100000000006</c:v>
                </c:pt>
                <c:pt idx="1">
                  <c:v>74972.600000000006</c:v>
                </c:pt>
                <c:pt idx="2">
                  <c:v>74934.2</c:v>
                </c:pt>
                <c:pt idx="3">
                  <c:v>74664.899999999994</c:v>
                </c:pt>
                <c:pt idx="4">
                  <c:v>74607.399999999994</c:v>
                </c:pt>
                <c:pt idx="5">
                  <c:v>73841</c:v>
                </c:pt>
                <c:pt idx="6">
                  <c:v>73738.7</c:v>
                </c:pt>
                <c:pt idx="7">
                  <c:v>73564.2</c:v>
                </c:pt>
                <c:pt idx="8">
                  <c:v>73539.399999999994</c:v>
                </c:pt>
                <c:pt idx="9">
                  <c:v>73478.399999999994</c:v>
                </c:pt>
                <c:pt idx="10">
                  <c:v>73467.100000000006</c:v>
                </c:pt>
                <c:pt idx="11">
                  <c:v>73454.899999999994</c:v>
                </c:pt>
                <c:pt idx="12">
                  <c:v>73291.7</c:v>
                </c:pt>
                <c:pt idx="13">
                  <c:v>72056.399999999994</c:v>
                </c:pt>
                <c:pt idx="14">
                  <c:v>72039.399999999994</c:v>
                </c:pt>
                <c:pt idx="15">
                  <c:v>72004.100000000006</c:v>
                </c:pt>
                <c:pt idx="16">
                  <c:v>71952.600000000006</c:v>
                </c:pt>
                <c:pt idx="17">
                  <c:v>71819</c:v>
                </c:pt>
                <c:pt idx="18">
                  <c:v>71357.5</c:v>
                </c:pt>
                <c:pt idx="19">
                  <c:v>70992.399999999994</c:v>
                </c:pt>
                <c:pt idx="20">
                  <c:v>70992.399999999994</c:v>
                </c:pt>
                <c:pt idx="21">
                  <c:v>70630.5</c:v>
                </c:pt>
                <c:pt idx="22">
                  <c:v>70574.5</c:v>
                </c:pt>
                <c:pt idx="23">
                  <c:v>70303.199999999997</c:v>
                </c:pt>
                <c:pt idx="24">
                  <c:v>70253</c:v>
                </c:pt>
                <c:pt idx="25">
                  <c:v>70250.100000000006</c:v>
                </c:pt>
                <c:pt idx="26">
                  <c:v>70227.7</c:v>
                </c:pt>
                <c:pt idx="27">
                  <c:v>70215.7</c:v>
                </c:pt>
                <c:pt idx="28">
                  <c:v>70204.399999999994</c:v>
                </c:pt>
                <c:pt idx="29">
                  <c:v>70174.3</c:v>
                </c:pt>
                <c:pt idx="30">
                  <c:v>70110.8</c:v>
                </c:pt>
                <c:pt idx="31">
                  <c:v>69647.899999999994</c:v>
                </c:pt>
                <c:pt idx="32">
                  <c:v>69645.399999999994</c:v>
                </c:pt>
                <c:pt idx="33">
                  <c:v>69615.600000000006</c:v>
                </c:pt>
                <c:pt idx="34">
                  <c:v>69613.7</c:v>
                </c:pt>
                <c:pt idx="35">
                  <c:v>69528.2</c:v>
                </c:pt>
                <c:pt idx="36">
                  <c:v>69503.600000000006</c:v>
                </c:pt>
                <c:pt idx="37">
                  <c:v>69149.399999999994</c:v>
                </c:pt>
                <c:pt idx="38">
                  <c:v>69144.2</c:v>
                </c:pt>
                <c:pt idx="39">
                  <c:v>68909.100000000006</c:v>
                </c:pt>
                <c:pt idx="40">
                  <c:v>68879.7</c:v>
                </c:pt>
                <c:pt idx="41">
                  <c:v>68787.3</c:v>
                </c:pt>
                <c:pt idx="42">
                  <c:v>68775.899999999994</c:v>
                </c:pt>
                <c:pt idx="43">
                  <c:v>68767.3</c:v>
                </c:pt>
                <c:pt idx="44">
                  <c:v>68754.399999999994</c:v>
                </c:pt>
                <c:pt idx="45">
                  <c:v>68752.7</c:v>
                </c:pt>
                <c:pt idx="46">
                  <c:v>68703.899999999994</c:v>
                </c:pt>
                <c:pt idx="47">
                  <c:v>68609.3</c:v>
                </c:pt>
                <c:pt idx="48">
                  <c:v>68591.3</c:v>
                </c:pt>
                <c:pt idx="49">
                  <c:v>68531.199999999997</c:v>
                </c:pt>
                <c:pt idx="50">
                  <c:v>68489.2</c:v>
                </c:pt>
                <c:pt idx="51">
                  <c:v>68458.7</c:v>
                </c:pt>
                <c:pt idx="52">
                  <c:v>69626.8</c:v>
                </c:pt>
                <c:pt idx="53">
                  <c:v>69584.899999999994</c:v>
                </c:pt>
                <c:pt idx="54">
                  <c:v>69557.3</c:v>
                </c:pt>
                <c:pt idx="55">
                  <c:v>69547</c:v>
                </c:pt>
                <c:pt idx="56">
                  <c:v>69355.399999999994</c:v>
                </c:pt>
                <c:pt idx="57">
                  <c:v>69336.399999999994</c:v>
                </c:pt>
                <c:pt idx="58">
                  <c:v>69263.399999999994</c:v>
                </c:pt>
                <c:pt idx="59">
                  <c:v>69239</c:v>
                </c:pt>
                <c:pt idx="60">
                  <c:v>69233.3</c:v>
                </c:pt>
                <c:pt idx="61">
                  <c:v>69226.7</c:v>
                </c:pt>
                <c:pt idx="62">
                  <c:v>69224.2</c:v>
                </c:pt>
                <c:pt idx="63">
                  <c:v>69220.899999999994</c:v>
                </c:pt>
                <c:pt idx="64">
                  <c:v>69219.8</c:v>
                </c:pt>
                <c:pt idx="65">
                  <c:v>69219.199999999997</c:v>
                </c:pt>
                <c:pt idx="66">
                  <c:v>69205.8</c:v>
                </c:pt>
                <c:pt idx="67">
                  <c:v>69227.7</c:v>
                </c:pt>
                <c:pt idx="68">
                  <c:v>69222.100000000006</c:v>
                </c:pt>
                <c:pt idx="69">
                  <c:v>69119.3</c:v>
                </c:pt>
                <c:pt idx="70">
                  <c:v>69110.7</c:v>
                </c:pt>
                <c:pt idx="71">
                  <c:v>69091.3</c:v>
                </c:pt>
                <c:pt idx="72">
                  <c:v>68961.600000000006</c:v>
                </c:pt>
                <c:pt idx="73">
                  <c:v>68960.7</c:v>
                </c:pt>
                <c:pt idx="74">
                  <c:v>68959.600000000006</c:v>
                </c:pt>
                <c:pt idx="75">
                  <c:v>68594.7</c:v>
                </c:pt>
                <c:pt idx="76">
                  <c:v>68593.7</c:v>
                </c:pt>
                <c:pt idx="77">
                  <c:v>68592.800000000003</c:v>
                </c:pt>
                <c:pt idx="78">
                  <c:v>68567.3</c:v>
                </c:pt>
                <c:pt idx="79">
                  <c:v>68538.899999999994</c:v>
                </c:pt>
                <c:pt idx="80">
                  <c:v>68493.7</c:v>
                </c:pt>
                <c:pt idx="81">
                  <c:v>68425.8</c:v>
                </c:pt>
                <c:pt idx="82">
                  <c:v>66966</c:v>
                </c:pt>
                <c:pt idx="83">
                  <c:v>66951</c:v>
                </c:pt>
                <c:pt idx="84">
                  <c:v>66945.399999999994</c:v>
                </c:pt>
                <c:pt idx="85">
                  <c:v>66939</c:v>
                </c:pt>
                <c:pt idx="86">
                  <c:v>66927.5</c:v>
                </c:pt>
                <c:pt idx="87">
                  <c:v>66850.7</c:v>
                </c:pt>
                <c:pt idx="88">
                  <c:v>66845</c:v>
                </c:pt>
                <c:pt idx="89">
                  <c:v>66795.5</c:v>
                </c:pt>
                <c:pt idx="90">
                  <c:v>66772.800000000003</c:v>
                </c:pt>
                <c:pt idx="91">
                  <c:v>66748.2</c:v>
                </c:pt>
                <c:pt idx="92">
                  <c:v>66733.899999999994</c:v>
                </c:pt>
                <c:pt idx="93">
                  <c:v>66719.7</c:v>
                </c:pt>
                <c:pt idx="94">
                  <c:v>66691.899999999994</c:v>
                </c:pt>
                <c:pt idx="95">
                  <c:v>66597</c:v>
                </c:pt>
                <c:pt idx="96">
                  <c:v>66590.3</c:v>
                </c:pt>
                <c:pt idx="97">
                  <c:v>66569.5</c:v>
                </c:pt>
                <c:pt idx="98">
                  <c:v>66387.7</c:v>
                </c:pt>
                <c:pt idx="99">
                  <c:v>66383.199999999997</c:v>
                </c:pt>
                <c:pt idx="100">
                  <c:v>66374.5</c:v>
                </c:pt>
                <c:pt idx="101">
                  <c:v>66143.199999999997</c:v>
                </c:pt>
                <c:pt idx="102">
                  <c:v>65997.899999999994</c:v>
                </c:pt>
                <c:pt idx="103">
                  <c:v>65988</c:v>
                </c:pt>
                <c:pt idx="104">
                  <c:v>65974.100000000006</c:v>
                </c:pt>
                <c:pt idx="105">
                  <c:v>65921.8</c:v>
                </c:pt>
                <c:pt idx="106">
                  <c:v>65904.899999999994</c:v>
                </c:pt>
                <c:pt idx="107">
                  <c:v>65886.100000000006</c:v>
                </c:pt>
                <c:pt idx="108">
                  <c:v>65862.8</c:v>
                </c:pt>
                <c:pt idx="109">
                  <c:v>65849.399999999994</c:v>
                </c:pt>
                <c:pt idx="110">
                  <c:v>65819.5</c:v>
                </c:pt>
                <c:pt idx="111">
                  <c:v>65783.7</c:v>
                </c:pt>
                <c:pt idx="112">
                  <c:v>65714.600000000006</c:v>
                </c:pt>
                <c:pt idx="113">
                  <c:v>65593.5</c:v>
                </c:pt>
                <c:pt idx="114">
                  <c:v>65569</c:v>
                </c:pt>
                <c:pt idx="115">
                  <c:v>65539.7</c:v>
                </c:pt>
                <c:pt idx="116">
                  <c:v>65536.2</c:v>
                </c:pt>
                <c:pt idx="117">
                  <c:v>65478.8</c:v>
                </c:pt>
                <c:pt idx="118">
                  <c:v>65398.9</c:v>
                </c:pt>
                <c:pt idx="119">
                  <c:v>65411.4</c:v>
                </c:pt>
                <c:pt idx="120">
                  <c:v>66165</c:v>
                </c:pt>
                <c:pt idx="121">
                  <c:v>66164.100000000006</c:v>
                </c:pt>
                <c:pt idx="122">
                  <c:v>66071.399999999994</c:v>
                </c:pt>
                <c:pt idx="123">
                  <c:v>66066.899999999994</c:v>
                </c:pt>
                <c:pt idx="124">
                  <c:v>66065.7</c:v>
                </c:pt>
                <c:pt idx="125">
                  <c:v>66063.399999999994</c:v>
                </c:pt>
                <c:pt idx="126">
                  <c:v>66062.100000000006</c:v>
                </c:pt>
                <c:pt idx="127">
                  <c:v>66058.100000000006</c:v>
                </c:pt>
                <c:pt idx="128">
                  <c:v>66054.100000000006</c:v>
                </c:pt>
                <c:pt idx="129">
                  <c:v>66052.2</c:v>
                </c:pt>
                <c:pt idx="130">
                  <c:v>66043.8</c:v>
                </c:pt>
                <c:pt idx="131">
                  <c:v>66041.5</c:v>
                </c:pt>
                <c:pt idx="132">
                  <c:v>66039.600000000006</c:v>
                </c:pt>
                <c:pt idx="133">
                  <c:v>66038.5</c:v>
                </c:pt>
                <c:pt idx="134">
                  <c:v>66037.899999999994</c:v>
                </c:pt>
                <c:pt idx="135">
                  <c:v>66009.5</c:v>
                </c:pt>
                <c:pt idx="136">
                  <c:v>66009.5</c:v>
                </c:pt>
                <c:pt idx="137">
                  <c:v>65942.3</c:v>
                </c:pt>
                <c:pt idx="138">
                  <c:v>65940</c:v>
                </c:pt>
                <c:pt idx="139">
                  <c:v>65937</c:v>
                </c:pt>
                <c:pt idx="140">
                  <c:v>65905.100000000006</c:v>
                </c:pt>
                <c:pt idx="141">
                  <c:v>65815.5</c:v>
                </c:pt>
                <c:pt idx="142">
                  <c:v>65693.600000000006</c:v>
                </c:pt>
                <c:pt idx="143">
                  <c:v>65675.8</c:v>
                </c:pt>
                <c:pt idx="144">
                  <c:v>65654.600000000006</c:v>
                </c:pt>
                <c:pt idx="145">
                  <c:v>65648.800000000003</c:v>
                </c:pt>
                <c:pt idx="146">
                  <c:v>65646.7</c:v>
                </c:pt>
                <c:pt idx="147">
                  <c:v>65493.7</c:v>
                </c:pt>
                <c:pt idx="148">
                  <c:v>65478.6</c:v>
                </c:pt>
                <c:pt idx="149">
                  <c:v>65473.7</c:v>
                </c:pt>
                <c:pt idx="150">
                  <c:v>65470.8</c:v>
                </c:pt>
                <c:pt idx="151">
                  <c:v>65469.3</c:v>
                </c:pt>
                <c:pt idx="152">
                  <c:v>65460.4</c:v>
                </c:pt>
                <c:pt idx="153">
                  <c:v>65453.9</c:v>
                </c:pt>
                <c:pt idx="154">
                  <c:v>65398.3</c:v>
                </c:pt>
                <c:pt idx="155">
                  <c:v>65396.5</c:v>
                </c:pt>
                <c:pt idx="156">
                  <c:v>65353.7</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Charts'!$P$3:$P$543</c:f>
              <c:numCache>
                <c:formatCode>0.0</c:formatCode>
                <c:ptCount val="541"/>
                <c:pt idx="0">
                  <c:v>150515.79999999999</c:v>
                </c:pt>
                <c:pt idx="1">
                  <c:v>150515.79999999999</c:v>
                </c:pt>
                <c:pt idx="2">
                  <c:v>150515.79999999999</c:v>
                </c:pt>
                <c:pt idx="3">
                  <c:v>150515.79999999999</c:v>
                </c:pt>
                <c:pt idx="4">
                  <c:v>150515.79999999999</c:v>
                </c:pt>
                <c:pt idx="5">
                  <c:v>150515.79999999999</c:v>
                </c:pt>
                <c:pt idx="6">
                  <c:v>150515.79999999999</c:v>
                </c:pt>
                <c:pt idx="7">
                  <c:v>150515.79999999999</c:v>
                </c:pt>
                <c:pt idx="8">
                  <c:v>150515.79999999999</c:v>
                </c:pt>
                <c:pt idx="9">
                  <c:v>150515.79999999999</c:v>
                </c:pt>
                <c:pt idx="10">
                  <c:v>150515.79999999999</c:v>
                </c:pt>
                <c:pt idx="11">
                  <c:v>150515.79999999999</c:v>
                </c:pt>
                <c:pt idx="12">
                  <c:v>150515.79999999999</c:v>
                </c:pt>
                <c:pt idx="13">
                  <c:v>150515.79999999999</c:v>
                </c:pt>
                <c:pt idx="14">
                  <c:v>150515.79999999999</c:v>
                </c:pt>
                <c:pt idx="15">
                  <c:v>150515.79999999999</c:v>
                </c:pt>
                <c:pt idx="16">
                  <c:v>150515.79999999999</c:v>
                </c:pt>
                <c:pt idx="17">
                  <c:v>150515.79999999999</c:v>
                </c:pt>
                <c:pt idx="18">
                  <c:v>150515.79999999999</c:v>
                </c:pt>
                <c:pt idx="19">
                  <c:v>150515.79999999999</c:v>
                </c:pt>
                <c:pt idx="20">
                  <c:v>150515.79999999999</c:v>
                </c:pt>
                <c:pt idx="21">
                  <c:v>150515.79999999999</c:v>
                </c:pt>
                <c:pt idx="22">
                  <c:v>150515.79999999999</c:v>
                </c:pt>
                <c:pt idx="23">
                  <c:v>150515.79999999999</c:v>
                </c:pt>
                <c:pt idx="24">
                  <c:v>150515.79999999999</c:v>
                </c:pt>
                <c:pt idx="25">
                  <c:v>150515.79999999999</c:v>
                </c:pt>
                <c:pt idx="26">
                  <c:v>150515.79999999999</c:v>
                </c:pt>
                <c:pt idx="27">
                  <c:v>150515.79999999999</c:v>
                </c:pt>
                <c:pt idx="28">
                  <c:v>150515.79999999999</c:v>
                </c:pt>
                <c:pt idx="29">
                  <c:v>150515.79999999999</c:v>
                </c:pt>
                <c:pt idx="30">
                  <c:v>150515.79999999999</c:v>
                </c:pt>
                <c:pt idx="31">
                  <c:v>150515.79999999999</c:v>
                </c:pt>
                <c:pt idx="32">
                  <c:v>150515.79999999999</c:v>
                </c:pt>
                <c:pt idx="33">
                  <c:v>150515.79999999999</c:v>
                </c:pt>
                <c:pt idx="34">
                  <c:v>150515.79999999999</c:v>
                </c:pt>
                <c:pt idx="35">
                  <c:v>150515.79999999999</c:v>
                </c:pt>
                <c:pt idx="36">
                  <c:v>150515.79999999999</c:v>
                </c:pt>
                <c:pt idx="37">
                  <c:v>150515.79999999999</c:v>
                </c:pt>
                <c:pt idx="38">
                  <c:v>150515.79999999999</c:v>
                </c:pt>
                <c:pt idx="39">
                  <c:v>150515.79999999999</c:v>
                </c:pt>
                <c:pt idx="40">
                  <c:v>150515.79999999999</c:v>
                </c:pt>
                <c:pt idx="41">
                  <c:v>150515.79999999999</c:v>
                </c:pt>
                <c:pt idx="42">
                  <c:v>150515.79999999999</c:v>
                </c:pt>
                <c:pt idx="43">
                  <c:v>150515.79999999999</c:v>
                </c:pt>
                <c:pt idx="44">
                  <c:v>150515.79999999999</c:v>
                </c:pt>
                <c:pt idx="45">
                  <c:v>150515.79999999999</c:v>
                </c:pt>
                <c:pt idx="46">
                  <c:v>150515.79999999999</c:v>
                </c:pt>
                <c:pt idx="47">
                  <c:v>150515.79999999999</c:v>
                </c:pt>
                <c:pt idx="48">
                  <c:v>99041.7</c:v>
                </c:pt>
                <c:pt idx="49">
                  <c:v>99041.7</c:v>
                </c:pt>
                <c:pt idx="50">
                  <c:v>99041.7</c:v>
                </c:pt>
                <c:pt idx="51">
                  <c:v>99041.7</c:v>
                </c:pt>
                <c:pt idx="52">
                  <c:v>99041.7</c:v>
                </c:pt>
                <c:pt idx="53">
                  <c:v>99041.7</c:v>
                </c:pt>
                <c:pt idx="54">
                  <c:v>99041.7</c:v>
                </c:pt>
                <c:pt idx="55">
                  <c:v>99041.7</c:v>
                </c:pt>
                <c:pt idx="56">
                  <c:v>99041.7</c:v>
                </c:pt>
                <c:pt idx="57">
                  <c:v>99041.7</c:v>
                </c:pt>
                <c:pt idx="58">
                  <c:v>99041.7</c:v>
                </c:pt>
                <c:pt idx="59">
                  <c:v>99041.7</c:v>
                </c:pt>
                <c:pt idx="60">
                  <c:v>99041.7</c:v>
                </c:pt>
                <c:pt idx="61">
                  <c:v>99041.7</c:v>
                </c:pt>
                <c:pt idx="62">
                  <c:v>99041.7</c:v>
                </c:pt>
                <c:pt idx="63">
                  <c:v>99041.7</c:v>
                </c:pt>
                <c:pt idx="64">
                  <c:v>99041.7</c:v>
                </c:pt>
                <c:pt idx="65">
                  <c:v>99041.7</c:v>
                </c:pt>
                <c:pt idx="66">
                  <c:v>99041.7</c:v>
                </c:pt>
                <c:pt idx="67">
                  <c:v>99041.7</c:v>
                </c:pt>
                <c:pt idx="68">
                  <c:v>99041.7</c:v>
                </c:pt>
                <c:pt idx="69">
                  <c:v>99041.7</c:v>
                </c:pt>
                <c:pt idx="70">
                  <c:v>99041.7</c:v>
                </c:pt>
                <c:pt idx="71">
                  <c:v>99041.7</c:v>
                </c:pt>
                <c:pt idx="72">
                  <c:v>99041.7</c:v>
                </c:pt>
                <c:pt idx="73">
                  <c:v>99041.7</c:v>
                </c:pt>
                <c:pt idx="74">
                  <c:v>99041.7</c:v>
                </c:pt>
                <c:pt idx="75">
                  <c:v>99041.7</c:v>
                </c:pt>
                <c:pt idx="76">
                  <c:v>99041.7</c:v>
                </c:pt>
                <c:pt idx="77">
                  <c:v>99041.7</c:v>
                </c:pt>
                <c:pt idx="78">
                  <c:v>99041.7</c:v>
                </c:pt>
                <c:pt idx="79">
                  <c:v>99041.7</c:v>
                </c:pt>
                <c:pt idx="80">
                  <c:v>99041.7</c:v>
                </c:pt>
                <c:pt idx="81">
                  <c:v>99041.7</c:v>
                </c:pt>
                <c:pt idx="82">
                  <c:v>99041.7</c:v>
                </c:pt>
                <c:pt idx="83">
                  <c:v>99041.7</c:v>
                </c:pt>
                <c:pt idx="84">
                  <c:v>99041.7</c:v>
                </c:pt>
                <c:pt idx="85">
                  <c:v>99041.7</c:v>
                </c:pt>
                <c:pt idx="86">
                  <c:v>99041.7</c:v>
                </c:pt>
                <c:pt idx="87">
                  <c:v>99041.7</c:v>
                </c:pt>
                <c:pt idx="88">
                  <c:v>99041.7</c:v>
                </c:pt>
                <c:pt idx="89">
                  <c:v>99041.7</c:v>
                </c:pt>
                <c:pt idx="90">
                  <c:v>99041.7</c:v>
                </c:pt>
                <c:pt idx="91">
                  <c:v>99041.7</c:v>
                </c:pt>
                <c:pt idx="92">
                  <c:v>99041.7</c:v>
                </c:pt>
                <c:pt idx="93">
                  <c:v>99041.7</c:v>
                </c:pt>
                <c:pt idx="94">
                  <c:v>99041.7</c:v>
                </c:pt>
                <c:pt idx="95">
                  <c:v>99041.7</c:v>
                </c:pt>
                <c:pt idx="96">
                  <c:v>99041.7</c:v>
                </c:pt>
                <c:pt idx="97">
                  <c:v>99041.7</c:v>
                </c:pt>
                <c:pt idx="98">
                  <c:v>99041.7</c:v>
                </c:pt>
                <c:pt idx="99">
                  <c:v>99041.7</c:v>
                </c:pt>
                <c:pt idx="100">
                  <c:v>99041.7</c:v>
                </c:pt>
                <c:pt idx="101">
                  <c:v>99041.7</c:v>
                </c:pt>
                <c:pt idx="102">
                  <c:v>99041.7</c:v>
                </c:pt>
                <c:pt idx="103">
                  <c:v>99041.7</c:v>
                </c:pt>
                <c:pt idx="104">
                  <c:v>99041.7</c:v>
                </c:pt>
                <c:pt idx="105">
                  <c:v>99042</c:v>
                </c:pt>
                <c:pt idx="106">
                  <c:v>99042</c:v>
                </c:pt>
                <c:pt idx="107">
                  <c:v>99042</c:v>
                </c:pt>
                <c:pt idx="108">
                  <c:v>99042</c:v>
                </c:pt>
                <c:pt idx="109">
                  <c:v>99042</c:v>
                </c:pt>
                <c:pt idx="110">
                  <c:v>99042</c:v>
                </c:pt>
                <c:pt idx="111">
                  <c:v>99042</c:v>
                </c:pt>
                <c:pt idx="112">
                  <c:v>99042</c:v>
                </c:pt>
                <c:pt idx="113">
                  <c:v>99042</c:v>
                </c:pt>
                <c:pt idx="114">
                  <c:v>99042</c:v>
                </c:pt>
                <c:pt idx="115">
                  <c:v>99042</c:v>
                </c:pt>
                <c:pt idx="116">
                  <c:v>99042</c:v>
                </c:pt>
                <c:pt idx="117">
                  <c:v>99042</c:v>
                </c:pt>
                <c:pt idx="118">
                  <c:v>99042</c:v>
                </c:pt>
                <c:pt idx="119">
                  <c:v>99042</c:v>
                </c:pt>
                <c:pt idx="120">
                  <c:v>99042</c:v>
                </c:pt>
                <c:pt idx="121">
                  <c:v>79968.7</c:v>
                </c:pt>
                <c:pt idx="122">
                  <c:v>79968.7</c:v>
                </c:pt>
                <c:pt idx="123">
                  <c:v>79968.7</c:v>
                </c:pt>
                <c:pt idx="124">
                  <c:v>79968.7</c:v>
                </c:pt>
                <c:pt idx="125">
                  <c:v>79968.7</c:v>
                </c:pt>
                <c:pt idx="126">
                  <c:v>79968.7</c:v>
                </c:pt>
                <c:pt idx="127">
                  <c:v>79968.7</c:v>
                </c:pt>
                <c:pt idx="128">
                  <c:v>79968.7</c:v>
                </c:pt>
                <c:pt idx="129">
                  <c:v>79968.7</c:v>
                </c:pt>
                <c:pt idx="130">
                  <c:v>79968.7</c:v>
                </c:pt>
                <c:pt idx="131">
                  <c:v>79968.7</c:v>
                </c:pt>
                <c:pt idx="132">
                  <c:v>79968.7</c:v>
                </c:pt>
                <c:pt idx="133">
                  <c:v>79968.7</c:v>
                </c:pt>
                <c:pt idx="134">
                  <c:v>79968.7</c:v>
                </c:pt>
                <c:pt idx="135">
                  <c:v>79968.7</c:v>
                </c:pt>
                <c:pt idx="136">
                  <c:v>79968.7</c:v>
                </c:pt>
                <c:pt idx="137">
                  <c:v>79968.7</c:v>
                </c:pt>
                <c:pt idx="138">
                  <c:v>79968.7</c:v>
                </c:pt>
                <c:pt idx="139">
                  <c:v>79968.7</c:v>
                </c:pt>
                <c:pt idx="140">
                  <c:v>79968.7</c:v>
                </c:pt>
                <c:pt idx="141">
                  <c:v>79968.7</c:v>
                </c:pt>
                <c:pt idx="142">
                  <c:v>79968.7</c:v>
                </c:pt>
                <c:pt idx="143">
                  <c:v>79968.7</c:v>
                </c:pt>
                <c:pt idx="144">
                  <c:v>79968.7</c:v>
                </c:pt>
                <c:pt idx="145">
                  <c:v>79968.7</c:v>
                </c:pt>
                <c:pt idx="146">
                  <c:v>79968.7</c:v>
                </c:pt>
                <c:pt idx="147">
                  <c:v>79968.7</c:v>
                </c:pt>
                <c:pt idx="148">
                  <c:v>79968.7</c:v>
                </c:pt>
                <c:pt idx="149">
                  <c:v>79968.7</c:v>
                </c:pt>
                <c:pt idx="150">
                  <c:v>79968.7</c:v>
                </c:pt>
                <c:pt idx="151">
                  <c:v>79968.7</c:v>
                </c:pt>
                <c:pt idx="152">
                  <c:v>79968.7</c:v>
                </c:pt>
                <c:pt idx="153">
                  <c:v>79968.7</c:v>
                </c:pt>
                <c:pt idx="154">
                  <c:v>79968.7</c:v>
                </c:pt>
                <c:pt idx="155">
                  <c:v>79968.7</c:v>
                </c:pt>
                <c:pt idx="156">
                  <c:v>79968.7</c:v>
                </c:pt>
              </c:numCache>
            </c:numRef>
          </c:val>
        </c:ser>
        <c:dLbls/>
        <c:marker val="1"/>
        <c:axId val="289087872"/>
        <c:axId val="289089408"/>
      </c:lineChart>
      <c:dateAx>
        <c:axId val="28908787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9089408"/>
        <c:crosses val="autoZero"/>
        <c:auto val="1"/>
        <c:lblOffset val="100"/>
        <c:baseTimeUnit val="days"/>
      </c:dateAx>
      <c:valAx>
        <c:axId val="289089408"/>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087872"/>
        <c:crosses val="autoZero"/>
        <c:crossBetween val="between"/>
      </c:valAx>
    </c:plotArea>
    <c:legend>
      <c:legendPos val="r"/>
      <c:layout>
        <c:manualLayout>
          <c:xMode val="edge"/>
          <c:yMode val="edge"/>
          <c:x val="0.83095419524172387"/>
          <c:y val="0.18815223097113581"/>
          <c:w val="0.15291677250021951"/>
          <c:h val="0.71247314085738656"/>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0552 Used GB</a:t>
            </a:r>
          </a:p>
        </c:rich>
      </c:tx>
    </c:title>
    <c:plotArea>
      <c:layout>
        <c:manualLayout>
          <c:layoutTarget val="inner"/>
          <c:xMode val="edge"/>
          <c:yMode val="edge"/>
          <c:x val="0.13096985860638391"/>
          <c:y val="0.18763682967722844"/>
          <c:w val="0.70483765134196941"/>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Charts'!$D$3:$D$543</c:f>
              <c:numCache>
                <c:formatCode>0.0</c:formatCode>
                <c:ptCount val="541"/>
                <c:pt idx="0">
                  <c:v>76403</c:v>
                </c:pt>
                <c:pt idx="1">
                  <c:v>76388.600000000006</c:v>
                </c:pt>
                <c:pt idx="2">
                  <c:v>76350.2</c:v>
                </c:pt>
                <c:pt idx="3">
                  <c:v>76090.7</c:v>
                </c:pt>
                <c:pt idx="4">
                  <c:v>76034.399999999994</c:v>
                </c:pt>
                <c:pt idx="5">
                  <c:v>75268</c:v>
                </c:pt>
                <c:pt idx="6">
                  <c:v>75165.7</c:v>
                </c:pt>
                <c:pt idx="7">
                  <c:v>74991.3</c:v>
                </c:pt>
                <c:pt idx="8">
                  <c:v>74966.7</c:v>
                </c:pt>
                <c:pt idx="9">
                  <c:v>74921.399999999994</c:v>
                </c:pt>
                <c:pt idx="10">
                  <c:v>74910</c:v>
                </c:pt>
                <c:pt idx="11">
                  <c:v>74897.899999999994</c:v>
                </c:pt>
                <c:pt idx="12">
                  <c:v>74723.5</c:v>
                </c:pt>
                <c:pt idx="13">
                  <c:v>73485.7</c:v>
                </c:pt>
                <c:pt idx="14">
                  <c:v>73460.899999999994</c:v>
                </c:pt>
                <c:pt idx="15">
                  <c:v>73425.5</c:v>
                </c:pt>
                <c:pt idx="16">
                  <c:v>73371.5</c:v>
                </c:pt>
                <c:pt idx="17">
                  <c:v>73234.399999999994</c:v>
                </c:pt>
                <c:pt idx="18">
                  <c:v>72778.8</c:v>
                </c:pt>
                <c:pt idx="19">
                  <c:v>72745.3</c:v>
                </c:pt>
                <c:pt idx="20">
                  <c:v>72434.2</c:v>
                </c:pt>
                <c:pt idx="21">
                  <c:v>71991.399999999994</c:v>
                </c:pt>
                <c:pt idx="22">
                  <c:v>71887.199999999997</c:v>
                </c:pt>
                <c:pt idx="23">
                  <c:v>71648.3</c:v>
                </c:pt>
                <c:pt idx="24">
                  <c:v>71598.600000000006</c:v>
                </c:pt>
                <c:pt idx="25">
                  <c:v>71595.7</c:v>
                </c:pt>
                <c:pt idx="26">
                  <c:v>71573.100000000006</c:v>
                </c:pt>
                <c:pt idx="27">
                  <c:v>71561.100000000006</c:v>
                </c:pt>
                <c:pt idx="28">
                  <c:v>71549.8</c:v>
                </c:pt>
                <c:pt idx="29">
                  <c:v>71519.5</c:v>
                </c:pt>
                <c:pt idx="30">
                  <c:v>71455.899999999994</c:v>
                </c:pt>
                <c:pt idx="31">
                  <c:v>70994.3</c:v>
                </c:pt>
                <c:pt idx="32">
                  <c:v>70991.8</c:v>
                </c:pt>
                <c:pt idx="33">
                  <c:v>70965.3</c:v>
                </c:pt>
                <c:pt idx="34">
                  <c:v>70963.5</c:v>
                </c:pt>
                <c:pt idx="35">
                  <c:v>70878.2</c:v>
                </c:pt>
                <c:pt idx="36">
                  <c:v>70859.399999999994</c:v>
                </c:pt>
                <c:pt idx="37">
                  <c:v>70507.8</c:v>
                </c:pt>
                <c:pt idx="38">
                  <c:v>70501.8</c:v>
                </c:pt>
                <c:pt idx="39">
                  <c:v>70269.8</c:v>
                </c:pt>
                <c:pt idx="40">
                  <c:v>70240.399999999994</c:v>
                </c:pt>
                <c:pt idx="41">
                  <c:v>70156.100000000006</c:v>
                </c:pt>
                <c:pt idx="42">
                  <c:v>70144.7</c:v>
                </c:pt>
                <c:pt idx="43">
                  <c:v>70140.899999999994</c:v>
                </c:pt>
                <c:pt idx="44">
                  <c:v>70131.7</c:v>
                </c:pt>
                <c:pt idx="45">
                  <c:v>70129.899999999994</c:v>
                </c:pt>
                <c:pt idx="46">
                  <c:v>70084.3</c:v>
                </c:pt>
                <c:pt idx="47">
                  <c:v>70008</c:v>
                </c:pt>
                <c:pt idx="48">
                  <c:v>69999.399999999994</c:v>
                </c:pt>
                <c:pt idx="49">
                  <c:v>69948.399999999994</c:v>
                </c:pt>
                <c:pt idx="50">
                  <c:v>69910</c:v>
                </c:pt>
                <c:pt idx="51">
                  <c:v>69879.5</c:v>
                </c:pt>
                <c:pt idx="52">
                  <c:v>71047.399999999994</c:v>
                </c:pt>
                <c:pt idx="53">
                  <c:v>71002.5</c:v>
                </c:pt>
                <c:pt idx="54">
                  <c:v>70978</c:v>
                </c:pt>
                <c:pt idx="55">
                  <c:v>70967.7</c:v>
                </c:pt>
                <c:pt idx="56">
                  <c:v>70908.5</c:v>
                </c:pt>
                <c:pt idx="57">
                  <c:v>70902.8</c:v>
                </c:pt>
                <c:pt idx="58">
                  <c:v>70836.399999999994</c:v>
                </c:pt>
                <c:pt idx="59">
                  <c:v>70812</c:v>
                </c:pt>
                <c:pt idx="60">
                  <c:v>70806.399999999994</c:v>
                </c:pt>
                <c:pt idx="61">
                  <c:v>70801.5</c:v>
                </c:pt>
                <c:pt idx="62">
                  <c:v>70800.5</c:v>
                </c:pt>
                <c:pt idx="63">
                  <c:v>70797.2</c:v>
                </c:pt>
                <c:pt idx="64">
                  <c:v>70796</c:v>
                </c:pt>
                <c:pt idx="65">
                  <c:v>70794.399999999994</c:v>
                </c:pt>
                <c:pt idx="66">
                  <c:v>70782</c:v>
                </c:pt>
                <c:pt idx="67">
                  <c:v>70776.600000000006</c:v>
                </c:pt>
                <c:pt idx="68">
                  <c:v>70771.7</c:v>
                </c:pt>
                <c:pt idx="69">
                  <c:v>70679.5</c:v>
                </c:pt>
                <c:pt idx="70">
                  <c:v>70672.2</c:v>
                </c:pt>
                <c:pt idx="71">
                  <c:v>70651.600000000006</c:v>
                </c:pt>
                <c:pt idx="72">
                  <c:v>70530.8</c:v>
                </c:pt>
                <c:pt idx="73">
                  <c:v>70529.899999999994</c:v>
                </c:pt>
                <c:pt idx="74">
                  <c:v>70528.7</c:v>
                </c:pt>
                <c:pt idx="75">
                  <c:v>70167</c:v>
                </c:pt>
                <c:pt idx="76">
                  <c:v>70163</c:v>
                </c:pt>
                <c:pt idx="77">
                  <c:v>69913</c:v>
                </c:pt>
                <c:pt idx="78">
                  <c:v>69884.399999999994</c:v>
                </c:pt>
                <c:pt idx="79">
                  <c:v>69856</c:v>
                </c:pt>
                <c:pt idx="80">
                  <c:v>69810.899999999994</c:v>
                </c:pt>
                <c:pt idx="81">
                  <c:v>69743</c:v>
                </c:pt>
                <c:pt idx="82">
                  <c:v>68290.399999999994</c:v>
                </c:pt>
                <c:pt idx="83">
                  <c:v>68275.399999999994</c:v>
                </c:pt>
                <c:pt idx="84">
                  <c:v>68269.899999999994</c:v>
                </c:pt>
                <c:pt idx="85">
                  <c:v>68254.899999999994</c:v>
                </c:pt>
                <c:pt idx="86">
                  <c:v>68243.399999999994</c:v>
                </c:pt>
                <c:pt idx="87">
                  <c:v>68225.8</c:v>
                </c:pt>
                <c:pt idx="88">
                  <c:v>68220.2</c:v>
                </c:pt>
                <c:pt idx="89">
                  <c:v>68170.7</c:v>
                </c:pt>
                <c:pt idx="90">
                  <c:v>68148.100000000006</c:v>
                </c:pt>
                <c:pt idx="91">
                  <c:v>68123.600000000006</c:v>
                </c:pt>
                <c:pt idx="92">
                  <c:v>68109.399999999994</c:v>
                </c:pt>
                <c:pt idx="93">
                  <c:v>68095.100000000006</c:v>
                </c:pt>
                <c:pt idx="94">
                  <c:v>68069.7</c:v>
                </c:pt>
                <c:pt idx="95">
                  <c:v>67974.7</c:v>
                </c:pt>
                <c:pt idx="96">
                  <c:v>67968</c:v>
                </c:pt>
                <c:pt idx="97">
                  <c:v>67947.199999999997</c:v>
                </c:pt>
                <c:pt idx="98">
                  <c:v>67765.399999999994</c:v>
                </c:pt>
                <c:pt idx="99">
                  <c:v>67761</c:v>
                </c:pt>
                <c:pt idx="100">
                  <c:v>67752.2</c:v>
                </c:pt>
                <c:pt idx="101">
                  <c:v>67520.899999999994</c:v>
                </c:pt>
                <c:pt idx="102">
                  <c:v>67375.600000000006</c:v>
                </c:pt>
                <c:pt idx="103">
                  <c:v>67365.7</c:v>
                </c:pt>
                <c:pt idx="104">
                  <c:v>67351.8</c:v>
                </c:pt>
                <c:pt idx="105">
                  <c:v>67299.8</c:v>
                </c:pt>
                <c:pt idx="106">
                  <c:v>67282.600000000006</c:v>
                </c:pt>
                <c:pt idx="107">
                  <c:v>67263.3</c:v>
                </c:pt>
                <c:pt idx="108">
                  <c:v>67240.5</c:v>
                </c:pt>
                <c:pt idx="109">
                  <c:v>67227.100000000006</c:v>
                </c:pt>
                <c:pt idx="110">
                  <c:v>67197.100000000006</c:v>
                </c:pt>
                <c:pt idx="111">
                  <c:v>67161.399999999994</c:v>
                </c:pt>
                <c:pt idx="112">
                  <c:v>67092.399999999994</c:v>
                </c:pt>
                <c:pt idx="113">
                  <c:v>66971.3</c:v>
                </c:pt>
                <c:pt idx="114">
                  <c:v>66946.7</c:v>
                </c:pt>
                <c:pt idx="115">
                  <c:v>66917.399999999994</c:v>
                </c:pt>
                <c:pt idx="116">
                  <c:v>66913.899999999994</c:v>
                </c:pt>
                <c:pt idx="117">
                  <c:v>66856.5</c:v>
                </c:pt>
                <c:pt idx="118">
                  <c:v>66776.600000000006</c:v>
                </c:pt>
                <c:pt idx="119">
                  <c:v>66789</c:v>
                </c:pt>
                <c:pt idx="120">
                  <c:v>67542.7</c:v>
                </c:pt>
                <c:pt idx="121">
                  <c:v>67541.600000000006</c:v>
                </c:pt>
                <c:pt idx="122">
                  <c:v>67449</c:v>
                </c:pt>
                <c:pt idx="123">
                  <c:v>67444.600000000006</c:v>
                </c:pt>
                <c:pt idx="124">
                  <c:v>67443.399999999994</c:v>
                </c:pt>
                <c:pt idx="125">
                  <c:v>67441.100000000006</c:v>
                </c:pt>
                <c:pt idx="126">
                  <c:v>67435.8</c:v>
                </c:pt>
                <c:pt idx="127">
                  <c:v>67435.8</c:v>
                </c:pt>
                <c:pt idx="128">
                  <c:v>67431.8</c:v>
                </c:pt>
                <c:pt idx="129">
                  <c:v>67429.899999999994</c:v>
                </c:pt>
                <c:pt idx="130">
                  <c:v>67421.5</c:v>
                </c:pt>
                <c:pt idx="131">
                  <c:v>67419.199999999997</c:v>
                </c:pt>
                <c:pt idx="132">
                  <c:v>67417.2</c:v>
                </c:pt>
                <c:pt idx="133">
                  <c:v>67416.2</c:v>
                </c:pt>
                <c:pt idx="134">
                  <c:v>67415.600000000006</c:v>
                </c:pt>
                <c:pt idx="135">
                  <c:v>67392.7</c:v>
                </c:pt>
                <c:pt idx="136">
                  <c:v>67387.199999999997</c:v>
                </c:pt>
                <c:pt idx="137">
                  <c:v>67320</c:v>
                </c:pt>
                <c:pt idx="138">
                  <c:v>67317.600000000006</c:v>
                </c:pt>
                <c:pt idx="139">
                  <c:v>67314.7</c:v>
                </c:pt>
                <c:pt idx="140">
                  <c:v>67282.899999999994</c:v>
                </c:pt>
                <c:pt idx="141">
                  <c:v>67195.8</c:v>
                </c:pt>
                <c:pt idx="142">
                  <c:v>67071.399999999994</c:v>
                </c:pt>
                <c:pt idx="143">
                  <c:v>67053.600000000006</c:v>
                </c:pt>
                <c:pt idx="144">
                  <c:v>67032.399999999994</c:v>
                </c:pt>
                <c:pt idx="145">
                  <c:v>67026.8</c:v>
                </c:pt>
                <c:pt idx="146">
                  <c:v>67024.7</c:v>
                </c:pt>
                <c:pt idx="147">
                  <c:v>66871.899999999994</c:v>
                </c:pt>
                <c:pt idx="148">
                  <c:v>66856.3</c:v>
                </c:pt>
                <c:pt idx="149">
                  <c:v>66851.399999999994</c:v>
                </c:pt>
                <c:pt idx="150">
                  <c:v>66848.5</c:v>
                </c:pt>
                <c:pt idx="151">
                  <c:v>66847</c:v>
                </c:pt>
                <c:pt idx="152">
                  <c:v>66838.399999999994</c:v>
                </c:pt>
                <c:pt idx="153">
                  <c:v>66831.8</c:v>
                </c:pt>
                <c:pt idx="154">
                  <c:v>66776.100000000006</c:v>
                </c:pt>
                <c:pt idx="155">
                  <c:v>66774.399999999994</c:v>
                </c:pt>
                <c:pt idx="156">
                  <c:v>66731.5</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Charts'!$Q$3:$Q$543</c:f>
              <c:numCache>
                <c:formatCode>0.0</c:formatCode>
                <c:ptCount val="541"/>
                <c:pt idx="0">
                  <c:v>150515.79999999999</c:v>
                </c:pt>
                <c:pt idx="1">
                  <c:v>150515.79999999999</c:v>
                </c:pt>
                <c:pt idx="2">
                  <c:v>150515.79999999999</c:v>
                </c:pt>
                <c:pt idx="3">
                  <c:v>150515.79999999999</c:v>
                </c:pt>
                <c:pt idx="4">
                  <c:v>150515.79999999999</c:v>
                </c:pt>
                <c:pt idx="5">
                  <c:v>150515.79999999999</c:v>
                </c:pt>
                <c:pt idx="6">
                  <c:v>150515.79999999999</c:v>
                </c:pt>
                <c:pt idx="7">
                  <c:v>150515.79999999999</c:v>
                </c:pt>
                <c:pt idx="8">
                  <c:v>150515.79999999999</c:v>
                </c:pt>
                <c:pt idx="9">
                  <c:v>150515.79999999999</c:v>
                </c:pt>
                <c:pt idx="10">
                  <c:v>150515.79999999999</c:v>
                </c:pt>
                <c:pt idx="11">
                  <c:v>150515.79999999999</c:v>
                </c:pt>
                <c:pt idx="12">
                  <c:v>150515.79999999999</c:v>
                </c:pt>
                <c:pt idx="13">
                  <c:v>150515.79999999999</c:v>
                </c:pt>
                <c:pt idx="14">
                  <c:v>150515.79999999999</c:v>
                </c:pt>
                <c:pt idx="15">
                  <c:v>150515.79999999999</c:v>
                </c:pt>
                <c:pt idx="16">
                  <c:v>150515.79999999999</c:v>
                </c:pt>
                <c:pt idx="17">
                  <c:v>150515.79999999999</c:v>
                </c:pt>
                <c:pt idx="18">
                  <c:v>150515.79999999999</c:v>
                </c:pt>
                <c:pt idx="19">
                  <c:v>150515.79999999999</c:v>
                </c:pt>
                <c:pt idx="20">
                  <c:v>150515.79999999999</c:v>
                </c:pt>
                <c:pt idx="21">
                  <c:v>150515.79999999999</c:v>
                </c:pt>
                <c:pt idx="22">
                  <c:v>150515.79999999999</c:v>
                </c:pt>
                <c:pt idx="23">
                  <c:v>150515.79999999999</c:v>
                </c:pt>
                <c:pt idx="24">
                  <c:v>150515.79999999999</c:v>
                </c:pt>
                <c:pt idx="25">
                  <c:v>150515.79999999999</c:v>
                </c:pt>
                <c:pt idx="26">
                  <c:v>150515.79999999999</c:v>
                </c:pt>
                <c:pt idx="27">
                  <c:v>150515.79999999999</c:v>
                </c:pt>
                <c:pt idx="28">
                  <c:v>150515.79999999999</c:v>
                </c:pt>
                <c:pt idx="29">
                  <c:v>150515.79999999999</c:v>
                </c:pt>
                <c:pt idx="30">
                  <c:v>150515.79999999999</c:v>
                </c:pt>
                <c:pt idx="31">
                  <c:v>150515.79999999999</c:v>
                </c:pt>
                <c:pt idx="32">
                  <c:v>150515.79999999999</c:v>
                </c:pt>
                <c:pt idx="33">
                  <c:v>150515.79999999999</c:v>
                </c:pt>
                <c:pt idx="34">
                  <c:v>150515.79999999999</c:v>
                </c:pt>
                <c:pt idx="35">
                  <c:v>150515.79999999999</c:v>
                </c:pt>
                <c:pt idx="36">
                  <c:v>150515.79999999999</c:v>
                </c:pt>
                <c:pt idx="37">
                  <c:v>150515.79999999999</c:v>
                </c:pt>
                <c:pt idx="38">
                  <c:v>150515.79999999999</c:v>
                </c:pt>
                <c:pt idx="39">
                  <c:v>150515.79999999999</c:v>
                </c:pt>
                <c:pt idx="40">
                  <c:v>150515.79999999999</c:v>
                </c:pt>
                <c:pt idx="41">
                  <c:v>150515.79999999999</c:v>
                </c:pt>
                <c:pt idx="42">
                  <c:v>150515.79999999999</c:v>
                </c:pt>
                <c:pt idx="43">
                  <c:v>150515.79999999999</c:v>
                </c:pt>
                <c:pt idx="44">
                  <c:v>150515.79999999999</c:v>
                </c:pt>
                <c:pt idx="45">
                  <c:v>150515.79999999999</c:v>
                </c:pt>
                <c:pt idx="46">
                  <c:v>150515.79999999999</c:v>
                </c:pt>
                <c:pt idx="47">
                  <c:v>150515.79999999999</c:v>
                </c:pt>
                <c:pt idx="48">
                  <c:v>99041.7</c:v>
                </c:pt>
                <c:pt idx="49">
                  <c:v>99041.7</c:v>
                </c:pt>
                <c:pt idx="50">
                  <c:v>99041.7</c:v>
                </c:pt>
                <c:pt idx="51">
                  <c:v>99041.7</c:v>
                </c:pt>
                <c:pt idx="52">
                  <c:v>99041.7</c:v>
                </c:pt>
                <c:pt idx="53">
                  <c:v>99041.7</c:v>
                </c:pt>
                <c:pt idx="54">
                  <c:v>99041.7</c:v>
                </c:pt>
                <c:pt idx="55">
                  <c:v>99041.7</c:v>
                </c:pt>
                <c:pt idx="56">
                  <c:v>99041.7</c:v>
                </c:pt>
                <c:pt idx="57">
                  <c:v>99041.7</c:v>
                </c:pt>
                <c:pt idx="58">
                  <c:v>99041.7</c:v>
                </c:pt>
                <c:pt idx="59">
                  <c:v>99041.7</c:v>
                </c:pt>
                <c:pt idx="60">
                  <c:v>99041.7</c:v>
                </c:pt>
                <c:pt idx="61">
                  <c:v>99041.7</c:v>
                </c:pt>
                <c:pt idx="62">
                  <c:v>99041.7</c:v>
                </c:pt>
                <c:pt idx="63">
                  <c:v>99041.7</c:v>
                </c:pt>
                <c:pt idx="64">
                  <c:v>99041.7</c:v>
                </c:pt>
                <c:pt idx="65">
                  <c:v>99041.7</c:v>
                </c:pt>
                <c:pt idx="66">
                  <c:v>99041.7</c:v>
                </c:pt>
                <c:pt idx="67">
                  <c:v>99041.7</c:v>
                </c:pt>
                <c:pt idx="68">
                  <c:v>99041.7</c:v>
                </c:pt>
                <c:pt idx="69">
                  <c:v>99041.7</c:v>
                </c:pt>
                <c:pt idx="70">
                  <c:v>99041.7</c:v>
                </c:pt>
                <c:pt idx="71">
                  <c:v>99041.7</c:v>
                </c:pt>
                <c:pt idx="72">
                  <c:v>99041.7</c:v>
                </c:pt>
                <c:pt idx="73">
                  <c:v>99041.7</c:v>
                </c:pt>
                <c:pt idx="74">
                  <c:v>99041.7</c:v>
                </c:pt>
                <c:pt idx="75">
                  <c:v>99041.7</c:v>
                </c:pt>
                <c:pt idx="76">
                  <c:v>99041.7</c:v>
                </c:pt>
                <c:pt idx="77">
                  <c:v>99041.7</c:v>
                </c:pt>
                <c:pt idx="78">
                  <c:v>99041.7</c:v>
                </c:pt>
                <c:pt idx="79">
                  <c:v>99041.7</c:v>
                </c:pt>
                <c:pt idx="80">
                  <c:v>99041.7</c:v>
                </c:pt>
                <c:pt idx="81">
                  <c:v>99041.7</c:v>
                </c:pt>
                <c:pt idx="82">
                  <c:v>99041.7</c:v>
                </c:pt>
                <c:pt idx="83">
                  <c:v>99041.7</c:v>
                </c:pt>
                <c:pt idx="84">
                  <c:v>99041.7</c:v>
                </c:pt>
                <c:pt idx="85">
                  <c:v>99041.7</c:v>
                </c:pt>
                <c:pt idx="86">
                  <c:v>99041.7</c:v>
                </c:pt>
                <c:pt idx="87">
                  <c:v>99041.7</c:v>
                </c:pt>
                <c:pt idx="88">
                  <c:v>99041.7</c:v>
                </c:pt>
                <c:pt idx="89">
                  <c:v>99041.7</c:v>
                </c:pt>
                <c:pt idx="90">
                  <c:v>99041.7</c:v>
                </c:pt>
                <c:pt idx="91">
                  <c:v>99041.7</c:v>
                </c:pt>
                <c:pt idx="92">
                  <c:v>99041.7</c:v>
                </c:pt>
                <c:pt idx="93">
                  <c:v>99041.7</c:v>
                </c:pt>
                <c:pt idx="94">
                  <c:v>99041.7</c:v>
                </c:pt>
                <c:pt idx="95">
                  <c:v>99041.7</c:v>
                </c:pt>
                <c:pt idx="96">
                  <c:v>99041.7</c:v>
                </c:pt>
                <c:pt idx="97">
                  <c:v>99041.7</c:v>
                </c:pt>
                <c:pt idx="98">
                  <c:v>99041.7</c:v>
                </c:pt>
                <c:pt idx="99">
                  <c:v>99041.7</c:v>
                </c:pt>
                <c:pt idx="100">
                  <c:v>99041.7</c:v>
                </c:pt>
                <c:pt idx="101">
                  <c:v>99041.7</c:v>
                </c:pt>
                <c:pt idx="102">
                  <c:v>99041.7</c:v>
                </c:pt>
                <c:pt idx="103">
                  <c:v>99041.7</c:v>
                </c:pt>
                <c:pt idx="104">
                  <c:v>99041.7</c:v>
                </c:pt>
                <c:pt idx="105">
                  <c:v>99042</c:v>
                </c:pt>
                <c:pt idx="106">
                  <c:v>99042</c:v>
                </c:pt>
                <c:pt idx="107">
                  <c:v>99042</c:v>
                </c:pt>
                <c:pt idx="108">
                  <c:v>99042</c:v>
                </c:pt>
                <c:pt idx="109">
                  <c:v>99042</c:v>
                </c:pt>
                <c:pt idx="110">
                  <c:v>99042</c:v>
                </c:pt>
                <c:pt idx="111">
                  <c:v>99042</c:v>
                </c:pt>
                <c:pt idx="112">
                  <c:v>99042</c:v>
                </c:pt>
                <c:pt idx="113">
                  <c:v>99042</c:v>
                </c:pt>
                <c:pt idx="114">
                  <c:v>99042</c:v>
                </c:pt>
                <c:pt idx="115">
                  <c:v>99042</c:v>
                </c:pt>
                <c:pt idx="116">
                  <c:v>99042</c:v>
                </c:pt>
                <c:pt idx="117">
                  <c:v>99042</c:v>
                </c:pt>
                <c:pt idx="118">
                  <c:v>99042</c:v>
                </c:pt>
                <c:pt idx="119">
                  <c:v>99042</c:v>
                </c:pt>
                <c:pt idx="120">
                  <c:v>99042</c:v>
                </c:pt>
                <c:pt idx="121">
                  <c:v>79968.7</c:v>
                </c:pt>
                <c:pt idx="122">
                  <c:v>79968.7</c:v>
                </c:pt>
                <c:pt idx="123">
                  <c:v>79968.7</c:v>
                </c:pt>
                <c:pt idx="124">
                  <c:v>79968.7</c:v>
                </c:pt>
                <c:pt idx="125">
                  <c:v>79968.7</c:v>
                </c:pt>
                <c:pt idx="126">
                  <c:v>79968.7</c:v>
                </c:pt>
                <c:pt idx="127">
                  <c:v>79968.7</c:v>
                </c:pt>
                <c:pt idx="128">
                  <c:v>79968.7</c:v>
                </c:pt>
                <c:pt idx="129">
                  <c:v>79968.7</c:v>
                </c:pt>
                <c:pt idx="130">
                  <c:v>79968.7</c:v>
                </c:pt>
                <c:pt idx="131">
                  <c:v>79968.7</c:v>
                </c:pt>
                <c:pt idx="132">
                  <c:v>79968.7</c:v>
                </c:pt>
                <c:pt idx="133">
                  <c:v>79968.7</c:v>
                </c:pt>
                <c:pt idx="134">
                  <c:v>79968.7</c:v>
                </c:pt>
                <c:pt idx="135">
                  <c:v>79968.7</c:v>
                </c:pt>
                <c:pt idx="136">
                  <c:v>79968.7</c:v>
                </c:pt>
                <c:pt idx="137">
                  <c:v>79968.7</c:v>
                </c:pt>
                <c:pt idx="138">
                  <c:v>79968.7</c:v>
                </c:pt>
                <c:pt idx="139">
                  <c:v>79968.7</c:v>
                </c:pt>
                <c:pt idx="140">
                  <c:v>79968.7</c:v>
                </c:pt>
                <c:pt idx="141">
                  <c:v>79968.7</c:v>
                </c:pt>
                <c:pt idx="142">
                  <c:v>79968.7</c:v>
                </c:pt>
                <c:pt idx="143">
                  <c:v>79968.7</c:v>
                </c:pt>
                <c:pt idx="144">
                  <c:v>79968.7</c:v>
                </c:pt>
                <c:pt idx="145">
                  <c:v>79968.7</c:v>
                </c:pt>
                <c:pt idx="146">
                  <c:v>79968.7</c:v>
                </c:pt>
                <c:pt idx="147">
                  <c:v>79968.7</c:v>
                </c:pt>
                <c:pt idx="148">
                  <c:v>79968.7</c:v>
                </c:pt>
                <c:pt idx="149">
                  <c:v>79968.7</c:v>
                </c:pt>
                <c:pt idx="150">
                  <c:v>79968.7</c:v>
                </c:pt>
                <c:pt idx="151">
                  <c:v>79968.7</c:v>
                </c:pt>
                <c:pt idx="152">
                  <c:v>79968.7</c:v>
                </c:pt>
                <c:pt idx="153">
                  <c:v>79968.7</c:v>
                </c:pt>
                <c:pt idx="154">
                  <c:v>79968.7</c:v>
                </c:pt>
                <c:pt idx="155">
                  <c:v>79968.7</c:v>
                </c:pt>
                <c:pt idx="156">
                  <c:v>79968.7</c:v>
                </c:pt>
              </c:numCache>
            </c:numRef>
          </c:val>
        </c:ser>
        <c:dLbls/>
        <c:marker val="1"/>
        <c:axId val="289121024"/>
        <c:axId val="289122560"/>
      </c:lineChart>
      <c:dateAx>
        <c:axId val="289121024"/>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289122560"/>
        <c:crosses val="autoZero"/>
        <c:auto val="1"/>
        <c:lblOffset val="100"/>
        <c:baseTimeUnit val="days"/>
      </c:dateAx>
      <c:valAx>
        <c:axId val="289122560"/>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121024"/>
        <c:crosses val="autoZero"/>
        <c:crossBetween val="between"/>
      </c:valAx>
    </c:plotArea>
    <c:legend>
      <c:legendPos val="r"/>
      <c:layout>
        <c:manualLayout>
          <c:xMode val="edge"/>
          <c:yMode val="edge"/>
          <c:x val="0.84439505545680693"/>
          <c:y val="0.18265012860014568"/>
          <c:w val="0.13947591228515788"/>
          <c:h val="0.70147806774989263"/>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0678 Used GB</a:t>
            </a:r>
          </a:p>
        </c:rich>
      </c:tx>
    </c:title>
    <c:plotArea>
      <c:layout>
        <c:manualLayout>
          <c:layoutTarget val="inner"/>
          <c:xMode val="edge"/>
          <c:yMode val="edge"/>
          <c:x val="0.11284951881014312"/>
          <c:y val="0.19677140670895762"/>
          <c:w val="0.84270603674542865"/>
          <c:h val="0.68836603888462256"/>
        </c:manualLayout>
      </c:layout>
      <c:lineChart>
        <c:grouping val="standard"/>
        <c:ser>
          <c:idx val="0"/>
          <c:order val="0"/>
          <c:marker>
            <c:symbol val="none"/>
          </c:marker>
          <c:val>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val>
        </c:ser>
        <c:ser>
          <c:idx val="1"/>
          <c:order val="1"/>
          <c:marker>
            <c:symbol val="none"/>
          </c:marker>
          <c:val>
            <c:numRef>
              <c:f>'Used GB Charts'!$E$3:$E$543</c:f>
              <c:numCache>
                <c:formatCode>0.0</c:formatCode>
                <c:ptCount val="541"/>
                <c:pt idx="0">
                  <c:v>159714.6</c:v>
                </c:pt>
                <c:pt idx="1">
                  <c:v>159662.79999999999</c:v>
                </c:pt>
                <c:pt idx="2">
                  <c:v>159588.6</c:v>
                </c:pt>
                <c:pt idx="3">
                  <c:v>159178.6</c:v>
                </c:pt>
                <c:pt idx="4">
                  <c:v>158852.5</c:v>
                </c:pt>
                <c:pt idx="5">
                  <c:v>158586.5</c:v>
                </c:pt>
                <c:pt idx="6">
                  <c:v>158449.60000000001</c:v>
                </c:pt>
                <c:pt idx="7">
                  <c:v>158263.79999999999</c:v>
                </c:pt>
                <c:pt idx="8">
                  <c:v>158054.20000000001</c:v>
                </c:pt>
                <c:pt idx="9">
                  <c:v>161637.5</c:v>
                </c:pt>
                <c:pt idx="10">
                  <c:v>161575.20000000001</c:v>
                </c:pt>
                <c:pt idx="11">
                  <c:v>161535.70000000001</c:v>
                </c:pt>
                <c:pt idx="12">
                  <c:v>161437.5</c:v>
                </c:pt>
                <c:pt idx="13">
                  <c:v>161306.9</c:v>
                </c:pt>
                <c:pt idx="14">
                  <c:v>161279.29999999999</c:v>
                </c:pt>
                <c:pt idx="15">
                  <c:v>161216.9</c:v>
                </c:pt>
                <c:pt idx="16">
                  <c:v>161033.1</c:v>
                </c:pt>
                <c:pt idx="17">
                  <c:v>160947.70000000001</c:v>
                </c:pt>
                <c:pt idx="18">
                  <c:v>161624</c:v>
                </c:pt>
                <c:pt idx="19">
                  <c:v>161389.29999999999</c:v>
                </c:pt>
                <c:pt idx="20">
                  <c:v>161121.79999999999</c:v>
                </c:pt>
                <c:pt idx="21">
                  <c:v>160686.5</c:v>
                </c:pt>
                <c:pt idx="22">
                  <c:v>160599.4</c:v>
                </c:pt>
                <c:pt idx="23">
                  <c:v>160188.9</c:v>
                </c:pt>
                <c:pt idx="24">
                  <c:v>159908.5</c:v>
                </c:pt>
                <c:pt idx="25">
                  <c:v>159872.6</c:v>
                </c:pt>
                <c:pt idx="26">
                  <c:v>159829.5</c:v>
                </c:pt>
                <c:pt idx="27">
                  <c:v>159661.4</c:v>
                </c:pt>
                <c:pt idx="28">
                  <c:v>159536.4</c:v>
                </c:pt>
                <c:pt idx="29">
                  <c:v>159312.20000000001</c:v>
                </c:pt>
                <c:pt idx="30">
                  <c:v>159094</c:v>
                </c:pt>
                <c:pt idx="31">
                  <c:v>158600.70000000001</c:v>
                </c:pt>
                <c:pt idx="32">
                  <c:v>158530.4</c:v>
                </c:pt>
                <c:pt idx="33">
                  <c:v>158116.29999999999</c:v>
                </c:pt>
                <c:pt idx="34">
                  <c:v>158060.9</c:v>
                </c:pt>
                <c:pt idx="35">
                  <c:v>157783.20000000001</c:v>
                </c:pt>
                <c:pt idx="36">
                  <c:v>157611.29999999999</c:v>
                </c:pt>
                <c:pt idx="37">
                  <c:v>157381.20000000001</c:v>
                </c:pt>
                <c:pt idx="38">
                  <c:v>157311.1</c:v>
                </c:pt>
                <c:pt idx="39">
                  <c:v>155965.29999999999</c:v>
                </c:pt>
                <c:pt idx="40">
                  <c:v>156125.79999999999</c:v>
                </c:pt>
                <c:pt idx="41">
                  <c:v>155922.5</c:v>
                </c:pt>
                <c:pt idx="42">
                  <c:v>155472</c:v>
                </c:pt>
                <c:pt idx="43">
                  <c:v>155431.9</c:v>
                </c:pt>
                <c:pt idx="44">
                  <c:v>155197.20000000001</c:v>
                </c:pt>
                <c:pt idx="45">
                  <c:v>155136.4</c:v>
                </c:pt>
                <c:pt idx="46">
                  <c:v>154770</c:v>
                </c:pt>
                <c:pt idx="47">
                  <c:v>154630.39999999999</c:v>
                </c:pt>
                <c:pt idx="48">
                  <c:v>154454.70000000001</c:v>
                </c:pt>
                <c:pt idx="49">
                  <c:v>154325.79999999999</c:v>
                </c:pt>
                <c:pt idx="50">
                  <c:v>154213.1</c:v>
                </c:pt>
                <c:pt idx="51">
                  <c:v>154008.79999999999</c:v>
                </c:pt>
                <c:pt idx="52">
                  <c:v>153910.6</c:v>
                </c:pt>
                <c:pt idx="53">
                  <c:v>153703.4</c:v>
                </c:pt>
                <c:pt idx="54">
                  <c:v>153152.6</c:v>
                </c:pt>
                <c:pt idx="55">
                  <c:v>152851.79999999999</c:v>
                </c:pt>
                <c:pt idx="56">
                  <c:v>152223.29999999999</c:v>
                </c:pt>
                <c:pt idx="57">
                  <c:v>152096.29999999999</c:v>
                </c:pt>
                <c:pt idx="58">
                  <c:v>151644.5</c:v>
                </c:pt>
                <c:pt idx="59">
                  <c:v>151468.6</c:v>
                </c:pt>
                <c:pt idx="60">
                  <c:v>151388.79999999999</c:v>
                </c:pt>
                <c:pt idx="61">
                  <c:v>151291.70000000001</c:v>
                </c:pt>
                <c:pt idx="62">
                  <c:v>151208.4</c:v>
                </c:pt>
                <c:pt idx="63">
                  <c:v>150425.9</c:v>
                </c:pt>
                <c:pt idx="64">
                  <c:v>150265.70000000001</c:v>
                </c:pt>
                <c:pt idx="65">
                  <c:v>150206</c:v>
                </c:pt>
                <c:pt idx="66">
                  <c:v>149969.20000000001</c:v>
                </c:pt>
                <c:pt idx="67">
                  <c:v>149798.70000000001</c:v>
                </c:pt>
                <c:pt idx="68">
                  <c:v>149362.6</c:v>
                </c:pt>
                <c:pt idx="69">
                  <c:v>149035.5</c:v>
                </c:pt>
                <c:pt idx="70">
                  <c:v>148969</c:v>
                </c:pt>
                <c:pt idx="71">
                  <c:v>148613.29999999999</c:v>
                </c:pt>
                <c:pt idx="72">
                  <c:v>148289.29999999999</c:v>
                </c:pt>
                <c:pt idx="73">
                  <c:v>148228.1</c:v>
                </c:pt>
                <c:pt idx="74">
                  <c:v>148158</c:v>
                </c:pt>
                <c:pt idx="75">
                  <c:v>147434.6</c:v>
                </c:pt>
                <c:pt idx="76">
                  <c:v>146937.1</c:v>
                </c:pt>
                <c:pt idx="77">
                  <c:v>146815.1</c:v>
                </c:pt>
                <c:pt idx="78">
                  <c:v>146310.6</c:v>
                </c:pt>
                <c:pt idx="79">
                  <c:v>146204.5</c:v>
                </c:pt>
                <c:pt idx="80">
                  <c:v>145928.6</c:v>
                </c:pt>
                <c:pt idx="81">
                  <c:v>145819.5</c:v>
                </c:pt>
                <c:pt idx="82">
                  <c:v>145588.29999999999</c:v>
                </c:pt>
                <c:pt idx="83">
                  <c:v>145516.20000000001</c:v>
                </c:pt>
                <c:pt idx="84">
                  <c:v>145160.1</c:v>
                </c:pt>
                <c:pt idx="85">
                  <c:v>145035</c:v>
                </c:pt>
                <c:pt idx="86">
                  <c:v>144720.29999999999</c:v>
                </c:pt>
                <c:pt idx="87">
                  <c:v>143688.70000000001</c:v>
                </c:pt>
                <c:pt idx="88">
                  <c:v>142674.6</c:v>
                </c:pt>
                <c:pt idx="89">
                  <c:v>141676.29999999999</c:v>
                </c:pt>
                <c:pt idx="90">
                  <c:v>140997</c:v>
                </c:pt>
                <c:pt idx="91">
                  <c:v>138767.1</c:v>
                </c:pt>
                <c:pt idx="92">
                  <c:v>137414.1</c:v>
                </c:pt>
                <c:pt idx="93">
                  <c:v>136747.5</c:v>
                </c:pt>
                <c:pt idx="94">
                  <c:v>136399.5</c:v>
                </c:pt>
                <c:pt idx="95">
                  <c:v>135846.29999999999</c:v>
                </c:pt>
                <c:pt idx="96">
                  <c:v>135651.20000000001</c:v>
                </c:pt>
                <c:pt idx="97">
                  <c:v>135577.4</c:v>
                </c:pt>
                <c:pt idx="98">
                  <c:v>134614.6</c:v>
                </c:pt>
                <c:pt idx="99">
                  <c:v>134160.20000000001</c:v>
                </c:pt>
                <c:pt idx="100">
                  <c:v>133817.20000000001</c:v>
                </c:pt>
                <c:pt idx="101">
                  <c:v>133125</c:v>
                </c:pt>
                <c:pt idx="102">
                  <c:v>132635.4</c:v>
                </c:pt>
                <c:pt idx="103">
                  <c:v>132539.9</c:v>
                </c:pt>
                <c:pt idx="104">
                  <c:v>132400.29999999999</c:v>
                </c:pt>
                <c:pt idx="105">
                  <c:v>131868.70000000001</c:v>
                </c:pt>
                <c:pt idx="106">
                  <c:v>131528.9</c:v>
                </c:pt>
                <c:pt idx="107">
                  <c:v>131375.1</c:v>
                </c:pt>
                <c:pt idx="108">
                  <c:v>131007.6</c:v>
                </c:pt>
                <c:pt idx="109">
                  <c:v>130950.5</c:v>
                </c:pt>
                <c:pt idx="110">
                  <c:v>130827.8</c:v>
                </c:pt>
                <c:pt idx="111">
                  <c:v>130575.7</c:v>
                </c:pt>
                <c:pt idx="112">
                  <c:v>129769.60000000001</c:v>
                </c:pt>
                <c:pt idx="113">
                  <c:v>131467.9</c:v>
                </c:pt>
                <c:pt idx="114">
                  <c:v>133311.5</c:v>
                </c:pt>
                <c:pt idx="115">
                  <c:v>133188.4</c:v>
                </c:pt>
                <c:pt idx="116">
                  <c:v>133121.9</c:v>
                </c:pt>
                <c:pt idx="117">
                  <c:v>132884.20000000001</c:v>
                </c:pt>
                <c:pt idx="118">
                  <c:v>132700.4</c:v>
                </c:pt>
                <c:pt idx="119">
                  <c:v>132576.20000000001</c:v>
                </c:pt>
                <c:pt idx="120">
                  <c:v>132318.1</c:v>
                </c:pt>
                <c:pt idx="121">
                  <c:v>132093.1</c:v>
                </c:pt>
                <c:pt idx="122">
                  <c:v>131445.70000000001</c:v>
                </c:pt>
                <c:pt idx="123">
                  <c:v>131356.79999999999</c:v>
                </c:pt>
                <c:pt idx="124">
                  <c:v>131241.70000000001</c:v>
                </c:pt>
                <c:pt idx="125">
                  <c:v>130892.3</c:v>
                </c:pt>
                <c:pt idx="126">
                  <c:v>130704.8</c:v>
                </c:pt>
                <c:pt idx="127">
                  <c:v>130596.3</c:v>
                </c:pt>
                <c:pt idx="128">
                  <c:v>130277.7</c:v>
                </c:pt>
                <c:pt idx="129">
                  <c:v>130113</c:v>
                </c:pt>
                <c:pt idx="130">
                  <c:v>129627.9</c:v>
                </c:pt>
                <c:pt idx="131">
                  <c:v>129350.8</c:v>
                </c:pt>
                <c:pt idx="132">
                  <c:v>129263.1</c:v>
                </c:pt>
                <c:pt idx="133">
                  <c:v>129005.4</c:v>
                </c:pt>
                <c:pt idx="134">
                  <c:v>128727.8</c:v>
                </c:pt>
                <c:pt idx="135">
                  <c:v>128302.1</c:v>
                </c:pt>
                <c:pt idx="136">
                  <c:v>128149.8</c:v>
                </c:pt>
                <c:pt idx="137">
                  <c:v>127937.1</c:v>
                </c:pt>
                <c:pt idx="138">
                  <c:v>127586.7</c:v>
                </c:pt>
                <c:pt idx="139">
                  <c:v>127391.4</c:v>
                </c:pt>
                <c:pt idx="140">
                  <c:v>126695.1</c:v>
                </c:pt>
                <c:pt idx="141">
                  <c:v>126506.1</c:v>
                </c:pt>
                <c:pt idx="142">
                  <c:v>126302</c:v>
                </c:pt>
                <c:pt idx="143">
                  <c:v>126095.8</c:v>
                </c:pt>
                <c:pt idx="144">
                  <c:v>125509.6</c:v>
                </c:pt>
                <c:pt idx="145">
                  <c:v>125279.9</c:v>
                </c:pt>
                <c:pt idx="146">
                  <c:v>125062.5</c:v>
                </c:pt>
                <c:pt idx="147">
                  <c:v>124516.2</c:v>
                </c:pt>
                <c:pt idx="148">
                  <c:v>124320.3</c:v>
                </c:pt>
                <c:pt idx="149">
                  <c:v>124082</c:v>
                </c:pt>
                <c:pt idx="150">
                  <c:v>123991.3</c:v>
                </c:pt>
                <c:pt idx="151">
                  <c:v>123865.3</c:v>
                </c:pt>
                <c:pt idx="152">
                  <c:v>123423.2</c:v>
                </c:pt>
                <c:pt idx="153">
                  <c:v>123185.8</c:v>
                </c:pt>
                <c:pt idx="154">
                  <c:v>123071.4</c:v>
                </c:pt>
                <c:pt idx="155">
                  <c:v>122984.2</c:v>
                </c:pt>
                <c:pt idx="156">
                  <c:v>122880.1</c:v>
                </c:pt>
              </c:numCache>
            </c:numRef>
          </c:val>
        </c:ser>
        <c:dLbls/>
        <c:marker val="1"/>
        <c:axId val="289181056"/>
        <c:axId val="289207424"/>
      </c:lineChart>
      <c:dateAx>
        <c:axId val="289181056"/>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207424"/>
        <c:crosses val="autoZero"/>
        <c:lblOffset val="100"/>
        <c:baseTimeUnit val="days"/>
      </c:dateAx>
      <c:valAx>
        <c:axId val="289207424"/>
        <c:scaling>
          <c:orientation val="minMax"/>
          <c:min val="0"/>
        </c:scaling>
        <c:axPos val="l"/>
        <c:majorGridlines/>
        <c:numFmt formatCode="[$-409]d\-mmm\-yy;@"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18105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0879 Used GB</a:t>
            </a:r>
          </a:p>
        </c:rich>
      </c:tx>
    </c:title>
    <c:plotArea>
      <c:layout/>
      <c:lineChart>
        <c:grouping val="standard"/>
        <c:ser>
          <c:idx val="0"/>
          <c:order val="0"/>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Charts'!$I$3:$I$543</c:f>
              <c:numCache>
                <c:formatCode>0.0</c:formatCode>
                <c:ptCount val="541"/>
                <c:pt idx="0">
                  <c:v>147978.6</c:v>
                </c:pt>
                <c:pt idx="1">
                  <c:v>147912.70000000001</c:v>
                </c:pt>
                <c:pt idx="2">
                  <c:v>147764.9</c:v>
                </c:pt>
                <c:pt idx="3">
                  <c:v>147365.29999999999</c:v>
                </c:pt>
                <c:pt idx="4">
                  <c:v>147226.1</c:v>
                </c:pt>
                <c:pt idx="5">
                  <c:v>147015.4</c:v>
                </c:pt>
                <c:pt idx="6">
                  <c:v>146922.29999999999</c:v>
                </c:pt>
                <c:pt idx="7">
                  <c:v>146582.29999999999</c:v>
                </c:pt>
                <c:pt idx="8">
                  <c:v>146504.20000000001</c:v>
                </c:pt>
                <c:pt idx="9">
                  <c:v>146156.79999999999</c:v>
                </c:pt>
                <c:pt idx="10">
                  <c:v>146112.5</c:v>
                </c:pt>
                <c:pt idx="11">
                  <c:v>146089</c:v>
                </c:pt>
                <c:pt idx="12">
                  <c:v>145976.1</c:v>
                </c:pt>
                <c:pt idx="13">
                  <c:v>145832</c:v>
                </c:pt>
                <c:pt idx="14">
                  <c:v>145803.1</c:v>
                </c:pt>
                <c:pt idx="15">
                  <c:v>145574.5</c:v>
                </c:pt>
                <c:pt idx="16">
                  <c:v>145325.9</c:v>
                </c:pt>
                <c:pt idx="17">
                  <c:v>144885.1</c:v>
                </c:pt>
                <c:pt idx="18">
                  <c:v>144497.60000000001</c:v>
                </c:pt>
                <c:pt idx="19">
                  <c:v>144164.1</c:v>
                </c:pt>
                <c:pt idx="20">
                  <c:v>143669.5</c:v>
                </c:pt>
                <c:pt idx="21">
                  <c:v>143317.79999999999</c:v>
                </c:pt>
                <c:pt idx="22">
                  <c:v>143130.29999999999</c:v>
                </c:pt>
                <c:pt idx="23">
                  <c:v>142649.79999999999</c:v>
                </c:pt>
                <c:pt idx="24">
                  <c:v>142575.79999999999</c:v>
                </c:pt>
                <c:pt idx="25">
                  <c:v>142545.79999999999</c:v>
                </c:pt>
                <c:pt idx="26">
                  <c:v>142498.79999999999</c:v>
                </c:pt>
                <c:pt idx="27">
                  <c:v>142365.9</c:v>
                </c:pt>
                <c:pt idx="28">
                  <c:v>141954.79999999999</c:v>
                </c:pt>
                <c:pt idx="29">
                  <c:v>141771.4</c:v>
                </c:pt>
                <c:pt idx="30">
                  <c:v>141593.70000000001</c:v>
                </c:pt>
                <c:pt idx="31">
                  <c:v>141201.79999999999</c:v>
                </c:pt>
                <c:pt idx="32">
                  <c:v>141078.6</c:v>
                </c:pt>
                <c:pt idx="33">
                  <c:v>140677.29999999999</c:v>
                </c:pt>
                <c:pt idx="34">
                  <c:v>140597.6</c:v>
                </c:pt>
                <c:pt idx="35">
                  <c:v>140278</c:v>
                </c:pt>
                <c:pt idx="36">
                  <c:v>139969.20000000001</c:v>
                </c:pt>
                <c:pt idx="37">
                  <c:v>139961.70000000001</c:v>
                </c:pt>
                <c:pt idx="38">
                  <c:v>139874.79999999999</c:v>
                </c:pt>
                <c:pt idx="39">
                  <c:v>139765.29999999999</c:v>
                </c:pt>
                <c:pt idx="40">
                  <c:v>140999.5</c:v>
                </c:pt>
                <c:pt idx="41">
                  <c:v>140904.29999999999</c:v>
                </c:pt>
                <c:pt idx="42">
                  <c:v>140865.29999999999</c:v>
                </c:pt>
                <c:pt idx="43">
                  <c:v>140798.9</c:v>
                </c:pt>
                <c:pt idx="44">
                  <c:v>140672.4</c:v>
                </c:pt>
                <c:pt idx="45">
                  <c:v>140600.79999999999</c:v>
                </c:pt>
                <c:pt idx="46">
                  <c:v>140387.70000000001</c:v>
                </c:pt>
                <c:pt idx="47">
                  <c:v>140216.9</c:v>
                </c:pt>
                <c:pt idx="48">
                  <c:v>139910</c:v>
                </c:pt>
                <c:pt idx="49">
                  <c:v>139385.4</c:v>
                </c:pt>
                <c:pt idx="50">
                  <c:v>139082.4</c:v>
                </c:pt>
                <c:pt idx="51">
                  <c:v>138733.5</c:v>
                </c:pt>
                <c:pt idx="52">
                  <c:v>138652.6</c:v>
                </c:pt>
                <c:pt idx="53">
                  <c:v>138501.29999999999</c:v>
                </c:pt>
                <c:pt idx="54">
                  <c:v>137789.20000000001</c:v>
                </c:pt>
                <c:pt idx="55">
                  <c:v>137369.60000000001</c:v>
                </c:pt>
                <c:pt idx="56">
                  <c:v>137369.60000000001</c:v>
                </c:pt>
                <c:pt idx="57">
                  <c:v>137281.1</c:v>
                </c:pt>
                <c:pt idx="58">
                  <c:v>136964.20000000001</c:v>
                </c:pt>
                <c:pt idx="59">
                  <c:v>136795.20000000001</c:v>
                </c:pt>
                <c:pt idx="60">
                  <c:v>136777.4</c:v>
                </c:pt>
                <c:pt idx="61">
                  <c:v>136747.20000000001</c:v>
                </c:pt>
                <c:pt idx="62">
                  <c:v>136615.4</c:v>
                </c:pt>
                <c:pt idx="63">
                  <c:v>136237.6</c:v>
                </c:pt>
                <c:pt idx="64">
                  <c:v>136045.4</c:v>
                </c:pt>
                <c:pt idx="65">
                  <c:v>135953.9</c:v>
                </c:pt>
                <c:pt idx="66">
                  <c:v>135460.1</c:v>
                </c:pt>
                <c:pt idx="67">
                  <c:v>135396.29999999999</c:v>
                </c:pt>
                <c:pt idx="68">
                  <c:v>135180.29999999999</c:v>
                </c:pt>
                <c:pt idx="69">
                  <c:v>134740.79999999999</c:v>
                </c:pt>
                <c:pt idx="70">
                  <c:v>134702.6</c:v>
                </c:pt>
                <c:pt idx="71">
                  <c:v>134578.5</c:v>
                </c:pt>
                <c:pt idx="72">
                  <c:v>134329.4</c:v>
                </c:pt>
                <c:pt idx="73">
                  <c:v>134275.5</c:v>
                </c:pt>
                <c:pt idx="74">
                  <c:v>134244.29999999999</c:v>
                </c:pt>
                <c:pt idx="75">
                  <c:v>133521.20000000001</c:v>
                </c:pt>
                <c:pt idx="76">
                  <c:v>132517.4</c:v>
                </c:pt>
                <c:pt idx="77">
                  <c:v>132475.1</c:v>
                </c:pt>
                <c:pt idx="78">
                  <c:v>131347.79999999999</c:v>
                </c:pt>
                <c:pt idx="79">
                  <c:v>131218.9</c:v>
                </c:pt>
                <c:pt idx="80">
                  <c:v>130904.6</c:v>
                </c:pt>
                <c:pt idx="81">
                  <c:v>130838.3</c:v>
                </c:pt>
                <c:pt idx="82">
                  <c:v>130078.9</c:v>
                </c:pt>
                <c:pt idx="83">
                  <c:v>129229.5</c:v>
                </c:pt>
                <c:pt idx="84">
                  <c:v>128538.5</c:v>
                </c:pt>
                <c:pt idx="85">
                  <c:v>128434.5</c:v>
                </c:pt>
                <c:pt idx="86">
                  <c:v>127965.2</c:v>
                </c:pt>
                <c:pt idx="87">
                  <c:v>127689.60000000001</c:v>
                </c:pt>
                <c:pt idx="88">
                  <c:v>127597.6</c:v>
                </c:pt>
                <c:pt idx="89">
                  <c:v>127531.6</c:v>
                </c:pt>
                <c:pt idx="90">
                  <c:v>127461.5</c:v>
                </c:pt>
                <c:pt idx="91">
                  <c:v>126723.5</c:v>
                </c:pt>
                <c:pt idx="92">
                  <c:v>125856.3</c:v>
                </c:pt>
                <c:pt idx="93">
                  <c:v>125656.5</c:v>
                </c:pt>
                <c:pt idx="94">
                  <c:v>125424.4</c:v>
                </c:pt>
                <c:pt idx="95">
                  <c:v>125065.5</c:v>
                </c:pt>
                <c:pt idx="96">
                  <c:v>124978.9</c:v>
                </c:pt>
                <c:pt idx="97">
                  <c:v>124828.8</c:v>
                </c:pt>
                <c:pt idx="98">
                  <c:v>124568.2</c:v>
                </c:pt>
                <c:pt idx="99">
                  <c:v>124394.9</c:v>
                </c:pt>
                <c:pt idx="100">
                  <c:v>124280.9</c:v>
                </c:pt>
                <c:pt idx="101">
                  <c:v>123637.2</c:v>
                </c:pt>
                <c:pt idx="102">
                  <c:v>123067.5</c:v>
                </c:pt>
                <c:pt idx="103">
                  <c:v>122616.3</c:v>
                </c:pt>
                <c:pt idx="104">
                  <c:v>122403.9</c:v>
                </c:pt>
                <c:pt idx="105">
                  <c:v>121896.3</c:v>
                </c:pt>
                <c:pt idx="106">
                  <c:v>121769</c:v>
                </c:pt>
                <c:pt idx="107">
                  <c:v>121723.1</c:v>
                </c:pt>
                <c:pt idx="108">
                  <c:v>121481.7</c:v>
                </c:pt>
                <c:pt idx="109">
                  <c:v>121440.9</c:v>
                </c:pt>
                <c:pt idx="110">
                  <c:v>121337.4</c:v>
                </c:pt>
                <c:pt idx="111">
                  <c:v>120671.4</c:v>
                </c:pt>
                <c:pt idx="112">
                  <c:v>118863.8</c:v>
                </c:pt>
                <c:pt idx="113">
                  <c:v>120059</c:v>
                </c:pt>
                <c:pt idx="114">
                  <c:v>120680.6</c:v>
                </c:pt>
                <c:pt idx="115">
                  <c:v>120611.4</c:v>
                </c:pt>
                <c:pt idx="116">
                  <c:v>120574.7</c:v>
                </c:pt>
                <c:pt idx="117">
                  <c:v>120488.6</c:v>
                </c:pt>
                <c:pt idx="118">
                  <c:v>120141.4</c:v>
                </c:pt>
                <c:pt idx="119">
                  <c:v>119385.3</c:v>
                </c:pt>
                <c:pt idx="120">
                  <c:v>119217.2</c:v>
                </c:pt>
                <c:pt idx="121">
                  <c:v>119098.5</c:v>
                </c:pt>
                <c:pt idx="122">
                  <c:v>118760.6</c:v>
                </c:pt>
                <c:pt idx="123">
                  <c:v>118652.4</c:v>
                </c:pt>
                <c:pt idx="124">
                  <c:v>118181.7</c:v>
                </c:pt>
                <c:pt idx="125">
                  <c:v>117832.8</c:v>
                </c:pt>
                <c:pt idx="126">
                  <c:v>117381.9</c:v>
                </c:pt>
                <c:pt idx="127">
                  <c:v>117245.5</c:v>
                </c:pt>
                <c:pt idx="128">
                  <c:v>117036.6</c:v>
                </c:pt>
                <c:pt idx="129">
                  <c:v>116974.7</c:v>
                </c:pt>
                <c:pt idx="130">
                  <c:v>116024.2</c:v>
                </c:pt>
                <c:pt idx="131">
                  <c:v>115940</c:v>
                </c:pt>
                <c:pt idx="132">
                  <c:v>115821.3</c:v>
                </c:pt>
                <c:pt idx="133">
                  <c:v>115456.5</c:v>
                </c:pt>
                <c:pt idx="134">
                  <c:v>115358.6</c:v>
                </c:pt>
                <c:pt idx="135">
                  <c:v>115126.8</c:v>
                </c:pt>
                <c:pt idx="136">
                  <c:v>115078.9</c:v>
                </c:pt>
                <c:pt idx="137">
                  <c:v>113862.7</c:v>
                </c:pt>
                <c:pt idx="138">
                  <c:v>113738.1</c:v>
                </c:pt>
                <c:pt idx="139">
                  <c:v>112754.7</c:v>
                </c:pt>
                <c:pt idx="140">
                  <c:v>112037.9</c:v>
                </c:pt>
                <c:pt idx="141">
                  <c:v>111876.1</c:v>
                </c:pt>
                <c:pt idx="142">
                  <c:v>111220.7</c:v>
                </c:pt>
                <c:pt idx="143">
                  <c:v>110913.1</c:v>
                </c:pt>
                <c:pt idx="144">
                  <c:v>110696</c:v>
                </c:pt>
                <c:pt idx="145">
                  <c:v>110434.2</c:v>
                </c:pt>
                <c:pt idx="146">
                  <c:v>110366.3</c:v>
                </c:pt>
                <c:pt idx="147">
                  <c:v>109870.5</c:v>
                </c:pt>
                <c:pt idx="148">
                  <c:v>109870.5</c:v>
                </c:pt>
                <c:pt idx="149">
                  <c:v>109700.8</c:v>
                </c:pt>
                <c:pt idx="150">
                  <c:v>109524.2</c:v>
                </c:pt>
                <c:pt idx="151">
                  <c:v>109470.5</c:v>
                </c:pt>
                <c:pt idx="152">
                  <c:v>109336.9</c:v>
                </c:pt>
                <c:pt idx="153">
                  <c:v>109285.2</c:v>
                </c:pt>
                <c:pt idx="154">
                  <c:v>109247.9</c:v>
                </c:pt>
                <c:pt idx="155">
                  <c:v>109184.5</c:v>
                </c:pt>
                <c:pt idx="156">
                  <c:v>109143.5</c:v>
                </c:pt>
              </c:numCache>
            </c:numRef>
          </c:val>
        </c:ser>
        <c:dLbls/>
        <c:marker val="1"/>
        <c:axId val="289231616"/>
        <c:axId val="289233152"/>
      </c:lineChart>
      <c:dateAx>
        <c:axId val="289231616"/>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233152"/>
        <c:crosses val="autoZero"/>
        <c:lblOffset val="100"/>
        <c:baseTimeUnit val="days"/>
      </c:dateAx>
      <c:valAx>
        <c:axId val="289233152"/>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23161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0623 Used GB</a:t>
            </a:r>
          </a:p>
        </c:rich>
      </c:tx>
    </c:title>
    <c:plotArea>
      <c:layout/>
      <c:lineChart>
        <c:grouping val="standard"/>
        <c:ser>
          <c:idx val="0"/>
          <c:order val="0"/>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Charts'!$B$3:$B$543</c:f>
              <c:numCache>
                <c:formatCode>0.0</c:formatCode>
                <c:ptCount val="541"/>
                <c:pt idx="0">
                  <c:v>45320.6</c:v>
                </c:pt>
                <c:pt idx="1">
                  <c:v>46680.5</c:v>
                </c:pt>
                <c:pt idx="2">
                  <c:v>48923.7</c:v>
                </c:pt>
                <c:pt idx="3">
                  <c:v>50060.2</c:v>
                </c:pt>
                <c:pt idx="4">
                  <c:v>54116.9</c:v>
                </c:pt>
                <c:pt idx="5">
                  <c:v>55627.7</c:v>
                </c:pt>
                <c:pt idx="6">
                  <c:v>55783.7</c:v>
                </c:pt>
                <c:pt idx="7">
                  <c:v>62457.1</c:v>
                </c:pt>
                <c:pt idx="8">
                  <c:v>63919.6</c:v>
                </c:pt>
                <c:pt idx="9">
                  <c:v>67593</c:v>
                </c:pt>
                <c:pt idx="10">
                  <c:v>68904.5</c:v>
                </c:pt>
                <c:pt idx="11">
                  <c:v>70253.399999999994</c:v>
                </c:pt>
                <c:pt idx="12">
                  <c:v>71967.199999999997</c:v>
                </c:pt>
                <c:pt idx="13">
                  <c:v>62709.3</c:v>
                </c:pt>
                <c:pt idx="14">
                  <c:v>64251.8</c:v>
                </c:pt>
                <c:pt idx="15">
                  <c:v>67167.7</c:v>
                </c:pt>
                <c:pt idx="16">
                  <c:v>75311.5</c:v>
                </c:pt>
                <c:pt idx="17">
                  <c:v>83480.800000000003</c:v>
                </c:pt>
                <c:pt idx="18">
                  <c:v>94636.4</c:v>
                </c:pt>
                <c:pt idx="19">
                  <c:v>93541.8</c:v>
                </c:pt>
                <c:pt idx="20">
                  <c:v>93147</c:v>
                </c:pt>
                <c:pt idx="21">
                  <c:v>92843.4</c:v>
                </c:pt>
                <c:pt idx="22">
                  <c:v>92649.5</c:v>
                </c:pt>
                <c:pt idx="23">
                  <c:v>91125.7</c:v>
                </c:pt>
                <c:pt idx="24">
                  <c:v>91015.9</c:v>
                </c:pt>
                <c:pt idx="25">
                  <c:v>91081.4</c:v>
                </c:pt>
                <c:pt idx="26">
                  <c:v>91064.1</c:v>
                </c:pt>
                <c:pt idx="27">
                  <c:v>91031.5</c:v>
                </c:pt>
                <c:pt idx="28">
                  <c:v>91004.800000000003</c:v>
                </c:pt>
                <c:pt idx="29">
                  <c:v>90977.8</c:v>
                </c:pt>
                <c:pt idx="30">
                  <c:v>90668.1</c:v>
                </c:pt>
                <c:pt idx="31">
                  <c:v>89960.8</c:v>
                </c:pt>
                <c:pt idx="32">
                  <c:v>89999.5</c:v>
                </c:pt>
                <c:pt idx="33">
                  <c:v>89797.8</c:v>
                </c:pt>
                <c:pt idx="34">
                  <c:v>89806.399999999994</c:v>
                </c:pt>
                <c:pt idx="35">
                  <c:v>89683.4</c:v>
                </c:pt>
                <c:pt idx="36">
                  <c:v>89777.600000000006</c:v>
                </c:pt>
                <c:pt idx="37">
                  <c:v>89709.1</c:v>
                </c:pt>
                <c:pt idx="38">
                  <c:v>89698.1</c:v>
                </c:pt>
                <c:pt idx="39">
                  <c:v>93063.6</c:v>
                </c:pt>
                <c:pt idx="40">
                  <c:v>92932.800000000003</c:v>
                </c:pt>
                <c:pt idx="41">
                  <c:v>92814.399999999994</c:v>
                </c:pt>
                <c:pt idx="42">
                  <c:v>92807.9</c:v>
                </c:pt>
                <c:pt idx="43">
                  <c:v>92809.2</c:v>
                </c:pt>
                <c:pt idx="44">
                  <c:v>93007.4</c:v>
                </c:pt>
                <c:pt idx="45">
                  <c:v>93013.7</c:v>
                </c:pt>
                <c:pt idx="46">
                  <c:v>93210.2</c:v>
                </c:pt>
                <c:pt idx="47">
                  <c:v>93028.7</c:v>
                </c:pt>
                <c:pt idx="48">
                  <c:v>92869.6</c:v>
                </c:pt>
                <c:pt idx="49">
                  <c:v>92791.1</c:v>
                </c:pt>
                <c:pt idx="50">
                  <c:v>92693.2</c:v>
                </c:pt>
                <c:pt idx="51">
                  <c:v>92660.2</c:v>
                </c:pt>
                <c:pt idx="52">
                  <c:v>92653.8</c:v>
                </c:pt>
                <c:pt idx="53">
                  <c:v>92654.9</c:v>
                </c:pt>
                <c:pt idx="54">
                  <c:v>92451.1</c:v>
                </c:pt>
                <c:pt idx="55">
                  <c:v>92361.3</c:v>
                </c:pt>
                <c:pt idx="56">
                  <c:v>92353.3</c:v>
                </c:pt>
                <c:pt idx="57">
                  <c:v>92349.9</c:v>
                </c:pt>
                <c:pt idx="58">
                  <c:v>92327.7</c:v>
                </c:pt>
                <c:pt idx="59">
                  <c:v>91999.4</c:v>
                </c:pt>
                <c:pt idx="60">
                  <c:v>91991.7</c:v>
                </c:pt>
                <c:pt idx="61">
                  <c:v>91978.8</c:v>
                </c:pt>
                <c:pt idx="62">
                  <c:v>91925.2</c:v>
                </c:pt>
                <c:pt idx="63">
                  <c:v>91713.5</c:v>
                </c:pt>
                <c:pt idx="64">
                  <c:v>91696.1</c:v>
                </c:pt>
                <c:pt idx="65">
                  <c:v>91685</c:v>
                </c:pt>
                <c:pt idx="66">
                  <c:v>91643.5</c:v>
                </c:pt>
                <c:pt idx="67">
                  <c:v>91636.5</c:v>
                </c:pt>
                <c:pt idx="68">
                  <c:v>91585.8</c:v>
                </c:pt>
                <c:pt idx="69">
                  <c:v>91530.8</c:v>
                </c:pt>
                <c:pt idx="70">
                  <c:v>91509.3</c:v>
                </c:pt>
                <c:pt idx="71">
                  <c:v>91328.5</c:v>
                </c:pt>
                <c:pt idx="72">
                  <c:v>91257.8</c:v>
                </c:pt>
                <c:pt idx="73">
                  <c:v>91230</c:v>
                </c:pt>
                <c:pt idx="74">
                  <c:v>91228.7</c:v>
                </c:pt>
                <c:pt idx="75">
                  <c:v>91066.5</c:v>
                </c:pt>
                <c:pt idx="76">
                  <c:v>91057.8</c:v>
                </c:pt>
                <c:pt idx="77">
                  <c:v>91028</c:v>
                </c:pt>
                <c:pt idx="78">
                  <c:v>90897.3</c:v>
                </c:pt>
                <c:pt idx="79">
                  <c:v>90847.6</c:v>
                </c:pt>
                <c:pt idx="80">
                  <c:v>90716.7</c:v>
                </c:pt>
                <c:pt idx="81">
                  <c:v>90601.2</c:v>
                </c:pt>
                <c:pt idx="82">
                  <c:v>90245.6</c:v>
                </c:pt>
                <c:pt idx="83">
                  <c:v>90237.5</c:v>
                </c:pt>
                <c:pt idx="84">
                  <c:v>90144.5</c:v>
                </c:pt>
                <c:pt idx="85">
                  <c:v>90127.5</c:v>
                </c:pt>
                <c:pt idx="86">
                  <c:v>89852.2</c:v>
                </c:pt>
                <c:pt idx="87">
                  <c:v>88642</c:v>
                </c:pt>
                <c:pt idx="88">
                  <c:v>88503.2</c:v>
                </c:pt>
                <c:pt idx="89">
                  <c:v>88314.3</c:v>
                </c:pt>
                <c:pt idx="90">
                  <c:v>88265.9</c:v>
                </c:pt>
                <c:pt idx="91">
                  <c:v>88147</c:v>
                </c:pt>
                <c:pt idx="92">
                  <c:v>88105.4</c:v>
                </c:pt>
                <c:pt idx="93">
                  <c:v>88098.3</c:v>
                </c:pt>
                <c:pt idx="94">
                  <c:v>87931.1</c:v>
                </c:pt>
                <c:pt idx="95">
                  <c:v>87375.9</c:v>
                </c:pt>
                <c:pt idx="96">
                  <c:v>87354.5</c:v>
                </c:pt>
                <c:pt idx="97">
                  <c:v>87324.800000000003</c:v>
                </c:pt>
                <c:pt idx="98">
                  <c:v>87010.8</c:v>
                </c:pt>
                <c:pt idx="99">
                  <c:v>86885.2</c:v>
                </c:pt>
                <c:pt idx="100">
                  <c:v>86865.7</c:v>
                </c:pt>
                <c:pt idx="101">
                  <c:v>86795.5</c:v>
                </c:pt>
                <c:pt idx="102">
                  <c:v>86753.4</c:v>
                </c:pt>
                <c:pt idx="103">
                  <c:v>86715.4</c:v>
                </c:pt>
                <c:pt idx="104">
                  <c:v>86681.5</c:v>
                </c:pt>
                <c:pt idx="105">
                  <c:v>86554.5</c:v>
                </c:pt>
                <c:pt idx="106">
                  <c:v>86496.6</c:v>
                </c:pt>
                <c:pt idx="107">
                  <c:v>86450.2</c:v>
                </c:pt>
                <c:pt idx="108">
                  <c:v>86376.7</c:v>
                </c:pt>
                <c:pt idx="109">
                  <c:v>86373.6</c:v>
                </c:pt>
                <c:pt idx="110">
                  <c:v>86328.7</c:v>
                </c:pt>
                <c:pt idx="111">
                  <c:v>85903.6</c:v>
                </c:pt>
                <c:pt idx="112">
                  <c:v>87036</c:v>
                </c:pt>
                <c:pt idx="113">
                  <c:v>93819.8</c:v>
                </c:pt>
                <c:pt idx="114">
                  <c:v>93598.7</c:v>
                </c:pt>
                <c:pt idx="115">
                  <c:v>95872</c:v>
                </c:pt>
                <c:pt idx="116">
                  <c:v>95691.8</c:v>
                </c:pt>
                <c:pt idx="117">
                  <c:v>95412.1</c:v>
                </c:pt>
                <c:pt idx="118">
                  <c:v>94970.2</c:v>
                </c:pt>
                <c:pt idx="119">
                  <c:v>94709.7</c:v>
                </c:pt>
                <c:pt idx="120">
                  <c:v>94244.1</c:v>
                </c:pt>
                <c:pt idx="121">
                  <c:v>94048.8</c:v>
                </c:pt>
                <c:pt idx="122">
                  <c:v>93713.9</c:v>
                </c:pt>
                <c:pt idx="123">
                  <c:v>93577.600000000006</c:v>
                </c:pt>
                <c:pt idx="124">
                  <c:v>93569.5</c:v>
                </c:pt>
                <c:pt idx="125">
                  <c:v>93538</c:v>
                </c:pt>
                <c:pt idx="126">
                  <c:v>93452.7</c:v>
                </c:pt>
                <c:pt idx="127">
                  <c:v>93418.3</c:v>
                </c:pt>
                <c:pt idx="128">
                  <c:v>93358.6</c:v>
                </c:pt>
                <c:pt idx="129">
                  <c:v>93324.3</c:v>
                </c:pt>
                <c:pt idx="130">
                  <c:v>93115.9</c:v>
                </c:pt>
                <c:pt idx="131">
                  <c:v>92868.4</c:v>
                </c:pt>
                <c:pt idx="132">
                  <c:v>92786.2</c:v>
                </c:pt>
                <c:pt idx="133">
                  <c:v>92683.3</c:v>
                </c:pt>
                <c:pt idx="134">
                  <c:v>92584.9</c:v>
                </c:pt>
                <c:pt idx="135">
                  <c:v>92218.9</c:v>
                </c:pt>
                <c:pt idx="136">
                  <c:v>92218.9</c:v>
                </c:pt>
                <c:pt idx="137">
                  <c:v>92077.6</c:v>
                </c:pt>
                <c:pt idx="138">
                  <c:v>92019.9</c:v>
                </c:pt>
                <c:pt idx="139">
                  <c:v>92017.2</c:v>
                </c:pt>
                <c:pt idx="140">
                  <c:v>91286.1</c:v>
                </c:pt>
                <c:pt idx="141">
                  <c:v>91042.9</c:v>
                </c:pt>
                <c:pt idx="142">
                  <c:v>91010.5</c:v>
                </c:pt>
                <c:pt idx="143">
                  <c:v>90999.1</c:v>
                </c:pt>
                <c:pt idx="144">
                  <c:v>90543.1</c:v>
                </c:pt>
                <c:pt idx="145">
                  <c:v>90381.8</c:v>
                </c:pt>
                <c:pt idx="146">
                  <c:v>90341.4</c:v>
                </c:pt>
                <c:pt idx="147">
                  <c:v>90139.6</c:v>
                </c:pt>
                <c:pt idx="148">
                  <c:v>90138.2</c:v>
                </c:pt>
                <c:pt idx="149">
                  <c:v>89911.5</c:v>
                </c:pt>
                <c:pt idx="150">
                  <c:v>89479.1</c:v>
                </c:pt>
                <c:pt idx="151">
                  <c:v>89425.600000000006</c:v>
                </c:pt>
                <c:pt idx="152">
                  <c:v>89217.1</c:v>
                </c:pt>
                <c:pt idx="153">
                  <c:v>89211.4</c:v>
                </c:pt>
                <c:pt idx="154">
                  <c:v>89168.2</c:v>
                </c:pt>
                <c:pt idx="155">
                  <c:v>89147</c:v>
                </c:pt>
                <c:pt idx="156">
                  <c:v>89011.1</c:v>
                </c:pt>
              </c:numCache>
            </c:numRef>
          </c:val>
        </c:ser>
        <c:dLbls/>
        <c:marker val="1"/>
        <c:axId val="289273728"/>
        <c:axId val="289275264"/>
      </c:lineChart>
      <c:dateAx>
        <c:axId val="289273728"/>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275264"/>
        <c:crosses val="autoZero"/>
        <c:auto val="1"/>
        <c:lblOffset val="100"/>
        <c:baseTimeUnit val="days"/>
      </c:dateAx>
      <c:valAx>
        <c:axId val="289275264"/>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8927372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CGC 0745 Used GB</a:t>
            </a:r>
          </a:p>
        </c:rich>
      </c:tx>
    </c:title>
    <c:plotArea>
      <c:layout/>
      <c:lineChart>
        <c:grouping val="standard"/>
        <c:ser>
          <c:idx val="0"/>
          <c:order val="0"/>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Charts'!$C$3:$C$543</c:f>
              <c:numCache>
                <c:formatCode>0.0</c:formatCode>
                <c:ptCount val="541"/>
                <c:pt idx="0">
                  <c:v>74987.100000000006</c:v>
                </c:pt>
                <c:pt idx="1">
                  <c:v>74972.600000000006</c:v>
                </c:pt>
                <c:pt idx="2">
                  <c:v>74934.2</c:v>
                </c:pt>
                <c:pt idx="3">
                  <c:v>74664.899999999994</c:v>
                </c:pt>
                <c:pt idx="4">
                  <c:v>74607.399999999994</c:v>
                </c:pt>
                <c:pt idx="5">
                  <c:v>73841</c:v>
                </c:pt>
                <c:pt idx="6">
                  <c:v>73738.7</c:v>
                </c:pt>
                <c:pt idx="7">
                  <c:v>73564.2</c:v>
                </c:pt>
                <c:pt idx="8">
                  <c:v>73539.399999999994</c:v>
                </c:pt>
                <c:pt idx="9">
                  <c:v>73478.399999999994</c:v>
                </c:pt>
                <c:pt idx="10">
                  <c:v>73467.100000000006</c:v>
                </c:pt>
                <c:pt idx="11">
                  <c:v>73454.899999999994</c:v>
                </c:pt>
                <c:pt idx="12">
                  <c:v>73291.7</c:v>
                </c:pt>
                <c:pt idx="13">
                  <c:v>72056.399999999994</c:v>
                </c:pt>
                <c:pt idx="14">
                  <c:v>72039.399999999994</c:v>
                </c:pt>
                <c:pt idx="15">
                  <c:v>72004.100000000006</c:v>
                </c:pt>
                <c:pt idx="16">
                  <c:v>71952.600000000006</c:v>
                </c:pt>
                <c:pt idx="17">
                  <c:v>71819</c:v>
                </c:pt>
                <c:pt idx="18">
                  <c:v>71357.5</c:v>
                </c:pt>
                <c:pt idx="19">
                  <c:v>70992.399999999994</c:v>
                </c:pt>
                <c:pt idx="20">
                  <c:v>70992.399999999994</c:v>
                </c:pt>
                <c:pt idx="21">
                  <c:v>70630.5</c:v>
                </c:pt>
                <c:pt idx="22">
                  <c:v>70574.5</c:v>
                </c:pt>
                <c:pt idx="23">
                  <c:v>70303.199999999997</c:v>
                </c:pt>
                <c:pt idx="24">
                  <c:v>70253</c:v>
                </c:pt>
                <c:pt idx="25">
                  <c:v>70250.100000000006</c:v>
                </c:pt>
                <c:pt idx="26">
                  <c:v>70227.7</c:v>
                </c:pt>
                <c:pt idx="27">
                  <c:v>70215.7</c:v>
                </c:pt>
                <c:pt idx="28">
                  <c:v>70204.399999999994</c:v>
                </c:pt>
                <c:pt idx="29">
                  <c:v>70174.3</c:v>
                </c:pt>
                <c:pt idx="30">
                  <c:v>70110.8</c:v>
                </c:pt>
                <c:pt idx="31">
                  <c:v>69647.899999999994</c:v>
                </c:pt>
                <c:pt idx="32">
                  <c:v>69645.399999999994</c:v>
                </c:pt>
                <c:pt idx="33">
                  <c:v>69615.600000000006</c:v>
                </c:pt>
                <c:pt idx="34">
                  <c:v>69613.7</c:v>
                </c:pt>
                <c:pt idx="35">
                  <c:v>69528.2</c:v>
                </c:pt>
                <c:pt idx="36">
                  <c:v>69503.600000000006</c:v>
                </c:pt>
                <c:pt idx="37">
                  <c:v>69149.399999999994</c:v>
                </c:pt>
                <c:pt idx="38">
                  <c:v>69144.2</c:v>
                </c:pt>
                <c:pt idx="39">
                  <c:v>68909.100000000006</c:v>
                </c:pt>
                <c:pt idx="40">
                  <c:v>68879.7</c:v>
                </c:pt>
                <c:pt idx="41">
                  <c:v>68787.3</c:v>
                </c:pt>
                <c:pt idx="42">
                  <c:v>68775.899999999994</c:v>
                </c:pt>
                <c:pt idx="43">
                  <c:v>68767.3</c:v>
                </c:pt>
                <c:pt idx="44">
                  <c:v>68754.399999999994</c:v>
                </c:pt>
                <c:pt idx="45">
                  <c:v>68752.7</c:v>
                </c:pt>
                <c:pt idx="46">
                  <c:v>68703.899999999994</c:v>
                </c:pt>
                <c:pt idx="47">
                  <c:v>68609.3</c:v>
                </c:pt>
                <c:pt idx="48">
                  <c:v>68591.3</c:v>
                </c:pt>
                <c:pt idx="49">
                  <c:v>68531.199999999997</c:v>
                </c:pt>
                <c:pt idx="50">
                  <c:v>68489.2</c:v>
                </c:pt>
                <c:pt idx="51">
                  <c:v>68458.7</c:v>
                </c:pt>
                <c:pt idx="52">
                  <c:v>69626.8</c:v>
                </c:pt>
                <c:pt idx="53">
                  <c:v>69584.899999999994</c:v>
                </c:pt>
                <c:pt idx="54">
                  <c:v>69557.3</c:v>
                </c:pt>
                <c:pt idx="55">
                  <c:v>69547</c:v>
                </c:pt>
                <c:pt idx="56">
                  <c:v>69355.399999999994</c:v>
                </c:pt>
                <c:pt idx="57">
                  <c:v>69336.399999999994</c:v>
                </c:pt>
                <c:pt idx="58">
                  <c:v>69263.399999999994</c:v>
                </c:pt>
                <c:pt idx="59">
                  <c:v>69239</c:v>
                </c:pt>
                <c:pt idx="60">
                  <c:v>69233.3</c:v>
                </c:pt>
                <c:pt idx="61">
                  <c:v>69226.7</c:v>
                </c:pt>
                <c:pt idx="62">
                  <c:v>69224.2</c:v>
                </c:pt>
                <c:pt idx="63">
                  <c:v>69220.899999999994</c:v>
                </c:pt>
                <c:pt idx="64">
                  <c:v>69219.8</c:v>
                </c:pt>
                <c:pt idx="65">
                  <c:v>69219.199999999997</c:v>
                </c:pt>
                <c:pt idx="66">
                  <c:v>69205.8</c:v>
                </c:pt>
                <c:pt idx="67">
                  <c:v>69227.7</c:v>
                </c:pt>
                <c:pt idx="68">
                  <c:v>69222.100000000006</c:v>
                </c:pt>
                <c:pt idx="69">
                  <c:v>69119.3</c:v>
                </c:pt>
                <c:pt idx="70">
                  <c:v>69110.7</c:v>
                </c:pt>
                <c:pt idx="71">
                  <c:v>69091.3</c:v>
                </c:pt>
                <c:pt idx="72">
                  <c:v>68961.600000000006</c:v>
                </c:pt>
                <c:pt idx="73">
                  <c:v>68960.7</c:v>
                </c:pt>
                <c:pt idx="74">
                  <c:v>68959.600000000006</c:v>
                </c:pt>
                <c:pt idx="75">
                  <c:v>68594.7</c:v>
                </c:pt>
                <c:pt idx="76">
                  <c:v>68593.7</c:v>
                </c:pt>
                <c:pt idx="77">
                  <c:v>68592.800000000003</c:v>
                </c:pt>
                <c:pt idx="78">
                  <c:v>68567.3</c:v>
                </c:pt>
                <c:pt idx="79">
                  <c:v>68538.899999999994</c:v>
                </c:pt>
                <c:pt idx="80">
                  <c:v>68493.7</c:v>
                </c:pt>
                <c:pt idx="81">
                  <c:v>68425.8</c:v>
                </c:pt>
                <c:pt idx="82">
                  <c:v>66966</c:v>
                </c:pt>
                <c:pt idx="83">
                  <c:v>66951</c:v>
                </c:pt>
                <c:pt idx="84">
                  <c:v>66945.399999999994</c:v>
                </c:pt>
                <c:pt idx="85">
                  <c:v>66939</c:v>
                </c:pt>
                <c:pt idx="86">
                  <c:v>66927.5</c:v>
                </c:pt>
                <c:pt idx="87">
                  <c:v>66850.7</c:v>
                </c:pt>
                <c:pt idx="88">
                  <c:v>66845</c:v>
                </c:pt>
                <c:pt idx="89">
                  <c:v>66795.5</c:v>
                </c:pt>
                <c:pt idx="90">
                  <c:v>66772.800000000003</c:v>
                </c:pt>
                <c:pt idx="91">
                  <c:v>66748.2</c:v>
                </c:pt>
                <c:pt idx="92">
                  <c:v>66733.899999999994</c:v>
                </c:pt>
                <c:pt idx="93">
                  <c:v>66719.7</c:v>
                </c:pt>
                <c:pt idx="94">
                  <c:v>66691.899999999994</c:v>
                </c:pt>
                <c:pt idx="95">
                  <c:v>66597</c:v>
                </c:pt>
                <c:pt idx="96">
                  <c:v>66590.3</c:v>
                </c:pt>
                <c:pt idx="97">
                  <c:v>66569.5</c:v>
                </c:pt>
                <c:pt idx="98">
                  <c:v>66387.7</c:v>
                </c:pt>
                <c:pt idx="99">
                  <c:v>66383.199999999997</c:v>
                </c:pt>
                <c:pt idx="100">
                  <c:v>66374.5</c:v>
                </c:pt>
                <c:pt idx="101">
                  <c:v>66143.199999999997</c:v>
                </c:pt>
                <c:pt idx="102">
                  <c:v>65997.899999999994</c:v>
                </c:pt>
                <c:pt idx="103">
                  <c:v>65988</c:v>
                </c:pt>
                <c:pt idx="104">
                  <c:v>65974.100000000006</c:v>
                </c:pt>
                <c:pt idx="105">
                  <c:v>65921.8</c:v>
                </c:pt>
                <c:pt idx="106">
                  <c:v>65904.899999999994</c:v>
                </c:pt>
                <c:pt idx="107">
                  <c:v>65886.100000000006</c:v>
                </c:pt>
                <c:pt idx="108">
                  <c:v>65862.8</c:v>
                </c:pt>
                <c:pt idx="109">
                  <c:v>65849.399999999994</c:v>
                </c:pt>
                <c:pt idx="110">
                  <c:v>65819.5</c:v>
                </c:pt>
                <c:pt idx="111">
                  <c:v>65783.7</c:v>
                </c:pt>
                <c:pt idx="112">
                  <c:v>65714.600000000006</c:v>
                </c:pt>
                <c:pt idx="113">
                  <c:v>65593.5</c:v>
                </c:pt>
                <c:pt idx="114">
                  <c:v>65569</c:v>
                </c:pt>
                <c:pt idx="115">
                  <c:v>65539.7</c:v>
                </c:pt>
                <c:pt idx="116">
                  <c:v>65536.2</c:v>
                </c:pt>
                <c:pt idx="117">
                  <c:v>65478.8</c:v>
                </c:pt>
                <c:pt idx="118">
                  <c:v>65398.9</c:v>
                </c:pt>
                <c:pt idx="119">
                  <c:v>65411.4</c:v>
                </c:pt>
                <c:pt idx="120">
                  <c:v>66165</c:v>
                </c:pt>
                <c:pt idx="121">
                  <c:v>66164.100000000006</c:v>
                </c:pt>
                <c:pt idx="122">
                  <c:v>66071.399999999994</c:v>
                </c:pt>
                <c:pt idx="123">
                  <c:v>66066.899999999994</c:v>
                </c:pt>
                <c:pt idx="124">
                  <c:v>66065.7</c:v>
                </c:pt>
                <c:pt idx="125">
                  <c:v>66063.399999999994</c:v>
                </c:pt>
                <c:pt idx="126">
                  <c:v>66062.100000000006</c:v>
                </c:pt>
                <c:pt idx="127">
                  <c:v>66058.100000000006</c:v>
                </c:pt>
                <c:pt idx="128">
                  <c:v>66054.100000000006</c:v>
                </c:pt>
                <c:pt idx="129">
                  <c:v>66052.2</c:v>
                </c:pt>
                <c:pt idx="130">
                  <c:v>66043.8</c:v>
                </c:pt>
                <c:pt idx="131">
                  <c:v>66041.5</c:v>
                </c:pt>
                <c:pt idx="132">
                  <c:v>66039.600000000006</c:v>
                </c:pt>
                <c:pt idx="133">
                  <c:v>66038.5</c:v>
                </c:pt>
                <c:pt idx="134">
                  <c:v>66037.899999999994</c:v>
                </c:pt>
                <c:pt idx="135">
                  <c:v>66009.5</c:v>
                </c:pt>
                <c:pt idx="136">
                  <c:v>66009.5</c:v>
                </c:pt>
                <c:pt idx="137">
                  <c:v>65942.3</c:v>
                </c:pt>
                <c:pt idx="138">
                  <c:v>65940</c:v>
                </c:pt>
                <c:pt idx="139">
                  <c:v>65937</c:v>
                </c:pt>
                <c:pt idx="140">
                  <c:v>65905.100000000006</c:v>
                </c:pt>
                <c:pt idx="141">
                  <c:v>65815.5</c:v>
                </c:pt>
                <c:pt idx="142">
                  <c:v>65693.600000000006</c:v>
                </c:pt>
                <c:pt idx="143">
                  <c:v>65675.8</c:v>
                </c:pt>
                <c:pt idx="144">
                  <c:v>65654.600000000006</c:v>
                </c:pt>
                <c:pt idx="145">
                  <c:v>65648.800000000003</c:v>
                </c:pt>
                <c:pt idx="146">
                  <c:v>65646.7</c:v>
                </c:pt>
                <c:pt idx="147">
                  <c:v>65493.7</c:v>
                </c:pt>
                <c:pt idx="148">
                  <c:v>65478.6</c:v>
                </c:pt>
                <c:pt idx="149">
                  <c:v>65473.7</c:v>
                </c:pt>
                <c:pt idx="150">
                  <c:v>65470.8</c:v>
                </c:pt>
                <c:pt idx="151">
                  <c:v>65469.3</c:v>
                </c:pt>
                <c:pt idx="152">
                  <c:v>65460.4</c:v>
                </c:pt>
                <c:pt idx="153">
                  <c:v>65453.9</c:v>
                </c:pt>
                <c:pt idx="154">
                  <c:v>65398.3</c:v>
                </c:pt>
                <c:pt idx="155">
                  <c:v>65396.5</c:v>
                </c:pt>
                <c:pt idx="156">
                  <c:v>65353.7</c:v>
                </c:pt>
              </c:numCache>
            </c:numRef>
          </c:val>
        </c:ser>
        <c:dLbls/>
        <c:marker val="1"/>
        <c:axId val="290307072"/>
        <c:axId val="290317056"/>
      </c:lineChart>
      <c:dateAx>
        <c:axId val="290307072"/>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90317056"/>
        <c:crosses val="autoZero"/>
        <c:auto val="1"/>
        <c:lblOffset val="100"/>
        <c:baseTimeUnit val="days"/>
      </c:dateAx>
      <c:valAx>
        <c:axId val="290317056"/>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9030707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RDC 0552 Used GB</a:t>
            </a:r>
          </a:p>
        </c:rich>
      </c:tx>
    </c:title>
    <c:plotArea>
      <c:layout/>
      <c:lineChart>
        <c:grouping val="standard"/>
        <c:ser>
          <c:idx val="0"/>
          <c:order val="0"/>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Charts'!$D$3:$D$543</c:f>
              <c:numCache>
                <c:formatCode>0.0</c:formatCode>
                <c:ptCount val="541"/>
                <c:pt idx="0">
                  <c:v>76403</c:v>
                </c:pt>
                <c:pt idx="1">
                  <c:v>76388.600000000006</c:v>
                </c:pt>
                <c:pt idx="2">
                  <c:v>76350.2</c:v>
                </c:pt>
                <c:pt idx="3">
                  <c:v>76090.7</c:v>
                </c:pt>
                <c:pt idx="4">
                  <c:v>76034.399999999994</c:v>
                </c:pt>
                <c:pt idx="5">
                  <c:v>75268</c:v>
                </c:pt>
                <c:pt idx="6">
                  <c:v>75165.7</c:v>
                </c:pt>
                <c:pt idx="7">
                  <c:v>74991.3</c:v>
                </c:pt>
                <c:pt idx="8">
                  <c:v>74966.7</c:v>
                </c:pt>
                <c:pt idx="9">
                  <c:v>74921.399999999994</c:v>
                </c:pt>
                <c:pt idx="10">
                  <c:v>74910</c:v>
                </c:pt>
                <c:pt idx="11">
                  <c:v>74897.899999999994</c:v>
                </c:pt>
                <c:pt idx="12">
                  <c:v>74723.5</c:v>
                </c:pt>
                <c:pt idx="13">
                  <c:v>73485.7</c:v>
                </c:pt>
                <c:pt idx="14">
                  <c:v>73460.899999999994</c:v>
                </c:pt>
                <c:pt idx="15">
                  <c:v>73425.5</c:v>
                </c:pt>
                <c:pt idx="16">
                  <c:v>73371.5</c:v>
                </c:pt>
                <c:pt idx="17">
                  <c:v>73234.399999999994</c:v>
                </c:pt>
                <c:pt idx="18">
                  <c:v>72778.8</c:v>
                </c:pt>
                <c:pt idx="19">
                  <c:v>72745.3</c:v>
                </c:pt>
                <c:pt idx="20">
                  <c:v>72434.2</c:v>
                </c:pt>
                <c:pt idx="21">
                  <c:v>71991.399999999994</c:v>
                </c:pt>
                <c:pt idx="22">
                  <c:v>71887.199999999997</c:v>
                </c:pt>
                <c:pt idx="23">
                  <c:v>71648.3</c:v>
                </c:pt>
                <c:pt idx="24">
                  <c:v>71598.600000000006</c:v>
                </c:pt>
                <c:pt idx="25">
                  <c:v>71595.7</c:v>
                </c:pt>
                <c:pt idx="26">
                  <c:v>71573.100000000006</c:v>
                </c:pt>
                <c:pt idx="27">
                  <c:v>71561.100000000006</c:v>
                </c:pt>
                <c:pt idx="28">
                  <c:v>71549.8</c:v>
                </c:pt>
                <c:pt idx="29">
                  <c:v>71519.5</c:v>
                </c:pt>
                <c:pt idx="30">
                  <c:v>71455.899999999994</c:v>
                </c:pt>
                <c:pt idx="31">
                  <c:v>70994.3</c:v>
                </c:pt>
                <c:pt idx="32">
                  <c:v>70991.8</c:v>
                </c:pt>
                <c:pt idx="33">
                  <c:v>70965.3</c:v>
                </c:pt>
                <c:pt idx="34">
                  <c:v>70963.5</c:v>
                </c:pt>
                <c:pt idx="35">
                  <c:v>70878.2</c:v>
                </c:pt>
                <c:pt idx="36">
                  <c:v>70859.399999999994</c:v>
                </c:pt>
                <c:pt idx="37">
                  <c:v>70507.8</c:v>
                </c:pt>
                <c:pt idx="38">
                  <c:v>70501.8</c:v>
                </c:pt>
                <c:pt idx="39">
                  <c:v>70269.8</c:v>
                </c:pt>
                <c:pt idx="40">
                  <c:v>70240.399999999994</c:v>
                </c:pt>
                <c:pt idx="41">
                  <c:v>70156.100000000006</c:v>
                </c:pt>
                <c:pt idx="42">
                  <c:v>70144.7</c:v>
                </c:pt>
                <c:pt idx="43">
                  <c:v>70140.899999999994</c:v>
                </c:pt>
                <c:pt idx="44">
                  <c:v>70131.7</c:v>
                </c:pt>
                <c:pt idx="45">
                  <c:v>70129.899999999994</c:v>
                </c:pt>
                <c:pt idx="46">
                  <c:v>70084.3</c:v>
                </c:pt>
                <c:pt idx="47">
                  <c:v>70008</c:v>
                </c:pt>
                <c:pt idx="48">
                  <c:v>69999.399999999994</c:v>
                </c:pt>
                <c:pt idx="49">
                  <c:v>69948.399999999994</c:v>
                </c:pt>
                <c:pt idx="50">
                  <c:v>69910</c:v>
                </c:pt>
                <c:pt idx="51">
                  <c:v>69879.5</c:v>
                </c:pt>
                <c:pt idx="52">
                  <c:v>71047.399999999994</c:v>
                </c:pt>
                <c:pt idx="53">
                  <c:v>71002.5</c:v>
                </c:pt>
                <c:pt idx="54">
                  <c:v>70978</c:v>
                </c:pt>
                <c:pt idx="55">
                  <c:v>70967.7</c:v>
                </c:pt>
                <c:pt idx="56">
                  <c:v>70908.5</c:v>
                </c:pt>
                <c:pt idx="57">
                  <c:v>70902.8</c:v>
                </c:pt>
                <c:pt idx="58">
                  <c:v>70836.399999999994</c:v>
                </c:pt>
                <c:pt idx="59">
                  <c:v>70812</c:v>
                </c:pt>
                <c:pt idx="60">
                  <c:v>70806.399999999994</c:v>
                </c:pt>
                <c:pt idx="61">
                  <c:v>70801.5</c:v>
                </c:pt>
                <c:pt idx="62">
                  <c:v>70800.5</c:v>
                </c:pt>
                <c:pt idx="63">
                  <c:v>70797.2</c:v>
                </c:pt>
                <c:pt idx="64">
                  <c:v>70796</c:v>
                </c:pt>
                <c:pt idx="65">
                  <c:v>70794.399999999994</c:v>
                </c:pt>
                <c:pt idx="66">
                  <c:v>70782</c:v>
                </c:pt>
                <c:pt idx="67">
                  <c:v>70776.600000000006</c:v>
                </c:pt>
                <c:pt idx="68">
                  <c:v>70771.7</c:v>
                </c:pt>
                <c:pt idx="69">
                  <c:v>70679.5</c:v>
                </c:pt>
                <c:pt idx="70">
                  <c:v>70672.2</c:v>
                </c:pt>
                <c:pt idx="71">
                  <c:v>70651.600000000006</c:v>
                </c:pt>
                <c:pt idx="72">
                  <c:v>70530.8</c:v>
                </c:pt>
                <c:pt idx="73">
                  <c:v>70529.899999999994</c:v>
                </c:pt>
                <c:pt idx="74">
                  <c:v>70528.7</c:v>
                </c:pt>
                <c:pt idx="75">
                  <c:v>70167</c:v>
                </c:pt>
                <c:pt idx="76">
                  <c:v>70163</c:v>
                </c:pt>
                <c:pt idx="77">
                  <c:v>69913</c:v>
                </c:pt>
                <c:pt idx="78">
                  <c:v>69884.399999999994</c:v>
                </c:pt>
                <c:pt idx="79">
                  <c:v>69856</c:v>
                </c:pt>
                <c:pt idx="80">
                  <c:v>69810.899999999994</c:v>
                </c:pt>
                <c:pt idx="81">
                  <c:v>69743</c:v>
                </c:pt>
                <c:pt idx="82">
                  <c:v>68290.399999999994</c:v>
                </c:pt>
                <c:pt idx="83">
                  <c:v>68275.399999999994</c:v>
                </c:pt>
                <c:pt idx="84">
                  <c:v>68269.899999999994</c:v>
                </c:pt>
                <c:pt idx="85">
                  <c:v>68254.899999999994</c:v>
                </c:pt>
                <c:pt idx="86">
                  <c:v>68243.399999999994</c:v>
                </c:pt>
                <c:pt idx="87">
                  <c:v>68225.8</c:v>
                </c:pt>
                <c:pt idx="88">
                  <c:v>68220.2</c:v>
                </c:pt>
                <c:pt idx="89">
                  <c:v>68170.7</c:v>
                </c:pt>
                <c:pt idx="90">
                  <c:v>68148.100000000006</c:v>
                </c:pt>
                <c:pt idx="91">
                  <c:v>68123.600000000006</c:v>
                </c:pt>
                <c:pt idx="92">
                  <c:v>68109.399999999994</c:v>
                </c:pt>
                <c:pt idx="93">
                  <c:v>68095.100000000006</c:v>
                </c:pt>
                <c:pt idx="94">
                  <c:v>68069.7</c:v>
                </c:pt>
                <c:pt idx="95">
                  <c:v>67974.7</c:v>
                </c:pt>
                <c:pt idx="96">
                  <c:v>67968</c:v>
                </c:pt>
                <c:pt idx="97">
                  <c:v>67947.199999999997</c:v>
                </c:pt>
                <c:pt idx="98">
                  <c:v>67765.399999999994</c:v>
                </c:pt>
                <c:pt idx="99">
                  <c:v>67761</c:v>
                </c:pt>
                <c:pt idx="100">
                  <c:v>67752.2</c:v>
                </c:pt>
                <c:pt idx="101">
                  <c:v>67520.899999999994</c:v>
                </c:pt>
                <c:pt idx="102">
                  <c:v>67375.600000000006</c:v>
                </c:pt>
                <c:pt idx="103">
                  <c:v>67365.7</c:v>
                </c:pt>
                <c:pt idx="104">
                  <c:v>67351.8</c:v>
                </c:pt>
                <c:pt idx="105">
                  <c:v>67299.8</c:v>
                </c:pt>
                <c:pt idx="106">
                  <c:v>67282.600000000006</c:v>
                </c:pt>
                <c:pt idx="107">
                  <c:v>67263.3</c:v>
                </c:pt>
                <c:pt idx="108">
                  <c:v>67240.5</c:v>
                </c:pt>
                <c:pt idx="109">
                  <c:v>67227.100000000006</c:v>
                </c:pt>
                <c:pt idx="110">
                  <c:v>67197.100000000006</c:v>
                </c:pt>
                <c:pt idx="111">
                  <c:v>67161.399999999994</c:v>
                </c:pt>
                <c:pt idx="112">
                  <c:v>67092.399999999994</c:v>
                </c:pt>
                <c:pt idx="113">
                  <c:v>66971.3</c:v>
                </c:pt>
                <c:pt idx="114">
                  <c:v>66946.7</c:v>
                </c:pt>
                <c:pt idx="115">
                  <c:v>66917.399999999994</c:v>
                </c:pt>
                <c:pt idx="116">
                  <c:v>66913.899999999994</c:v>
                </c:pt>
                <c:pt idx="117">
                  <c:v>66856.5</c:v>
                </c:pt>
                <c:pt idx="118">
                  <c:v>66776.600000000006</c:v>
                </c:pt>
                <c:pt idx="119">
                  <c:v>66789</c:v>
                </c:pt>
                <c:pt idx="120">
                  <c:v>67542.7</c:v>
                </c:pt>
                <c:pt idx="121">
                  <c:v>67541.600000000006</c:v>
                </c:pt>
                <c:pt idx="122">
                  <c:v>67449</c:v>
                </c:pt>
                <c:pt idx="123">
                  <c:v>67444.600000000006</c:v>
                </c:pt>
                <c:pt idx="124">
                  <c:v>67443.399999999994</c:v>
                </c:pt>
                <c:pt idx="125">
                  <c:v>67441.100000000006</c:v>
                </c:pt>
                <c:pt idx="126">
                  <c:v>67435.8</c:v>
                </c:pt>
                <c:pt idx="127">
                  <c:v>67435.8</c:v>
                </c:pt>
                <c:pt idx="128">
                  <c:v>67431.8</c:v>
                </c:pt>
                <c:pt idx="129">
                  <c:v>67429.899999999994</c:v>
                </c:pt>
                <c:pt idx="130">
                  <c:v>67421.5</c:v>
                </c:pt>
                <c:pt idx="131">
                  <c:v>67419.199999999997</c:v>
                </c:pt>
                <c:pt idx="132">
                  <c:v>67417.2</c:v>
                </c:pt>
                <c:pt idx="133">
                  <c:v>67416.2</c:v>
                </c:pt>
                <c:pt idx="134">
                  <c:v>67415.600000000006</c:v>
                </c:pt>
                <c:pt idx="135">
                  <c:v>67392.7</c:v>
                </c:pt>
                <c:pt idx="136">
                  <c:v>67387.199999999997</c:v>
                </c:pt>
                <c:pt idx="137">
                  <c:v>67320</c:v>
                </c:pt>
                <c:pt idx="138">
                  <c:v>67317.600000000006</c:v>
                </c:pt>
                <c:pt idx="139">
                  <c:v>67314.7</c:v>
                </c:pt>
                <c:pt idx="140">
                  <c:v>67282.899999999994</c:v>
                </c:pt>
                <c:pt idx="141">
                  <c:v>67195.8</c:v>
                </c:pt>
                <c:pt idx="142">
                  <c:v>67071.399999999994</c:v>
                </c:pt>
                <c:pt idx="143">
                  <c:v>67053.600000000006</c:v>
                </c:pt>
                <c:pt idx="144">
                  <c:v>67032.399999999994</c:v>
                </c:pt>
                <c:pt idx="145">
                  <c:v>67026.8</c:v>
                </c:pt>
                <c:pt idx="146">
                  <c:v>67024.7</c:v>
                </c:pt>
                <c:pt idx="147">
                  <c:v>66871.899999999994</c:v>
                </c:pt>
                <c:pt idx="148">
                  <c:v>66856.3</c:v>
                </c:pt>
                <c:pt idx="149">
                  <c:v>66851.399999999994</c:v>
                </c:pt>
                <c:pt idx="150">
                  <c:v>66848.5</c:v>
                </c:pt>
                <c:pt idx="151">
                  <c:v>66847</c:v>
                </c:pt>
                <c:pt idx="152">
                  <c:v>66838.399999999994</c:v>
                </c:pt>
                <c:pt idx="153">
                  <c:v>66831.8</c:v>
                </c:pt>
                <c:pt idx="154">
                  <c:v>66776.100000000006</c:v>
                </c:pt>
                <c:pt idx="155">
                  <c:v>66774.399999999994</c:v>
                </c:pt>
                <c:pt idx="156">
                  <c:v>66731.5</c:v>
                </c:pt>
              </c:numCache>
            </c:numRef>
          </c:val>
        </c:ser>
        <c:dLbls/>
        <c:marker val="1"/>
        <c:axId val="305697536"/>
        <c:axId val="305699072"/>
      </c:lineChart>
      <c:dateAx>
        <c:axId val="305697536"/>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699072"/>
        <c:crosses val="autoZero"/>
        <c:auto val="1"/>
        <c:lblOffset val="100"/>
        <c:baseTimeUnit val="days"/>
      </c:dateAx>
      <c:valAx>
        <c:axId val="305699072"/>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69753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2231 Used GB</a:t>
            </a:r>
          </a:p>
        </c:rich>
      </c:tx>
    </c:title>
    <c:plotArea>
      <c:layout>
        <c:manualLayout>
          <c:layoutTarget val="inner"/>
          <c:xMode val="edge"/>
          <c:yMode val="edge"/>
          <c:x val="0.14783552055993004"/>
          <c:y val="0.16088097683441738"/>
          <c:w val="0.67385498687664069"/>
          <c:h val="0.58995461687690387"/>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Charts'!$L$3:$L$543</c:f>
              <c:numCache>
                <c:formatCode>0.0</c:formatCode>
                <c:ptCount val="541"/>
                <c:pt idx="0">
                  <c:v>99567.1</c:v>
                </c:pt>
                <c:pt idx="1">
                  <c:v>99501.1</c:v>
                </c:pt>
                <c:pt idx="2">
                  <c:v>98561.5</c:v>
                </c:pt>
                <c:pt idx="3">
                  <c:v>98473.2</c:v>
                </c:pt>
                <c:pt idx="4">
                  <c:v>98436.7</c:v>
                </c:pt>
                <c:pt idx="5">
                  <c:v>98245.3</c:v>
                </c:pt>
                <c:pt idx="6">
                  <c:v>98115.5</c:v>
                </c:pt>
                <c:pt idx="7">
                  <c:v>97855.1</c:v>
                </c:pt>
                <c:pt idx="8">
                  <c:v>97775.9</c:v>
                </c:pt>
                <c:pt idx="9">
                  <c:v>97591.4</c:v>
                </c:pt>
                <c:pt idx="10">
                  <c:v>97560.3</c:v>
                </c:pt>
                <c:pt idx="11">
                  <c:v>97487.4</c:v>
                </c:pt>
                <c:pt idx="12">
                  <c:v>97394.3</c:v>
                </c:pt>
                <c:pt idx="13">
                  <c:v>97146.2</c:v>
                </c:pt>
                <c:pt idx="14">
                  <c:v>97132.4</c:v>
                </c:pt>
                <c:pt idx="15">
                  <c:v>97087.6</c:v>
                </c:pt>
                <c:pt idx="16">
                  <c:v>96868.2</c:v>
                </c:pt>
                <c:pt idx="17">
                  <c:v>96820.5</c:v>
                </c:pt>
                <c:pt idx="18">
                  <c:v>96561.5</c:v>
                </c:pt>
                <c:pt idx="19">
                  <c:v>96287.2</c:v>
                </c:pt>
                <c:pt idx="20">
                  <c:v>95220.3</c:v>
                </c:pt>
                <c:pt idx="21">
                  <c:v>95131.199999999997</c:v>
                </c:pt>
                <c:pt idx="22">
                  <c:v>95048.1</c:v>
                </c:pt>
                <c:pt idx="23">
                  <c:v>94835.6</c:v>
                </c:pt>
                <c:pt idx="24">
                  <c:v>94835.6</c:v>
                </c:pt>
                <c:pt idx="25">
                  <c:v>94835.6</c:v>
                </c:pt>
                <c:pt idx="26">
                  <c:v>94706.5</c:v>
                </c:pt>
                <c:pt idx="27">
                  <c:v>94358.2</c:v>
                </c:pt>
                <c:pt idx="28">
                  <c:v>93762.7</c:v>
                </c:pt>
                <c:pt idx="29">
                  <c:v>93028.3</c:v>
                </c:pt>
                <c:pt idx="30">
                  <c:v>92968.6</c:v>
                </c:pt>
                <c:pt idx="31">
                  <c:v>92525.1</c:v>
                </c:pt>
                <c:pt idx="32">
                  <c:v>92488.8</c:v>
                </c:pt>
                <c:pt idx="33">
                  <c:v>91773.4</c:v>
                </c:pt>
                <c:pt idx="34">
                  <c:v>91524</c:v>
                </c:pt>
                <c:pt idx="35">
                  <c:v>90758.9</c:v>
                </c:pt>
                <c:pt idx="36">
                  <c:v>90607.1</c:v>
                </c:pt>
                <c:pt idx="37">
                  <c:v>90304.6</c:v>
                </c:pt>
                <c:pt idx="38">
                  <c:v>90149.7</c:v>
                </c:pt>
                <c:pt idx="39">
                  <c:v>89940</c:v>
                </c:pt>
                <c:pt idx="40">
                  <c:v>89858.7</c:v>
                </c:pt>
                <c:pt idx="41">
                  <c:v>84991.1</c:v>
                </c:pt>
                <c:pt idx="42">
                  <c:v>84961.4</c:v>
                </c:pt>
                <c:pt idx="43">
                  <c:v>84883</c:v>
                </c:pt>
                <c:pt idx="44">
                  <c:v>84862.5</c:v>
                </c:pt>
                <c:pt idx="45">
                  <c:v>84789.9</c:v>
                </c:pt>
                <c:pt idx="46">
                  <c:v>84634.7</c:v>
                </c:pt>
                <c:pt idx="47">
                  <c:v>84533.3</c:v>
                </c:pt>
                <c:pt idx="48">
                  <c:v>84515.199999999997</c:v>
                </c:pt>
                <c:pt idx="49">
                  <c:v>84483.199999999997</c:v>
                </c:pt>
                <c:pt idx="50">
                  <c:v>84451.3</c:v>
                </c:pt>
                <c:pt idx="51">
                  <c:v>84321.5</c:v>
                </c:pt>
                <c:pt idx="52">
                  <c:v>84233.7</c:v>
                </c:pt>
                <c:pt idx="53">
                  <c:v>84138.6</c:v>
                </c:pt>
                <c:pt idx="54">
                  <c:v>83053.7</c:v>
                </c:pt>
                <c:pt idx="55">
                  <c:v>82212.3</c:v>
                </c:pt>
                <c:pt idx="56">
                  <c:v>82212.3</c:v>
                </c:pt>
                <c:pt idx="57">
                  <c:v>82151.399999999994</c:v>
                </c:pt>
                <c:pt idx="58">
                  <c:v>82046.5</c:v>
                </c:pt>
                <c:pt idx="59">
                  <c:v>81878.600000000006</c:v>
                </c:pt>
                <c:pt idx="60">
                  <c:v>81796.3</c:v>
                </c:pt>
                <c:pt idx="61">
                  <c:v>81773.5</c:v>
                </c:pt>
                <c:pt idx="62">
                  <c:v>81702.600000000006</c:v>
                </c:pt>
                <c:pt idx="63">
                  <c:v>81648.3</c:v>
                </c:pt>
                <c:pt idx="64">
                  <c:v>81626.600000000006</c:v>
                </c:pt>
                <c:pt idx="65">
                  <c:v>81612.800000000003</c:v>
                </c:pt>
                <c:pt idx="66">
                  <c:v>81515.7</c:v>
                </c:pt>
                <c:pt idx="67">
                  <c:v>81435.7</c:v>
                </c:pt>
                <c:pt idx="68">
                  <c:v>81380.800000000003</c:v>
                </c:pt>
                <c:pt idx="69">
                  <c:v>81058.7</c:v>
                </c:pt>
                <c:pt idx="70">
                  <c:v>81052.600000000006</c:v>
                </c:pt>
                <c:pt idx="71">
                  <c:v>80768.100000000006</c:v>
                </c:pt>
                <c:pt idx="72">
                  <c:v>80689.3</c:v>
                </c:pt>
                <c:pt idx="73">
                  <c:v>80655.899999999994</c:v>
                </c:pt>
                <c:pt idx="74">
                  <c:v>80649.8</c:v>
                </c:pt>
                <c:pt idx="75">
                  <c:v>80182.899999999994</c:v>
                </c:pt>
                <c:pt idx="76">
                  <c:v>80167</c:v>
                </c:pt>
                <c:pt idx="77">
                  <c:v>80154</c:v>
                </c:pt>
                <c:pt idx="78">
                  <c:v>80129.8</c:v>
                </c:pt>
                <c:pt idx="79">
                  <c:v>80120.800000000003</c:v>
                </c:pt>
                <c:pt idx="80">
                  <c:v>80096.5</c:v>
                </c:pt>
                <c:pt idx="81">
                  <c:v>80086.399999999994</c:v>
                </c:pt>
                <c:pt idx="82">
                  <c:v>79973.899999999994</c:v>
                </c:pt>
                <c:pt idx="83">
                  <c:v>79955.199999999997</c:v>
                </c:pt>
                <c:pt idx="84">
                  <c:v>79943.600000000006</c:v>
                </c:pt>
                <c:pt idx="85">
                  <c:v>79933.399999999994</c:v>
                </c:pt>
                <c:pt idx="86">
                  <c:v>79912.600000000006</c:v>
                </c:pt>
                <c:pt idx="87">
                  <c:v>79878.2</c:v>
                </c:pt>
                <c:pt idx="88">
                  <c:v>79856.5</c:v>
                </c:pt>
                <c:pt idx="89">
                  <c:v>79845.100000000006</c:v>
                </c:pt>
                <c:pt idx="90">
                  <c:v>79789.399999999994</c:v>
                </c:pt>
                <c:pt idx="91">
                  <c:v>79741.8</c:v>
                </c:pt>
                <c:pt idx="92">
                  <c:v>79622</c:v>
                </c:pt>
                <c:pt idx="93">
                  <c:v>79554.600000000006</c:v>
                </c:pt>
                <c:pt idx="94">
                  <c:v>79469.100000000006</c:v>
                </c:pt>
                <c:pt idx="95">
                  <c:v>79442.600000000006</c:v>
                </c:pt>
                <c:pt idx="96">
                  <c:v>79404.899999999994</c:v>
                </c:pt>
                <c:pt idx="97">
                  <c:v>79400.399999999994</c:v>
                </c:pt>
                <c:pt idx="98">
                  <c:v>79391.600000000006</c:v>
                </c:pt>
                <c:pt idx="99">
                  <c:v>79384.899999999994</c:v>
                </c:pt>
                <c:pt idx="100">
                  <c:v>79367.199999999997</c:v>
                </c:pt>
                <c:pt idx="101">
                  <c:v>79349.8</c:v>
                </c:pt>
                <c:pt idx="102">
                  <c:v>79317.100000000006</c:v>
                </c:pt>
                <c:pt idx="103">
                  <c:v>79301.8</c:v>
                </c:pt>
                <c:pt idx="104">
                  <c:v>79280.899999999994</c:v>
                </c:pt>
                <c:pt idx="105">
                  <c:v>78953.600000000006</c:v>
                </c:pt>
                <c:pt idx="106">
                  <c:v>78932.100000000006</c:v>
                </c:pt>
                <c:pt idx="107">
                  <c:v>78904.3</c:v>
                </c:pt>
                <c:pt idx="108">
                  <c:v>78874.3</c:v>
                </c:pt>
                <c:pt idx="109">
                  <c:v>78868.3</c:v>
                </c:pt>
                <c:pt idx="110">
                  <c:v>78858.5</c:v>
                </c:pt>
                <c:pt idx="111">
                  <c:v>78792.5</c:v>
                </c:pt>
                <c:pt idx="112">
                  <c:v>78725</c:v>
                </c:pt>
                <c:pt idx="113">
                  <c:v>78706.2</c:v>
                </c:pt>
                <c:pt idx="114">
                  <c:v>78698.399999999994</c:v>
                </c:pt>
                <c:pt idx="115">
                  <c:v>78692.7</c:v>
                </c:pt>
                <c:pt idx="116">
                  <c:v>78677.899999999994</c:v>
                </c:pt>
                <c:pt idx="117">
                  <c:v>78645</c:v>
                </c:pt>
                <c:pt idx="118">
                  <c:v>78490</c:v>
                </c:pt>
                <c:pt idx="119">
                  <c:v>78485.8</c:v>
                </c:pt>
                <c:pt idx="120">
                  <c:v>78440.600000000006</c:v>
                </c:pt>
                <c:pt idx="121">
                  <c:v>78425.8</c:v>
                </c:pt>
                <c:pt idx="122">
                  <c:v>78253.100000000006</c:v>
                </c:pt>
                <c:pt idx="123">
                  <c:v>78231.5</c:v>
                </c:pt>
                <c:pt idx="124">
                  <c:v>78212.800000000003</c:v>
                </c:pt>
                <c:pt idx="125">
                  <c:v>78167.899999999994</c:v>
                </c:pt>
                <c:pt idx="126">
                  <c:v>78161.899999999994</c:v>
                </c:pt>
                <c:pt idx="127">
                  <c:v>78161.399999999994</c:v>
                </c:pt>
                <c:pt idx="128">
                  <c:v>78175.7</c:v>
                </c:pt>
                <c:pt idx="129">
                  <c:v>78155.7</c:v>
                </c:pt>
                <c:pt idx="130">
                  <c:v>78152.899999999994</c:v>
                </c:pt>
                <c:pt idx="131">
                  <c:v>78151.5</c:v>
                </c:pt>
                <c:pt idx="132">
                  <c:v>78138.100000000006</c:v>
                </c:pt>
                <c:pt idx="133">
                  <c:v>78097.7</c:v>
                </c:pt>
                <c:pt idx="134">
                  <c:v>78091.899999999994</c:v>
                </c:pt>
                <c:pt idx="135">
                  <c:v>77980.3</c:v>
                </c:pt>
                <c:pt idx="136">
                  <c:v>77978.5</c:v>
                </c:pt>
                <c:pt idx="137">
                  <c:v>77976.600000000006</c:v>
                </c:pt>
                <c:pt idx="138">
                  <c:v>77971.7</c:v>
                </c:pt>
                <c:pt idx="139">
                  <c:v>77967.399999999994</c:v>
                </c:pt>
                <c:pt idx="140">
                  <c:v>77953.5</c:v>
                </c:pt>
                <c:pt idx="141">
                  <c:v>77940.7</c:v>
                </c:pt>
                <c:pt idx="142">
                  <c:v>77939.8</c:v>
                </c:pt>
                <c:pt idx="143">
                  <c:v>77934.3</c:v>
                </c:pt>
                <c:pt idx="144">
                  <c:v>77931.899999999994</c:v>
                </c:pt>
                <c:pt idx="145">
                  <c:v>77652.7</c:v>
                </c:pt>
                <c:pt idx="146">
                  <c:v>77630.7</c:v>
                </c:pt>
                <c:pt idx="147">
                  <c:v>76870</c:v>
                </c:pt>
                <c:pt idx="148">
                  <c:v>76870</c:v>
                </c:pt>
                <c:pt idx="149">
                  <c:v>76869.100000000006</c:v>
                </c:pt>
                <c:pt idx="150">
                  <c:v>76768.7</c:v>
                </c:pt>
                <c:pt idx="151">
                  <c:v>76762.2</c:v>
                </c:pt>
                <c:pt idx="152">
                  <c:v>76714.2</c:v>
                </c:pt>
                <c:pt idx="153">
                  <c:v>76691.899999999994</c:v>
                </c:pt>
                <c:pt idx="154">
                  <c:v>76688.399999999994</c:v>
                </c:pt>
                <c:pt idx="155">
                  <c:v>76601.7</c:v>
                </c:pt>
                <c:pt idx="156">
                  <c:v>76600.899999999994</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Charts'!$Y$3:$Y$543</c:f>
              <c:numCache>
                <c:formatCode>0.0</c:formatCode>
                <c:ptCount val="541"/>
                <c:pt idx="0">
                  <c:v>176482.7</c:v>
                </c:pt>
                <c:pt idx="1">
                  <c:v>176482.7</c:v>
                </c:pt>
                <c:pt idx="2">
                  <c:v>176482.7</c:v>
                </c:pt>
                <c:pt idx="3">
                  <c:v>176482.7</c:v>
                </c:pt>
                <c:pt idx="4">
                  <c:v>176482.7</c:v>
                </c:pt>
                <c:pt idx="5">
                  <c:v>176482.7</c:v>
                </c:pt>
                <c:pt idx="6">
                  <c:v>176482.7</c:v>
                </c:pt>
                <c:pt idx="7">
                  <c:v>176482.7</c:v>
                </c:pt>
                <c:pt idx="8">
                  <c:v>176482.7</c:v>
                </c:pt>
                <c:pt idx="9">
                  <c:v>176482.7</c:v>
                </c:pt>
                <c:pt idx="10">
                  <c:v>176482.7</c:v>
                </c:pt>
                <c:pt idx="11">
                  <c:v>176482.7</c:v>
                </c:pt>
                <c:pt idx="12">
                  <c:v>176482.7</c:v>
                </c:pt>
                <c:pt idx="13">
                  <c:v>176482.7</c:v>
                </c:pt>
                <c:pt idx="14">
                  <c:v>176482.7</c:v>
                </c:pt>
                <c:pt idx="15">
                  <c:v>176482.7</c:v>
                </c:pt>
                <c:pt idx="16">
                  <c:v>176482.7</c:v>
                </c:pt>
                <c:pt idx="17">
                  <c:v>176482.7</c:v>
                </c:pt>
                <c:pt idx="18">
                  <c:v>176482.7</c:v>
                </c:pt>
                <c:pt idx="19">
                  <c:v>176482.7</c:v>
                </c:pt>
                <c:pt idx="20">
                  <c:v>176482.7</c:v>
                </c:pt>
                <c:pt idx="21">
                  <c:v>176482.7</c:v>
                </c:pt>
                <c:pt idx="22">
                  <c:v>176482.7</c:v>
                </c:pt>
                <c:pt idx="23">
                  <c:v>176482.7</c:v>
                </c:pt>
                <c:pt idx="24">
                  <c:v>176482.7</c:v>
                </c:pt>
                <c:pt idx="25">
                  <c:v>176482.7</c:v>
                </c:pt>
                <c:pt idx="26">
                  <c:v>176482.7</c:v>
                </c:pt>
                <c:pt idx="27">
                  <c:v>176482.7</c:v>
                </c:pt>
                <c:pt idx="28">
                  <c:v>176482.7</c:v>
                </c:pt>
                <c:pt idx="29">
                  <c:v>176482.7</c:v>
                </c:pt>
                <c:pt idx="30">
                  <c:v>176482.7</c:v>
                </c:pt>
                <c:pt idx="31">
                  <c:v>176482.7</c:v>
                </c:pt>
                <c:pt idx="32">
                  <c:v>176482.7</c:v>
                </c:pt>
                <c:pt idx="33">
                  <c:v>176482.7</c:v>
                </c:pt>
                <c:pt idx="34">
                  <c:v>176482.7</c:v>
                </c:pt>
                <c:pt idx="35">
                  <c:v>176482.7</c:v>
                </c:pt>
                <c:pt idx="36">
                  <c:v>176482.7</c:v>
                </c:pt>
                <c:pt idx="37">
                  <c:v>176482.7</c:v>
                </c:pt>
                <c:pt idx="38">
                  <c:v>176482.7</c:v>
                </c:pt>
                <c:pt idx="39">
                  <c:v>176482.7</c:v>
                </c:pt>
                <c:pt idx="40">
                  <c:v>176482.7</c:v>
                </c:pt>
                <c:pt idx="41">
                  <c:v>176482.7</c:v>
                </c:pt>
                <c:pt idx="42">
                  <c:v>176482.7</c:v>
                </c:pt>
                <c:pt idx="43">
                  <c:v>176482.7</c:v>
                </c:pt>
                <c:pt idx="44">
                  <c:v>176482.7</c:v>
                </c:pt>
                <c:pt idx="45">
                  <c:v>176482.7</c:v>
                </c:pt>
                <c:pt idx="46">
                  <c:v>176482.7</c:v>
                </c:pt>
                <c:pt idx="47">
                  <c:v>176482.7</c:v>
                </c:pt>
                <c:pt idx="48">
                  <c:v>176482.7</c:v>
                </c:pt>
                <c:pt idx="49">
                  <c:v>176482.7</c:v>
                </c:pt>
                <c:pt idx="50">
                  <c:v>176482.7</c:v>
                </c:pt>
                <c:pt idx="51">
                  <c:v>176482.7</c:v>
                </c:pt>
                <c:pt idx="52">
                  <c:v>176482.7</c:v>
                </c:pt>
                <c:pt idx="53">
                  <c:v>176482.7</c:v>
                </c:pt>
                <c:pt idx="54">
                  <c:v>176482.7</c:v>
                </c:pt>
                <c:pt idx="55">
                  <c:v>176482.7</c:v>
                </c:pt>
                <c:pt idx="56">
                  <c:v>176482.7</c:v>
                </c:pt>
                <c:pt idx="57">
                  <c:v>176482.7</c:v>
                </c:pt>
                <c:pt idx="58">
                  <c:v>176482.7</c:v>
                </c:pt>
                <c:pt idx="59">
                  <c:v>176482.7</c:v>
                </c:pt>
                <c:pt idx="60">
                  <c:v>176482.7</c:v>
                </c:pt>
                <c:pt idx="61">
                  <c:v>176482.7</c:v>
                </c:pt>
                <c:pt idx="62">
                  <c:v>176482.7</c:v>
                </c:pt>
                <c:pt idx="63">
                  <c:v>176482.7</c:v>
                </c:pt>
                <c:pt idx="64">
                  <c:v>176482.7</c:v>
                </c:pt>
                <c:pt idx="65">
                  <c:v>176482.7</c:v>
                </c:pt>
                <c:pt idx="66">
                  <c:v>176482.7</c:v>
                </c:pt>
                <c:pt idx="67">
                  <c:v>176482.7</c:v>
                </c:pt>
                <c:pt idx="68">
                  <c:v>176482.7</c:v>
                </c:pt>
                <c:pt idx="69">
                  <c:v>176482.7</c:v>
                </c:pt>
                <c:pt idx="70">
                  <c:v>176482.7</c:v>
                </c:pt>
                <c:pt idx="71">
                  <c:v>176482.7</c:v>
                </c:pt>
                <c:pt idx="72">
                  <c:v>176482.7</c:v>
                </c:pt>
                <c:pt idx="73">
                  <c:v>176482.7</c:v>
                </c:pt>
                <c:pt idx="74">
                  <c:v>176482.7</c:v>
                </c:pt>
                <c:pt idx="75">
                  <c:v>176482.7</c:v>
                </c:pt>
                <c:pt idx="76">
                  <c:v>176482.7</c:v>
                </c:pt>
                <c:pt idx="77">
                  <c:v>176482.7</c:v>
                </c:pt>
                <c:pt idx="78">
                  <c:v>176482.7</c:v>
                </c:pt>
                <c:pt idx="79">
                  <c:v>176482.7</c:v>
                </c:pt>
                <c:pt idx="80">
                  <c:v>176482.7</c:v>
                </c:pt>
                <c:pt idx="81">
                  <c:v>176482.7</c:v>
                </c:pt>
                <c:pt idx="82">
                  <c:v>176482.7</c:v>
                </c:pt>
                <c:pt idx="83">
                  <c:v>176482.7</c:v>
                </c:pt>
                <c:pt idx="84">
                  <c:v>176482.7</c:v>
                </c:pt>
                <c:pt idx="85">
                  <c:v>176482.7</c:v>
                </c:pt>
                <c:pt idx="86">
                  <c:v>176482.7</c:v>
                </c:pt>
                <c:pt idx="87">
                  <c:v>176482.7</c:v>
                </c:pt>
                <c:pt idx="88">
                  <c:v>176482.7</c:v>
                </c:pt>
                <c:pt idx="89">
                  <c:v>176482.7</c:v>
                </c:pt>
                <c:pt idx="90">
                  <c:v>176482.7</c:v>
                </c:pt>
                <c:pt idx="91">
                  <c:v>176482.7</c:v>
                </c:pt>
                <c:pt idx="92">
                  <c:v>176482.7</c:v>
                </c:pt>
                <c:pt idx="93">
                  <c:v>176482.7</c:v>
                </c:pt>
                <c:pt idx="94">
                  <c:v>176482.7</c:v>
                </c:pt>
                <c:pt idx="95">
                  <c:v>176482.7</c:v>
                </c:pt>
                <c:pt idx="96">
                  <c:v>176482.7</c:v>
                </c:pt>
                <c:pt idx="97">
                  <c:v>176482.7</c:v>
                </c:pt>
                <c:pt idx="98">
                  <c:v>176482.7</c:v>
                </c:pt>
                <c:pt idx="99">
                  <c:v>176482.7</c:v>
                </c:pt>
                <c:pt idx="100">
                  <c:v>176482.7</c:v>
                </c:pt>
                <c:pt idx="101">
                  <c:v>176482.7</c:v>
                </c:pt>
                <c:pt idx="102">
                  <c:v>176482.7</c:v>
                </c:pt>
                <c:pt idx="103">
                  <c:v>176482.7</c:v>
                </c:pt>
                <c:pt idx="104">
                  <c:v>176482.7</c:v>
                </c:pt>
                <c:pt idx="105">
                  <c:v>176482.7</c:v>
                </c:pt>
                <c:pt idx="106">
                  <c:v>176482.7</c:v>
                </c:pt>
                <c:pt idx="107">
                  <c:v>176482.7</c:v>
                </c:pt>
                <c:pt idx="108">
                  <c:v>176482.7</c:v>
                </c:pt>
                <c:pt idx="109">
                  <c:v>176482.7</c:v>
                </c:pt>
                <c:pt idx="110">
                  <c:v>176482.7</c:v>
                </c:pt>
                <c:pt idx="111">
                  <c:v>176482.7</c:v>
                </c:pt>
                <c:pt idx="112">
                  <c:v>176482.7</c:v>
                </c:pt>
                <c:pt idx="113">
                  <c:v>176482.7</c:v>
                </c:pt>
                <c:pt idx="114">
                  <c:v>176482.7</c:v>
                </c:pt>
                <c:pt idx="115">
                  <c:v>176482.7</c:v>
                </c:pt>
                <c:pt idx="116">
                  <c:v>176482.7</c:v>
                </c:pt>
                <c:pt idx="117">
                  <c:v>176482.7</c:v>
                </c:pt>
                <c:pt idx="118">
                  <c:v>176482.7</c:v>
                </c:pt>
                <c:pt idx="119">
                  <c:v>176482.7</c:v>
                </c:pt>
                <c:pt idx="120">
                  <c:v>176482.7</c:v>
                </c:pt>
                <c:pt idx="121">
                  <c:v>176482.7</c:v>
                </c:pt>
                <c:pt idx="122">
                  <c:v>176482.7</c:v>
                </c:pt>
                <c:pt idx="123">
                  <c:v>176482.7</c:v>
                </c:pt>
                <c:pt idx="124">
                  <c:v>176482.7</c:v>
                </c:pt>
                <c:pt idx="125">
                  <c:v>176482.7</c:v>
                </c:pt>
                <c:pt idx="126">
                  <c:v>176482.7</c:v>
                </c:pt>
                <c:pt idx="127">
                  <c:v>176482.7</c:v>
                </c:pt>
                <c:pt idx="128">
                  <c:v>176482.7</c:v>
                </c:pt>
                <c:pt idx="129">
                  <c:v>176482.7</c:v>
                </c:pt>
                <c:pt idx="130">
                  <c:v>176482.7</c:v>
                </c:pt>
                <c:pt idx="131">
                  <c:v>176482.7</c:v>
                </c:pt>
                <c:pt idx="132">
                  <c:v>176482.7</c:v>
                </c:pt>
                <c:pt idx="133">
                  <c:v>176482.7</c:v>
                </c:pt>
                <c:pt idx="134">
                  <c:v>176482.7</c:v>
                </c:pt>
                <c:pt idx="135">
                  <c:v>176482.7</c:v>
                </c:pt>
                <c:pt idx="136">
                  <c:v>176482.7</c:v>
                </c:pt>
                <c:pt idx="137">
                  <c:v>176482.7</c:v>
                </c:pt>
                <c:pt idx="138">
                  <c:v>176482.7</c:v>
                </c:pt>
                <c:pt idx="139">
                  <c:v>176482.7</c:v>
                </c:pt>
                <c:pt idx="140">
                  <c:v>176482.7</c:v>
                </c:pt>
                <c:pt idx="141">
                  <c:v>176482.7</c:v>
                </c:pt>
                <c:pt idx="142">
                  <c:v>176482.7</c:v>
                </c:pt>
                <c:pt idx="143">
                  <c:v>176482.7</c:v>
                </c:pt>
                <c:pt idx="144">
                  <c:v>176482.7</c:v>
                </c:pt>
                <c:pt idx="145">
                  <c:v>176482.7</c:v>
                </c:pt>
                <c:pt idx="146">
                  <c:v>176482.7</c:v>
                </c:pt>
                <c:pt idx="147">
                  <c:v>176482.7</c:v>
                </c:pt>
                <c:pt idx="148">
                  <c:v>176482.7</c:v>
                </c:pt>
                <c:pt idx="149">
                  <c:v>176482.7</c:v>
                </c:pt>
                <c:pt idx="150">
                  <c:v>176482.7</c:v>
                </c:pt>
                <c:pt idx="151">
                  <c:v>176482.7</c:v>
                </c:pt>
                <c:pt idx="152">
                  <c:v>176482.7</c:v>
                </c:pt>
                <c:pt idx="153">
                  <c:v>176482.7</c:v>
                </c:pt>
                <c:pt idx="154">
                  <c:v>176482.7</c:v>
                </c:pt>
                <c:pt idx="155">
                  <c:v>176482.7</c:v>
                </c:pt>
                <c:pt idx="156">
                  <c:v>176482.7</c:v>
                </c:pt>
              </c:numCache>
            </c:numRef>
          </c:val>
        </c:ser>
        <c:dLbls/>
        <c:marker val="1"/>
        <c:axId val="305885952"/>
        <c:axId val="305887488"/>
      </c:lineChart>
      <c:dateAx>
        <c:axId val="305885952"/>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5887488"/>
        <c:crosses val="autoZero"/>
        <c:auto val="1"/>
        <c:lblOffset val="100"/>
        <c:baseTimeUnit val="days"/>
      </c:dateAx>
      <c:valAx>
        <c:axId val="305887488"/>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885952"/>
        <c:crosses val="autoZero"/>
        <c:crossBetween val="between"/>
      </c:valAx>
    </c:plotArea>
    <c:legend>
      <c:legendPos val="r"/>
      <c:layout>
        <c:manualLayout>
          <c:xMode val="edge"/>
          <c:yMode val="edge"/>
          <c:x val="0.8397043010752685"/>
          <c:y val="0.16252705869960238"/>
          <c:w val="0.14416666666666669"/>
          <c:h val="0.70159042828676521"/>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FDC 2231 Used GB</a:t>
            </a:r>
          </a:p>
        </c:rich>
      </c:tx>
    </c:title>
    <c:plotArea>
      <c:layout/>
      <c:lineChart>
        <c:grouping val="standard"/>
        <c:ser>
          <c:idx val="0"/>
          <c:order val="0"/>
          <c:marker>
            <c:symbol val="none"/>
          </c:marker>
          <c:cat>
            <c:numRef>
              <c:f>'Used GB Charts'!$A$3:$A$337</c:f>
              <c:numCache>
                <c:formatCode>[$-409]d\-mmm\-yy;@</c:formatCode>
                <c:ptCount val="335"/>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Charts'!$L$3:$L$337</c:f>
              <c:numCache>
                <c:formatCode>0.0</c:formatCode>
                <c:ptCount val="335"/>
                <c:pt idx="0">
                  <c:v>99567.1</c:v>
                </c:pt>
                <c:pt idx="1">
                  <c:v>99501.1</c:v>
                </c:pt>
                <c:pt idx="2">
                  <c:v>98561.5</c:v>
                </c:pt>
                <c:pt idx="3">
                  <c:v>98473.2</c:v>
                </c:pt>
                <c:pt idx="4">
                  <c:v>98436.7</c:v>
                </c:pt>
                <c:pt idx="5">
                  <c:v>98245.3</c:v>
                </c:pt>
                <c:pt idx="6">
                  <c:v>98115.5</c:v>
                </c:pt>
                <c:pt idx="7">
                  <c:v>97855.1</c:v>
                </c:pt>
                <c:pt idx="8">
                  <c:v>97775.9</c:v>
                </c:pt>
                <c:pt idx="9">
                  <c:v>97591.4</c:v>
                </c:pt>
                <c:pt idx="10">
                  <c:v>97560.3</c:v>
                </c:pt>
                <c:pt idx="11">
                  <c:v>97487.4</c:v>
                </c:pt>
                <c:pt idx="12">
                  <c:v>97394.3</c:v>
                </c:pt>
                <c:pt idx="13">
                  <c:v>97146.2</c:v>
                </c:pt>
                <c:pt idx="14">
                  <c:v>97132.4</c:v>
                </c:pt>
                <c:pt idx="15">
                  <c:v>97087.6</c:v>
                </c:pt>
                <c:pt idx="16">
                  <c:v>96868.2</c:v>
                </c:pt>
                <c:pt idx="17">
                  <c:v>96820.5</c:v>
                </c:pt>
                <c:pt idx="18">
                  <c:v>96561.5</c:v>
                </c:pt>
                <c:pt idx="19">
                  <c:v>96287.2</c:v>
                </c:pt>
                <c:pt idx="20">
                  <c:v>95220.3</c:v>
                </c:pt>
                <c:pt idx="21">
                  <c:v>95131.199999999997</c:v>
                </c:pt>
                <c:pt idx="22">
                  <c:v>95048.1</c:v>
                </c:pt>
                <c:pt idx="23">
                  <c:v>94835.6</c:v>
                </c:pt>
                <c:pt idx="24">
                  <c:v>94835.6</c:v>
                </c:pt>
                <c:pt idx="25">
                  <c:v>94835.6</c:v>
                </c:pt>
                <c:pt idx="26">
                  <c:v>94706.5</c:v>
                </c:pt>
                <c:pt idx="27">
                  <c:v>94358.2</c:v>
                </c:pt>
                <c:pt idx="28">
                  <c:v>93762.7</c:v>
                </c:pt>
                <c:pt idx="29">
                  <c:v>93028.3</c:v>
                </c:pt>
                <c:pt idx="30">
                  <c:v>92968.6</c:v>
                </c:pt>
                <c:pt idx="31">
                  <c:v>92525.1</c:v>
                </c:pt>
                <c:pt idx="32">
                  <c:v>92488.8</c:v>
                </c:pt>
                <c:pt idx="33">
                  <c:v>91773.4</c:v>
                </c:pt>
                <c:pt idx="34">
                  <c:v>91524</c:v>
                </c:pt>
                <c:pt idx="35">
                  <c:v>90758.9</c:v>
                </c:pt>
                <c:pt idx="36">
                  <c:v>90607.1</c:v>
                </c:pt>
                <c:pt idx="37">
                  <c:v>90304.6</c:v>
                </c:pt>
                <c:pt idx="38">
                  <c:v>90149.7</c:v>
                </c:pt>
                <c:pt idx="39">
                  <c:v>89940</c:v>
                </c:pt>
                <c:pt idx="40">
                  <c:v>89858.7</c:v>
                </c:pt>
                <c:pt idx="41">
                  <c:v>84991.1</c:v>
                </c:pt>
                <c:pt idx="42">
                  <c:v>84961.4</c:v>
                </c:pt>
                <c:pt idx="43">
                  <c:v>84883</c:v>
                </c:pt>
                <c:pt idx="44">
                  <c:v>84862.5</c:v>
                </c:pt>
                <c:pt idx="45">
                  <c:v>84789.9</c:v>
                </c:pt>
                <c:pt idx="46">
                  <c:v>84634.7</c:v>
                </c:pt>
                <c:pt idx="47">
                  <c:v>84533.3</c:v>
                </c:pt>
                <c:pt idx="48">
                  <c:v>84515.199999999997</c:v>
                </c:pt>
                <c:pt idx="49">
                  <c:v>84483.199999999997</c:v>
                </c:pt>
                <c:pt idx="50">
                  <c:v>84451.3</c:v>
                </c:pt>
                <c:pt idx="51">
                  <c:v>84321.5</c:v>
                </c:pt>
                <c:pt idx="52">
                  <c:v>84233.7</c:v>
                </c:pt>
                <c:pt idx="53">
                  <c:v>84138.6</c:v>
                </c:pt>
                <c:pt idx="54">
                  <c:v>83053.7</c:v>
                </c:pt>
                <c:pt idx="55">
                  <c:v>82212.3</c:v>
                </c:pt>
                <c:pt idx="56">
                  <c:v>82212.3</c:v>
                </c:pt>
                <c:pt idx="57">
                  <c:v>82151.399999999994</c:v>
                </c:pt>
                <c:pt idx="58">
                  <c:v>82046.5</c:v>
                </c:pt>
                <c:pt idx="59">
                  <c:v>81878.600000000006</c:v>
                </c:pt>
                <c:pt idx="60">
                  <c:v>81796.3</c:v>
                </c:pt>
                <c:pt idx="61">
                  <c:v>81773.5</c:v>
                </c:pt>
                <c:pt idx="62">
                  <c:v>81702.600000000006</c:v>
                </c:pt>
                <c:pt idx="63">
                  <c:v>81648.3</c:v>
                </c:pt>
                <c:pt idx="64">
                  <c:v>81626.600000000006</c:v>
                </c:pt>
                <c:pt idx="65">
                  <c:v>81612.800000000003</c:v>
                </c:pt>
                <c:pt idx="66">
                  <c:v>81515.7</c:v>
                </c:pt>
                <c:pt idx="67">
                  <c:v>81435.7</c:v>
                </c:pt>
                <c:pt idx="68">
                  <c:v>81380.800000000003</c:v>
                </c:pt>
                <c:pt idx="69">
                  <c:v>81058.7</c:v>
                </c:pt>
                <c:pt idx="70">
                  <c:v>81052.600000000006</c:v>
                </c:pt>
                <c:pt idx="71">
                  <c:v>80768.100000000006</c:v>
                </c:pt>
                <c:pt idx="72">
                  <c:v>80689.3</c:v>
                </c:pt>
                <c:pt idx="73">
                  <c:v>80655.899999999994</c:v>
                </c:pt>
                <c:pt idx="74">
                  <c:v>80649.8</c:v>
                </c:pt>
                <c:pt idx="75">
                  <c:v>80182.899999999994</c:v>
                </c:pt>
                <c:pt idx="76">
                  <c:v>80167</c:v>
                </c:pt>
                <c:pt idx="77">
                  <c:v>80154</c:v>
                </c:pt>
                <c:pt idx="78">
                  <c:v>80129.8</c:v>
                </c:pt>
                <c:pt idx="79">
                  <c:v>80120.800000000003</c:v>
                </c:pt>
                <c:pt idx="80">
                  <c:v>80096.5</c:v>
                </c:pt>
                <c:pt idx="81">
                  <c:v>80086.399999999994</c:v>
                </c:pt>
                <c:pt idx="82">
                  <c:v>79973.899999999994</c:v>
                </c:pt>
                <c:pt idx="83">
                  <c:v>79955.199999999997</c:v>
                </c:pt>
                <c:pt idx="84">
                  <c:v>79943.600000000006</c:v>
                </c:pt>
                <c:pt idx="85">
                  <c:v>79933.399999999994</c:v>
                </c:pt>
                <c:pt idx="86">
                  <c:v>79912.600000000006</c:v>
                </c:pt>
                <c:pt idx="87">
                  <c:v>79878.2</c:v>
                </c:pt>
                <c:pt idx="88">
                  <c:v>79856.5</c:v>
                </c:pt>
                <c:pt idx="89">
                  <c:v>79845.100000000006</c:v>
                </c:pt>
                <c:pt idx="90">
                  <c:v>79789.399999999994</c:v>
                </c:pt>
                <c:pt idx="91">
                  <c:v>79741.8</c:v>
                </c:pt>
                <c:pt idx="92">
                  <c:v>79622</c:v>
                </c:pt>
                <c:pt idx="93">
                  <c:v>79554.600000000006</c:v>
                </c:pt>
                <c:pt idx="94">
                  <c:v>79469.100000000006</c:v>
                </c:pt>
                <c:pt idx="95">
                  <c:v>79442.600000000006</c:v>
                </c:pt>
                <c:pt idx="96">
                  <c:v>79404.899999999994</c:v>
                </c:pt>
                <c:pt idx="97">
                  <c:v>79400.399999999994</c:v>
                </c:pt>
                <c:pt idx="98">
                  <c:v>79391.600000000006</c:v>
                </c:pt>
                <c:pt idx="99">
                  <c:v>79384.899999999994</c:v>
                </c:pt>
                <c:pt idx="100">
                  <c:v>79367.199999999997</c:v>
                </c:pt>
                <c:pt idx="101">
                  <c:v>79349.8</c:v>
                </c:pt>
                <c:pt idx="102">
                  <c:v>79317.100000000006</c:v>
                </c:pt>
                <c:pt idx="103">
                  <c:v>79301.8</c:v>
                </c:pt>
                <c:pt idx="104">
                  <c:v>79280.899999999994</c:v>
                </c:pt>
                <c:pt idx="105">
                  <c:v>78953.600000000006</c:v>
                </c:pt>
                <c:pt idx="106">
                  <c:v>78932.100000000006</c:v>
                </c:pt>
                <c:pt idx="107">
                  <c:v>78904.3</c:v>
                </c:pt>
                <c:pt idx="108">
                  <c:v>78874.3</c:v>
                </c:pt>
                <c:pt idx="109">
                  <c:v>78868.3</c:v>
                </c:pt>
                <c:pt idx="110">
                  <c:v>78858.5</c:v>
                </c:pt>
                <c:pt idx="111">
                  <c:v>78792.5</c:v>
                </c:pt>
                <c:pt idx="112">
                  <c:v>78725</c:v>
                </c:pt>
                <c:pt idx="113">
                  <c:v>78706.2</c:v>
                </c:pt>
                <c:pt idx="114">
                  <c:v>78698.399999999994</c:v>
                </c:pt>
                <c:pt idx="115">
                  <c:v>78692.7</c:v>
                </c:pt>
                <c:pt idx="116">
                  <c:v>78677.899999999994</c:v>
                </c:pt>
                <c:pt idx="117">
                  <c:v>78645</c:v>
                </c:pt>
                <c:pt idx="118">
                  <c:v>78490</c:v>
                </c:pt>
                <c:pt idx="119">
                  <c:v>78485.8</c:v>
                </c:pt>
                <c:pt idx="120">
                  <c:v>78440.600000000006</c:v>
                </c:pt>
                <c:pt idx="121">
                  <c:v>78425.8</c:v>
                </c:pt>
                <c:pt idx="122">
                  <c:v>78253.100000000006</c:v>
                </c:pt>
                <c:pt idx="123">
                  <c:v>78231.5</c:v>
                </c:pt>
                <c:pt idx="124">
                  <c:v>78212.800000000003</c:v>
                </c:pt>
                <c:pt idx="125">
                  <c:v>78167.899999999994</c:v>
                </c:pt>
                <c:pt idx="126">
                  <c:v>78161.899999999994</c:v>
                </c:pt>
                <c:pt idx="127">
                  <c:v>78161.399999999994</c:v>
                </c:pt>
                <c:pt idx="128">
                  <c:v>78175.7</c:v>
                </c:pt>
                <c:pt idx="129">
                  <c:v>78155.7</c:v>
                </c:pt>
                <c:pt idx="130">
                  <c:v>78152.899999999994</c:v>
                </c:pt>
                <c:pt idx="131">
                  <c:v>78151.5</c:v>
                </c:pt>
                <c:pt idx="132">
                  <c:v>78138.100000000006</c:v>
                </c:pt>
                <c:pt idx="133">
                  <c:v>78097.7</c:v>
                </c:pt>
                <c:pt idx="134">
                  <c:v>78091.899999999994</c:v>
                </c:pt>
                <c:pt idx="135">
                  <c:v>77980.3</c:v>
                </c:pt>
                <c:pt idx="136">
                  <c:v>77978.5</c:v>
                </c:pt>
                <c:pt idx="137">
                  <c:v>77976.600000000006</c:v>
                </c:pt>
                <c:pt idx="138">
                  <c:v>77971.7</c:v>
                </c:pt>
                <c:pt idx="139">
                  <c:v>77967.399999999994</c:v>
                </c:pt>
                <c:pt idx="140">
                  <c:v>77953.5</c:v>
                </c:pt>
                <c:pt idx="141">
                  <c:v>77940.7</c:v>
                </c:pt>
                <c:pt idx="142">
                  <c:v>77939.8</c:v>
                </c:pt>
                <c:pt idx="143">
                  <c:v>77934.3</c:v>
                </c:pt>
                <c:pt idx="144">
                  <c:v>77931.899999999994</c:v>
                </c:pt>
                <c:pt idx="145">
                  <c:v>77652.7</c:v>
                </c:pt>
                <c:pt idx="146">
                  <c:v>77630.7</c:v>
                </c:pt>
                <c:pt idx="147">
                  <c:v>76870</c:v>
                </c:pt>
                <c:pt idx="148">
                  <c:v>76870</c:v>
                </c:pt>
                <c:pt idx="149">
                  <c:v>76869.100000000006</c:v>
                </c:pt>
                <c:pt idx="150">
                  <c:v>76768.7</c:v>
                </c:pt>
                <c:pt idx="151">
                  <c:v>76762.2</c:v>
                </c:pt>
                <c:pt idx="152">
                  <c:v>76714.2</c:v>
                </c:pt>
                <c:pt idx="153">
                  <c:v>76691.899999999994</c:v>
                </c:pt>
                <c:pt idx="154">
                  <c:v>76688.399999999994</c:v>
                </c:pt>
                <c:pt idx="155">
                  <c:v>76601.7</c:v>
                </c:pt>
                <c:pt idx="156">
                  <c:v>76600.899999999994</c:v>
                </c:pt>
              </c:numCache>
            </c:numRef>
          </c:val>
        </c:ser>
        <c:dLbls/>
        <c:marker val="1"/>
        <c:axId val="305924352"/>
        <c:axId val="305930240"/>
      </c:lineChart>
      <c:dateAx>
        <c:axId val="305924352"/>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930240"/>
        <c:crosses val="autoZero"/>
        <c:auto val="1"/>
        <c:lblOffset val="100"/>
        <c:baseTimeUnit val="days"/>
      </c:dateAx>
      <c:valAx>
        <c:axId val="305930240"/>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924352"/>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EDC 2262 Used GB</a:t>
            </a:r>
          </a:p>
        </c:rich>
      </c:tx>
    </c:title>
    <c:plotArea>
      <c:layout/>
      <c:lineChart>
        <c:grouping val="standard"/>
        <c:ser>
          <c:idx val="0"/>
          <c:order val="0"/>
          <c:marker>
            <c:symbol val="none"/>
          </c:marker>
          <c:cat>
            <c:numRef>
              <c:f>'Used GB Charts'!$A$3:$A$337</c:f>
              <c:numCache>
                <c:formatCode>[$-409]d\-mmm\-yy;@</c:formatCode>
                <c:ptCount val="335"/>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Charts'!$M$3:$M$337</c:f>
              <c:numCache>
                <c:formatCode>0.0</c:formatCode>
                <c:ptCount val="335"/>
                <c:pt idx="0">
                  <c:v>20795</c:v>
                </c:pt>
                <c:pt idx="1">
                  <c:v>20795</c:v>
                </c:pt>
                <c:pt idx="2">
                  <c:v>20795</c:v>
                </c:pt>
                <c:pt idx="3">
                  <c:v>20795</c:v>
                </c:pt>
                <c:pt idx="4">
                  <c:v>20795</c:v>
                </c:pt>
                <c:pt idx="5">
                  <c:v>20795</c:v>
                </c:pt>
                <c:pt idx="6">
                  <c:v>20795</c:v>
                </c:pt>
                <c:pt idx="7">
                  <c:v>20795</c:v>
                </c:pt>
                <c:pt idx="8">
                  <c:v>20795</c:v>
                </c:pt>
                <c:pt idx="9">
                  <c:v>23055</c:v>
                </c:pt>
                <c:pt idx="10">
                  <c:v>23055</c:v>
                </c:pt>
                <c:pt idx="11">
                  <c:v>23055</c:v>
                </c:pt>
                <c:pt idx="12">
                  <c:v>23055</c:v>
                </c:pt>
                <c:pt idx="13">
                  <c:v>23054.799999999999</c:v>
                </c:pt>
                <c:pt idx="14">
                  <c:v>23054.799999999999</c:v>
                </c:pt>
                <c:pt idx="15">
                  <c:v>23054.799999999999</c:v>
                </c:pt>
                <c:pt idx="16">
                  <c:v>23054.400000000001</c:v>
                </c:pt>
                <c:pt idx="17">
                  <c:v>23054.1</c:v>
                </c:pt>
                <c:pt idx="18">
                  <c:v>23054.1</c:v>
                </c:pt>
                <c:pt idx="19">
                  <c:v>23054.1</c:v>
                </c:pt>
                <c:pt idx="20">
                  <c:v>23054</c:v>
                </c:pt>
                <c:pt idx="21">
                  <c:v>23053.4</c:v>
                </c:pt>
                <c:pt idx="22">
                  <c:v>23053.3</c:v>
                </c:pt>
                <c:pt idx="23">
                  <c:v>23053.3</c:v>
                </c:pt>
                <c:pt idx="24">
                  <c:v>23053.3</c:v>
                </c:pt>
                <c:pt idx="25">
                  <c:v>23053.3</c:v>
                </c:pt>
                <c:pt idx="26">
                  <c:v>23053.3</c:v>
                </c:pt>
                <c:pt idx="27">
                  <c:v>23053.3</c:v>
                </c:pt>
                <c:pt idx="28">
                  <c:v>23053.200000000001</c:v>
                </c:pt>
                <c:pt idx="29">
                  <c:v>23053.200000000001</c:v>
                </c:pt>
                <c:pt idx="30">
                  <c:v>23053.1</c:v>
                </c:pt>
                <c:pt idx="31">
                  <c:v>23044.1</c:v>
                </c:pt>
                <c:pt idx="32">
                  <c:v>23031.200000000001</c:v>
                </c:pt>
                <c:pt idx="33">
                  <c:v>23029.7</c:v>
                </c:pt>
                <c:pt idx="34">
                  <c:v>23028.3</c:v>
                </c:pt>
                <c:pt idx="35">
                  <c:v>23028.3</c:v>
                </c:pt>
                <c:pt idx="36">
                  <c:v>23270.2</c:v>
                </c:pt>
                <c:pt idx="37">
                  <c:v>23270.2</c:v>
                </c:pt>
                <c:pt idx="38">
                  <c:v>23270.2</c:v>
                </c:pt>
                <c:pt idx="39">
                  <c:v>23270.2</c:v>
                </c:pt>
                <c:pt idx="40">
                  <c:v>23270.2</c:v>
                </c:pt>
                <c:pt idx="41">
                  <c:v>23270.2</c:v>
                </c:pt>
                <c:pt idx="42">
                  <c:v>23270.2</c:v>
                </c:pt>
                <c:pt idx="43">
                  <c:v>23270.2</c:v>
                </c:pt>
                <c:pt idx="44">
                  <c:v>23270.2</c:v>
                </c:pt>
                <c:pt idx="45">
                  <c:v>23270.2</c:v>
                </c:pt>
                <c:pt idx="46">
                  <c:v>23270.2</c:v>
                </c:pt>
                <c:pt idx="47">
                  <c:v>23269.7</c:v>
                </c:pt>
                <c:pt idx="48">
                  <c:v>23269.7</c:v>
                </c:pt>
                <c:pt idx="49">
                  <c:v>24017.599999999999</c:v>
                </c:pt>
                <c:pt idx="50">
                  <c:v>24017.599999999999</c:v>
                </c:pt>
                <c:pt idx="51">
                  <c:v>24017.4</c:v>
                </c:pt>
                <c:pt idx="52">
                  <c:v>24017.1</c:v>
                </c:pt>
                <c:pt idx="53">
                  <c:v>24016.9</c:v>
                </c:pt>
                <c:pt idx="54">
                  <c:v>24008.6</c:v>
                </c:pt>
                <c:pt idx="55">
                  <c:v>24001.4</c:v>
                </c:pt>
                <c:pt idx="56">
                  <c:v>24001.4</c:v>
                </c:pt>
                <c:pt idx="57">
                  <c:v>24001.4</c:v>
                </c:pt>
                <c:pt idx="58">
                  <c:v>23997.7</c:v>
                </c:pt>
                <c:pt idx="59">
                  <c:v>23973.599999999999</c:v>
                </c:pt>
                <c:pt idx="60">
                  <c:v>23973.599999999999</c:v>
                </c:pt>
                <c:pt idx="61">
                  <c:v>23973.4</c:v>
                </c:pt>
                <c:pt idx="62">
                  <c:v>23969.9</c:v>
                </c:pt>
                <c:pt idx="63">
                  <c:v>23968</c:v>
                </c:pt>
                <c:pt idx="64">
                  <c:v>23968</c:v>
                </c:pt>
                <c:pt idx="65">
                  <c:v>23968</c:v>
                </c:pt>
                <c:pt idx="66">
                  <c:v>23967.3</c:v>
                </c:pt>
                <c:pt idx="67">
                  <c:v>23966.799999999999</c:v>
                </c:pt>
                <c:pt idx="68">
                  <c:v>23966.7</c:v>
                </c:pt>
                <c:pt idx="69">
                  <c:v>23965.200000000001</c:v>
                </c:pt>
                <c:pt idx="70">
                  <c:v>23965</c:v>
                </c:pt>
                <c:pt idx="71">
                  <c:v>23964.3</c:v>
                </c:pt>
                <c:pt idx="72">
                  <c:v>23961.8</c:v>
                </c:pt>
                <c:pt idx="73">
                  <c:v>23961.599999999999</c:v>
                </c:pt>
                <c:pt idx="74">
                  <c:v>23961.1</c:v>
                </c:pt>
                <c:pt idx="75">
                  <c:v>23949.5</c:v>
                </c:pt>
                <c:pt idx="76">
                  <c:v>23949.4</c:v>
                </c:pt>
                <c:pt idx="77">
                  <c:v>23949.4</c:v>
                </c:pt>
                <c:pt idx="78">
                  <c:v>23948.9</c:v>
                </c:pt>
                <c:pt idx="79">
                  <c:v>23948.9</c:v>
                </c:pt>
                <c:pt idx="80">
                  <c:v>23948.3</c:v>
                </c:pt>
                <c:pt idx="81">
                  <c:v>23948.1</c:v>
                </c:pt>
                <c:pt idx="82">
                  <c:v>23947</c:v>
                </c:pt>
                <c:pt idx="83">
                  <c:v>23946.3</c:v>
                </c:pt>
                <c:pt idx="84">
                  <c:v>23946.2</c:v>
                </c:pt>
                <c:pt idx="85">
                  <c:v>23945.8</c:v>
                </c:pt>
                <c:pt idx="86">
                  <c:v>23945.5</c:v>
                </c:pt>
                <c:pt idx="87">
                  <c:v>23944.1</c:v>
                </c:pt>
                <c:pt idx="88">
                  <c:v>23944.1</c:v>
                </c:pt>
                <c:pt idx="89">
                  <c:v>23943.599999999999</c:v>
                </c:pt>
                <c:pt idx="90">
                  <c:v>23943.599999999999</c:v>
                </c:pt>
                <c:pt idx="91">
                  <c:v>23937.599999999999</c:v>
                </c:pt>
                <c:pt idx="92">
                  <c:v>23923.4</c:v>
                </c:pt>
                <c:pt idx="93">
                  <c:v>23923.1</c:v>
                </c:pt>
                <c:pt idx="94">
                  <c:v>23922.9</c:v>
                </c:pt>
                <c:pt idx="95">
                  <c:v>23644.2</c:v>
                </c:pt>
                <c:pt idx="96">
                  <c:v>23644</c:v>
                </c:pt>
                <c:pt idx="97">
                  <c:v>23644</c:v>
                </c:pt>
                <c:pt idx="98">
                  <c:v>23387.5</c:v>
                </c:pt>
                <c:pt idx="99">
                  <c:v>23338.6</c:v>
                </c:pt>
                <c:pt idx="100">
                  <c:v>23222</c:v>
                </c:pt>
                <c:pt idx="101">
                  <c:v>23195</c:v>
                </c:pt>
                <c:pt idx="102">
                  <c:v>23186.1</c:v>
                </c:pt>
                <c:pt idx="103">
                  <c:v>23185.599999999999</c:v>
                </c:pt>
                <c:pt idx="104">
                  <c:v>23084</c:v>
                </c:pt>
                <c:pt idx="105">
                  <c:v>23077.4</c:v>
                </c:pt>
                <c:pt idx="106">
                  <c:v>23077.200000000001</c:v>
                </c:pt>
                <c:pt idx="107">
                  <c:v>23075.9</c:v>
                </c:pt>
                <c:pt idx="108">
                  <c:v>23074.9</c:v>
                </c:pt>
                <c:pt idx="109">
                  <c:v>23074.9</c:v>
                </c:pt>
                <c:pt idx="110">
                  <c:v>23074.9</c:v>
                </c:pt>
                <c:pt idx="111">
                  <c:v>23074.400000000001</c:v>
                </c:pt>
                <c:pt idx="112">
                  <c:v>22966.400000000001</c:v>
                </c:pt>
                <c:pt idx="113">
                  <c:v>22942.400000000001</c:v>
                </c:pt>
                <c:pt idx="114">
                  <c:v>22942.2</c:v>
                </c:pt>
                <c:pt idx="115">
                  <c:v>22941.8</c:v>
                </c:pt>
                <c:pt idx="116">
                  <c:v>22941.7</c:v>
                </c:pt>
                <c:pt idx="117">
                  <c:v>22941.4</c:v>
                </c:pt>
                <c:pt idx="118">
                  <c:v>22940.9</c:v>
                </c:pt>
                <c:pt idx="119">
                  <c:v>22940.9</c:v>
                </c:pt>
                <c:pt idx="120">
                  <c:v>22940.9</c:v>
                </c:pt>
                <c:pt idx="121">
                  <c:v>22940.9</c:v>
                </c:pt>
                <c:pt idx="122">
                  <c:v>22935.3</c:v>
                </c:pt>
                <c:pt idx="123">
                  <c:v>22935.200000000001</c:v>
                </c:pt>
                <c:pt idx="124">
                  <c:v>22934.400000000001</c:v>
                </c:pt>
                <c:pt idx="125">
                  <c:v>22934.2</c:v>
                </c:pt>
                <c:pt idx="126">
                  <c:v>22934.2</c:v>
                </c:pt>
                <c:pt idx="127">
                  <c:v>22934.2</c:v>
                </c:pt>
                <c:pt idx="128">
                  <c:v>22933.3</c:v>
                </c:pt>
                <c:pt idx="129">
                  <c:v>22932.799999999999</c:v>
                </c:pt>
                <c:pt idx="130">
                  <c:v>22932.3</c:v>
                </c:pt>
                <c:pt idx="131">
                  <c:v>22932</c:v>
                </c:pt>
                <c:pt idx="132">
                  <c:v>22930.799999999999</c:v>
                </c:pt>
                <c:pt idx="133">
                  <c:v>22920.5</c:v>
                </c:pt>
                <c:pt idx="134">
                  <c:v>22920</c:v>
                </c:pt>
                <c:pt idx="135">
                  <c:v>22919.8</c:v>
                </c:pt>
                <c:pt idx="136">
                  <c:v>22919.3</c:v>
                </c:pt>
                <c:pt idx="137">
                  <c:v>22919.1</c:v>
                </c:pt>
                <c:pt idx="138">
                  <c:v>22917.1</c:v>
                </c:pt>
                <c:pt idx="139">
                  <c:v>22917.1</c:v>
                </c:pt>
                <c:pt idx="140">
                  <c:v>22916.9</c:v>
                </c:pt>
                <c:pt idx="141">
                  <c:v>22911.5</c:v>
                </c:pt>
                <c:pt idx="142">
                  <c:v>22911.4</c:v>
                </c:pt>
                <c:pt idx="143">
                  <c:v>22908.9</c:v>
                </c:pt>
                <c:pt idx="144">
                  <c:v>22908.6</c:v>
                </c:pt>
                <c:pt idx="145">
                  <c:v>22771</c:v>
                </c:pt>
                <c:pt idx="146">
                  <c:v>22770.9</c:v>
                </c:pt>
                <c:pt idx="147">
                  <c:v>22770.5</c:v>
                </c:pt>
                <c:pt idx="148">
                  <c:v>22770.5</c:v>
                </c:pt>
                <c:pt idx="149">
                  <c:v>22770.400000000001</c:v>
                </c:pt>
                <c:pt idx="150">
                  <c:v>22770.400000000001</c:v>
                </c:pt>
                <c:pt idx="151">
                  <c:v>22770.3</c:v>
                </c:pt>
                <c:pt idx="152">
                  <c:v>22768.2</c:v>
                </c:pt>
                <c:pt idx="153">
                  <c:v>22766</c:v>
                </c:pt>
                <c:pt idx="154">
                  <c:v>22765.9</c:v>
                </c:pt>
                <c:pt idx="155">
                  <c:v>22765.5</c:v>
                </c:pt>
                <c:pt idx="156">
                  <c:v>22765.5</c:v>
                </c:pt>
              </c:numCache>
            </c:numRef>
          </c:val>
        </c:ser>
        <c:dLbls/>
        <c:marker val="1"/>
        <c:axId val="305970560"/>
        <c:axId val="305976448"/>
      </c:lineChart>
      <c:dateAx>
        <c:axId val="305970560"/>
        <c:scaling>
          <c:orientation val="minMax"/>
        </c:scaling>
        <c:axPos val="b"/>
        <c:numFmt formatCode="dd/mm/yy;@" sourceLinked="0"/>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976448"/>
        <c:crosses val="autoZero"/>
        <c:auto val="1"/>
        <c:lblOffset val="100"/>
        <c:baseTimeUnit val="days"/>
      </c:dateAx>
      <c:valAx>
        <c:axId val="305976448"/>
        <c:scaling>
          <c:orientation val="minMax"/>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597056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800" b="1" i="0" u="none" strike="noStrike" baseline="0">
                <a:solidFill>
                  <a:srgbClr val="000000"/>
                </a:solidFill>
                <a:latin typeface="Calibri"/>
                <a:ea typeface="Calibri"/>
                <a:cs typeface="Calibri"/>
              </a:defRPr>
            </a:pPr>
            <a:r>
              <a:rPr lang="en-GB"/>
              <a:t>EDC 2262 Used GB</a:t>
            </a:r>
          </a:p>
        </c:rich>
      </c:tx>
    </c:title>
    <c:plotArea>
      <c:layout>
        <c:manualLayout>
          <c:layoutTarget val="inner"/>
          <c:xMode val="edge"/>
          <c:yMode val="edge"/>
          <c:x val="0.13096985860638391"/>
          <c:y val="0.18763682967722844"/>
          <c:w val="0.69946130725594757"/>
          <c:h val="0.59632791720432943"/>
        </c:manualLayout>
      </c:layout>
      <c:lineChart>
        <c:grouping val="standard"/>
        <c:ser>
          <c:idx val="0"/>
          <c:order val="0"/>
          <c:tx>
            <c:strRef>
              <c:f>'Used GB Charts'!$A$2</c:f>
              <c:strCache>
                <c:ptCount val="1"/>
                <c:pt idx="0">
                  <c:v>Used -&gt;
GB -&gt;</c:v>
                </c:pt>
              </c:strCache>
            </c:strRef>
          </c:tx>
          <c:marker>
            <c:symbol val="none"/>
          </c:marker>
          <c:trendline>
            <c:spPr>
              <a:ln w="9525" cap="flat" cmpd="sng" algn="ctr">
                <a:solidFill>
                  <a:schemeClr val="accent2">
                    <a:shade val="95000"/>
                    <a:satMod val="105000"/>
                  </a:schemeClr>
                </a:solidFill>
                <a:prstDash val="solid"/>
              </a:ln>
              <a:effectLst/>
            </c:spPr>
            <c:trendlineType val="poly"/>
            <c:order val="2"/>
            <c:forward val="150"/>
          </c:trendline>
          <c:trendline>
            <c:spPr>
              <a:ln w="9525" cap="flat" cmpd="sng" algn="ctr">
                <a:solidFill>
                  <a:schemeClr val="accent3">
                    <a:shade val="95000"/>
                    <a:satMod val="105000"/>
                  </a:schemeClr>
                </a:solidFill>
                <a:prstDash val="solid"/>
              </a:ln>
              <a:effectLst/>
            </c:spPr>
            <c:trendlineType val="linear"/>
            <c:forward val="150"/>
          </c:trendline>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Charts'!$M$3:$M$543</c:f>
              <c:numCache>
                <c:formatCode>0.0</c:formatCode>
                <c:ptCount val="541"/>
                <c:pt idx="0">
                  <c:v>20795</c:v>
                </c:pt>
                <c:pt idx="1">
                  <c:v>20795</c:v>
                </c:pt>
                <c:pt idx="2">
                  <c:v>20795</c:v>
                </c:pt>
                <c:pt idx="3">
                  <c:v>20795</c:v>
                </c:pt>
                <c:pt idx="4">
                  <c:v>20795</c:v>
                </c:pt>
                <c:pt idx="5">
                  <c:v>20795</c:v>
                </c:pt>
                <c:pt idx="6">
                  <c:v>20795</c:v>
                </c:pt>
                <c:pt idx="7">
                  <c:v>20795</c:v>
                </c:pt>
                <c:pt idx="8">
                  <c:v>20795</c:v>
                </c:pt>
                <c:pt idx="9">
                  <c:v>23055</c:v>
                </c:pt>
                <c:pt idx="10">
                  <c:v>23055</c:v>
                </c:pt>
                <c:pt idx="11">
                  <c:v>23055</c:v>
                </c:pt>
                <c:pt idx="12">
                  <c:v>23055</c:v>
                </c:pt>
                <c:pt idx="13">
                  <c:v>23054.799999999999</c:v>
                </c:pt>
                <c:pt idx="14">
                  <c:v>23054.799999999999</c:v>
                </c:pt>
                <c:pt idx="15">
                  <c:v>23054.799999999999</c:v>
                </c:pt>
                <c:pt idx="16">
                  <c:v>23054.400000000001</c:v>
                </c:pt>
                <c:pt idx="17">
                  <c:v>23054.1</c:v>
                </c:pt>
                <c:pt idx="18">
                  <c:v>23054.1</c:v>
                </c:pt>
                <c:pt idx="19">
                  <c:v>23054.1</c:v>
                </c:pt>
                <c:pt idx="20">
                  <c:v>23054</c:v>
                </c:pt>
                <c:pt idx="21">
                  <c:v>23053.4</c:v>
                </c:pt>
                <c:pt idx="22">
                  <c:v>23053.3</c:v>
                </c:pt>
                <c:pt idx="23">
                  <c:v>23053.3</c:v>
                </c:pt>
                <c:pt idx="24">
                  <c:v>23053.3</c:v>
                </c:pt>
                <c:pt idx="25">
                  <c:v>23053.3</c:v>
                </c:pt>
                <c:pt idx="26">
                  <c:v>23053.3</c:v>
                </c:pt>
                <c:pt idx="27">
                  <c:v>23053.3</c:v>
                </c:pt>
                <c:pt idx="28">
                  <c:v>23053.200000000001</c:v>
                </c:pt>
                <c:pt idx="29">
                  <c:v>23053.200000000001</c:v>
                </c:pt>
                <c:pt idx="30">
                  <c:v>23053.1</c:v>
                </c:pt>
                <c:pt idx="31">
                  <c:v>23044.1</c:v>
                </c:pt>
                <c:pt idx="32">
                  <c:v>23031.200000000001</c:v>
                </c:pt>
                <c:pt idx="33">
                  <c:v>23029.7</c:v>
                </c:pt>
                <c:pt idx="34">
                  <c:v>23028.3</c:v>
                </c:pt>
                <c:pt idx="35">
                  <c:v>23028.3</c:v>
                </c:pt>
                <c:pt idx="36">
                  <c:v>23270.2</c:v>
                </c:pt>
                <c:pt idx="37">
                  <c:v>23270.2</c:v>
                </c:pt>
                <c:pt idx="38">
                  <c:v>23270.2</c:v>
                </c:pt>
                <c:pt idx="39">
                  <c:v>23270.2</c:v>
                </c:pt>
                <c:pt idx="40">
                  <c:v>23270.2</c:v>
                </c:pt>
                <c:pt idx="41">
                  <c:v>23270.2</c:v>
                </c:pt>
                <c:pt idx="42">
                  <c:v>23270.2</c:v>
                </c:pt>
                <c:pt idx="43">
                  <c:v>23270.2</c:v>
                </c:pt>
                <c:pt idx="44">
                  <c:v>23270.2</c:v>
                </c:pt>
                <c:pt idx="45">
                  <c:v>23270.2</c:v>
                </c:pt>
                <c:pt idx="46">
                  <c:v>23270.2</c:v>
                </c:pt>
                <c:pt idx="47">
                  <c:v>23269.7</c:v>
                </c:pt>
                <c:pt idx="48">
                  <c:v>23269.7</c:v>
                </c:pt>
                <c:pt idx="49">
                  <c:v>24017.599999999999</c:v>
                </c:pt>
                <c:pt idx="50">
                  <c:v>24017.599999999999</c:v>
                </c:pt>
                <c:pt idx="51">
                  <c:v>24017.4</c:v>
                </c:pt>
                <c:pt idx="52">
                  <c:v>24017.1</c:v>
                </c:pt>
                <c:pt idx="53">
                  <c:v>24016.9</c:v>
                </c:pt>
                <c:pt idx="54">
                  <c:v>24008.6</c:v>
                </c:pt>
                <c:pt idx="55">
                  <c:v>24001.4</c:v>
                </c:pt>
                <c:pt idx="56">
                  <c:v>24001.4</c:v>
                </c:pt>
                <c:pt idx="57">
                  <c:v>24001.4</c:v>
                </c:pt>
                <c:pt idx="58">
                  <c:v>23997.7</c:v>
                </c:pt>
                <c:pt idx="59">
                  <c:v>23973.599999999999</c:v>
                </c:pt>
                <c:pt idx="60">
                  <c:v>23973.599999999999</c:v>
                </c:pt>
                <c:pt idx="61">
                  <c:v>23973.4</c:v>
                </c:pt>
                <c:pt idx="62">
                  <c:v>23969.9</c:v>
                </c:pt>
                <c:pt idx="63">
                  <c:v>23968</c:v>
                </c:pt>
                <c:pt idx="64">
                  <c:v>23968</c:v>
                </c:pt>
                <c:pt idx="65">
                  <c:v>23968</c:v>
                </c:pt>
                <c:pt idx="66">
                  <c:v>23967.3</c:v>
                </c:pt>
                <c:pt idx="67">
                  <c:v>23966.799999999999</c:v>
                </c:pt>
                <c:pt idx="68">
                  <c:v>23966.7</c:v>
                </c:pt>
                <c:pt idx="69">
                  <c:v>23965.200000000001</c:v>
                </c:pt>
                <c:pt idx="70">
                  <c:v>23965</c:v>
                </c:pt>
                <c:pt idx="71">
                  <c:v>23964.3</c:v>
                </c:pt>
                <c:pt idx="72">
                  <c:v>23961.8</c:v>
                </c:pt>
                <c:pt idx="73">
                  <c:v>23961.599999999999</c:v>
                </c:pt>
                <c:pt idx="74">
                  <c:v>23961.1</c:v>
                </c:pt>
                <c:pt idx="75">
                  <c:v>23949.5</c:v>
                </c:pt>
                <c:pt idx="76">
                  <c:v>23949.4</c:v>
                </c:pt>
                <c:pt idx="77">
                  <c:v>23949.4</c:v>
                </c:pt>
                <c:pt idx="78">
                  <c:v>23948.9</c:v>
                </c:pt>
                <c:pt idx="79">
                  <c:v>23948.9</c:v>
                </c:pt>
                <c:pt idx="80">
                  <c:v>23948.3</c:v>
                </c:pt>
                <c:pt idx="81">
                  <c:v>23948.1</c:v>
                </c:pt>
                <c:pt idx="82">
                  <c:v>23947</c:v>
                </c:pt>
                <c:pt idx="83">
                  <c:v>23946.3</c:v>
                </c:pt>
                <c:pt idx="84">
                  <c:v>23946.2</c:v>
                </c:pt>
                <c:pt idx="85">
                  <c:v>23945.8</c:v>
                </c:pt>
                <c:pt idx="86">
                  <c:v>23945.5</c:v>
                </c:pt>
                <c:pt idx="87">
                  <c:v>23944.1</c:v>
                </c:pt>
                <c:pt idx="88">
                  <c:v>23944.1</c:v>
                </c:pt>
                <c:pt idx="89">
                  <c:v>23943.599999999999</c:v>
                </c:pt>
                <c:pt idx="90">
                  <c:v>23943.599999999999</c:v>
                </c:pt>
                <c:pt idx="91">
                  <c:v>23937.599999999999</c:v>
                </c:pt>
                <c:pt idx="92">
                  <c:v>23923.4</c:v>
                </c:pt>
                <c:pt idx="93">
                  <c:v>23923.1</c:v>
                </c:pt>
                <c:pt idx="94">
                  <c:v>23922.9</c:v>
                </c:pt>
                <c:pt idx="95">
                  <c:v>23644.2</c:v>
                </c:pt>
                <c:pt idx="96">
                  <c:v>23644</c:v>
                </c:pt>
                <c:pt idx="97">
                  <c:v>23644</c:v>
                </c:pt>
                <c:pt idx="98">
                  <c:v>23387.5</c:v>
                </c:pt>
                <c:pt idx="99">
                  <c:v>23338.6</c:v>
                </c:pt>
                <c:pt idx="100">
                  <c:v>23222</c:v>
                </c:pt>
                <c:pt idx="101">
                  <c:v>23195</c:v>
                </c:pt>
                <c:pt idx="102">
                  <c:v>23186.1</c:v>
                </c:pt>
                <c:pt idx="103">
                  <c:v>23185.599999999999</c:v>
                </c:pt>
                <c:pt idx="104">
                  <c:v>23084</c:v>
                </c:pt>
                <c:pt idx="105">
                  <c:v>23077.4</c:v>
                </c:pt>
                <c:pt idx="106">
                  <c:v>23077.200000000001</c:v>
                </c:pt>
                <c:pt idx="107">
                  <c:v>23075.9</c:v>
                </c:pt>
                <c:pt idx="108">
                  <c:v>23074.9</c:v>
                </c:pt>
                <c:pt idx="109">
                  <c:v>23074.9</c:v>
                </c:pt>
                <c:pt idx="110">
                  <c:v>23074.9</c:v>
                </c:pt>
                <c:pt idx="111">
                  <c:v>23074.400000000001</c:v>
                </c:pt>
                <c:pt idx="112">
                  <c:v>22966.400000000001</c:v>
                </c:pt>
                <c:pt idx="113">
                  <c:v>22942.400000000001</c:v>
                </c:pt>
                <c:pt idx="114">
                  <c:v>22942.2</c:v>
                </c:pt>
                <c:pt idx="115">
                  <c:v>22941.8</c:v>
                </c:pt>
                <c:pt idx="116">
                  <c:v>22941.7</c:v>
                </c:pt>
                <c:pt idx="117">
                  <c:v>22941.4</c:v>
                </c:pt>
                <c:pt idx="118">
                  <c:v>22940.9</c:v>
                </c:pt>
                <c:pt idx="119">
                  <c:v>22940.9</c:v>
                </c:pt>
                <c:pt idx="120">
                  <c:v>22940.9</c:v>
                </c:pt>
                <c:pt idx="121">
                  <c:v>22940.9</c:v>
                </c:pt>
                <c:pt idx="122">
                  <c:v>22935.3</c:v>
                </c:pt>
                <c:pt idx="123">
                  <c:v>22935.200000000001</c:v>
                </c:pt>
                <c:pt idx="124">
                  <c:v>22934.400000000001</c:v>
                </c:pt>
                <c:pt idx="125">
                  <c:v>22934.2</c:v>
                </c:pt>
                <c:pt idx="126">
                  <c:v>22934.2</c:v>
                </c:pt>
                <c:pt idx="127">
                  <c:v>22934.2</c:v>
                </c:pt>
                <c:pt idx="128">
                  <c:v>22933.3</c:v>
                </c:pt>
                <c:pt idx="129">
                  <c:v>22932.799999999999</c:v>
                </c:pt>
                <c:pt idx="130">
                  <c:v>22932.3</c:v>
                </c:pt>
                <c:pt idx="131">
                  <c:v>22932</c:v>
                </c:pt>
                <c:pt idx="132">
                  <c:v>22930.799999999999</c:v>
                </c:pt>
                <c:pt idx="133">
                  <c:v>22920.5</c:v>
                </c:pt>
                <c:pt idx="134">
                  <c:v>22920</c:v>
                </c:pt>
                <c:pt idx="135">
                  <c:v>22919.8</c:v>
                </c:pt>
                <c:pt idx="136">
                  <c:v>22919.3</c:v>
                </c:pt>
                <c:pt idx="137">
                  <c:v>22919.1</c:v>
                </c:pt>
                <c:pt idx="138">
                  <c:v>22917.1</c:v>
                </c:pt>
                <c:pt idx="139">
                  <c:v>22917.1</c:v>
                </c:pt>
                <c:pt idx="140">
                  <c:v>22916.9</c:v>
                </c:pt>
                <c:pt idx="141">
                  <c:v>22911.5</c:v>
                </c:pt>
                <c:pt idx="142">
                  <c:v>22911.4</c:v>
                </c:pt>
                <c:pt idx="143">
                  <c:v>22908.9</c:v>
                </c:pt>
                <c:pt idx="144">
                  <c:v>22908.6</c:v>
                </c:pt>
                <c:pt idx="145">
                  <c:v>22771</c:v>
                </c:pt>
                <c:pt idx="146">
                  <c:v>22770.9</c:v>
                </c:pt>
                <c:pt idx="147">
                  <c:v>22770.5</c:v>
                </c:pt>
                <c:pt idx="148">
                  <c:v>22770.5</c:v>
                </c:pt>
                <c:pt idx="149">
                  <c:v>22770.400000000001</c:v>
                </c:pt>
                <c:pt idx="150">
                  <c:v>22770.400000000001</c:v>
                </c:pt>
                <c:pt idx="151">
                  <c:v>22770.3</c:v>
                </c:pt>
                <c:pt idx="152">
                  <c:v>22768.2</c:v>
                </c:pt>
                <c:pt idx="153">
                  <c:v>22766</c:v>
                </c:pt>
                <c:pt idx="154">
                  <c:v>22765.9</c:v>
                </c:pt>
                <c:pt idx="155">
                  <c:v>22765.5</c:v>
                </c:pt>
                <c:pt idx="156">
                  <c:v>22765.5</c:v>
                </c:pt>
              </c:numCache>
            </c:numRef>
          </c:val>
        </c:ser>
        <c:ser>
          <c:idx val="1"/>
          <c:order val="1"/>
          <c:tx>
            <c:strRef>
              <c:f>'Used GB Charts'!$N$2</c:f>
              <c:strCache>
                <c:ptCount val="1"/>
                <c:pt idx="0">
                  <c:v>Pool-&gt;
Size -&gt;</c:v>
                </c:pt>
              </c:strCache>
            </c:strRef>
          </c:tx>
          <c:marker>
            <c:symbol val="none"/>
          </c:marker>
          <c:cat>
            <c:numRef>
              <c:f>'Used GB Charts'!$A$3:$A$543</c:f>
              <c:numCache>
                <c:formatCode>[$-409]d\-mmm\-yy;@</c:formatCode>
                <c:ptCount val="541"/>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'Used GB Charts'!$Z$3:$Z$543</c:f>
              <c:numCache>
                <c:formatCode>0.0</c:formatCode>
                <c:ptCount val="541"/>
                <c:pt idx="0">
                  <c:v>54921</c:v>
                </c:pt>
                <c:pt idx="1">
                  <c:v>54921</c:v>
                </c:pt>
                <c:pt idx="2">
                  <c:v>54921</c:v>
                </c:pt>
                <c:pt idx="3">
                  <c:v>54921</c:v>
                </c:pt>
                <c:pt idx="4">
                  <c:v>54921</c:v>
                </c:pt>
                <c:pt idx="5">
                  <c:v>54921</c:v>
                </c:pt>
                <c:pt idx="6">
                  <c:v>54921</c:v>
                </c:pt>
                <c:pt idx="7">
                  <c:v>54921</c:v>
                </c:pt>
                <c:pt idx="8">
                  <c:v>54921</c:v>
                </c:pt>
                <c:pt idx="9">
                  <c:v>54921</c:v>
                </c:pt>
                <c:pt idx="10">
                  <c:v>54921</c:v>
                </c:pt>
                <c:pt idx="11">
                  <c:v>54921</c:v>
                </c:pt>
                <c:pt idx="12">
                  <c:v>54921</c:v>
                </c:pt>
                <c:pt idx="13">
                  <c:v>54921</c:v>
                </c:pt>
                <c:pt idx="14">
                  <c:v>54921</c:v>
                </c:pt>
                <c:pt idx="15">
                  <c:v>54921</c:v>
                </c:pt>
                <c:pt idx="16">
                  <c:v>54921</c:v>
                </c:pt>
                <c:pt idx="17">
                  <c:v>54921</c:v>
                </c:pt>
                <c:pt idx="18">
                  <c:v>54921</c:v>
                </c:pt>
                <c:pt idx="19">
                  <c:v>54921</c:v>
                </c:pt>
                <c:pt idx="20">
                  <c:v>54921</c:v>
                </c:pt>
                <c:pt idx="21">
                  <c:v>54921</c:v>
                </c:pt>
                <c:pt idx="22">
                  <c:v>54921</c:v>
                </c:pt>
                <c:pt idx="23">
                  <c:v>54921</c:v>
                </c:pt>
                <c:pt idx="24">
                  <c:v>54921</c:v>
                </c:pt>
                <c:pt idx="25">
                  <c:v>54921</c:v>
                </c:pt>
                <c:pt idx="26">
                  <c:v>54921</c:v>
                </c:pt>
                <c:pt idx="27">
                  <c:v>54921</c:v>
                </c:pt>
                <c:pt idx="28">
                  <c:v>54921</c:v>
                </c:pt>
                <c:pt idx="29">
                  <c:v>54921</c:v>
                </c:pt>
                <c:pt idx="30">
                  <c:v>54921</c:v>
                </c:pt>
                <c:pt idx="31">
                  <c:v>54921</c:v>
                </c:pt>
                <c:pt idx="32">
                  <c:v>54921</c:v>
                </c:pt>
                <c:pt idx="33">
                  <c:v>54921</c:v>
                </c:pt>
                <c:pt idx="34">
                  <c:v>54921</c:v>
                </c:pt>
                <c:pt idx="35">
                  <c:v>54921</c:v>
                </c:pt>
                <c:pt idx="36">
                  <c:v>54921</c:v>
                </c:pt>
                <c:pt idx="37">
                  <c:v>54921</c:v>
                </c:pt>
                <c:pt idx="38">
                  <c:v>54921</c:v>
                </c:pt>
                <c:pt idx="39">
                  <c:v>54921</c:v>
                </c:pt>
                <c:pt idx="40">
                  <c:v>54921</c:v>
                </c:pt>
                <c:pt idx="41">
                  <c:v>54921</c:v>
                </c:pt>
                <c:pt idx="42">
                  <c:v>54921</c:v>
                </c:pt>
                <c:pt idx="43">
                  <c:v>54921</c:v>
                </c:pt>
                <c:pt idx="44">
                  <c:v>54921</c:v>
                </c:pt>
                <c:pt idx="45">
                  <c:v>54921</c:v>
                </c:pt>
                <c:pt idx="46">
                  <c:v>54921</c:v>
                </c:pt>
                <c:pt idx="47">
                  <c:v>54921</c:v>
                </c:pt>
                <c:pt idx="48">
                  <c:v>54921</c:v>
                </c:pt>
                <c:pt idx="49">
                  <c:v>54921</c:v>
                </c:pt>
                <c:pt idx="50">
                  <c:v>54921</c:v>
                </c:pt>
                <c:pt idx="51">
                  <c:v>54921</c:v>
                </c:pt>
                <c:pt idx="52">
                  <c:v>54921</c:v>
                </c:pt>
                <c:pt idx="53">
                  <c:v>54921</c:v>
                </c:pt>
                <c:pt idx="54">
                  <c:v>54921</c:v>
                </c:pt>
                <c:pt idx="55">
                  <c:v>54921</c:v>
                </c:pt>
                <c:pt idx="56">
                  <c:v>54921</c:v>
                </c:pt>
                <c:pt idx="57">
                  <c:v>54921</c:v>
                </c:pt>
                <c:pt idx="58">
                  <c:v>54921</c:v>
                </c:pt>
                <c:pt idx="59">
                  <c:v>54921</c:v>
                </c:pt>
                <c:pt idx="60">
                  <c:v>54921</c:v>
                </c:pt>
                <c:pt idx="61">
                  <c:v>54921</c:v>
                </c:pt>
                <c:pt idx="62">
                  <c:v>54921</c:v>
                </c:pt>
                <c:pt idx="63">
                  <c:v>54921</c:v>
                </c:pt>
                <c:pt idx="64">
                  <c:v>54921</c:v>
                </c:pt>
                <c:pt idx="65">
                  <c:v>54921</c:v>
                </c:pt>
                <c:pt idx="66">
                  <c:v>54921</c:v>
                </c:pt>
                <c:pt idx="67">
                  <c:v>54921</c:v>
                </c:pt>
                <c:pt idx="68">
                  <c:v>54921</c:v>
                </c:pt>
                <c:pt idx="69">
                  <c:v>54921</c:v>
                </c:pt>
                <c:pt idx="70">
                  <c:v>54921</c:v>
                </c:pt>
                <c:pt idx="71">
                  <c:v>54921</c:v>
                </c:pt>
                <c:pt idx="72">
                  <c:v>54921</c:v>
                </c:pt>
                <c:pt idx="73">
                  <c:v>54921</c:v>
                </c:pt>
                <c:pt idx="74">
                  <c:v>54921</c:v>
                </c:pt>
                <c:pt idx="75">
                  <c:v>54921</c:v>
                </c:pt>
                <c:pt idx="76">
                  <c:v>54921</c:v>
                </c:pt>
                <c:pt idx="77">
                  <c:v>54921</c:v>
                </c:pt>
                <c:pt idx="78">
                  <c:v>54921</c:v>
                </c:pt>
                <c:pt idx="79">
                  <c:v>54921</c:v>
                </c:pt>
                <c:pt idx="80">
                  <c:v>54921</c:v>
                </c:pt>
                <c:pt idx="81">
                  <c:v>54921</c:v>
                </c:pt>
                <c:pt idx="82">
                  <c:v>54921</c:v>
                </c:pt>
                <c:pt idx="83">
                  <c:v>54921</c:v>
                </c:pt>
                <c:pt idx="84">
                  <c:v>54921</c:v>
                </c:pt>
                <c:pt idx="85">
                  <c:v>54921</c:v>
                </c:pt>
                <c:pt idx="86">
                  <c:v>54921</c:v>
                </c:pt>
                <c:pt idx="87">
                  <c:v>54921</c:v>
                </c:pt>
                <c:pt idx="88">
                  <c:v>54921</c:v>
                </c:pt>
                <c:pt idx="89">
                  <c:v>54921</c:v>
                </c:pt>
                <c:pt idx="90">
                  <c:v>54921</c:v>
                </c:pt>
                <c:pt idx="91">
                  <c:v>54921</c:v>
                </c:pt>
                <c:pt idx="92">
                  <c:v>54921</c:v>
                </c:pt>
                <c:pt idx="93">
                  <c:v>54921</c:v>
                </c:pt>
                <c:pt idx="94">
                  <c:v>54921</c:v>
                </c:pt>
                <c:pt idx="95">
                  <c:v>54921</c:v>
                </c:pt>
                <c:pt idx="96">
                  <c:v>54921</c:v>
                </c:pt>
                <c:pt idx="97">
                  <c:v>54921</c:v>
                </c:pt>
                <c:pt idx="98">
                  <c:v>54921</c:v>
                </c:pt>
                <c:pt idx="99">
                  <c:v>54921</c:v>
                </c:pt>
                <c:pt idx="100">
                  <c:v>54921</c:v>
                </c:pt>
                <c:pt idx="101">
                  <c:v>54921</c:v>
                </c:pt>
                <c:pt idx="102">
                  <c:v>54921</c:v>
                </c:pt>
                <c:pt idx="103">
                  <c:v>54921</c:v>
                </c:pt>
                <c:pt idx="104">
                  <c:v>54921</c:v>
                </c:pt>
                <c:pt idx="105">
                  <c:v>54921</c:v>
                </c:pt>
                <c:pt idx="106">
                  <c:v>54921</c:v>
                </c:pt>
                <c:pt idx="107">
                  <c:v>54921</c:v>
                </c:pt>
                <c:pt idx="108">
                  <c:v>54921</c:v>
                </c:pt>
                <c:pt idx="109">
                  <c:v>54921</c:v>
                </c:pt>
                <c:pt idx="110">
                  <c:v>54921</c:v>
                </c:pt>
                <c:pt idx="111">
                  <c:v>54921</c:v>
                </c:pt>
                <c:pt idx="112">
                  <c:v>54921</c:v>
                </c:pt>
                <c:pt idx="113">
                  <c:v>54921</c:v>
                </c:pt>
                <c:pt idx="114">
                  <c:v>54921</c:v>
                </c:pt>
                <c:pt idx="115">
                  <c:v>54921</c:v>
                </c:pt>
                <c:pt idx="116">
                  <c:v>54921</c:v>
                </c:pt>
                <c:pt idx="117">
                  <c:v>54921</c:v>
                </c:pt>
                <c:pt idx="118">
                  <c:v>54921</c:v>
                </c:pt>
                <c:pt idx="119">
                  <c:v>54921</c:v>
                </c:pt>
                <c:pt idx="120">
                  <c:v>54921</c:v>
                </c:pt>
                <c:pt idx="121">
                  <c:v>54921</c:v>
                </c:pt>
                <c:pt idx="122">
                  <c:v>54921</c:v>
                </c:pt>
                <c:pt idx="123">
                  <c:v>54921</c:v>
                </c:pt>
                <c:pt idx="124">
                  <c:v>54921</c:v>
                </c:pt>
                <c:pt idx="125">
                  <c:v>54921</c:v>
                </c:pt>
                <c:pt idx="126">
                  <c:v>54921</c:v>
                </c:pt>
                <c:pt idx="127">
                  <c:v>54921</c:v>
                </c:pt>
                <c:pt idx="128">
                  <c:v>54921</c:v>
                </c:pt>
                <c:pt idx="129">
                  <c:v>54921</c:v>
                </c:pt>
                <c:pt idx="130">
                  <c:v>54921</c:v>
                </c:pt>
                <c:pt idx="131">
                  <c:v>54921</c:v>
                </c:pt>
                <c:pt idx="132">
                  <c:v>54921</c:v>
                </c:pt>
                <c:pt idx="133">
                  <c:v>54921</c:v>
                </c:pt>
                <c:pt idx="134">
                  <c:v>54921</c:v>
                </c:pt>
                <c:pt idx="135">
                  <c:v>54921</c:v>
                </c:pt>
                <c:pt idx="136">
                  <c:v>54921</c:v>
                </c:pt>
                <c:pt idx="137">
                  <c:v>54921</c:v>
                </c:pt>
                <c:pt idx="138">
                  <c:v>54921</c:v>
                </c:pt>
                <c:pt idx="139">
                  <c:v>54921</c:v>
                </c:pt>
                <c:pt idx="140">
                  <c:v>54921</c:v>
                </c:pt>
                <c:pt idx="141">
                  <c:v>54921</c:v>
                </c:pt>
                <c:pt idx="142">
                  <c:v>54921</c:v>
                </c:pt>
                <c:pt idx="143">
                  <c:v>54921</c:v>
                </c:pt>
                <c:pt idx="144">
                  <c:v>54921</c:v>
                </c:pt>
                <c:pt idx="145">
                  <c:v>54921</c:v>
                </c:pt>
                <c:pt idx="146">
                  <c:v>54921</c:v>
                </c:pt>
                <c:pt idx="147">
                  <c:v>54921</c:v>
                </c:pt>
                <c:pt idx="148">
                  <c:v>54921</c:v>
                </c:pt>
                <c:pt idx="149">
                  <c:v>54921</c:v>
                </c:pt>
                <c:pt idx="150">
                  <c:v>54921</c:v>
                </c:pt>
                <c:pt idx="151">
                  <c:v>54921</c:v>
                </c:pt>
                <c:pt idx="152">
                  <c:v>54921</c:v>
                </c:pt>
                <c:pt idx="153">
                  <c:v>54921</c:v>
                </c:pt>
                <c:pt idx="154">
                  <c:v>54921</c:v>
                </c:pt>
                <c:pt idx="155">
                  <c:v>54921</c:v>
                </c:pt>
                <c:pt idx="156">
                  <c:v>54921</c:v>
                </c:pt>
              </c:numCache>
            </c:numRef>
          </c:val>
        </c:ser>
        <c:dLbls/>
        <c:marker val="1"/>
        <c:axId val="306089344"/>
        <c:axId val="306099328"/>
      </c:lineChart>
      <c:dateAx>
        <c:axId val="306089344"/>
        <c:scaling>
          <c:orientation val="minMax"/>
        </c:scaling>
        <c:axPos val="b"/>
        <c:numFmt formatCode="dd/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06099328"/>
        <c:crosses val="autoZero"/>
        <c:auto val="1"/>
        <c:lblOffset val="100"/>
        <c:baseTimeUnit val="days"/>
      </c:dateAx>
      <c:valAx>
        <c:axId val="306099328"/>
        <c:scaling>
          <c:orientation val="minMax"/>
          <c:max val="90000"/>
          <c:min val="0"/>
        </c:scaling>
        <c:axPos val="l"/>
        <c:majorGridlines/>
        <c:numFmt formatCode="0.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06089344"/>
        <c:crosses val="autoZero"/>
        <c:crossBetween val="between"/>
      </c:valAx>
    </c:plotArea>
    <c:legend>
      <c:legendPos val="r"/>
      <c:layout>
        <c:manualLayout>
          <c:xMode val="edge"/>
          <c:yMode val="edge"/>
          <c:x val="0.84239247311830434"/>
          <c:y val="0.18036429392814193"/>
          <c:w val="0.14147849462365589"/>
          <c:h val="0.69267181067254391"/>
        </c:manualLayout>
      </c:layout>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5760320915278594"/>
          <c:y val="0.19166340015358338"/>
          <c:w val="0.78659097286547364"/>
          <c:h val="0.60212245410911425"/>
        </c:manualLayout>
      </c:layout>
      <c:lineChart>
        <c:grouping val="stacked"/>
        <c:ser>
          <c:idx val="0"/>
          <c:order val="0"/>
          <c:tx>
            <c:strRef>
              <c:f>'Allocated charts'!$B$2</c:f>
              <c:strCache>
                <c:ptCount val="1"/>
                <c:pt idx="0">
                  <c:v>CGC T4 V-MAX 0623</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charts'!$B$3:$B$159</c:f>
              <c:numCache>
                <c:formatCode>0</c:formatCode>
                <c:ptCount val="157"/>
                <c:pt idx="0">
                  <c:v>181.77187499999999</c:v>
                </c:pt>
                <c:pt idx="1">
                  <c:v>140.03144531250001</c:v>
                </c:pt>
                <c:pt idx="2">
                  <c:v>140.03144531250001</c:v>
                </c:pt>
                <c:pt idx="3">
                  <c:v>140.03144531250001</c:v>
                </c:pt>
                <c:pt idx="4">
                  <c:v>140.03144531250001</c:v>
                </c:pt>
                <c:pt idx="5">
                  <c:v>140.03144531250001</c:v>
                </c:pt>
                <c:pt idx="6">
                  <c:v>140.03144531250001</c:v>
                </c:pt>
                <c:pt idx="7">
                  <c:v>140.03144531250001</c:v>
                </c:pt>
                <c:pt idx="8">
                  <c:v>176.40433593750001</c:v>
                </c:pt>
                <c:pt idx="9">
                  <c:v>140.03144531250001</c:v>
                </c:pt>
                <c:pt idx="10">
                  <c:v>140.03144531250001</c:v>
                </c:pt>
                <c:pt idx="11">
                  <c:v>140.03144531250001</c:v>
                </c:pt>
                <c:pt idx="12">
                  <c:v>140.03144531250001</c:v>
                </c:pt>
                <c:pt idx="13">
                  <c:v>140.03144531250001</c:v>
                </c:pt>
                <c:pt idx="14">
                  <c:v>140.03144531250001</c:v>
                </c:pt>
                <c:pt idx="15">
                  <c:v>140.03144531250001</c:v>
                </c:pt>
                <c:pt idx="16">
                  <c:v>0.6083984375</c:v>
                </c:pt>
                <c:pt idx="17">
                  <c:v>0.6083984375</c:v>
                </c:pt>
                <c:pt idx="18">
                  <c:v>0.6083984375</c:v>
                </c:pt>
                <c:pt idx="19">
                  <c:v>0.6083984375</c:v>
                </c:pt>
                <c:pt idx="20">
                  <c:v>0.6083984375</c:v>
                </c:pt>
                <c:pt idx="21">
                  <c:v>0.6083984375</c:v>
                </c:pt>
                <c:pt idx="22">
                  <c:v>0.6083984375</c:v>
                </c:pt>
                <c:pt idx="23">
                  <c:v>0.6083984375</c:v>
                </c:pt>
                <c:pt idx="24">
                  <c:v>0.6083984375</c:v>
                </c:pt>
                <c:pt idx="25">
                  <c:v>0.6083984375</c:v>
                </c:pt>
                <c:pt idx="26">
                  <c:v>0.6083984375</c:v>
                </c:pt>
                <c:pt idx="27">
                  <c:v>0.6083984375</c:v>
                </c:pt>
                <c:pt idx="28">
                  <c:v>0.6083984375</c:v>
                </c:pt>
                <c:pt idx="29">
                  <c:v>0.6083984375</c:v>
                </c:pt>
                <c:pt idx="30">
                  <c:v>0.6083984375</c:v>
                </c:pt>
                <c:pt idx="31">
                  <c:v>0.6083984375</c:v>
                </c:pt>
                <c:pt idx="32">
                  <c:v>0.6083984375</c:v>
                </c:pt>
                <c:pt idx="33">
                  <c:v>0.6083984375</c:v>
                </c:pt>
                <c:pt idx="34">
                  <c:v>0.6083984375</c:v>
                </c:pt>
                <c:pt idx="35">
                  <c:v>0.6083984375</c:v>
                </c:pt>
                <c:pt idx="36">
                  <c:v>0.6083984375</c:v>
                </c:pt>
                <c:pt idx="37">
                  <c:v>0.6083984375</c:v>
                </c:pt>
                <c:pt idx="38">
                  <c:v>0.6083984375</c:v>
                </c:pt>
                <c:pt idx="39">
                  <c:v>0.6083984375</c:v>
                </c:pt>
                <c:pt idx="40">
                  <c:v>0.6083984375</c:v>
                </c:pt>
                <c:pt idx="41">
                  <c:v>0.6083984375</c:v>
                </c:pt>
                <c:pt idx="42">
                  <c:v>0.6083984375</c:v>
                </c:pt>
                <c:pt idx="43">
                  <c:v>0.6083984375</c:v>
                </c:pt>
                <c:pt idx="44">
                  <c:v>0.6083984375</c:v>
                </c:pt>
                <c:pt idx="45">
                  <c:v>0.6083984375</c:v>
                </c:pt>
                <c:pt idx="46">
                  <c:v>0.6083984375</c:v>
                </c:pt>
                <c:pt idx="47">
                  <c:v>0.6083984375</c:v>
                </c:pt>
                <c:pt idx="48">
                  <c:v>0.6083984375</c:v>
                </c:pt>
                <c:pt idx="49">
                  <c:v>0.6083984375</c:v>
                </c:pt>
                <c:pt idx="50">
                  <c:v>0.6083984375</c:v>
                </c:pt>
                <c:pt idx="51">
                  <c:v>0.6083984375</c:v>
                </c:pt>
                <c:pt idx="52">
                  <c:v>0.6083984375</c:v>
                </c:pt>
                <c:pt idx="53">
                  <c:v>0.6083984375</c:v>
                </c:pt>
                <c:pt idx="54">
                  <c:v>0.6083984375</c:v>
                </c:pt>
                <c:pt idx="55">
                  <c:v>0.6083984375</c:v>
                </c:pt>
                <c:pt idx="56">
                  <c:v>0.6083984375</c:v>
                </c:pt>
                <c:pt idx="57">
                  <c:v>0.6083984375</c:v>
                </c:pt>
                <c:pt idx="58">
                  <c:v>0.6083984375</c:v>
                </c:pt>
                <c:pt idx="59">
                  <c:v>0.6083984375</c:v>
                </c:pt>
                <c:pt idx="60">
                  <c:v>0.6083984375</c:v>
                </c:pt>
                <c:pt idx="61">
                  <c:v>0.6083984375</c:v>
                </c:pt>
                <c:pt idx="62">
                  <c:v>0.6083984375</c:v>
                </c:pt>
                <c:pt idx="63">
                  <c:v>0.6083984375</c:v>
                </c:pt>
                <c:pt idx="64">
                  <c:v>0.6083984375</c:v>
                </c:pt>
                <c:pt idx="65">
                  <c:v>0.6083984375</c:v>
                </c:pt>
                <c:pt idx="66">
                  <c:v>0.6083984375</c:v>
                </c:pt>
                <c:pt idx="67">
                  <c:v>0.6083984375</c:v>
                </c:pt>
                <c:pt idx="68">
                  <c:v>0.6083984375</c:v>
                </c:pt>
                <c:pt idx="69">
                  <c:v>0.6083984375</c:v>
                </c:pt>
                <c:pt idx="70">
                  <c:v>0.6083984375</c:v>
                </c:pt>
                <c:pt idx="71">
                  <c:v>0.6083984375</c:v>
                </c:pt>
                <c:pt idx="72">
                  <c:v>0.6083984375</c:v>
                </c:pt>
                <c:pt idx="73">
                  <c:v>0.6083984375</c:v>
                </c:pt>
                <c:pt idx="74">
                  <c:v>0.6083984375</c:v>
                </c:pt>
                <c:pt idx="75">
                  <c:v>0.6083984375</c:v>
                </c:pt>
                <c:pt idx="76">
                  <c:v>0.6083984375</c:v>
                </c:pt>
                <c:pt idx="77">
                  <c:v>0.6083984375</c:v>
                </c:pt>
                <c:pt idx="78">
                  <c:v>0.6083984375</c:v>
                </c:pt>
                <c:pt idx="79">
                  <c:v>0.6083984375</c:v>
                </c:pt>
                <c:pt idx="80">
                  <c:v>0.6083984375</c:v>
                </c:pt>
                <c:pt idx="81">
                  <c:v>0.6083984375</c:v>
                </c:pt>
                <c:pt idx="82">
                  <c:v>0.6083984375</c:v>
                </c:pt>
                <c:pt idx="83">
                  <c:v>0.6083984375</c:v>
                </c:pt>
                <c:pt idx="84">
                  <c:v>0.6083984375</c:v>
                </c:pt>
                <c:pt idx="85">
                  <c:v>0.6083984375</c:v>
                </c:pt>
                <c:pt idx="86">
                  <c:v>0.6083984375</c:v>
                </c:pt>
                <c:pt idx="87">
                  <c:v>0.6083984375</c:v>
                </c:pt>
                <c:pt idx="88">
                  <c:v>0.6083984375</c:v>
                </c:pt>
                <c:pt idx="89">
                  <c:v>0.6083984375</c:v>
                </c:pt>
                <c:pt idx="90">
                  <c:v>0.6083984375</c:v>
                </c:pt>
                <c:pt idx="91">
                  <c:v>0.6083984375</c:v>
                </c:pt>
                <c:pt idx="92">
                  <c:v>0.6083984375</c:v>
                </c:pt>
                <c:pt idx="93">
                  <c:v>0.6083984375</c:v>
                </c:pt>
                <c:pt idx="94">
                  <c:v>0.6083984375</c:v>
                </c:pt>
                <c:pt idx="95">
                  <c:v>0.6083984375</c:v>
                </c:pt>
                <c:pt idx="96">
                  <c:v>0.6083984375</c:v>
                </c:pt>
                <c:pt idx="97">
                  <c:v>0.6083984375</c:v>
                </c:pt>
                <c:pt idx="98">
                  <c:v>0.6083984375</c:v>
                </c:pt>
                <c:pt idx="99">
                  <c:v>0.6083984375</c:v>
                </c:pt>
                <c:pt idx="100">
                  <c:v>0.6083984375</c:v>
                </c:pt>
                <c:pt idx="101">
                  <c:v>0.6083984375</c:v>
                </c:pt>
                <c:pt idx="102">
                  <c:v>0.6083984375</c:v>
                </c:pt>
                <c:pt idx="103">
                  <c:v>0.6083984375</c:v>
                </c:pt>
                <c:pt idx="104">
                  <c:v>0.6083984375</c:v>
                </c:pt>
                <c:pt idx="105">
                  <c:v>0.6083984375</c:v>
                </c:pt>
                <c:pt idx="106">
                  <c:v>0.6083984375</c:v>
                </c:pt>
                <c:pt idx="107">
                  <c:v>0.6083984375</c:v>
                </c:pt>
                <c:pt idx="108">
                  <c:v>0.6083984375</c:v>
                </c:pt>
                <c:pt idx="109">
                  <c:v>0.6083984375</c:v>
                </c:pt>
                <c:pt idx="110">
                  <c:v>0.6083984375</c:v>
                </c:pt>
                <c:pt idx="111">
                  <c:v>0.6083984375</c:v>
                </c:pt>
                <c:pt idx="112">
                  <c:v>0.6083984375</c:v>
                </c:pt>
                <c:pt idx="113">
                  <c:v>0.6083984375</c:v>
                </c:pt>
                <c:pt idx="114">
                  <c:v>0.6083984375</c:v>
                </c:pt>
                <c:pt idx="115">
                  <c:v>0.6083984375</c:v>
                </c:pt>
                <c:pt idx="116">
                  <c:v>0.6083984375</c:v>
                </c:pt>
                <c:pt idx="117">
                  <c:v>0.6083984375</c:v>
                </c:pt>
                <c:pt idx="118">
                  <c:v>0.6083984375</c:v>
                </c:pt>
                <c:pt idx="119">
                  <c:v>0.6083984375</c:v>
                </c:pt>
                <c:pt idx="120">
                  <c:v>0.6083984375</c:v>
                </c:pt>
                <c:pt idx="121">
                  <c:v>0.6083984375</c:v>
                </c:pt>
                <c:pt idx="122">
                  <c:v>0.6083984375</c:v>
                </c:pt>
                <c:pt idx="123">
                  <c:v>0.6083984375</c:v>
                </c:pt>
                <c:pt idx="124">
                  <c:v>0.6083984375</c:v>
                </c:pt>
                <c:pt idx="125">
                  <c:v>0.6083984375</c:v>
                </c:pt>
                <c:pt idx="126">
                  <c:v>0.6083984375</c:v>
                </c:pt>
                <c:pt idx="127">
                  <c:v>0.6083984375</c:v>
                </c:pt>
                <c:pt idx="128">
                  <c:v>0.6083984375</c:v>
                </c:pt>
                <c:pt idx="129">
                  <c:v>0.6083984375</c:v>
                </c:pt>
                <c:pt idx="130">
                  <c:v>0.6083984375</c:v>
                </c:pt>
                <c:pt idx="131">
                  <c:v>0.6083984375</c:v>
                </c:pt>
                <c:pt idx="132">
                  <c:v>0.6083984375</c:v>
                </c:pt>
                <c:pt idx="133">
                  <c:v>0.6083984375</c:v>
                </c:pt>
                <c:pt idx="134">
                  <c:v>0.6083984375</c:v>
                </c:pt>
                <c:pt idx="135">
                  <c:v>0.6083984375</c:v>
                </c:pt>
                <c:pt idx="136">
                  <c:v>0.6083984375</c:v>
                </c:pt>
                <c:pt idx="137">
                  <c:v>0.6083984375</c:v>
                </c:pt>
                <c:pt idx="138">
                  <c:v>0.6083984375</c:v>
                </c:pt>
                <c:pt idx="139">
                  <c:v>0.6083984375</c:v>
                </c:pt>
                <c:pt idx="140">
                  <c:v>0.6083984375</c:v>
                </c:pt>
                <c:pt idx="141">
                  <c:v>0.6083984375</c:v>
                </c:pt>
                <c:pt idx="142">
                  <c:v>0.6083984375</c:v>
                </c:pt>
                <c:pt idx="143">
                  <c:v>0.6083984375</c:v>
                </c:pt>
                <c:pt idx="144">
                  <c:v>0.6083984375</c:v>
                </c:pt>
                <c:pt idx="145">
                  <c:v>0.6083984375</c:v>
                </c:pt>
                <c:pt idx="146">
                  <c:v>0.6083984375</c:v>
                </c:pt>
                <c:pt idx="147">
                  <c:v>0.6083984375</c:v>
                </c:pt>
                <c:pt idx="148">
                  <c:v>0.6083984375</c:v>
                </c:pt>
                <c:pt idx="149">
                  <c:v>0.6083984375</c:v>
                </c:pt>
                <c:pt idx="150">
                  <c:v>0.6083984375</c:v>
                </c:pt>
                <c:pt idx="151">
                  <c:v>0.6083984375</c:v>
                </c:pt>
                <c:pt idx="152">
                  <c:v>0.6083984375</c:v>
                </c:pt>
                <c:pt idx="153">
                  <c:v>0.6083984375</c:v>
                </c:pt>
                <c:pt idx="154">
                  <c:v>0.6083984375</c:v>
                </c:pt>
                <c:pt idx="155">
                  <c:v>0.6083984375</c:v>
                </c:pt>
                <c:pt idx="156">
                  <c:v>0.6083984375</c:v>
                </c:pt>
              </c:numCache>
            </c:numRef>
          </c:val>
        </c:ser>
        <c:dLbls/>
        <c:marker val="1"/>
        <c:axId val="336090624"/>
        <c:axId val="336092160"/>
      </c:lineChart>
      <c:dateAx>
        <c:axId val="33609062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36092160"/>
        <c:crosses val="autoZero"/>
        <c:auto val="1"/>
        <c:lblOffset val="100"/>
        <c:baseTimeUnit val="days"/>
      </c:dateAx>
      <c:valAx>
        <c:axId val="33609216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36090624"/>
        <c:crosses val="autoZero"/>
        <c:crossBetween val="between"/>
      </c:valAx>
    </c:plotArea>
    <c:plotVisOnly val="1"/>
    <c:dispBlanksAs val="zero"/>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500" b="1" i="0" u="none" strike="noStrike" baseline="0">
                <a:solidFill>
                  <a:srgbClr val="000000"/>
                </a:solidFill>
                <a:latin typeface="Calibri"/>
                <a:ea typeface="Calibri"/>
                <a:cs typeface="Calibri"/>
              </a:defRPr>
            </a:pPr>
            <a:r>
              <a:rPr lang="en-GB" sz="1500"/>
              <a:t>CGC Tier 3 VMAX 745 (TB Allocated)</a:t>
            </a:r>
          </a:p>
        </c:rich>
      </c:tx>
      <c:layout>
        <c:manualLayout>
          <c:xMode val="edge"/>
          <c:yMode val="edge"/>
          <c:x val="0.13494546515020231"/>
          <c:y val="4.7197535090722414E-2"/>
        </c:manualLayout>
      </c:layout>
      <c:spPr>
        <a:noFill/>
        <a:ln w="25400">
          <a:noFill/>
        </a:ln>
      </c:spPr>
    </c:title>
    <c:plotArea>
      <c:layout/>
      <c:lineChart>
        <c:grouping val="standard"/>
        <c:ser>
          <c:idx val="0"/>
          <c:order val="0"/>
          <c:tx>
            <c:strRef>
              <c:f>'Allocated charts'!$C$2</c:f>
              <c:strCache>
                <c:ptCount val="1"/>
                <c:pt idx="0">
                  <c:v>CGC T3 V-MAX 0745</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charts'!$C$3:$C$159</c:f>
              <c:numCache>
                <c:formatCode>0</c:formatCode>
                <c:ptCount val="157"/>
                <c:pt idx="0">
                  <c:v>90.655429687500003</c:v>
                </c:pt>
                <c:pt idx="1">
                  <c:v>146.98808593749999</c:v>
                </c:pt>
                <c:pt idx="2">
                  <c:v>146.98808593749999</c:v>
                </c:pt>
                <c:pt idx="3">
                  <c:v>146.98808593749999</c:v>
                </c:pt>
                <c:pt idx="4">
                  <c:v>146.98808593749999</c:v>
                </c:pt>
                <c:pt idx="5">
                  <c:v>146.98808593749999</c:v>
                </c:pt>
                <c:pt idx="6">
                  <c:v>146.98808593749999</c:v>
                </c:pt>
                <c:pt idx="7">
                  <c:v>146.98808593749999</c:v>
                </c:pt>
                <c:pt idx="8">
                  <c:v>89.634609374999997</c:v>
                </c:pt>
                <c:pt idx="9">
                  <c:v>146.98808593749999</c:v>
                </c:pt>
                <c:pt idx="10">
                  <c:v>146.98808593749999</c:v>
                </c:pt>
                <c:pt idx="11">
                  <c:v>146.98808593749999</c:v>
                </c:pt>
                <c:pt idx="12">
                  <c:v>146.98808593749999</c:v>
                </c:pt>
                <c:pt idx="13">
                  <c:v>146.98808593749999</c:v>
                </c:pt>
                <c:pt idx="14">
                  <c:v>146.98808593749999</c:v>
                </c:pt>
                <c:pt idx="15">
                  <c:v>146.98808593749999</c:v>
                </c:pt>
                <c:pt idx="16">
                  <c:v>0.7275390625</c:v>
                </c:pt>
                <c:pt idx="17">
                  <c:v>0.7275390625</c:v>
                </c:pt>
                <c:pt idx="18">
                  <c:v>0.7275390625</c:v>
                </c:pt>
                <c:pt idx="19">
                  <c:v>0.7275390625</c:v>
                </c:pt>
                <c:pt idx="20">
                  <c:v>0.7275390625</c:v>
                </c:pt>
                <c:pt idx="21">
                  <c:v>0.7275390625</c:v>
                </c:pt>
                <c:pt idx="22">
                  <c:v>0.7275390625</c:v>
                </c:pt>
                <c:pt idx="23">
                  <c:v>0.7275390625</c:v>
                </c:pt>
                <c:pt idx="24">
                  <c:v>0.7275390625</c:v>
                </c:pt>
                <c:pt idx="25">
                  <c:v>0.7275390625</c:v>
                </c:pt>
                <c:pt idx="26">
                  <c:v>0.7275390625</c:v>
                </c:pt>
                <c:pt idx="27">
                  <c:v>0.7275390625</c:v>
                </c:pt>
                <c:pt idx="28">
                  <c:v>0.7275390625</c:v>
                </c:pt>
                <c:pt idx="29">
                  <c:v>0.7275390625</c:v>
                </c:pt>
                <c:pt idx="30">
                  <c:v>0.7275390625</c:v>
                </c:pt>
                <c:pt idx="31">
                  <c:v>0.7275390625</c:v>
                </c:pt>
                <c:pt idx="32">
                  <c:v>0.7275390625</c:v>
                </c:pt>
                <c:pt idx="33">
                  <c:v>0.7275390625</c:v>
                </c:pt>
                <c:pt idx="34">
                  <c:v>0.7275390625</c:v>
                </c:pt>
                <c:pt idx="35">
                  <c:v>0.7275390625</c:v>
                </c:pt>
                <c:pt idx="36">
                  <c:v>0.7275390625</c:v>
                </c:pt>
                <c:pt idx="37">
                  <c:v>0.7275390625</c:v>
                </c:pt>
                <c:pt idx="38">
                  <c:v>0.7275390625</c:v>
                </c:pt>
                <c:pt idx="39">
                  <c:v>0.7275390625</c:v>
                </c:pt>
                <c:pt idx="40">
                  <c:v>0.7275390625</c:v>
                </c:pt>
                <c:pt idx="41">
                  <c:v>0.7275390625</c:v>
                </c:pt>
                <c:pt idx="42">
                  <c:v>0.7275390625</c:v>
                </c:pt>
                <c:pt idx="43">
                  <c:v>0.7275390625</c:v>
                </c:pt>
                <c:pt idx="44">
                  <c:v>0.7275390625</c:v>
                </c:pt>
                <c:pt idx="45">
                  <c:v>0.7275390625</c:v>
                </c:pt>
                <c:pt idx="46">
                  <c:v>0.7275390625</c:v>
                </c:pt>
                <c:pt idx="47">
                  <c:v>0.7275390625</c:v>
                </c:pt>
                <c:pt idx="48">
                  <c:v>0.7275390625</c:v>
                </c:pt>
                <c:pt idx="49">
                  <c:v>0.7275390625</c:v>
                </c:pt>
                <c:pt idx="50">
                  <c:v>0.7275390625</c:v>
                </c:pt>
                <c:pt idx="51">
                  <c:v>0.7275390625</c:v>
                </c:pt>
                <c:pt idx="52">
                  <c:v>0.7275390625</c:v>
                </c:pt>
                <c:pt idx="53">
                  <c:v>0.7275390625</c:v>
                </c:pt>
                <c:pt idx="54">
                  <c:v>0.7275390625</c:v>
                </c:pt>
                <c:pt idx="55">
                  <c:v>0.7275390625</c:v>
                </c:pt>
                <c:pt idx="56">
                  <c:v>0.7275390625</c:v>
                </c:pt>
                <c:pt idx="57">
                  <c:v>0.7275390625</c:v>
                </c:pt>
                <c:pt idx="58">
                  <c:v>0.7275390625</c:v>
                </c:pt>
                <c:pt idx="59">
                  <c:v>0.7275390625</c:v>
                </c:pt>
                <c:pt idx="60">
                  <c:v>0.7275390625</c:v>
                </c:pt>
                <c:pt idx="61">
                  <c:v>0.7275390625</c:v>
                </c:pt>
                <c:pt idx="62">
                  <c:v>0.7275390625</c:v>
                </c:pt>
                <c:pt idx="63">
                  <c:v>0.7275390625</c:v>
                </c:pt>
                <c:pt idx="64">
                  <c:v>0.7275390625</c:v>
                </c:pt>
                <c:pt idx="65">
                  <c:v>0.7275390625</c:v>
                </c:pt>
                <c:pt idx="66">
                  <c:v>0.7275390625</c:v>
                </c:pt>
                <c:pt idx="67">
                  <c:v>0.7275390625</c:v>
                </c:pt>
                <c:pt idx="68">
                  <c:v>0.7275390625</c:v>
                </c:pt>
                <c:pt idx="69">
                  <c:v>0.7275390625</c:v>
                </c:pt>
                <c:pt idx="70">
                  <c:v>0.7275390625</c:v>
                </c:pt>
                <c:pt idx="71">
                  <c:v>0.7275390625</c:v>
                </c:pt>
                <c:pt idx="72">
                  <c:v>0.7275390625</c:v>
                </c:pt>
                <c:pt idx="73">
                  <c:v>0.7275390625</c:v>
                </c:pt>
                <c:pt idx="74">
                  <c:v>0.7275390625</c:v>
                </c:pt>
                <c:pt idx="75">
                  <c:v>0.7275390625</c:v>
                </c:pt>
                <c:pt idx="76">
                  <c:v>0.7275390625</c:v>
                </c:pt>
                <c:pt idx="77">
                  <c:v>0.7275390625</c:v>
                </c:pt>
                <c:pt idx="78">
                  <c:v>0.7275390625</c:v>
                </c:pt>
                <c:pt idx="79">
                  <c:v>0.7275390625</c:v>
                </c:pt>
                <c:pt idx="80">
                  <c:v>0.7275390625</c:v>
                </c:pt>
                <c:pt idx="81">
                  <c:v>0.7275390625</c:v>
                </c:pt>
                <c:pt idx="82">
                  <c:v>0.7275390625</c:v>
                </c:pt>
                <c:pt idx="83">
                  <c:v>0.7275390625</c:v>
                </c:pt>
                <c:pt idx="84">
                  <c:v>0.7275390625</c:v>
                </c:pt>
                <c:pt idx="85">
                  <c:v>0.7275390625</c:v>
                </c:pt>
                <c:pt idx="86">
                  <c:v>0.7275390625</c:v>
                </c:pt>
                <c:pt idx="87">
                  <c:v>0.7275390625</c:v>
                </c:pt>
                <c:pt idx="88">
                  <c:v>0.7275390625</c:v>
                </c:pt>
                <c:pt idx="89">
                  <c:v>0.7275390625</c:v>
                </c:pt>
                <c:pt idx="90">
                  <c:v>0.7275390625</c:v>
                </c:pt>
                <c:pt idx="91">
                  <c:v>0.7275390625</c:v>
                </c:pt>
                <c:pt idx="92">
                  <c:v>0.7275390625</c:v>
                </c:pt>
                <c:pt idx="93">
                  <c:v>0.7275390625</c:v>
                </c:pt>
                <c:pt idx="94">
                  <c:v>0.7275390625</c:v>
                </c:pt>
                <c:pt idx="95">
                  <c:v>0.7275390625</c:v>
                </c:pt>
                <c:pt idx="96">
                  <c:v>0.7275390625</c:v>
                </c:pt>
                <c:pt idx="97">
                  <c:v>0.7275390625</c:v>
                </c:pt>
                <c:pt idx="98">
                  <c:v>0.7275390625</c:v>
                </c:pt>
                <c:pt idx="99">
                  <c:v>0.7275390625</c:v>
                </c:pt>
                <c:pt idx="100">
                  <c:v>0.7275390625</c:v>
                </c:pt>
                <c:pt idx="101">
                  <c:v>0.7275390625</c:v>
                </c:pt>
                <c:pt idx="102">
                  <c:v>0.7275390625</c:v>
                </c:pt>
                <c:pt idx="103">
                  <c:v>0.7275390625</c:v>
                </c:pt>
                <c:pt idx="104">
                  <c:v>0.7275390625</c:v>
                </c:pt>
                <c:pt idx="105">
                  <c:v>0.7275390625</c:v>
                </c:pt>
                <c:pt idx="106">
                  <c:v>0.7275390625</c:v>
                </c:pt>
                <c:pt idx="107">
                  <c:v>0.7275390625</c:v>
                </c:pt>
                <c:pt idx="108">
                  <c:v>0.7275390625</c:v>
                </c:pt>
                <c:pt idx="109">
                  <c:v>0.7275390625</c:v>
                </c:pt>
                <c:pt idx="110">
                  <c:v>0.7275390625</c:v>
                </c:pt>
                <c:pt idx="111">
                  <c:v>0.7275390625</c:v>
                </c:pt>
                <c:pt idx="112">
                  <c:v>0.7275390625</c:v>
                </c:pt>
                <c:pt idx="113">
                  <c:v>0.7275390625</c:v>
                </c:pt>
                <c:pt idx="114">
                  <c:v>0.7275390625</c:v>
                </c:pt>
                <c:pt idx="115">
                  <c:v>0.7275390625</c:v>
                </c:pt>
                <c:pt idx="116">
                  <c:v>0.7275390625</c:v>
                </c:pt>
                <c:pt idx="117">
                  <c:v>0.7275390625</c:v>
                </c:pt>
                <c:pt idx="118">
                  <c:v>0.7275390625</c:v>
                </c:pt>
                <c:pt idx="119">
                  <c:v>0.7275390625</c:v>
                </c:pt>
                <c:pt idx="120">
                  <c:v>0.7275390625</c:v>
                </c:pt>
                <c:pt idx="121">
                  <c:v>0.7275390625</c:v>
                </c:pt>
                <c:pt idx="122">
                  <c:v>0.7275390625</c:v>
                </c:pt>
                <c:pt idx="123">
                  <c:v>0.7275390625</c:v>
                </c:pt>
                <c:pt idx="124">
                  <c:v>0.7275390625</c:v>
                </c:pt>
                <c:pt idx="125">
                  <c:v>0.7275390625</c:v>
                </c:pt>
                <c:pt idx="126">
                  <c:v>0.7275390625</c:v>
                </c:pt>
                <c:pt idx="127">
                  <c:v>0.7275390625</c:v>
                </c:pt>
                <c:pt idx="128">
                  <c:v>0.7275390625</c:v>
                </c:pt>
                <c:pt idx="129">
                  <c:v>0.7275390625</c:v>
                </c:pt>
                <c:pt idx="130">
                  <c:v>0.7275390625</c:v>
                </c:pt>
                <c:pt idx="131">
                  <c:v>0.7275390625</c:v>
                </c:pt>
                <c:pt idx="132">
                  <c:v>0.7275390625</c:v>
                </c:pt>
                <c:pt idx="133">
                  <c:v>0.7275390625</c:v>
                </c:pt>
                <c:pt idx="134">
                  <c:v>0.7275390625</c:v>
                </c:pt>
                <c:pt idx="135">
                  <c:v>0.7275390625</c:v>
                </c:pt>
                <c:pt idx="136">
                  <c:v>0.7275390625</c:v>
                </c:pt>
                <c:pt idx="137">
                  <c:v>0.7275390625</c:v>
                </c:pt>
                <c:pt idx="138">
                  <c:v>0.7275390625</c:v>
                </c:pt>
                <c:pt idx="139">
                  <c:v>0.7275390625</c:v>
                </c:pt>
                <c:pt idx="140">
                  <c:v>0.7275390625</c:v>
                </c:pt>
                <c:pt idx="141">
                  <c:v>0.7275390625</c:v>
                </c:pt>
                <c:pt idx="142">
                  <c:v>0.7275390625</c:v>
                </c:pt>
                <c:pt idx="143">
                  <c:v>0.7275390625</c:v>
                </c:pt>
                <c:pt idx="144">
                  <c:v>0.7275390625</c:v>
                </c:pt>
                <c:pt idx="145">
                  <c:v>0.7275390625</c:v>
                </c:pt>
                <c:pt idx="146">
                  <c:v>0.7275390625</c:v>
                </c:pt>
                <c:pt idx="147">
                  <c:v>0.7275390625</c:v>
                </c:pt>
                <c:pt idx="148">
                  <c:v>0.7275390625</c:v>
                </c:pt>
                <c:pt idx="149">
                  <c:v>0.7275390625</c:v>
                </c:pt>
                <c:pt idx="150">
                  <c:v>0.7275390625</c:v>
                </c:pt>
                <c:pt idx="151">
                  <c:v>0.7275390625</c:v>
                </c:pt>
                <c:pt idx="152">
                  <c:v>0.7275390625</c:v>
                </c:pt>
                <c:pt idx="153">
                  <c:v>0.7275390625</c:v>
                </c:pt>
                <c:pt idx="154">
                  <c:v>0.7275390625</c:v>
                </c:pt>
                <c:pt idx="155">
                  <c:v>0.7275390625</c:v>
                </c:pt>
                <c:pt idx="156">
                  <c:v>0.7275390625</c:v>
                </c:pt>
              </c:numCache>
            </c:numRef>
          </c:val>
        </c:ser>
        <c:dLbls/>
        <c:marker val="1"/>
        <c:axId val="336128640"/>
        <c:axId val="341119360"/>
      </c:lineChart>
      <c:dateAx>
        <c:axId val="3361286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41119360"/>
        <c:crosses val="autoZero"/>
        <c:auto val="1"/>
        <c:lblOffset val="100"/>
        <c:baseTimeUnit val="days"/>
      </c:dateAx>
      <c:valAx>
        <c:axId val="34111936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361286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RDC Tier 4 VMAX 678 (TB Allocated)</a:t>
            </a:r>
          </a:p>
        </c:rich>
      </c:tx>
      <c:spPr>
        <a:noFill/>
        <a:ln w="25400">
          <a:noFill/>
        </a:ln>
      </c:spPr>
    </c:title>
    <c:plotArea>
      <c:layout>
        <c:manualLayout>
          <c:layoutTarget val="inner"/>
          <c:xMode val="edge"/>
          <c:yMode val="edge"/>
          <c:x val="0.21828971437625141"/>
          <c:y val="0.21261682242990654"/>
          <c:w val="0.73746525127111962"/>
          <c:h val="0.58411214953265467"/>
        </c:manualLayout>
      </c:layout>
      <c:lineChart>
        <c:grouping val="standard"/>
        <c:ser>
          <c:idx val="0"/>
          <c:order val="0"/>
          <c:tx>
            <c:strRef>
              <c:f>'Allocated charts'!$E$2</c:f>
              <c:strCache>
                <c:ptCount val="1"/>
                <c:pt idx="0">
                  <c:v>RDC T4 V-MAX 0678</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charts'!$E$3:$E$160</c:f>
              <c:numCache>
                <c:formatCode>0</c:formatCode>
                <c:ptCount val="158"/>
                <c:pt idx="0">
                  <c:v>271.27476562499999</c:v>
                </c:pt>
                <c:pt idx="1">
                  <c:v>177.73222656249999</c:v>
                </c:pt>
                <c:pt idx="2">
                  <c:v>177.73222656249999</c:v>
                </c:pt>
                <c:pt idx="3">
                  <c:v>177.73222656249999</c:v>
                </c:pt>
                <c:pt idx="4">
                  <c:v>177.73222656249999</c:v>
                </c:pt>
                <c:pt idx="5">
                  <c:v>177.73222656249999</c:v>
                </c:pt>
                <c:pt idx="6">
                  <c:v>177.73222656249999</c:v>
                </c:pt>
                <c:pt idx="7">
                  <c:v>177.73222656249999</c:v>
                </c:pt>
                <c:pt idx="8">
                  <c:v>271.07718749999998</c:v>
                </c:pt>
                <c:pt idx="9">
                  <c:v>177.73222656249999</c:v>
                </c:pt>
                <c:pt idx="10">
                  <c:v>177.73222656249999</c:v>
                </c:pt>
                <c:pt idx="11">
                  <c:v>177.73222656249999</c:v>
                </c:pt>
                <c:pt idx="12">
                  <c:v>177.73222656249999</c:v>
                </c:pt>
                <c:pt idx="13">
                  <c:v>177.73222656249999</c:v>
                </c:pt>
                <c:pt idx="14">
                  <c:v>177.73222656249999</c:v>
                </c:pt>
                <c:pt idx="15">
                  <c:v>177.73222656249999</c:v>
                </c:pt>
                <c:pt idx="16">
                  <c:v>0.662109375</c:v>
                </c:pt>
                <c:pt idx="17">
                  <c:v>0.662109375</c:v>
                </c:pt>
                <c:pt idx="18">
                  <c:v>0.662109375</c:v>
                </c:pt>
                <c:pt idx="19">
                  <c:v>0.662109375</c:v>
                </c:pt>
                <c:pt idx="20">
                  <c:v>0.662109375</c:v>
                </c:pt>
                <c:pt idx="21">
                  <c:v>0.662109375</c:v>
                </c:pt>
                <c:pt idx="22">
                  <c:v>0.662109375</c:v>
                </c:pt>
                <c:pt idx="23">
                  <c:v>0.662109375</c:v>
                </c:pt>
                <c:pt idx="24">
                  <c:v>0.662109375</c:v>
                </c:pt>
                <c:pt idx="25">
                  <c:v>0.662109375</c:v>
                </c:pt>
                <c:pt idx="26">
                  <c:v>0.662109375</c:v>
                </c:pt>
                <c:pt idx="27">
                  <c:v>0.662109375</c:v>
                </c:pt>
                <c:pt idx="28">
                  <c:v>0.662109375</c:v>
                </c:pt>
                <c:pt idx="29">
                  <c:v>0.662109375</c:v>
                </c:pt>
                <c:pt idx="30">
                  <c:v>0.662109375</c:v>
                </c:pt>
                <c:pt idx="31">
                  <c:v>0.662109375</c:v>
                </c:pt>
                <c:pt idx="32">
                  <c:v>0.662109375</c:v>
                </c:pt>
                <c:pt idx="33">
                  <c:v>0.662109375</c:v>
                </c:pt>
                <c:pt idx="34">
                  <c:v>0.662109375</c:v>
                </c:pt>
                <c:pt idx="35">
                  <c:v>0.662109375</c:v>
                </c:pt>
                <c:pt idx="36">
                  <c:v>0.662109375</c:v>
                </c:pt>
                <c:pt idx="37">
                  <c:v>0.662109375</c:v>
                </c:pt>
                <c:pt idx="38">
                  <c:v>0.662109375</c:v>
                </c:pt>
                <c:pt idx="39">
                  <c:v>0.662109375</c:v>
                </c:pt>
                <c:pt idx="40">
                  <c:v>0.662109375</c:v>
                </c:pt>
                <c:pt idx="41">
                  <c:v>0.662109375</c:v>
                </c:pt>
                <c:pt idx="42">
                  <c:v>0.662109375</c:v>
                </c:pt>
                <c:pt idx="43">
                  <c:v>0.662109375</c:v>
                </c:pt>
                <c:pt idx="44">
                  <c:v>0.662109375</c:v>
                </c:pt>
                <c:pt idx="45">
                  <c:v>0.662109375</c:v>
                </c:pt>
                <c:pt idx="46">
                  <c:v>0.662109375</c:v>
                </c:pt>
                <c:pt idx="47">
                  <c:v>0.662109375</c:v>
                </c:pt>
                <c:pt idx="48">
                  <c:v>0.662109375</c:v>
                </c:pt>
                <c:pt idx="49">
                  <c:v>0.662109375</c:v>
                </c:pt>
                <c:pt idx="50">
                  <c:v>0.662109375</c:v>
                </c:pt>
                <c:pt idx="51">
                  <c:v>0.662109375</c:v>
                </c:pt>
                <c:pt idx="52">
                  <c:v>0.662109375</c:v>
                </c:pt>
                <c:pt idx="53">
                  <c:v>0.662109375</c:v>
                </c:pt>
                <c:pt idx="54">
                  <c:v>0.662109375</c:v>
                </c:pt>
                <c:pt idx="55">
                  <c:v>0.662109375</c:v>
                </c:pt>
                <c:pt idx="56">
                  <c:v>0.662109375</c:v>
                </c:pt>
                <c:pt idx="57">
                  <c:v>0.662109375</c:v>
                </c:pt>
                <c:pt idx="58">
                  <c:v>0.662109375</c:v>
                </c:pt>
                <c:pt idx="59">
                  <c:v>0.662109375</c:v>
                </c:pt>
                <c:pt idx="60">
                  <c:v>0.662109375</c:v>
                </c:pt>
                <c:pt idx="61">
                  <c:v>0.662109375</c:v>
                </c:pt>
                <c:pt idx="62">
                  <c:v>0.662109375</c:v>
                </c:pt>
                <c:pt idx="63">
                  <c:v>0.662109375</c:v>
                </c:pt>
                <c:pt idx="64">
                  <c:v>0.662109375</c:v>
                </c:pt>
                <c:pt idx="65">
                  <c:v>0.662109375</c:v>
                </c:pt>
                <c:pt idx="66">
                  <c:v>0.662109375</c:v>
                </c:pt>
                <c:pt idx="67">
                  <c:v>0.662109375</c:v>
                </c:pt>
                <c:pt idx="68">
                  <c:v>0.662109375</c:v>
                </c:pt>
                <c:pt idx="69">
                  <c:v>0.662109375</c:v>
                </c:pt>
                <c:pt idx="70">
                  <c:v>0.662109375</c:v>
                </c:pt>
                <c:pt idx="71">
                  <c:v>0.662109375</c:v>
                </c:pt>
                <c:pt idx="72">
                  <c:v>0.662109375</c:v>
                </c:pt>
                <c:pt idx="73">
                  <c:v>0.662109375</c:v>
                </c:pt>
                <c:pt idx="74">
                  <c:v>0.662109375</c:v>
                </c:pt>
                <c:pt idx="75">
                  <c:v>0.662109375</c:v>
                </c:pt>
                <c:pt idx="76">
                  <c:v>0.662109375</c:v>
                </c:pt>
                <c:pt idx="77">
                  <c:v>0.662109375</c:v>
                </c:pt>
                <c:pt idx="78">
                  <c:v>0.662109375</c:v>
                </c:pt>
                <c:pt idx="79">
                  <c:v>0.662109375</c:v>
                </c:pt>
                <c:pt idx="80">
                  <c:v>0.662109375</c:v>
                </c:pt>
                <c:pt idx="81">
                  <c:v>0.662109375</c:v>
                </c:pt>
                <c:pt idx="82">
                  <c:v>0.662109375</c:v>
                </c:pt>
                <c:pt idx="83">
                  <c:v>0.662109375</c:v>
                </c:pt>
                <c:pt idx="84">
                  <c:v>0.662109375</c:v>
                </c:pt>
                <c:pt idx="85">
                  <c:v>0.662109375</c:v>
                </c:pt>
                <c:pt idx="86">
                  <c:v>0.662109375</c:v>
                </c:pt>
                <c:pt idx="87">
                  <c:v>0.662109375</c:v>
                </c:pt>
                <c:pt idx="88">
                  <c:v>0.662109375</c:v>
                </c:pt>
                <c:pt idx="89">
                  <c:v>0.662109375</c:v>
                </c:pt>
                <c:pt idx="90">
                  <c:v>0.662109375</c:v>
                </c:pt>
                <c:pt idx="91">
                  <c:v>0.662109375</c:v>
                </c:pt>
                <c:pt idx="92">
                  <c:v>0.662109375</c:v>
                </c:pt>
                <c:pt idx="93">
                  <c:v>0.662109375</c:v>
                </c:pt>
                <c:pt idx="94">
                  <c:v>0.662109375</c:v>
                </c:pt>
                <c:pt idx="95">
                  <c:v>0.662109375</c:v>
                </c:pt>
                <c:pt idx="96">
                  <c:v>0.662109375</c:v>
                </c:pt>
                <c:pt idx="97">
                  <c:v>0.662109375</c:v>
                </c:pt>
                <c:pt idx="98">
                  <c:v>0.662109375</c:v>
                </c:pt>
                <c:pt idx="99">
                  <c:v>0.662109375</c:v>
                </c:pt>
                <c:pt idx="100">
                  <c:v>0.662109375</c:v>
                </c:pt>
                <c:pt idx="101">
                  <c:v>0.662109375</c:v>
                </c:pt>
                <c:pt idx="102">
                  <c:v>0.662109375</c:v>
                </c:pt>
                <c:pt idx="103">
                  <c:v>0.662109375</c:v>
                </c:pt>
                <c:pt idx="104">
                  <c:v>0.662109375</c:v>
                </c:pt>
                <c:pt idx="105">
                  <c:v>0.662109375</c:v>
                </c:pt>
                <c:pt idx="106">
                  <c:v>0.662109375</c:v>
                </c:pt>
                <c:pt idx="107">
                  <c:v>0.662109375</c:v>
                </c:pt>
                <c:pt idx="108">
                  <c:v>0.662109375</c:v>
                </c:pt>
                <c:pt idx="109">
                  <c:v>0.662109375</c:v>
                </c:pt>
                <c:pt idx="110">
                  <c:v>0.662109375</c:v>
                </c:pt>
                <c:pt idx="111">
                  <c:v>0.662109375</c:v>
                </c:pt>
                <c:pt idx="112">
                  <c:v>0.662109375</c:v>
                </c:pt>
                <c:pt idx="113">
                  <c:v>0.662109375</c:v>
                </c:pt>
                <c:pt idx="114">
                  <c:v>0.662109375</c:v>
                </c:pt>
                <c:pt idx="115">
                  <c:v>0.662109375</c:v>
                </c:pt>
                <c:pt idx="116">
                  <c:v>0.662109375</c:v>
                </c:pt>
                <c:pt idx="117">
                  <c:v>0.662109375</c:v>
                </c:pt>
                <c:pt idx="118">
                  <c:v>0.662109375</c:v>
                </c:pt>
                <c:pt idx="119">
                  <c:v>0.662109375</c:v>
                </c:pt>
                <c:pt idx="120">
                  <c:v>0.662109375</c:v>
                </c:pt>
                <c:pt idx="121">
                  <c:v>0.662109375</c:v>
                </c:pt>
                <c:pt idx="122">
                  <c:v>0.662109375</c:v>
                </c:pt>
                <c:pt idx="123">
                  <c:v>0.662109375</c:v>
                </c:pt>
                <c:pt idx="124">
                  <c:v>0.662109375</c:v>
                </c:pt>
                <c:pt idx="125">
                  <c:v>0.662109375</c:v>
                </c:pt>
                <c:pt idx="126">
                  <c:v>0.662109375</c:v>
                </c:pt>
                <c:pt idx="127">
                  <c:v>0.662109375</c:v>
                </c:pt>
                <c:pt idx="128">
                  <c:v>0.662109375</c:v>
                </c:pt>
                <c:pt idx="129">
                  <c:v>0.662109375</c:v>
                </c:pt>
                <c:pt idx="130">
                  <c:v>0.662109375</c:v>
                </c:pt>
                <c:pt idx="131">
                  <c:v>0.662109375</c:v>
                </c:pt>
                <c:pt idx="132">
                  <c:v>0.662109375</c:v>
                </c:pt>
                <c:pt idx="133">
                  <c:v>0.662109375</c:v>
                </c:pt>
                <c:pt idx="134">
                  <c:v>0.662109375</c:v>
                </c:pt>
                <c:pt idx="135">
                  <c:v>0.662109375</c:v>
                </c:pt>
                <c:pt idx="136">
                  <c:v>0.662109375</c:v>
                </c:pt>
                <c:pt idx="137">
                  <c:v>0.662109375</c:v>
                </c:pt>
                <c:pt idx="138">
                  <c:v>0.662109375</c:v>
                </c:pt>
                <c:pt idx="139">
                  <c:v>0.662109375</c:v>
                </c:pt>
                <c:pt idx="140">
                  <c:v>0.662109375</c:v>
                </c:pt>
                <c:pt idx="141">
                  <c:v>0.662109375</c:v>
                </c:pt>
                <c:pt idx="142">
                  <c:v>0.662109375</c:v>
                </c:pt>
                <c:pt idx="143">
                  <c:v>0.662109375</c:v>
                </c:pt>
                <c:pt idx="144">
                  <c:v>0.662109375</c:v>
                </c:pt>
                <c:pt idx="145">
                  <c:v>0.662109375</c:v>
                </c:pt>
                <c:pt idx="146">
                  <c:v>0.662109375</c:v>
                </c:pt>
                <c:pt idx="147">
                  <c:v>0.662109375</c:v>
                </c:pt>
                <c:pt idx="148">
                  <c:v>0.662109375</c:v>
                </c:pt>
                <c:pt idx="149">
                  <c:v>0.662109375</c:v>
                </c:pt>
                <c:pt idx="150">
                  <c:v>0.662109375</c:v>
                </c:pt>
                <c:pt idx="151">
                  <c:v>0.662109375</c:v>
                </c:pt>
                <c:pt idx="152">
                  <c:v>0.662109375</c:v>
                </c:pt>
                <c:pt idx="153">
                  <c:v>0.662109375</c:v>
                </c:pt>
                <c:pt idx="154">
                  <c:v>0.662109375</c:v>
                </c:pt>
                <c:pt idx="155">
                  <c:v>0.662109375</c:v>
                </c:pt>
                <c:pt idx="156">
                  <c:v>0.662109375</c:v>
                </c:pt>
              </c:numCache>
            </c:numRef>
          </c:val>
        </c:ser>
        <c:dLbls/>
        <c:marker val="1"/>
        <c:axId val="341159936"/>
        <c:axId val="341161472"/>
      </c:lineChart>
      <c:dateAx>
        <c:axId val="34115993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41161472"/>
        <c:crosses val="autoZero"/>
        <c:auto val="1"/>
        <c:lblOffset val="100"/>
        <c:baseTimeUnit val="days"/>
      </c:dateAx>
      <c:valAx>
        <c:axId val="341161472"/>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4115993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RDC Tier 3 VMAX 552 (TB Allocated)</a:t>
            </a:r>
          </a:p>
        </c:rich>
      </c:tx>
      <c:spPr>
        <a:noFill/>
        <a:ln w="25400">
          <a:noFill/>
        </a:ln>
      </c:spPr>
    </c:title>
    <c:plotArea>
      <c:layout>
        <c:manualLayout>
          <c:layoutTarget val="inner"/>
          <c:xMode val="edge"/>
          <c:yMode val="edge"/>
          <c:x val="0.20409323654167577"/>
          <c:y val="0.23233367568184413"/>
          <c:w val="0.74358381879930169"/>
          <c:h val="0.55425416587119991"/>
        </c:manualLayout>
      </c:layout>
      <c:lineChart>
        <c:grouping val="standard"/>
        <c:ser>
          <c:idx val="0"/>
          <c:order val="0"/>
          <c:tx>
            <c:strRef>
              <c:f>'Allocated charts'!$D$2</c:f>
              <c:strCache>
                <c:ptCount val="1"/>
                <c:pt idx="0">
                  <c:v>RDC T3 V-MAX 0552</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charts'!$D$3:$D$159</c:f>
              <c:numCache>
                <c:formatCode>0</c:formatCode>
                <c:ptCount val="157"/>
                <c:pt idx="0">
                  <c:v>90.457851562499997</c:v>
                </c:pt>
                <c:pt idx="1">
                  <c:v>146.98808593749999</c:v>
                </c:pt>
                <c:pt idx="2">
                  <c:v>146.98808593749999</c:v>
                </c:pt>
                <c:pt idx="3">
                  <c:v>146.98808593749999</c:v>
                </c:pt>
                <c:pt idx="4">
                  <c:v>146.98808593749999</c:v>
                </c:pt>
                <c:pt idx="5">
                  <c:v>146.98808593749999</c:v>
                </c:pt>
                <c:pt idx="6">
                  <c:v>146.98808593749999</c:v>
                </c:pt>
                <c:pt idx="7">
                  <c:v>146.98808593749999</c:v>
                </c:pt>
                <c:pt idx="8">
                  <c:v>89.437031250000004</c:v>
                </c:pt>
                <c:pt idx="9">
                  <c:v>146.98808593749999</c:v>
                </c:pt>
                <c:pt idx="10">
                  <c:v>146.98808593749999</c:v>
                </c:pt>
                <c:pt idx="11">
                  <c:v>146.98808593749999</c:v>
                </c:pt>
                <c:pt idx="12">
                  <c:v>146.98808593749999</c:v>
                </c:pt>
                <c:pt idx="13">
                  <c:v>146.98808593749999</c:v>
                </c:pt>
                <c:pt idx="14">
                  <c:v>146.98808593749999</c:v>
                </c:pt>
                <c:pt idx="15">
                  <c:v>146.98808593749999</c:v>
                </c:pt>
                <c:pt idx="16">
                  <c:v>0.5390625</c:v>
                </c:pt>
                <c:pt idx="17">
                  <c:v>0.5390625</c:v>
                </c:pt>
                <c:pt idx="18">
                  <c:v>0.5390625</c:v>
                </c:pt>
                <c:pt idx="19">
                  <c:v>0.5390625</c:v>
                </c:pt>
                <c:pt idx="20">
                  <c:v>0.5390625</c:v>
                </c:pt>
                <c:pt idx="21">
                  <c:v>0.5390625</c:v>
                </c:pt>
                <c:pt idx="22">
                  <c:v>0.5390625</c:v>
                </c:pt>
                <c:pt idx="23">
                  <c:v>0.5390625</c:v>
                </c:pt>
                <c:pt idx="24">
                  <c:v>0.5390625</c:v>
                </c:pt>
                <c:pt idx="25">
                  <c:v>0.5390625</c:v>
                </c:pt>
                <c:pt idx="26">
                  <c:v>0.5390625</c:v>
                </c:pt>
                <c:pt idx="27">
                  <c:v>0.5390625</c:v>
                </c:pt>
                <c:pt idx="28">
                  <c:v>0.5390625</c:v>
                </c:pt>
                <c:pt idx="29">
                  <c:v>0.5390625</c:v>
                </c:pt>
                <c:pt idx="30">
                  <c:v>0.5390625</c:v>
                </c:pt>
                <c:pt idx="31">
                  <c:v>0.5390625</c:v>
                </c:pt>
                <c:pt idx="32">
                  <c:v>0.5390625</c:v>
                </c:pt>
                <c:pt idx="33">
                  <c:v>0.5390625</c:v>
                </c:pt>
                <c:pt idx="34">
                  <c:v>0.5390625</c:v>
                </c:pt>
                <c:pt idx="35">
                  <c:v>0.5390625</c:v>
                </c:pt>
                <c:pt idx="36">
                  <c:v>0.5390625</c:v>
                </c:pt>
                <c:pt idx="37">
                  <c:v>0.5390625</c:v>
                </c:pt>
                <c:pt idx="38">
                  <c:v>0.5390625</c:v>
                </c:pt>
                <c:pt idx="39">
                  <c:v>0.5390625</c:v>
                </c:pt>
                <c:pt idx="40">
                  <c:v>0.5390625</c:v>
                </c:pt>
                <c:pt idx="41">
                  <c:v>0.5390625</c:v>
                </c:pt>
                <c:pt idx="42">
                  <c:v>0.5390625</c:v>
                </c:pt>
                <c:pt idx="43">
                  <c:v>0.5390625</c:v>
                </c:pt>
                <c:pt idx="44">
                  <c:v>0.5390625</c:v>
                </c:pt>
                <c:pt idx="45">
                  <c:v>0.5390625</c:v>
                </c:pt>
                <c:pt idx="46">
                  <c:v>0.5390625</c:v>
                </c:pt>
                <c:pt idx="47">
                  <c:v>0.5390625</c:v>
                </c:pt>
                <c:pt idx="48">
                  <c:v>0.5390625</c:v>
                </c:pt>
                <c:pt idx="49">
                  <c:v>0.5390625</c:v>
                </c:pt>
                <c:pt idx="50">
                  <c:v>0.5390625</c:v>
                </c:pt>
                <c:pt idx="51">
                  <c:v>0.5390625</c:v>
                </c:pt>
                <c:pt idx="52">
                  <c:v>0.5390625</c:v>
                </c:pt>
                <c:pt idx="53">
                  <c:v>0.5390625</c:v>
                </c:pt>
                <c:pt idx="54">
                  <c:v>0.5390625</c:v>
                </c:pt>
                <c:pt idx="55">
                  <c:v>0.5390625</c:v>
                </c:pt>
                <c:pt idx="56">
                  <c:v>0.5390625</c:v>
                </c:pt>
                <c:pt idx="57">
                  <c:v>0.5390625</c:v>
                </c:pt>
                <c:pt idx="58">
                  <c:v>0.5390625</c:v>
                </c:pt>
                <c:pt idx="59">
                  <c:v>0.5390625</c:v>
                </c:pt>
                <c:pt idx="60">
                  <c:v>0.5390625</c:v>
                </c:pt>
                <c:pt idx="61">
                  <c:v>0.5390625</c:v>
                </c:pt>
                <c:pt idx="62">
                  <c:v>0.5390625</c:v>
                </c:pt>
                <c:pt idx="63">
                  <c:v>0.5390625</c:v>
                </c:pt>
                <c:pt idx="64">
                  <c:v>0.5390625</c:v>
                </c:pt>
                <c:pt idx="65">
                  <c:v>0.5390625</c:v>
                </c:pt>
                <c:pt idx="66">
                  <c:v>0.5390625</c:v>
                </c:pt>
                <c:pt idx="67">
                  <c:v>0.5390625</c:v>
                </c:pt>
                <c:pt idx="68">
                  <c:v>0.5390625</c:v>
                </c:pt>
                <c:pt idx="69">
                  <c:v>0.5390625</c:v>
                </c:pt>
                <c:pt idx="70">
                  <c:v>0.5390625</c:v>
                </c:pt>
                <c:pt idx="71">
                  <c:v>0.5390625</c:v>
                </c:pt>
                <c:pt idx="72">
                  <c:v>0.5390625</c:v>
                </c:pt>
                <c:pt idx="73">
                  <c:v>0.5390625</c:v>
                </c:pt>
                <c:pt idx="74">
                  <c:v>0.5390625</c:v>
                </c:pt>
                <c:pt idx="75">
                  <c:v>0.5390625</c:v>
                </c:pt>
                <c:pt idx="76">
                  <c:v>0.5390625</c:v>
                </c:pt>
                <c:pt idx="77">
                  <c:v>0.5390625</c:v>
                </c:pt>
                <c:pt idx="78">
                  <c:v>0.5390625</c:v>
                </c:pt>
                <c:pt idx="79">
                  <c:v>0.5390625</c:v>
                </c:pt>
                <c:pt idx="80">
                  <c:v>0.5390625</c:v>
                </c:pt>
                <c:pt idx="81">
                  <c:v>0.5390625</c:v>
                </c:pt>
                <c:pt idx="82">
                  <c:v>0.5390625</c:v>
                </c:pt>
                <c:pt idx="83">
                  <c:v>0.5390625</c:v>
                </c:pt>
                <c:pt idx="84">
                  <c:v>0.5390625</c:v>
                </c:pt>
                <c:pt idx="85">
                  <c:v>0.5390625</c:v>
                </c:pt>
                <c:pt idx="86">
                  <c:v>0.5390625</c:v>
                </c:pt>
                <c:pt idx="87">
                  <c:v>0.5390625</c:v>
                </c:pt>
                <c:pt idx="88">
                  <c:v>0.5390625</c:v>
                </c:pt>
                <c:pt idx="89">
                  <c:v>0.5390625</c:v>
                </c:pt>
                <c:pt idx="90">
                  <c:v>0.5390625</c:v>
                </c:pt>
                <c:pt idx="91">
                  <c:v>0.5390625</c:v>
                </c:pt>
                <c:pt idx="92">
                  <c:v>0.5390625</c:v>
                </c:pt>
                <c:pt idx="93">
                  <c:v>0.5390625</c:v>
                </c:pt>
                <c:pt idx="94">
                  <c:v>0.5390625</c:v>
                </c:pt>
                <c:pt idx="95">
                  <c:v>0.5390625</c:v>
                </c:pt>
                <c:pt idx="96">
                  <c:v>0.5390625</c:v>
                </c:pt>
                <c:pt idx="97">
                  <c:v>0.5390625</c:v>
                </c:pt>
                <c:pt idx="98">
                  <c:v>0.5390625</c:v>
                </c:pt>
                <c:pt idx="99">
                  <c:v>0.5390625</c:v>
                </c:pt>
                <c:pt idx="100">
                  <c:v>0.5390625</c:v>
                </c:pt>
                <c:pt idx="101">
                  <c:v>0.5390625</c:v>
                </c:pt>
                <c:pt idx="102">
                  <c:v>0.5390625</c:v>
                </c:pt>
                <c:pt idx="103">
                  <c:v>0.5390625</c:v>
                </c:pt>
                <c:pt idx="104">
                  <c:v>0.5390625</c:v>
                </c:pt>
                <c:pt idx="105">
                  <c:v>0.5390625</c:v>
                </c:pt>
                <c:pt idx="106">
                  <c:v>0.5390625</c:v>
                </c:pt>
                <c:pt idx="107">
                  <c:v>0.5390625</c:v>
                </c:pt>
                <c:pt idx="108">
                  <c:v>0.5390625</c:v>
                </c:pt>
                <c:pt idx="109">
                  <c:v>0.5390625</c:v>
                </c:pt>
                <c:pt idx="110">
                  <c:v>0.5390625</c:v>
                </c:pt>
                <c:pt idx="111">
                  <c:v>0.5390625</c:v>
                </c:pt>
                <c:pt idx="112">
                  <c:v>0.5390625</c:v>
                </c:pt>
                <c:pt idx="113">
                  <c:v>0.5390625</c:v>
                </c:pt>
                <c:pt idx="114">
                  <c:v>0.5390625</c:v>
                </c:pt>
                <c:pt idx="115">
                  <c:v>0.5390625</c:v>
                </c:pt>
                <c:pt idx="116">
                  <c:v>0.5390625</c:v>
                </c:pt>
                <c:pt idx="117">
                  <c:v>0.5390625</c:v>
                </c:pt>
                <c:pt idx="118">
                  <c:v>0.5390625</c:v>
                </c:pt>
                <c:pt idx="119">
                  <c:v>0.5390625</c:v>
                </c:pt>
                <c:pt idx="120">
                  <c:v>0.5390625</c:v>
                </c:pt>
                <c:pt idx="121">
                  <c:v>0.5390625</c:v>
                </c:pt>
                <c:pt idx="122">
                  <c:v>0.5390625</c:v>
                </c:pt>
                <c:pt idx="123">
                  <c:v>0.5390625</c:v>
                </c:pt>
                <c:pt idx="124">
                  <c:v>0.5390625</c:v>
                </c:pt>
                <c:pt idx="125">
                  <c:v>0.5390625</c:v>
                </c:pt>
                <c:pt idx="126">
                  <c:v>0.5390625</c:v>
                </c:pt>
                <c:pt idx="127">
                  <c:v>0.5390625</c:v>
                </c:pt>
                <c:pt idx="128">
                  <c:v>0.5390625</c:v>
                </c:pt>
                <c:pt idx="129">
                  <c:v>0.5390625</c:v>
                </c:pt>
                <c:pt idx="130">
                  <c:v>0.5390625</c:v>
                </c:pt>
                <c:pt idx="131">
                  <c:v>0.5390625</c:v>
                </c:pt>
                <c:pt idx="132">
                  <c:v>0.5390625</c:v>
                </c:pt>
                <c:pt idx="133">
                  <c:v>0.5390625</c:v>
                </c:pt>
                <c:pt idx="134">
                  <c:v>0.5390625</c:v>
                </c:pt>
                <c:pt idx="135">
                  <c:v>0.5390625</c:v>
                </c:pt>
                <c:pt idx="136">
                  <c:v>0.5390625</c:v>
                </c:pt>
                <c:pt idx="137">
                  <c:v>0.5390625</c:v>
                </c:pt>
                <c:pt idx="138">
                  <c:v>0.5390625</c:v>
                </c:pt>
                <c:pt idx="139">
                  <c:v>0.5390625</c:v>
                </c:pt>
                <c:pt idx="140">
                  <c:v>0.5390625</c:v>
                </c:pt>
                <c:pt idx="141">
                  <c:v>0.5390625</c:v>
                </c:pt>
                <c:pt idx="142">
                  <c:v>0.5390625</c:v>
                </c:pt>
                <c:pt idx="143">
                  <c:v>0.5390625</c:v>
                </c:pt>
                <c:pt idx="144">
                  <c:v>0.5390625</c:v>
                </c:pt>
                <c:pt idx="145">
                  <c:v>0.5390625</c:v>
                </c:pt>
                <c:pt idx="146">
                  <c:v>0.5390625</c:v>
                </c:pt>
                <c:pt idx="147">
                  <c:v>0.5390625</c:v>
                </c:pt>
                <c:pt idx="148">
                  <c:v>0.5390625</c:v>
                </c:pt>
                <c:pt idx="149">
                  <c:v>0.5390625</c:v>
                </c:pt>
                <c:pt idx="150">
                  <c:v>0.5390625</c:v>
                </c:pt>
                <c:pt idx="151">
                  <c:v>0.5390625</c:v>
                </c:pt>
                <c:pt idx="152">
                  <c:v>0.5390625</c:v>
                </c:pt>
                <c:pt idx="153">
                  <c:v>0.5390625</c:v>
                </c:pt>
                <c:pt idx="154">
                  <c:v>0.5390625</c:v>
                </c:pt>
                <c:pt idx="155">
                  <c:v>0.5390625</c:v>
                </c:pt>
                <c:pt idx="156">
                  <c:v>0.5390625</c:v>
                </c:pt>
              </c:numCache>
            </c:numRef>
          </c:val>
        </c:ser>
        <c:dLbls/>
        <c:marker val="1"/>
        <c:axId val="342127744"/>
        <c:axId val="342129280"/>
      </c:lineChart>
      <c:dateAx>
        <c:axId val="3421277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42129280"/>
        <c:crosses val="autoZero"/>
        <c:auto val="1"/>
        <c:lblOffset val="100"/>
        <c:baseTimeUnit val="days"/>
      </c:dateAx>
      <c:valAx>
        <c:axId val="34212928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421277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600" b="1" i="0" u="none" strike="noStrike" baseline="0">
                <a:solidFill>
                  <a:srgbClr val="000000"/>
                </a:solidFill>
                <a:latin typeface="Calibri"/>
                <a:ea typeface="Calibri"/>
                <a:cs typeface="Calibri"/>
              </a:defRPr>
            </a:pPr>
            <a:r>
              <a:rPr lang="en-GB" sz="1600"/>
              <a:t>FDC Tier 4 VMAX 879 (TB Allocated)</a:t>
            </a:r>
          </a:p>
        </c:rich>
      </c:tx>
      <c:layout>
        <c:manualLayout>
          <c:xMode val="edge"/>
          <c:yMode val="edge"/>
          <c:x val="0.14133070866141731"/>
          <c:y val="5.1063700025049133E-2"/>
        </c:manualLayout>
      </c:layout>
      <c:spPr>
        <a:noFill/>
        <a:ln w="25400">
          <a:noFill/>
        </a:ln>
      </c:spPr>
    </c:title>
    <c:plotArea>
      <c:layout/>
      <c:lineChart>
        <c:grouping val="standard"/>
        <c:ser>
          <c:idx val="0"/>
          <c:order val="0"/>
          <c:tx>
            <c:strRef>
              <c:f>'Allocated charts'!$I$2</c:f>
              <c:strCache>
                <c:ptCount val="1"/>
                <c:pt idx="0">
                  <c:v>FDC T4 V-MAX 0879</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charts'!$I$3:$I$159</c:f>
              <c:numCache>
                <c:formatCode>0</c:formatCode>
                <c:ptCount val="157"/>
                <c:pt idx="0">
                  <c:v>261.52757812499999</c:v>
                </c:pt>
                <c:pt idx="1">
                  <c:v>188.5029296875</c:v>
                </c:pt>
                <c:pt idx="2">
                  <c:v>188.5029296875</c:v>
                </c:pt>
                <c:pt idx="3">
                  <c:v>188.5029296875</c:v>
                </c:pt>
                <c:pt idx="4">
                  <c:v>188.5029296875</c:v>
                </c:pt>
                <c:pt idx="5">
                  <c:v>188.5029296875</c:v>
                </c:pt>
                <c:pt idx="6">
                  <c:v>166.96054687500001</c:v>
                </c:pt>
                <c:pt idx="7">
                  <c:v>166.96054687500001</c:v>
                </c:pt>
                <c:pt idx="8">
                  <c:v>260.14453125</c:v>
                </c:pt>
                <c:pt idx="9">
                  <c:v>166.96054687500001</c:v>
                </c:pt>
                <c:pt idx="10">
                  <c:v>166.96054687500001</c:v>
                </c:pt>
                <c:pt idx="11">
                  <c:v>166.96054687500001</c:v>
                </c:pt>
                <c:pt idx="12">
                  <c:v>166.96054687500001</c:v>
                </c:pt>
                <c:pt idx="13">
                  <c:v>166.96054687500001</c:v>
                </c:pt>
                <c:pt idx="14">
                  <c:v>166.96054687500001</c:v>
                </c:pt>
                <c:pt idx="15">
                  <c:v>166.96054687500001</c:v>
                </c:pt>
                <c:pt idx="16">
                  <c:v>0.8583984375</c:v>
                </c:pt>
                <c:pt idx="17">
                  <c:v>0.8583984375</c:v>
                </c:pt>
                <c:pt idx="18">
                  <c:v>0.8583984375</c:v>
                </c:pt>
                <c:pt idx="19">
                  <c:v>0.8583984375</c:v>
                </c:pt>
                <c:pt idx="20">
                  <c:v>0.8583984375</c:v>
                </c:pt>
                <c:pt idx="21">
                  <c:v>0.8583984375</c:v>
                </c:pt>
                <c:pt idx="22">
                  <c:v>0.8583984375</c:v>
                </c:pt>
                <c:pt idx="23">
                  <c:v>0.8583984375</c:v>
                </c:pt>
                <c:pt idx="24">
                  <c:v>0.8583984375</c:v>
                </c:pt>
                <c:pt idx="25">
                  <c:v>0.8583984375</c:v>
                </c:pt>
                <c:pt idx="26">
                  <c:v>0.8583984375</c:v>
                </c:pt>
                <c:pt idx="27">
                  <c:v>0.8583984375</c:v>
                </c:pt>
                <c:pt idx="28">
                  <c:v>0.8583984375</c:v>
                </c:pt>
                <c:pt idx="29">
                  <c:v>0.8583984375</c:v>
                </c:pt>
                <c:pt idx="30">
                  <c:v>0.8583984375</c:v>
                </c:pt>
                <c:pt idx="31">
                  <c:v>0.8583984375</c:v>
                </c:pt>
                <c:pt idx="32">
                  <c:v>0.8583984375</c:v>
                </c:pt>
                <c:pt idx="33">
                  <c:v>0.8583984375</c:v>
                </c:pt>
                <c:pt idx="34">
                  <c:v>0.8583984375</c:v>
                </c:pt>
                <c:pt idx="35">
                  <c:v>0.8583984375</c:v>
                </c:pt>
                <c:pt idx="36">
                  <c:v>0.8583984375</c:v>
                </c:pt>
                <c:pt idx="37">
                  <c:v>0.8583984375</c:v>
                </c:pt>
                <c:pt idx="38">
                  <c:v>0.8583984375</c:v>
                </c:pt>
                <c:pt idx="39">
                  <c:v>0.8583984375</c:v>
                </c:pt>
                <c:pt idx="40">
                  <c:v>0.8583984375</c:v>
                </c:pt>
                <c:pt idx="41">
                  <c:v>0.8583984375</c:v>
                </c:pt>
                <c:pt idx="42">
                  <c:v>0.8583984375</c:v>
                </c:pt>
                <c:pt idx="43">
                  <c:v>0.8583984375</c:v>
                </c:pt>
                <c:pt idx="44">
                  <c:v>0.8583984375</c:v>
                </c:pt>
                <c:pt idx="45">
                  <c:v>0.8583984375</c:v>
                </c:pt>
                <c:pt idx="46">
                  <c:v>0.8583984375</c:v>
                </c:pt>
                <c:pt idx="47">
                  <c:v>0.8583984375</c:v>
                </c:pt>
                <c:pt idx="48">
                  <c:v>0.8583984375</c:v>
                </c:pt>
                <c:pt idx="49">
                  <c:v>0.8583984375</c:v>
                </c:pt>
                <c:pt idx="50">
                  <c:v>0.8583984375</c:v>
                </c:pt>
                <c:pt idx="51">
                  <c:v>0.8583984375</c:v>
                </c:pt>
                <c:pt idx="52">
                  <c:v>0.8583984375</c:v>
                </c:pt>
                <c:pt idx="53">
                  <c:v>0.8583984375</c:v>
                </c:pt>
                <c:pt idx="54">
                  <c:v>0.8583984375</c:v>
                </c:pt>
                <c:pt idx="55">
                  <c:v>0.8583984375</c:v>
                </c:pt>
                <c:pt idx="56">
                  <c:v>0.8583984375</c:v>
                </c:pt>
                <c:pt idx="57">
                  <c:v>0.8583984375</c:v>
                </c:pt>
                <c:pt idx="58">
                  <c:v>0.8583984375</c:v>
                </c:pt>
                <c:pt idx="59">
                  <c:v>0.8583984375</c:v>
                </c:pt>
                <c:pt idx="60">
                  <c:v>0.8583984375</c:v>
                </c:pt>
                <c:pt idx="61">
                  <c:v>0.8583984375</c:v>
                </c:pt>
                <c:pt idx="62">
                  <c:v>0.8583984375</c:v>
                </c:pt>
                <c:pt idx="63">
                  <c:v>0.8583984375</c:v>
                </c:pt>
                <c:pt idx="64">
                  <c:v>0.8583984375</c:v>
                </c:pt>
                <c:pt idx="65">
                  <c:v>0.8583984375</c:v>
                </c:pt>
                <c:pt idx="66">
                  <c:v>0.8583984375</c:v>
                </c:pt>
                <c:pt idx="67">
                  <c:v>0.8583984375</c:v>
                </c:pt>
                <c:pt idx="68">
                  <c:v>0.8583984375</c:v>
                </c:pt>
                <c:pt idx="69">
                  <c:v>0.8583984375</c:v>
                </c:pt>
                <c:pt idx="70">
                  <c:v>0.8583984375</c:v>
                </c:pt>
                <c:pt idx="71">
                  <c:v>0.8583984375</c:v>
                </c:pt>
                <c:pt idx="72">
                  <c:v>0.8583984375</c:v>
                </c:pt>
                <c:pt idx="73">
                  <c:v>0.8583984375</c:v>
                </c:pt>
                <c:pt idx="74">
                  <c:v>0.8583984375</c:v>
                </c:pt>
                <c:pt idx="75">
                  <c:v>0.8583984375</c:v>
                </c:pt>
                <c:pt idx="76">
                  <c:v>0.8583984375</c:v>
                </c:pt>
                <c:pt idx="77">
                  <c:v>0.8583984375</c:v>
                </c:pt>
                <c:pt idx="78">
                  <c:v>0.8583984375</c:v>
                </c:pt>
                <c:pt idx="79">
                  <c:v>0.8583984375</c:v>
                </c:pt>
                <c:pt idx="80">
                  <c:v>0.8583984375</c:v>
                </c:pt>
                <c:pt idx="81">
                  <c:v>0.8583984375</c:v>
                </c:pt>
                <c:pt idx="82">
                  <c:v>0.8583984375</c:v>
                </c:pt>
                <c:pt idx="83">
                  <c:v>0.8583984375</c:v>
                </c:pt>
                <c:pt idx="84">
                  <c:v>0.8583984375</c:v>
                </c:pt>
                <c:pt idx="85">
                  <c:v>0.8583984375</c:v>
                </c:pt>
                <c:pt idx="86">
                  <c:v>0.8583984375</c:v>
                </c:pt>
                <c:pt idx="87">
                  <c:v>0.8583984375</c:v>
                </c:pt>
                <c:pt idx="88">
                  <c:v>0.8583984375</c:v>
                </c:pt>
                <c:pt idx="89">
                  <c:v>0.8583984375</c:v>
                </c:pt>
                <c:pt idx="90">
                  <c:v>0.8583984375</c:v>
                </c:pt>
                <c:pt idx="91">
                  <c:v>0.8583984375</c:v>
                </c:pt>
                <c:pt idx="92">
                  <c:v>0.8583984375</c:v>
                </c:pt>
                <c:pt idx="93">
                  <c:v>0.8583984375</c:v>
                </c:pt>
                <c:pt idx="94">
                  <c:v>0.8583984375</c:v>
                </c:pt>
                <c:pt idx="95">
                  <c:v>0.8583984375</c:v>
                </c:pt>
                <c:pt idx="96">
                  <c:v>0.8583984375</c:v>
                </c:pt>
                <c:pt idx="97">
                  <c:v>0.8583984375</c:v>
                </c:pt>
                <c:pt idx="98">
                  <c:v>0.8583984375</c:v>
                </c:pt>
                <c:pt idx="99">
                  <c:v>0.8583984375</c:v>
                </c:pt>
                <c:pt idx="100">
                  <c:v>0.8583984375</c:v>
                </c:pt>
                <c:pt idx="101">
                  <c:v>0.8583984375</c:v>
                </c:pt>
                <c:pt idx="102">
                  <c:v>0.8583984375</c:v>
                </c:pt>
                <c:pt idx="103">
                  <c:v>0.8583984375</c:v>
                </c:pt>
                <c:pt idx="104">
                  <c:v>0.8583984375</c:v>
                </c:pt>
                <c:pt idx="105">
                  <c:v>0.8583984375</c:v>
                </c:pt>
                <c:pt idx="106">
                  <c:v>0.8583984375</c:v>
                </c:pt>
                <c:pt idx="107">
                  <c:v>0.8583984375</c:v>
                </c:pt>
                <c:pt idx="108">
                  <c:v>0.8583984375</c:v>
                </c:pt>
                <c:pt idx="109">
                  <c:v>0.8583984375</c:v>
                </c:pt>
                <c:pt idx="110">
                  <c:v>0.8583984375</c:v>
                </c:pt>
                <c:pt idx="111">
                  <c:v>0.8583984375</c:v>
                </c:pt>
                <c:pt idx="112">
                  <c:v>0.8583984375</c:v>
                </c:pt>
                <c:pt idx="113">
                  <c:v>0.8583984375</c:v>
                </c:pt>
                <c:pt idx="114">
                  <c:v>0.8583984375</c:v>
                </c:pt>
                <c:pt idx="115">
                  <c:v>0.8583984375</c:v>
                </c:pt>
                <c:pt idx="116">
                  <c:v>0.8583984375</c:v>
                </c:pt>
                <c:pt idx="117">
                  <c:v>0.8583984375</c:v>
                </c:pt>
                <c:pt idx="118">
                  <c:v>0.8583984375</c:v>
                </c:pt>
                <c:pt idx="119">
                  <c:v>0.8583984375</c:v>
                </c:pt>
                <c:pt idx="120">
                  <c:v>0.8583984375</c:v>
                </c:pt>
                <c:pt idx="121">
                  <c:v>0.8583984375</c:v>
                </c:pt>
                <c:pt idx="122">
                  <c:v>0.8583984375</c:v>
                </c:pt>
                <c:pt idx="123">
                  <c:v>0.8583984375</c:v>
                </c:pt>
                <c:pt idx="124">
                  <c:v>0.8583984375</c:v>
                </c:pt>
                <c:pt idx="125">
                  <c:v>0.8583984375</c:v>
                </c:pt>
                <c:pt idx="126">
                  <c:v>0.8583984375</c:v>
                </c:pt>
                <c:pt idx="127">
                  <c:v>0.8583984375</c:v>
                </c:pt>
                <c:pt idx="128">
                  <c:v>0.8583984375</c:v>
                </c:pt>
                <c:pt idx="129">
                  <c:v>0.8583984375</c:v>
                </c:pt>
                <c:pt idx="130">
                  <c:v>0.8583984375</c:v>
                </c:pt>
                <c:pt idx="131">
                  <c:v>0.8583984375</c:v>
                </c:pt>
                <c:pt idx="132">
                  <c:v>0.8583984375</c:v>
                </c:pt>
                <c:pt idx="133">
                  <c:v>0.8583984375</c:v>
                </c:pt>
                <c:pt idx="134">
                  <c:v>0.8583984375</c:v>
                </c:pt>
                <c:pt idx="135">
                  <c:v>0.8583984375</c:v>
                </c:pt>
                <c:pt idx="136">
                  <c:v>0.8583984375</c:v>
                </c:pt>
                <c:pt idx="137">
                  <c:v>0.8583984375</c:v>
                </c:pt>
                <c:pt idx="138">
                  <c:v>0.8583984375</c:v>
                </c:pt>
                <c:pt idx="139">
                  <c:v>0.8583984375</c:v>
                </c:pt>
                <c:pt idx="140">
                  <c:v>0.8583984375</c:v>
                </c:pt>
                <c:pt idx="141">
                  <c:v>0.8583984375</c:v>
                </c:pt>
                <c:pt idx="142">
                  <c:v>0.8583984375</c:v>
                </c:pt>
                <c:pt idx="143">
                  <c:v>0.8583984375</c:v>
                </c:pt>
                <c:pt idx="144">
                  <c:v>0.8583984375</c:v>
                </c:pt>
                <c:pt idx="145">
                  <c:v>0.8583984375</c:v>
                </c:pt>
                <c:pt idx="146">
                  <c:v>0.8583984375</c:v>
                </c:pt>
                <c:pt idx="147">
                  <c:v>0.8583984375</c:v>
                </c:pt>
                <c:pt idx="148">
                  <c:v>0.8583984375</c:v>
                </c:pt>
                <c:pt idx="149">
                  <c:v>0.8583984375</c:v>
                </c:pt>
                <c:pt idx="150">
                  <c:v>0.8583984375</c:v>
                </c:pt>
                <c:pt idx="151">
                  <c:v>0.8583984375</c:v>
                </c:pt>
                <c:pt idx="152">
                  <c:v>0.8583984375</c:v>
                </c:pt>
                <c:pt idx="153">
                  <c:v>0.8583984375</c:v>
                </c:pt>
                <c:pt idx="154">
                  <c:v>0.8583984375</c:v>
                </c:pt>
                <c:pt idx="155">
                  <c:v>0.8583984375</c:v>
                </c:pt>
                <c:pt idx="156">
                  <c:v>0.8583984375</c:v>
                </c:pt>
              </c:numCache>
            </c:numRef>
          </c:val>
        </c:ser>
        <c:dLbls/>
        <c:marker val="1"/>
        <c:axId val="352733440"/>
        <c:axId val="352751616"/>
      </c:lineChart>
      <c:dateAx>
        <c:axId val="352733440"/>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52751616"/>
        <c:crosses val="autoZero"/>
        <c:auto val="1"/>
        <c:lblOffset val="100"/>
        <c:baseTimeUnit val="days"/>
      </c:dateAx>
      <c:valAx>
        <c:axId val="352751616"/>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52733440"/>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3099899232015191"/>
          <c:y val="0.14218065230273069"/>
          <c:w val="0.81319518969812365"/>
          <c:h val="0.64123990235887085"/>
        </c:manualLayout>
      </c:layout>
      <c:lineChart>
        <c:grouping val="standard"/>
        <c:ser>
          <c:idx val="0"/>
          <c:order val="0"/>
          <c:tx>
            <c:strRef>
              <c:f>'Allocated charts'!$L$2</c:f>
              <c:strCache>
                <c:ptCount val="1"/>
                <c:pt idx="0">
                  <c:v>FDC T3 V-MAX 2231</c:v>
                </c:pt>
              </c:strCache>
            </c:strRef>
          </c:tx>
          <c:cat>
            <c:numRef>
              <c:f>'Allocated charts'!$A$3:$A$524</c:f>
              <c:numCache>
                <c:formatCode>[$-409]d\-mmm\-yy;@</c:formatCode>
                <c:ptCount val="522"/>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charts'!$L$3:$L$524</c:f>
              <c:numCache>
                <c:formatCode>0</c:formatCode>
                <c:ptCount val="522"/>
                <c:pt idx="0">
                  <c:v>214.70156249999999</c:v>
                </c:pt>
                <c:pt idx="1">
                  <c:v>172.34638671875001</c:v>
                </c:pt>
                <c:pt idx="2">
                  <c:v>172.34638671875001</c:v>
                </c:pt>
                <c:pt idx="3">
                  <c:v>172.34638671875001</c:v>
                </c:pt>
                <c:pt idx="4">
                  <c:v>172.34638671875001</c:v>
                </c:pt>
                <c:pt idx="5">
                  <c:v>172.34638671875001</c:v>
                </c:pt>
                <c:pt idx="6">
                  <c:v>172.34638671875001</c:v>
                </c:pt>
                <c:pt idx="7">
                  <c:v>172.34638671875001</c:v>
                </c:pt>
                <c:pt idx="8">
                  <c:v>213.38437500000001</c:v>
                </c:pt>
                <c:pt idx="9">
                  <c:v>172.34638671875001</c:v>
                </c:pt>
                <c:pt idx="10">
                  <c:v>172.34638671875001</c:v>
                </c:pt>
                <c:pt idx="11">
                  <c:v>172.34638671875001</c:v>
                </c:pt>
                <c:pt idx="12">
                  <c:v>172.34638671875001</c:v>
                </c:pt>
                <c:pt idx="13">
                  <c:v>172.34638671875001</c:v>
                </c:pt>
                <c:pt idx="14">
                  <c:v>172.34638671875001</c:v>
                </c:pt>
                <c:pt idx="15">
                  <c:v>172.34638671875001</c:v>
                </c:pt>
                <c:pt idx="16">
                  <c:v>2.1787109375</c:v>
                </c:pt>
                <c:pt idx="17">
                  <c:v>2.1787109375</c:v>
                </c:pt>
                <c:pt idx="18">
                  <c:v>2.1787109375</c:v>
                </c:pt>
                <c:pt idx="19">
                  <c:v>2.1787109375</c:v>
                </c:pt>
                <c:pt idx="20">
                  <c:v>2.1787109375</c:v>
                </c:pt>
                <c:pt idx="21">
                  <c:v>2.1787109375</c:v>
                </c:pt>
                <c:pt idx="22">
                  <c:v>2.1787109375</c:v>
                </c:pt>
                <c:pt idx="23">
                  <c:v>2.1787109375</c:v>
                </c:pt>
                <c:pt idx="24">
                  <c:v>2.1787109375</c:v>
                </c:pt>
                <c:pt idx="25">
                  <c:v>2.1787109375</c:v>
                </c:pt>
                <c:pt idx="26">
                  <c:v>2.1787109375</c:v>
                </c:pt>
                <c:pt idx="27">
                  <c:v>2.1787109375</c:v>
                </c:pt>
                <c:pt idx="28">
                  <c:v>2.1787109375</c:v>
                </c:pt>
                <c:pt idx="29">
                  <c:v>2.1787109375</c:v>
                </c:pt>
                <c:pt idx="30">
                  <c:v>2.1787109375</c:v>
                </c:pt>
                <c:pt idx="31">
                  <c:v>2.1787109375</c:v>
                </c:pt>
                <c:pt idx="32">
                  <c:v>2.1787109375</c:v>
                </c:pt>
                <c:pt idx="33">
                  <c:v>2.1787109375</c:v>
                </c:pt>
                <c:pt idx="34">
                  <c:v>2.1787109375</c:v>
                </c:pt>
                <c:pt idx="35">
                  <c:v>2.1787109375</c:v>
                </c:pt>
                <c:pt idx="36">
                  <c:v>2.1787109375</c:v>
                </c:pt>
                <c:pt idx="37">
                  <c:v>2.1787109375</c:v>
                </c:pt>
                <c:pt idx="38">
                  <c:v>2.1787109375</c:v>
                </c:pt>
                <c:pt idx="39">
                  <c:v>2.1787109375</c:v>
                </c:pt>
                <c:pt idx="40">
                  <c:v>2.1787109375</c:v>
                </c:pt>
                <c:pt idx="41">
                  <c:v>2.1787109375</c:v>
                </c:pt>
                <c:pt idx="42">
                  <c:v>2.1787109375</c:v>
                </c:pt>
                <c:pt idx="43">
                  <c:v>2.1787109375</c:v>
                </c:pt>
                <c:pt idx="44">
                  <c:v>2.1787109375</c:v>
                </c:pt>
                <c:pt idx="45">
                  <c:v>2.1787109375</c:v>
                </c:pt>
                <c:pt idx="46">
                  <c:v>2.1787109375</c:v>
                </c:pt>
                <c:pt idx="47">
                  <c:v>2.1787109375</c:v>
                </c:pt>
                <c:pt idx="48">
                  <c:v>2.1787109375</c:v>
                </c:pt>
                <c:pt idx="49">
                  <c:v>2.1787109375</c:v>
                </c:pt>
                <c:pt idx="50">
                  <c:v>2.1787109375</c:v>
                </c:pt>
                <c:pt idx="51">
                  <c:v>2.1787109375</c:v>
                </c:pt>
                <c:pt idx="52">
                  <c:v>2.1787109375</c:v>
                </c:pt>
                <c:pt idx="53">
                  <c:v>2.1787109375</c:v>
                </c:pt>
                <c:pt idx="54">
                  <c:v>2.1787109375</c:v>
                </c:pt>
                <c:pt idx="55">
                  <c:v>2.1787109375</c:v>
                </c:pt>
                <c:pt idx="56">
                  <c:v>2.1787109375</c:v>
                </c:pt>
                <c:pt idx="57">
                  <c:v>2.1787109375</c:v>
                </c:pt>
                <c:pt idx="58">
                  <c:v>2.1787109375</c:v>
                </c:pt>
                <c:pt idx="59">
                  <c:v>2.1787109375</c:v>
                </c:pt>
                <c:pt idx="60">
                  <c:v>2.1787109375</c:v>
                </c:pt>
                <c:pt idx="61">
                  <c:v>2.1787109375</c:v>
                </c:pt>
                <c:pt idx="62">
                  <c:v>2.1787109375</c:v>
                </c:pt>
                <c:pt idx="63">
                  <c:v>2.1787109375</c:v>
                </c:pt>
                <c:pt idx="64">
                  <c:v>2.1787109375</c:v>
                </c:pt>
                <c:pt idx="65">
                  <c:v>2.1787109375</c:v>
                </c:pt>
                <c:pt idx="66">
                  <c:v>2.1787109375</c:v>
                </c:pt>
                <c:pt idx="67">
                  <c:v>2.1787109375</c:v>
                </c:pt>
                <c:pt idx="68">
                  <c:v>2.1787109375</c:v>
                </c:pt>
                <c:pt idx="69">
                  <c:v>2.1787109375</c:v>
                </c:pt>
                <c:pt idx="70">
                  <c:v>2.1787109375</c:v>
                </c:pt>
                <c:pt idx="71">
                  <c:v>2.1787109375</c:v>
                </c:pt>
                <c:pt idx="72">
                  <c:v>2.1787109375</c:v>
                </c:pt>
                <c:pt idx="73">
                  <c:v>2.1787109375</c:v>
                </c:pt>
                <c:pt idx="74">
                  <c:v>2.1787109375</c:v>
                </c:pt>
                <c:pt idx="75">
                  <c:v>2.1787109375</c:v>
                </c:pt>
                <c:pt idx="76">
                  <c:v>2.1787109375</c:v>
                </c:pt>
                <c:pt idx="77">
                  <c:v>2.1787109375</c:v>
                </c:pt>
                <c:pt idx="78">
                  <c:v>2.1787109375</c:v>
                </c:pt>
                <c:pt idx="79">
                  <c:v>2.1787109375</c:v>
                </c:pt>
                <c:pt idx="80">
                  <c:v>2.1787109375</c:v>
                </c:pt>
                <c:pt idx="81">
                  <c:v>2.1787109375</c:v>
                </c:pt>
                <c:pt idx="82">
                  <c:v>2.1787109375</c:v>
                </c:pt>
                <c:pt idx="83">
                  <c:v>2.1787109375</c:v>
                </c:pt>
                <c:pt idx="84">
                  <c:v>2.1787109375</c:v>
                </c:pt>
                <c:pt idx="85">
                  <c:v>2.1787109375</c:v>
                </c:pt>
                <c:pt idx="86">
                  <c:v>2.1787109375</c:v>
                </c:pt>
                <c:pt idx="87">
                  <c:v>2.1787109375</c:v>
                </c:pt>
                <c:pt idx="88">
                  <c:v>2.1787109375</c:v>
                </c:pt>
                <c:pt idx="89">
                  <c:v>2.1787109375</c:v>
                </c:pt>
                <c:pt idx="90">
                  <c:v>2.1787109375</c:v>
                </c:pt>
                <c:pt idx="91">
                  <c:v>2.1787109375</c:v>
                </c:pt>
                <c:pt idx="92">
                  <c:v>2.1787109375</c:v>
                </c:pt>
                <c:pt idx="93">
                  <c:v>2.1787109375</c:v>
                </c:pt>
                <c:pt idx="94">
                  <c:v>2.1787109375</c:v>
                </c:pt>
                <c:pt idx="95">
                  <c:v>2.1787109375</c:v>
                </c:pt>
                <c:pt idx="96">
                  <c:v>2.1787109375</c:v>
                </c:pt>
                <c:pt idx="97">
                  <c:v>2.1787109375</c:v>
                </c:pt>
                <c:pt idx="98">
                  <c:v>2.1787109375</c:v>
                </c:pt>
                <c:pt idx="99">
                  <c:v>2.1787109375</c:v>
                </c:pt>
                <c:pt idx="100">
                  <c:v>2.1787109375</c:v>
                </c:pt>
                <c:pt idx="101">
                  <c:v>2.1787109375</c:v>
                </c:pt>
                <c:pt idx="102">
                  <c:v>2.1787109375</c:v>
                </c:pt>
                <c:pt idx="103">
                  <c:v>2.1787109375</c:v>
                </c:pt>
                <c:pt idx="104">
                  <c:v>2.1787109375</c:v>
                </c:pt>
                <c:pt idx="105">
                  <c:v>2.1787109375</c:v>
                </c:pt>
                <c:pt idx="106">
                  <c:v>2.1787109375</c:v>
                </c:pt>
                <c:pt idx="107">
                  <c:v>2.1787109375</c:v>
                </c:pt>
                <c:pt idx="108">
                  <c:v>2.1787109375</c:v>
                </c:pt>
                <c:pt idx="109">
                  <c:v>2.1787109375</c:v>
                </c:pt>
                <c:pt idx="110">
                  <c:v>2.1787109375</c:v>
                </c:pt>
                <c:pt idx="111">
                  <c:v>2.1787109375</c:v>
                </c:pt>
                <c:pt idx="112">
                  <c:v>2.1787109375</c:v>
                </c:pt>
                <c:pt idx="113">
                  <c:v>2.1787109375</c:v>
                </c:pt>
                <c:pt idx="114">
                  <c:v>2.1787109375</c:v>
                </c:pt>
                <c:pt idx="115">
                  <c:v>2.1787109375</c:v>
                </c:pt>
                <c:pt idx="116">
                  <c:v>2.1787109375</c:v>
                </c:pt>
                <c:pt idx="117">
                  <c:v>2.1787109375</c:v>
                </c:pt>
                <c:pt idx="118">
                  <c:v>2.1787109375</c:v>
                </c:pt>
                <c:pt idx="119">
                  <c:v>2.1787109375</c:v>
                </c:pt>
                <c:pt idx="120">
                  <c:v>2.1787109375</c:v>
                </c:pt>
                <c:pt idx="121">
                  <c:v>2.1787109375</c:v>
                </c:pt>
                <c:pt idx="122">
                  <c:v>2.1787109375</c:v>
                </c:pt>
                <c:pt idx="123">
                  <c:v>2.1787109375</c:v>
                </c:pt>
                <c:pt idx="124">
                  <c:v>2.1787109375</c:v>
                </c:pt>
                <c:pt idx="125">
                  <c:v>2.1787109375</c:v>
                </c:pt>
                <c:pt idx="126">
                  <c:v>2.1787109375</c:v>
                </c:pt>
                <c:pt idx="127">
                  <c:v>2.1787109375</c:v>
                </c:pt>
                <c:pt idx="128">
                  <c:v>2.1787109375</c:v>
                </c:pt>
                <c:pt idx="129">
                  <c:v>2.1787109375</c:v>
                </c:pt>
                <c:pt idx="130">
                  <c:v>2.1787109375</c:v>
                </c:pt>
                <c:pt idx="131">
                  <c:v>2.1787109375</c:v>
                </c:pt>
                <c:pt idx="132">
                  <c:v>2.1787109375</c:v>
                </c:pt>
                <c:pt idx="133">
                  <c:v>2.1787109375</c:v>
                </c:pt>
                <c:pt idx="134">
                  <c:v>2.1787109375</c:v>
                </c:pt>
                <c:pt idx="135">
                  <c:v>2.1787109375</c:v>
                </c:pt>
                <c:pt idx="136">
                  <c:v>2.1787109375</c:v>
                </c:pt>
                <c:pt idx="137">
                  <c:v>2.1787109375</c:v>
                </c:pt>
                <c:pt idx="138">
                  <c:v>2.1787109375</c:v>
                </c:pt>
                <c:pt idx="139">
                  <c:v>2.1787109375</c:v>
                </c:pt>
                <c:pt idx="140">
                  <c:v>2.1787109375</c:v>
                </c:pt>
                <c:pt idx="141">
                  <c:v>2.1787109375</c:v>
                </c:pt>
                <c:pt idx="142">
                  <c:v>2.1787109375</c:v>
                </c:pt>
                <c:pt idx="143">
                  <c:v>2.1787109375</c:v>
                </c:pt>
                <c:pt idx="144">
                  <c:v>2.1787109375</c:v>
                </c:pt>
                <c:pt idx="145">
                  <c:v>2.1787109375</c:v>
                </c:pt>
                <c:pt idx="146">
                  <c:v>2.1787109375</c:v>
                </c:pt>
                <c:pt idx="147">
                  <c:v>2.1787109375</c:v>
                </c:pt>
                <c:pt idx="148">
                  <c:v>2.1787109375</c:v>
                </c:pt>
                <c:pt idx="149">
                  <c:v>2.1787109375</c:v>
                </c:pt>
                <c:pt idx="150">
                  <c:v>2.1787109375</c:v>
                </c:pt>
                <c:pt idx="151">
                  <c:v>2.1787109375</c:v>
                </c:pt>
                <c:pt idx="152">
                  <c:v>2.1787109375</c:v>
                </c:pt>
                <c:pt idx="153">
                  <c:v>2.1787109375</c:v>
                </c:pt>
                <c:pt idx="154">
                  <c:v>2.1787109375</c:v>
                </c:pt>
                <c:pt idx="155">
                  <c:v>2.1787109375</c:v>
                </c:pt>
                <c:pt idx="156">
                  <c:v>2.1787109375</c:v>
                </c:pt>
              </c:numCache>
            </c:numRef>
          </c:val>
        </c:ser>
        <c:dLbls/>
        <c:marker val="1"/>
        <c:axId val="355032448"/>
        <c:axId val="355054720"/>
      </c:lineChart>
      <c:dateAx>
        <c:axId val="35503244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55054720"/>
        <c:crosses val="autoZero"/>
        <c:auto val="1"/>
        <c:lblOffset val="100"/>
        <c:baseTimeUnit val="days"/>
      </c:dateAx>
      <c:valAx>
        <c:axId val="35505472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5503244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796"/>
          <c:y val="0.18584098385082926"/>
          <c:w val="0.7590870965264539"/>
          <c:h val="0.59041422411898448"/>
        </c:manualLayout>
      </c:layout>
      <c:lineChart>
        <c:grouping val="standard"/>
        <c:ser>
          <c:idx val="0"/>
          <c:order val="0"/>
          <c:tx>
            <c:strRef>
              <c:f>'Allocated charts'!$M$2</c:f>
              <c:strCache>
                <c:ptCount val="1"/>
                <c:pt idx="0">
                  <c:v>EDC T3 V-MAX 2262</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charts'!$M$3:$M$159</c:f>
              <c:numCache>
                <c:formatCode>0</c:formatCode>
                <c:ptCount val="157"/>
                <c:pt idx="0">
                  <c:v>20.712773437500001</c:v>
                </c:pt>
                <c:pt idx="1">
                  <c:v>53.6337890625</c:v>
                </c:pt>
                <c:pt idx="2">
                  <c:v>53.6337890625</c:v>
                </c:pt>
                <c:pt idx="3">
                  <c:v>53.6337890625</c:v>
                </c:pt>
                <c:pt idx="4">
                  <c:v>53.6337890625</c:v>
                </c:pt>
                <c:pt idx="5">
                  <c:v>53.6337890625</c:v>
                </c:pt>
                <c:pt idx="6">
                  <c:v>53.6337890625</c:v>
                </c:pt>
                <c:pt idx="7">
                  <c:v>53.6337890625</c:v>
                </c:pt>
                <c:pt idx="8">
                  <c:v>22.2275390625</c:v>
                </c:pt>
                <c:pt idx="9">
                  <c:v>53.6337890625</c:v>
                </c:pt>
                <c:pt idx="10">
                  <c:v>53.6337890625</c:v>
                </c:pt>
                <c:pt idx="11">
                  <c:v>53.6337890625</c:v>
                </c:pt>
                <c:pt idx="12">
                  <c:v>53.6337890625</c:v>
                </c:pt>
                <c:pt idx="13">
                  <c:v>53.6337890625</c:v>
                </c:pt>
                <c:pt idx="14">
                  <c:v>53.6337890625</c:v>
                </c:pt>
                <c:pt idx="15">
                  <c:v>53.6337890625</c:v>
                </c:pt>
                <c:pt idx="16">
                  <c:v>2.208984375</c:v>
                </c:pt>
                <c:pt idx="17">
                  <c:v>2.208984375</c:v>
                </c:pt>
                <c:pt idx="18">
                  <c:v>2.208984375</c:v>
                </c:pt>
                <c:pt idx="19">
                  <c:v>2.208984375</c:v>
                </c:pt>
                <c:pt idx="20">
                  <c:v>2.208984375</c:v>
                </c:pt>
                <c:pt idx="21">
                  <c:v>2.208984375</c:v>
                </c:pt>
                <c:pt idx="22">
                  <c:v>2.208984375</c:v>
                </c:pt>
                <c:pt idx="23">
                  <c:v>2.208984375</c:v>
                </c:pt>
                <c:pt idx="24">
                  <c:v>2.208984375</c:v>
                </c:pt>
                <c:pt idx="25">
                  <c:v>2.208984375</c:v>
                </c:pt>
                <c:pt idx="26">
                  <c:v>2.208984375</c:v>
                </c:pt>
                <c:pt idx="27">
                  <c:v>2.208984375</c:v>
                </c:pt>
                <c:pt idx="28">
                  <c:v>2.208984375</c:v>
                </c:pt>
                <c:pt idx="29">
                  <c:v>2.208984375</c:v>
                </c:pt>
                <c:pt idx="30">
                  <c:v>2.208984375</c:v>
                </c:pt>
                <c:pt idx="31">
                  <c:v>2.208984375</c:v>
                </c:pt>
                <c:pt idx="32">
                  <c:v>2.208984375</c:v>
                </c:pt>
                <c:pt idx="33">
                  <c:v>2.208984375</c:v>
                </c:pt>
                <c:pt idx="34">
                  <c:v>2.208984375</c:v>
                </c:pt>
                <c:pt idx="35">
                  <c:v>2.208984375</c:v>
                </c:pt>
                <c:pt idx="36">
                  <c:v>2.208984375</c:v>
                </c:pt>
                <c:pt idx="37">
                  <c:v>2.208984375</c:v>
                </c:pt>
                <c:pt idx="38">
                  <c:v>2.208984375</c:v>
                </c:pt>
                <c:pt idx="39">
                  <c:v>2.208984375</c:v>
                </c:pt>
                <c:pt idx="40">
                  <c:v>2.208984375</c:v>
                </c:pt>
                <c:pt idx="41">
                  <c:v>2.208984375</c:v>
                </c:pt>
                <c:pt idx="42">
                  <c:v>2.208984375</c:v>
                </c:pt>
                <c:pt idx="43">
                  <c:v>2.208984375</c:v>
                </c:pt>
                <c:pt idx="44">
                  <c:v>2.208984375</c:v>
                </c:pt>
                <c:pt idx="45">
                  <c:v>2.208984375</c:v>
                </c:pt>
                <c:pt idx="46">
                  <c:v>2.208984375</c:v>
                </c:pt>
                <c:pt idx="47">
                  <c:v>2.208984375</c:v>
                </c:pt>
                <c:pt idx="48">
                  <c:v>2.208984375</c:v>
                </c:pt>
                <c:pt idx="49">
                  <c:v>2.208984375</c:v>
                </c:pt>
                <c:pt idx="50">
                  <c:v>2.208984375</c:v>
                </c:pt>
                <c:pt idx="51">
                  <c:v>2.208984375</c:v>
                </c:pt>
                <c:pt idx="52">
                  <c:v>2.208984375</c:v>
                </c:pt>
                <c:pt idx="53">
                  <c:v>2.208984375</c:v>
                </c:pt>
                <c:pt idx="54">
                  <c:v>2.208984375</c:v>
                </c:pt>
                <c:pt idx="55">
                  <c:v>2.208984375</c:v>
                </c:pt>
                <c:pt idx="56">
                  <c:v>2.208984375</c:v>
                </c:pt>
                <c:pt idx="57">
                  <c:v>2.208984375</c:v>
                </c:pt>
                <c:pt idx="58">
                  <c:v>2.208984375</c:v>
                </c:pt>
                <c:pt idx="59">
                  <c:v>2.208984375</c:v>
                </c:pt>
                <c:pt idx="60">
                  <c:v>2.208984375</c:v>
                </c:pt>
                <c:pt idx="61">
                  <c:v>2.208984375</c:v>
                </c:pt>
                <c:pt idx="62">
                  <c:v>2.208984375</c:v>
                </c:pt>
                <c:pt idx="63">
                  <c:v>2.208984375</c:v>
                </c:pt>
                <c:pt idx="64">
                  <c:v>2.208984375</c:v>
                </c:pt>
                <c:pt idx="65">
                  <c:v>2.208984375</c:v>
                </c:pt>
                <c:pt idx="66">
                  <c:v>2.208984375</c:v>
                </c:pt>
                <c:pt idx="67">
                  <c:v>2.208984375</c:v>
                </c:pt>
                <c:pt idx="68">
                  <c:v>2.208984375</c:v>
                </c:pt>
                <c:pt idx="69">
                  <c:v>2.208984375</c:v>
                </c:pt>
                <c:pt idx="70">
                  <c:v>2.208984375</c:v>
                </c:pt>
                <c:pt idx="71">
                  <c:v>2.208984375</c:v>
                </c:pt>
                <c:pt idx="72">
                  <c:v>2.208984375</c:v>
                </c:pt>
                <c:pt idx="73">
                  <c:v>2.208984375</c:v>
                </c:pt>
                <c:pt idx="74">
                  <c:v>2.208984375</c:v>
                </c:pt>
                <c:pt idx="75">
                  <c:v>2.208984375</c:v>
                </c:pt>
                <c:pt idx="76">
                  <c:v>2.208984375</c:v>
                </c:pt>
                <c:pt idx="77">
                  <c:v>2.208984375</c:v>
                </c:pt>
                <c:pt idx="78">
                  <c:v>2.208984375</c:v>
                </c:pt>
                <c:pt idx="79">
                  <c:v>2.208984375</c:v>
                </c:pt>
                <c:pt idx="80">
                  <c:v>2.208984375</c:v>
                </c:pt>
                <c:pt idx="81">
                  <c:v>2.208984375</c:v>
                </c:pt>
                <c:pt idx="82">
                  <c:v>2.208984375</c:v>
                </c:pt>
                <c:pt idx="83">
                  <c:v>2.208984375</c:v>
                </c:pt>
                <c:pt idx="84">
                  <c:v>2.208984375</c:v>
                </c:pt>
                <c:pt idx="85">
                  <c:v>2.208984375</c:v>
                </c:pt>
                <c:pt idx="86">
                  <c:v>2.208984375</c:v>
                </c:pt>
                <c:pt idx="87">
                  <c:v>2.208984375</c:v>
                </c:pt>
                <c:pt idx="88">
                  <c:v>2.208984375</c:v>
                </c:pt>
                <c:pt idx="89">
                  <c:v>2.208984375</c:v>
                </c:pt>
                <c:pt idx="90">
                  <c:v>2.208984375</c:v>
                </c:pt>
                <c:pt idx="91">
                  <c:v>2.208984375</c:v>
                </c:pt>
                <c:pt idx="92">
                  <c:v>2.208984375</c:v>
                </c:pt>
                <c:pt idx="93">
                  <c:v>2.208984375</c:v>
                </c:pt>
                <c:pt idx="94">
                  <c:v>2.208984375</c:v>
                </c:pt>
                <c:pt idx="95">
                  <c:v>2.208984375</c:v>
                </c:pt>
                <c:pt idx="96">
                  <c:v>2.208984375</c:v>
                </c:pt>
                <c:pt idx="97">
                  <c:v>2.208984375</c:v>
                </c:pt>
                <c:pt idx="98">
                  <c:v>2.208984375</c:v>
                </c:pt>
                <c:pt idx="99">
                  <c:v>2.208984375</c:v>
                </c:pt>
                <c:pt idx="100">
                  <c:v>2.208984375</c:v>
                </c:pt>
                <c:pt idx="101">
                  <c:v>2.208984375</c:v>
                </c:pt>
                <c:pt idx="102">
                  <c:v>2.208984375</c:v>
                </c:pt>
                <c:pt idx="103">
                  <c:v>2.208984375</c:v>
                </c:pt>
                <c:pt idx="104">
                  <c:v>2.208984375</c:v>
                </c:pt>
                <c:pt idx="105">
                  <c:v>2.208984375</c:v>
                </c:pt>
                <c:pt idx="106">
                  <c:v>2.208984375</c:v>
                </c:pt>
                <c:pt idx="107">
                  <c:v>2.208984375</c:v>
                </c:pt>
                <c:pt idx="108">
                  <c:v>2.208984375</c:v>
                </c:pt>
                <c:pt idx="109">
                  <c:v>2.208984375</c:v>
                </c:pt>
                <c:pt idx="110">
                  <c:v>2.208984375</c:v>
                </c:pt>
                <c:pt idx="111">
                  <c:v>2.208984375</c:v>
                </c:pt>
                <c:pt idx="112">
                  <c:v>2.208984375</c:v>
                </c:pt>
                <c:pt idx="113">
                  <c:v>2.208984375</c:v>
                </c:pt>
                <c:pt idx="114">
                  <c:v>2.208984375</c:v>
                </c:pt>
                <c:pt idx="115">
                  <c:v>2.208984375</c:v>
                </c:pt>
                <c:pt idx="116">
                  <c:v>2.208984375</c:v>
                </c:pt>
                <c:pt idx="117">
                  <c:v>2.208984375</c:v>
                </c:pt>
                <c:pt idx="118">
                  <c:v>2.208984375</c:v>
                </c:pt>
                <c:pt idx="119">
                  <c:v>2.208984375</c:v>
                </c:pt>
                <c:pt idx="120">
                  <c:v>2.208984375</c:v>
                </c:pt>
                <c:pt idx="121">
                  <c:v>2.208984375</c:v>
                </c:pt>
                <c:pt idx="122">
                  <c:v>2.208984375</c:v>
                </c:pt>
                <c:pt idx="123">
                  <c:v>2.208984375</c:v>
                </c:pt>
                <c:pt idx="124">
                  <c:v>2.208984375</c:v>
                </c:pt>
                <c:pt idx="125">
                  <c:v>2.208984375</c:v>
                </c:pt>
                <c:pt idx="126">
                  <c:v>2.208984375</c:v>
                </c:pt>
                <c:pt idx="127">
                  <c:v>2.208984375</c:v>
                </c:pt>
                <c:pt idx="128">
                  <c:v>2.208984375</c:v>
                </c:pt>
                <c:pt idx="129">
                  <c:v>2.208984375</c:v>
                </c:pt>
                <c:pt idx="130">
                  <c:v>2.208984375</c:v>
                </c:pt>
                <c:pt idx="131">
                  <c:v>2.208984375</c:v>
                </c:pt>
                <c:pt idx="132">
                  <c:v>2.208984375</c:v>
                </c:pt>
                <c:pt idx="133">
                  <c:v>2.208984375</c:v>
                </c:pt>
                <c:pt idx="134">
                  <c:v>2.208984375</c:v>
                </c:pt>
                <c:pt idx="135">
                  <c:v>2.208984375</c:v>
                </c:pt>
                <c:pt idx="136">
                  <c:v>2.208984375</c:v>
                </c:pt>
                <c:pt idx="137">
                  <c:v>2.208984375</c:v>
                </c:pt>
                <c:pt idx="138">
                  <c:v>2.208984375</c:v>
                </c:pt>
                <c:pt idx="139">
                  <c:v>2.208984375</c:v>
                </c:pt>
                <c:pt idx="140">
                  <c:v>2.208984375</c:v>
                </c:pt>
                <c:pt idx="141">
                  <c:v>2.208984375</c:v>
                </c:pt>
                <c:pt idx="142">
                  <c:v>2.208984375</c:v>
                </c:pt>
                <c:pt idx="143">
                  <c:v>2.208984375</c:v>
                </c:pt>
                <c:pt idx="144">
                  <c:v>2.208984375</c:v>
                </c:pt>
                <c:pt idx="145">
                  <c:v>2.208984375</c:v>
                </c:pt>
                <c:pt idx="146">
                  <c:v>2.208984375</c:v>
                </c:pt>
                <c:pt idx="147">
                  <c:v>2.208984375</c:v>
                </c:pt>
                <c:pt idx="148">
                  <c:v>2.208984375</c:v>
                </c:pt>
                <c:pt idx="149">
                  <c:v>2.208984375</c:v>
                </c:pt>
                <c:pt idx="150">
                  <c:v>2.208984375</c:v>
                </c:pt>
                <c:pt idx="151">
                  <c:v>2.208984375</c:v>
                </c:pt>
                <c:pt idx="152">
                  <c:v>2.208984375</c:v>
                </c:pt>
                <c:pt idx="153">
                  <c:v>2.208984375</c:v>
                </c:pt>
                <c:pt idx="154">
                  <c:v>2.208984375</c:v>
                </c:pt>
                <c:pt idx="155">
                  <c:v>2.208984375</c:v>
                </c:pt>
                <c:pt idx="156">
                  <c:v>2.208984375</c:v>
                </c:pt>
              </c:numCache>
            </c:numRef>
          </c:val>
        </c:ser>
        <c:dLbls/>
        <c:marker val="1"/>
        <c:axId val="369464064"/>
        <c:axId val="369465600"/>
      </c:lineChart>
      <c:dateAx>
        <c:axId val="36946406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369465600"/>
        <c:crosses val="autoZero"/>
        <c:auto val="1"/>
        <c:lblOffset val="100"/>
        <c:baseTimeUnit val="days"/>
      </c:dateAx>
      <c:valAx>
        <c:axId val="36946560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6946406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02"/>
          <c:y val="0.18584098385082937"/>
          <c:w val="0.75908709652645412"/>
          <c:h val="0.61782913522709382"/>
        </c:manualLayout>
      </c:layout>
      <c:lineChart>
        <c:grouping val="standard"/>
        <c:ser>
          <c:idx val="0"/>
          <c:order val="0"/>
          <c:tx>
            <c:strRef>
              <c:f>'Allocated charts'!$G$2</c:f>
              <c:strCache>
                <c:ptCount val="1"/>
                <c:pt idx="0">
                  <c:v>RDC V-MAX 3073</c:v>
                </c:pt>
              </c:strCache>
            </c:strRef>
          </c:tx>
          <c:cat>
            <c:numRef>
              <c:f>'Allocated charts'!$A$3:$A$158</c:f>
              <c:numCache>
                <c:formatCode>[$-409]d\-mmm\-yy;@</c:formatCode>
                <c:ptCount val="156"/>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numCache>
            </c:numRef>
          </c:cat>
          <c:val>
            <c:numRef>
              <c:f>'Allocated charts'!$G$3:$G$158</c:f>
              <c:numCache>
                <c:formatCode>0</c:formatCode>
                <c:ptCount val="156"/>
                <c:pt idx="0">
                  <c:v>423.60749999999996</c:v>
                </c:pt>
                <c:pt idx="1">
                  <c:v>129.03515625</c:v>
                </c:pt>
                <c:pt idx="2">
                  <c:v>129.03515625</c:v>
                </c:pt>
                <c:pt idx="3">
                  <c:v>129.03515625</c:v>
                </c:pt>
                <c:pt idx="4">
                  <c:v>129.03515625</c:v>
                </c:pt>
                <c:pt idx="5">
                  <c:v>129.03515625</c:v>
                </c:pt>
                <c:pt idx="6">
                  <c:v>129.03515625</c:v>
                </c:pt>
                <c:pt idx="7">
                  <c:v>129.03515625</c:v>
                </c:pt>
                <c:pt idx="8">
                  <c:v>397.16496093749998</c:v>
                </c:pt>
                <c:pt idx="9">
                  <c:v>129.03515625</c:v>
                </c:pt>
                <c:pt idx="10">
                  <c:v>129.03515625</c:v>
                </c:pt>
                <c:pt idx="11">
                  <c:v>129.03515625</c:v>
                </c:pt>
                <c:pt idx="12">
                  <c:v>129.03515625</c:v>
                </c:pt>
                <c:pt idx="13">
                  <c:v>129.03515625</c:v>
                </c:pt>
                <c:pt idx="14">
                  <c:v>107.49208984374999</c:v>
                </c:pt>
                <c:pt idx="15">
                  <c:v>107.49208984374999</c:v>
                </c:pt>
                <c:pt idx="16">
                  <c:v>3.0009765625</c:v>
                </c:pt>
                <c:pt idx="17">
                  <c:v>3.0009765625</c:v>
                </c:pt>
                <c:pt idx="18">
                  <c:v>3.0009765625</c:v>
                </c:pt>
                <c:pt idx="19">
                  <c:v>3.0009765625</c:v>
                </c:pt>
                <c:pt idx="20">
                  <c:v>3.0009765625</c:v>
                </c:pt>
                <c:pt idx="21">
                  <c:v>3.0009765625</c:v>
                </c:pt>
                <c:pt idx="22">
                  <c:v>3.0009765625</c:v>
                </c:pt>
                <c:pt idx="23">
                  <c:v>3.0009765625</c:v>
                </c:pt>
                <c:pt idx="24">
                  <c:v>3.0009765625</c:v>
                </c:pt>
                <c:pt idx="25">
                  <c:v>3.0009765625</c:v>
                </c:pt>
                <c:pt idx="26">
                  <c:v>3.0009765625</c:v>
                </c:pt>
                <c:pt idx="27">
                  <c:v>3.0009765625</c:v>
                </c:pt>
                <c:pt idx="28">
                  <c:v>3.0009765625</c:v>
                </c:pt>
                <c:pt idx="29">
                  <c:v>3.0009765625</c:v>
                </c:pt>
                <c:pt idx="30">
                  <c:v>3.0009765625</c:v>
                </c:pt>
                <c:pt idx="31">
                  <c:v>3.0009765625</c:v>
                </c:pt>
                <c:pt idx="32">
                  <c:v>3.0009765625</c:v>
                </c:pt>
                <c:pt idx="33">
                  <c:v>3.0009765625</c:v>
                </c:pt>
                <c:pt idx="34">
                  <c:v>3.0009765625</c:v>
                </c:pt>
                <c:pt idx="35">
                  <c:v>3.0009765625</c:v>
                </c:pt>
                <c:pt idx="36">
                  <c:v>3.0009765625</c:v>
                </c:pt>
                <c:pt idx="37">
                  <c:v>3.0009765625</c:v>
                </c:pt>
                <c:pt idx="38">
                  <c:v>3.0009765625</c:v>
                </c:pt>
                <c:pt idx="39">
                  <c:v>3.0009765625</c:v>
                </c:pt>
                <c:pt idx="40">
                  <c:v>3.0009765625</c:v>
                </c:pt>
                <c:pt idx="41">
                  <c:v>3.0009765625</c:v>
                </c:pt>
                <c:pt idx="42">
                  <c:v>3.0009765625</c:v>
                </c:pt>
                <c:pt idx="43">
                  <c:v>3.0009765625</c:v>
                </c:pt>
                <c:pt idx="44">
                  <c:v>3.0009765625</c:v>
                </c:pt>
                <c:pt idx="45">
                  <c:v>3.0009765625</c:v>
                </c:pt>
                <c:pt idx="46">
                  <c:v>3.0009765625</c:v>
                </c:pt>
                <c:pt idx="47">
                  <c:v>3.0009765625</c:v>
                </c:pt>
                <c:pt idx="48">
                  <c:v>3.0009765625</c:v>
                </c:pt>
                <c:pt idx="49">
                  <c:v>3.0009765625</c:v>
                </c:pt>
                <c:pt idx="50">
                  <c:v>3.0009765625</c:v>
                </c:pt>
                <c:pt idx="51">
                  <c:v>3.0009765625</c:v>
                </c:pt>
                <c:pt idx="52">
                  <c:v>3.0009765625</c:v>
                </c:pt>
                <c:pt idx="53">
                  <c:v>3.0009765625</c:v>
                </c:pt>
                <c:pt idx="54">
                  <c:v>3.0009765625</c:v>
                </c:pt>
                <c:pt idx="55">
                  <c:v>3.0009765625</c:v>
                </c:pt>
                <c:pt idx="56">
                  <c:v>3.0009765625</c:v>
                </c:pt>
                <c:pt idx="57">
                  <c:v>3.0009765625</c:v>
                </c:pt>
                <c:pt idx="58">
                  <c:v>3.0009765625</c:v>
                </c:pt>
                <c:pt idx="59">
                  <c:v>3.0009765625</c:v>
                </c:pt>
                <c:pt idx="60">
                  <c:v>3.0009765625</c:v>
                </c:pt>
                <c:pt idx="61">
                  <c:v>3.0009765625</c:v>
                </c:pt>
                <c:pt idx="62">
                  <c:v>3.0009765625</c:v>
                </c:pt>
                <c:pt idx="63">
                  <c:v>3.0009765625</c:v>
                </c:pt>
                <c:pt idx="64">
                  <c:v>3.0009765625</c:v>
                </c:pt>
                <c:pt idx="65">
                  <c:v>3.0009765625</c:v>
                </c:pt>
                <c:pt idx="66">
                  <c:v>3.0009765625</c:v>
                </c:pt>
                <c:pt idx="67">
                  <c:v>3.0009765625</c:v>
                </c:pt>
                <c:pt idx="68">
                  <c:v>3.0009765625</c:v>
                </c:pt>
                <c:pt idx="69">
                  <c:v>3.0009765625</c:v>
                </c:pt>
                <c:pt idx="70">
                  <c:v>3.0009765625</c:v>
                </c:pt>
                <c:pt idx="71">
                  <c:v>3.0009765625</c:v>
                </c:pt>
                <c:pt idx="72">
                  <c:v>3.0009765625</c:v>
                </c:pt>
                <c:pt idx="73">
                  <c:v>3.0009765625</c:v>
                </c:pt>
                <c:pt idx="74">
                  <c:v>3.0009765625</c:v>
                </c:pt>
                <c:pt idx="75">
                  <c:v>3.0009765625</c:v>
                </c:pt>
                <c:pt idx="76">
                  <c:v>3.0009765625</c:v>
                </c:pt>
                <c:pt idx="77">
                  <c:v>3.0009765625</c:v>
                </c:pt>
                <c:pt idx="78">
                  <c:v>3.0009765625</c:v>
                </c:pt>
                <c:pt idx="79">
                  <c:v>3.0009765625</c:v>
                </c:pt>
                <c:pt idx="80">
                  <c:v>3.0009765625</c:v>
                </c:pt>
                <c:pt idx="81">
                  <c:v>3.0009765625</c:v>
                </c:pt>
                <c:pt idx="82">
                  <c:v>3.0009765625</c:v>
                </c:pt>
                <c:pt idx="83">
                  <c:v>3.0009765625</c:v>
                </c:pt>
                <c:pt idx="84">
                  <c:v>3.0009765625</c:v>
                </c:pt>
                <c:pt idx="85">
                  <c:v>3.0009765625</c:v>
                </c:pt>
                <c:pt idx="86">
                  <c:v>3.0009765625</c:v>
                </c:pt>
                <c:pt idx="87">
                  <c:v>3.0009765625</c:v>
                </c:pt>
                <c:pt idx="88">
                  <c:v>3.0009765625</c:v>
                </c:pt>
                <c:pt idx="89">
                  <c:v>3.0009765625</c:v>
                </c:pt>
                <c:pt idx="90">
                  <c:v>3.0009765625</c:v>
                </c:pt>
                <c:pt idx="91">
                  <c:v>3.0009765625</c:v>
                </c:pt>
                <c:pt idx="92">
                  <c:v>3.0009765625</c:v>
                </c:pt>
                <c:pt idx="93">
                  <c:v>3.0009765625</c:v>
                </c:pt>
                <c:pt idx="94">
                  <c:v>3.0009765625</c:v>
                </c:pt>
                <c:pt idx="95">
                  <c:v>3.0009765625</c:v>
                </c:pt>
                <c:pt idx="96">
                  <c:v>3.0009765625</c:v>
                </c:pt>
                <c:pt idx="97">
                  <c:v>3.0009765625</c:v>
                </c:pt>
                <c:pt idx="98">
                  <c:v>3.0009765625</c:v>
                </c:pt>
                <c:pt idx="99">
                  <c:v>3.0009765625</c:v>
                </c:pt>
                <c:pt idx="100">
                  <c:v>3.0009765625</c:v>
                </c:pt>
                <c:pt idx="101">
                  <c:v>3.0009765625</c:v>
                </c:pt>
                <c:pt idx="102">
                  <c:v>3.0009765625</c:v>
                </c:pt>
                <c:pt idx="103">
                  <c:v>3.0009765625</c:v>
                </c:pt>
                <c:pt idx="104">
                  <c:v>3.0009765625</c:v>
                </c:pt>
                <c:pt idx="105">
                  <c:v>3.0009765625</c:v>
                </c:pt>
                <c:pt idx="106">
                  <c:v>3.0009765625</c:v>
                </c:pt>
                <c:pt idx="107">
                  <c:v>3.0009765625</c:v>
                </c:pt>
                <c:pt idx="108">
                  <c:v>3.0009765625</c:v>
                </c:pt>
                <c:pt idx="109">
                  <c:v>3.0009765625</c:v>
                </c:pt>
                <c:pt idx="110">
                  <c:v>3.0009765625</c:v>
                </c:pt>
                <c:pt idx="111">
                  <c:v>3.0009765625</c:v>
                </c:pt>
                <c:pt idx="112">
                  <c:v>3.0009765625</c:v>
                </c:pt>
                <c:pt idx="113">
                  <c:v>3.0009765625</c:v>
                </c:pt>
                <c:pt idx="114">
                  <c:v>3.0009765625</c:v>
                </c:pt>
                <c:pt idx="115">
                  <c:v>3.0009765625</c:v>
                </c:pt>
                <c:pt idx="116">
                  <c:v>3.0009765625</c:v>
                </c:pt>
                <c:pt idx="117">
                  <c:v>3.0009765625</c:v>
                </c:pt>
                <c:pt idx="118">
                  <c:v>3.0009765625</c:v>
                </c:pt>
                <c:pt idx="119">
                  <c:v>3.0009765625</c:v>
                </c:pt>
                <c:pt idx="120">
                  <c:v>3.0009765625</c:v>
                </c:pt>
                <c:pt idx="121">
                  <c:v>3.0009765625</c:v>
                </c:pt>
                <c:pt idx="122">
                  <c:v>3.0009765625</c:v>
                </c:pt>
                <c:pt idx="123">
                  <c:v>3.0009765625</c:v>
                </c:pt>
                <c:pt idx="124">
                  <c:v>3.0009765625</c:v>
                </c:pt>
                <c:pt idx="125">
                  <c:v>3.0009765625</c:v>
                </c:pt>
                <c:pt idx="126">
                  <c:v>3.0009765625</c:v>
                </c:pt>
                <c:pt idx="127">
                  <c:v>3.0009765625</c:v>
                </c:pt>
                <c:pt idx="128">
                  <c:v>3.0009765625</c:v>
                </c:pt>
                <c:pt idx="129">
                  <c:v>3.0009765625</c:v>
                </c:pt>
                <c:pt idx="130">
                  <c:v>3.0009765625</c:v>
                </c:pt>
                <c:pt idx="131">
                  <c:v>3.0009765625</c:v>
                </c:pt>
                <c:pt idx="132">
                  <c:v>3.0009765625</c:v>
                </c:pt>
                <c:pt idx="133">
                  <c:v>3.0009765625</c:v>
                </c:pt>
                <c:pt idx="134">
                  <c:v>3.0009765625</c:v>
                </c:pt>
                <c:pt idx="135">
                  <c:v>3.0009765625</c:v>
                </c:pt>
                <c:pt idx="136">
                  <c:v>3.0009765625</c:v>
                </c:pt>
                <c:pt idx="137">
                  <c:v>3.0009765625</c:v>
                </c:pt>
                <c:pt idx="138">
                  <c:v>3.0009765625</c:v>
                </c:pt>
                <c:pt idx="139">
                  <c:v>3.0009765625</c:v>
                </c:pt>
                <c:pt idx="140">
                  <c:v>3.0009765625</c:v>
                </c:pt>
                <c:pt idx="141">
                  <c:v>3.0009765625</c:v>
                </c:pt>
                <c:pt idx="142">
                  <c:v>3.0009765625</c:v>
                </c:pt>
                <c:pt idx="143">
                  <c:v>3.0009765625</c:v>
                </c:pt>
                <c:pt idx="144">
                  <c:v>3.0009765625</c:v>
                </c:pt>
                <c:pt idx="145">
                  <c:v>3.0009765625</c:v>
                </c:pt>
                <c:pt idx="146">
                  <c:v>3.0009765625</c:v>
                </c:pt>
                <c:pt idx="147">
                  <c:v>3.0009765625</c:v>
                </c:pt>
                <c:pt idx="148">
                  <c:v>3.0009765625</c:v>
                </c:pt>
                <c:pt idx="149">
                  <c:v>3.0009765625</c:v>
                </c:pt>
                <c:pt idx="150">
                  <c:v>3.0009765625</c:v>
                </c:pt>
                <c:pt idx="151">
                  <c:v>3.0009765625</c:v>
                </c:pt>
                <c:pt idx="152">
                  <c:v>3.0009765625</c:v>
                </c:pt>
                <c:pt idx="153">
                  <c:v>3.0009765625</c:v>
                </c:pt>
                <c:pt idx="154">
                  <c:v>3.0009765625</c:v>
                </c:pt>
                <c:pt idx="155">
                  <c:v>3.0009765625</c:v>
                </c:pt>
              </c:numCache>
            </c:numRef>
          </c:val>
        </c:ser>
        <c:dLbls/>
        <c:marker val="1"/>
        <c:axId val="689444736"/>
        <c:axId val="689446272"/>
      </c:lineChart>
      <c:dateAx>
        <c:axId val="689444736"/>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89446272"/>
        <c:crosses val="autoZero"/>
        <c:auto val="1"/>
        <c:lblOffset val="100"/>
        <c:baseTimeUnit val="days"/>
      </c:dateAx>
      <c:valAx>
        <c:axId val="689446272"/>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89444736"/>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02"/>
          <c:y val="0.18584098385082937"/>
          <c:w val="0.75908709652645412"/>
          <c:h val="0.58828289894840857"/>
        </c:manualLayout>
      </c:layout>
      <c:lineChart>
        <c:grouping val="standard"/>
        <c:ser>
          <c:idx val="0"/>
          <c:order val="0"/>
          <c:tx>
            <c:strRef>
              <c:f>'Allocated charts'!$H$2</c:f>
              <c:strCache>
                <c:ptCount val="1"/>
                <c:pt idx="0">
                  <c:v>RDC V-MAX 2230</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charts'!$H$1:$H$159</c:f>
              <c:numCache>
                <c:formatCode>General</c:formatCode>
                <c:ptCount val="159"/>
                <c:pt idx="0">
                  <c:v>0</c:v>
                </c:pt>
                <c:pt idx="1">
                  <c:v>0</c:v>
                </c:pt>
                <c:pt idx="2" formatCode="0">
                  <c:v>96.84621093749999</c:v>
                </c:pt>
                <c:pt idx="3" formatCode="0">
                  <c:v>118.4880859375</c:v>
                </c:pt>
                <c:pt idx="4" formatCode="0">
                  <c:v>118.4880859375</c:v>
                </c:pt>
                <c:pt idx="5" formatCode="0">
                  <c:v>118.4880859375</c:v>
                </c:pt>
                <c:pt idx="6" formatCode="0">
                  <c:v>118.4880859375</c:v>
                </c:pt>
                <c:pt idx="7" formatCode="0">
                  <c:v>118.4880859375</c:v>
                </c:pt>
                <c:pt idx="8" formatCode="0">
                  <c:v>118.4880859375</c:v>
                </c:pt>
                <c:pt idx="9" formatCode="0">
                  <c:v>118.4880859375</c:v>
                </c:pt>
                <c:pt idx="10" formatCode="0">
                  <c:v>92.598281249999985</c:v>
                </c:pt>
                <c:pt idx="11" formatCode="0">
                  <c:v>118.4880859375</c:v>
                </c:pt>
                <c:pt idx="12" formatCode="0">
                  <c:v>118.4880859375</c:v>
                </c:pt>
                <c:pt idx="13" formatCode="0">
                  <c:v>118.4880859375</c:v>
                </c:pt>
                <c:pt idx="14" formatCode="0">
                  <c:v>118.4880859375</c:v>
                </c:pt>
                <c:pt idx="15" formatCode="0">
                  <c:v>118.4880859375</c:v>
                </c:pt>
                <c:pt idx="16" formatCode="0">
                  <c:v>118.4880859375</c:v>
                </c:pt>
                <c:pt idx="17" formatCode="0">
                  <c:v>118.4880859375</c:v>
                </c:pt>
                <c:pt idx="18" formatCode="0">
                  <c:v>2.177734375</c:v>
                </c:pt>
                <c:pt idx="19" formatCode="0">
                  <c:v>2.177734375</c:v>
                </c:pt>
                <c:pt idx="20" formatCode="0">
                  <c:v>2.177734375</c:v>
                </c:pt>
                <c:pt idx="21" formatCode="0">
                  <c:v>2.177734375</c:v>
                </c:pt>
                <c:pt idx="22" formatCode="0">
                  <c:v>2.177734375</c:v>
                </c:pt>
                <c:pt idx="23" formatCode="0">
                  <c:v>2.177734375</c:v>
                </c:pt>
                <c:pt idx="24" formatCode="0">
                  <c:v>2.177734375</c:v>
                </c:pt>
                <c:pt idx="25" formatCode="0">
                  <c:v>2.177734375</c:v>
                </c:pt>
                <c:pt idx="26" formatCode="0">
                  <c:v>2.177734375</c:v>
                </c:pt>
                <c:pt idx="27" formatCode="0">
                  <c:v>2.177734375</c:v>
                </c:pt>
                <c:pt idx="28" formatCode="0">
                  <c:v>2.177734375</c:v>
                </c:pt>
                <c:pt idx="29" formatCode="0">
                  <c:v>2.177734375</c:v>
                </c:pt>
                <c:pt idx="30" formatCode="0">
                  <c:v>2.177734375</c:v>
                </c:pt>
                <c:pt idx="31" formatCode="0">
                  <c:v>2.177734375</c:v>
                </c:pt>
                <c:pt idx="32" formatCode="0">
                  <c:v>2.177734375</c:v>
                </c:pt>
                <c:pt idx="33" formatCode="0">
                  <c:v>2.177734375</c:v>
                </c:pt>
                <c:pt idx="34" formatCode="0">
                  <c:v>2.177734375</c:v>
                </c:pt>
                <c:pt idx="35" formatCode="0">
                  <c:v>2.177734375</c:v>
                </c:pt>
                <c:pt idx="36" formatCode="0">
                  <c:v>2.177734375</c:v>
                </c:pt>
                <c:pt idx="37" formatCode="0">
                  <c:v>2.177734375</c:v>
                </c:pt>
                <c:pt idx="38" formatCode="0">
                  <c:v>2.177734375</c:v>
                </c:pt>
                <c:pt idx="39" formatCode="0">
                  <c:v>2.177734375</c:v>
                </c:pt>
                <c:pt idx="40" formatCode="0">
                  <c:v>2.177734375</c:v>
                </c:pt>
                <c:pt idx="41" formatCode="0">
                  <c:v>2.177734375</c:v>
                </c:pt>
                <c:pt idx="42" formatCode="0">
                  <c:v>2.177734375</c:v>
                </c:pt>
                <c:pt idx="43" formatCode="0">
                  <c:v>2.177734375</c:v>
                </c:pt>
                <c:pt idx="44" formatCode="0">
                  <c:v>2.177734375</c:v>
                </c:pt>
                <c:pt idx="45" formatCode="0">
                  <c:v>2.177734375</c:v>
                </c:pt>
                <c:pt idx="46" formatCode="0">
                  <c:v>2.177734375</c:v>
                </c:pt>
                <c:pt idx="47" formatCode="0">
                  <c:v>2.177734375</c:v>
                </c:pt>
                <c:pt idx="48" formatCode="0">
                  <c:v>2.177734375</c:v>
                </c:pt>
                <c:pt idx="49" formatCode="0">
                  <c:v>2.177734375</c:v>
                </c:pt>
                <c:pt idx="50" formatCode="0">
                  <c:v>2.177734375</c:v>
                </c:pt>
                <c:pt idx="51" formatCode="0">
                  <c:v>2.177734375</c:v>
                </c:pt>
                <c:pt idx="52" formatCode="0">
                  <c:v>2.177734375</c:v>
                </c:pt>
                <c:pt idx="53" formatCode="0">
                  <c:v>2.177734375</c:v>
                </c:pt>
                <c:pt idx="54" formatCode="0">
                  <c:v>2.177734375</c:v>
                </c:pt>
                <c:pt idx="55" formatCode="0">
                  <c:v>2.177734375</c:v>
                </c:pt>
                <c:pt idx="56" formatCode="0">
                  <c:v>2.177734375</c:v>
                </c:pt>
                <c:pt idx="57" formatCode="0">
                  <c:v>2.177734375</c:v>
                </c:pt>
                <c:pt idx="58" formatCode="0">
                  <c:v>2.177734375</c:v>
                </c:pt>
                <c:pt idx="59" formatCode="0">
                  <c:v>2.177734375</c:v>
                </c:pt>
                <c:pt idx="60" formatCode="0">
                  <c:v>2.177734375</c:v>
                </c:pt>
                <c:pt idx="61" formatCode="0">
                  <c:v>2.177734375</c:v>
                </c:pt>
                <c:pt idx="62" formatCode="0">
                  <c:v>2.177734375</c:v>
                </c:pt>
                <c:pt idx="63" formatCode="0">
                  <c:v>2.177734375</c:v>
                </c:pt>
                <c:pt idx="64" formatCode="0">
                  <c:v>2.177734375</c:v>
                </c:pt>
                <c:pt idx="65" formatCode="0">
                  <c:v>2.177734375</c:v>
                </c:pt>
                <c:pt idx="66" formatCode="0">
                  <c:v>2.177734375</c:v>
                </c:pt>
                <c:pt idx="67" formatCode="0">
                  <c:v>2.177734375</c:v>
                </c:pt>
                <c:pt idx="68" formatCode="0">
                  <c:v>2.177734375</c:v>
                </c:pt>
                <c:pt idx="69" formatCode="0">
                  <c:v>2.177734375</c:v>
                </c:pt>
                <c:pt idx="70" formatCode="0">
                  <c:v>2.177734375</c:v>
                </c:pt>
                <c:pt idx="71" formatCode="0">
                  <c:v>2.177734375</c:v>
                </c:pt>
                <c:pt idx="72" formatCode="0">
                  <c:v>2.177734375</c:v>
                </c:pt>
                <c:pt idx="73" formatCode="0">
                  <c:v>2.177734375</c:v>
                </c:pt>
                <c:pt idx="74" formatCode="0">
                  <c:v>2.177734375</c:v>
                </c:pt>
                <c:pt idx="75" formatCode="0">
                  <c:v>2.177734375</c:v>
                </c:pt>
                <c:pt idx="76" formatCode="0">
                  <c:v>2.177734375</c:v>
                </c:pt>
                <c:pt idx="77" formatCode="0">
                  <c:v>2.177734375</c:v>
                </c:pt>
                <c:pt idx="78" formatCode="0">
                  <c:v>2.177734375</c:v>
                </c:pt>
                <c:pt idx="79" formatCode="0">
                  <c:v>2.177734375</c:v>
                </c:pt>
                <c:pt idx="80" formatCode="0">
                  <c:v>2.177734375</c:v>
                </c:pt>
                <c:pt idx="81" formatCode="0">
                  <c:v>2.177734375</c:v>
                </c:pt>
                <c:pt idx="82" formatCode="0">
                  <c:v>2.177734375</c:v>
                </c:pt>
                <c:pt idx="83" formatCode="0">
                  <c:v>2.177734375</c:v>
                </c:pt>
                <c:pt idx="84" formatCode="0">
                  <c:v>2.177734375</c:v>
                </c:pt>
                <c:pt idx="85" formatCode="0">
                  <c:v>2.177734375</c:v>
                </c:pt>
                <c:pt idx="86" formatCode="0">
                  <c:v>2.177734375</c:v>
                </c:pt>
                <c:pt idx="87" formatCode="0">
                  <c:v>2.177734375</c:v>
                </c:pt>
                <c:pt idx="88" formatCode="0">
                  <c:v>2.177734375</c:v>
                </c:pt>
                <c:pt idx="89" formatCode="0">
                  <c:v>2.177734375</c:v>
                </c:pt>
                <c:pt idx="90" formatCode="0">
                  <c:v>2.177734375</c:v>
                </c:pt>
                <c:pt idx="91" formatCode="0">
                  <c:v>2.177734375</c:v>
                </c:pt>
                <c:pt idx="92" formatCode="0">
                  <c:v>2.177734375</c:v>
                </c:pt>
                <c:pt idx="93" formatCode="0">
                  <c:v>2.177734375</c:v>
                </c:pt>
                <c:pt idx="94" formatCode="0">
                  <c:v>2.177734375</c:v>
                </c:pt>
                <c:pt idx="95" formatCode="0">
                  <c:v>2.177734375</c:v>
                </c:pt>
                <c:pt idx="96" formatCode="0">
                  <c:v>2.177734375</c:v>
                </c:pt>
                <c:pt idx="97" formatCode="0">
                  <c:v>2.177734375</c:v>
                </c:pt>
                <c:pt idx="98" formatCode="0">
                  <c:v>2.177734375</c:v>
                </c:pt>
                <c:pt idx="99" formatCode="0">
                  <c:v>2.177734375</c:v>
                </c:pt>
                <c:pt idx="100" formatCode="0">
                  <c:v>2.177734375</c:v>
                </c:pt>
                <c:pt idx="101" formatCode="0">
                  <c:v>2.177734375</c:v>
                </c:pt>
                <c:pt idx="102" formatCode="0">
                  <c:v>2.177734375</c:v>
                </c:pt>
                <c:pt idx="103" formatCode="0">
                  <c:v>2.177734375</c:v>
                </c:pt>
                <c:pt idx="104" formatCode="0">
                  <c:v>2.177734375</c:v>
                </c:pt>
                <c:pt idx="105" formatCode="0">
                  <c:v>2.177734375</c:v>
                </c:pt>
                <c:pt idx="106" formatCode="0">
                  <c:v>2.177734375</c:v>
                </c:pt>
                <c:pt idx="107" formatCode="0">
                  <c:v>2.177734375</c:v>
                </c:pt>
                <c:pt idx="108" formatCode="0">
                  <c:v>2.177734375</c:v>
                </c:pt>
                <c:pt idx="109" formatCode="0">
                  <c:v>2.177734375</c:v>
                </c:pt>
                <c:pt idx="110" formatCode="0">
                  <c:v>2.177734375</c:v>
                </c:pt>
                <c:pt idx="111" formatCode="0">
                  <c:v>2.177734375</c:v>
                </c:pt>
                <c:pt idx="112" formatCode="0">
                  <c:v>2.177734375</c:v>
                </c:pt>
                <c:pt idx="113" formatCode="0">
                  <c:v>2.177734375</c:v>
                </c:pt>
                <c:pt idx="114" formatCode="0">
                  <c:v>2.177734375</c:v>
                </c:pt>
                <c:pt idx="115" formatCode="0">
                  <c:v>2.177734375</c:v>
                </c:pt>
                <c:pt idx="116" formatCode="0">
                  <c:v>2.177734375</c:v>
                </c:pt>
                <c:pt idx="117" formatCode="0">
                  <c:v>2.177734375</c:v>
                </c:pt>
                <c:pt idx="118" formatCode="0">
                  <c:v>2.177734375</c:v>
                </c:pt>
                <c:pt idx="119" formatCode="0">
                  <c:v>2.177734375</c:v>
                </c:pt>
                <c:pt idx="120" formatCode="0">
                  <c:v>2.177734375</c:v>
                </c:pt>
                <c:pt idx="121" formatCode="0">
                  <c:v>2.177734375</c:v>
                </c:pt>
                <c:pt idx="122" formatCode="0">
                  <c:v>2.177734375</c:v>
                </c:pt>
                <c:pt idx="123" formatCode="0">
                  <c:v>2.177734375</c:v>
                </c:pt>
                <c:pt idx="124" formatCode="0">
                  <c:v>2.177734375</c:v>
                </c:pt>
                <c:pt idx="125" formatCode="0">
                  <c:v>2.177734375</c:v>
                </c:pt>
                <c:pt idx="126" formatCode="0">
                  <c:v>2.177734375</c:v>
                </c:pt>
                <c:pt idx="127" formatCode="0">
                  <c:v>2.177734375</c:v>
                </c:pt>
                <c:pt idx="128" formatCode="0">
                  <c:v>2.177734375</c:v>
                </c:pt>
                <c:pt idx="129" formatCode="0">
                  <c:v>2.177734375</c:v>
                </c:pt>
                <c:pt idx="130" formatCode="0">
                  <c:v>2.177734375</c:v>
                </c:pt>
                <c:pt idx="131" formatCode="0">
                  <c:v>2.177734375</c:v>
                </c:pt>
                <c:pt idx="132" formatCode="0">
                  <c:v>2.177734375</c:v>
                </c:pt>
                <c:pt idx="133" formatCode="0">
                  <c:v>2.177734375</c:v>
                </c:pt>
                <c:pt idx="134" formatCode="0">
                  <c:v>2.177734375</c:v>
                </c:pt>
                <c:pt idx="135" formatCode="0">
                  <c:v>2.177734375</c:v>
                </c:pt>
                <c:pt idx="136" formatCode="0">
                  <c:v>2.177734375</c:v>
                </c:pt>
                <c:pt idx="137" formatCode="0">
                  <c:v>2.177734375</c:v>
                </c:pt>
                <c:pt idx="138" formatCode="0">
                  <c:v>2.177734375</c:v>
                </c:pt>
                <c:pt idx="139" formatCode="0">
                  <c:v>2.177734375</c:v>
                </c:pt>
                <c:pt idx="140" formatCode="0">
                  <c:v>2.177734375</c:v>
                </c:pt>
                <c:pt idx="141" formatCode="0">
                  <c:v>2.177734375</c:v>
                </c:pt>
                <c:pt idx="142" formatCode="0">
                  <c:v>2.177734375</c:v>
                </c:pt>
                <c:pt idx="143" formatCode="0">
                  <c:v>2.177734375</c:v>
                </c:pt>
                <c:pt idx="144" formatCode="0">
                  <c:v>2.177734375</c:v>
                </c:pt>
                <c:pt idx="145" formatCode="0">
                  <c:v>2.177734375</c:v>
                </c:pt>
                <c:pt idx="146" formatCode="0">
                  <c:v>2.177734375</c:v>
                </c:pt>
                <c:pt idx="147" formatCode="0">
                  <c:v>2.177734375</c:v>
                </c:pt>
                <c:pt idx="148" formatCode="0">
                  <c:v>2.177734375</c:v>
                </c:pt>
                <c:pt idx="149" formatCode="0">
                  <c:v>2.177734375</c:v>
                </c:pt>
                <c:pt idx="150" formatCode="0">
                  <c:v>2.177734375</c:v>
                </c:pt>
                <c:pt idx="151" formatCode="0">
                  <c:v>2.177734375</c:v>
                </c:pt>
                <c:pt idx="152" formatCode="0">
                  <c:v>2.177734375</c:v>
                </c:pt>
                <c:pt idx="153" formatCode="0">
                  <c:v>2.177734375</c:v>
                </c:pt>
                <c:pt idx="154" formatCode="0">
                  <c:v>2.177734375</c:v>
                </c:pt>
                <c:pt idx="155" formatCode="0">
                  <c:v>2.177734375</c:v>
                </c:pt>
                <c:pt idx="156" formatCode="0">
                  <c:v>2.177734375</c:v>
                </c:pt>
                <c:pt idx="157" formatCode="0">
                  <c:v>2.177734375</c:v>
                </c:pt>
                <c:pt idx="158" formatCode="0">
                  <c:v>2.177734375</c:v>
                </c:pt>
              </c:numCache>
            </c:numRef>
          </c:val>
        </c:ser>
        <c:dLbls/>
        <c:marker val="1"/>
        <c:axId val="689490944"/>
        <c:axId val="689500928"/>
      </c:lineChart>
      <c:dateAx>
        <c:axId val="6894909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689500928"/>
        <c:crosses val="autoZero"/>
        <c:auto val="1"/>
        <c:lblOffset val="100"/>
        <c:baseTimeUnit val="days"/>
      </c:dateAx>
      <c:valAx>
        <c:axId val="689500928"/>
        <c:scaling>
          <c:orientation val="minMax"/>
        </c:scaling>
        <c:axPos val="l"/>
        <c:majorGridlines/>
        <c:numFmt formatCode="General"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6894909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02"/>
          <c:y val="0.18584098385082937"/>
          <c:w val="0.75908709652645412"/>
          <c:h val="0.61008773460594501"/>
        </c:manualLayout>
      </c:layout>
      <c:lineChart>
        <c:grouping val="standard"/>
        <c:ser>
          <c:idx val="0"/>
          <c:order val="0"/>
          <c:tx>
            <c:strRef>
              <c:f>'Allocated charts'!$J$2</c:f>
              <c:strCache>
                <c:ptCount val="1"/>
                <c:pt idx="0">
                  <c:v>FDC T4 V-MAX 3004</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charts'!$J$3:$J$159</c:f>
              <c:numCache>
                <c:formatCode>0</c:formatCode>
                <c:ptCount val="157"/>
                <c:pt idx="0">
                  <c:v>314.18214843749996</c:v>
                </c:pt>
                <c:pt idx="1">
                  <c:v>129.03535156250001</c:v>
                </c:pt>
                <c:pt idx="2">
                  <c:v>129.03535156250001</c:v>
                </c:pt>
                <c:pt idx="3">
                  <c:v>129.03535156250001</c:v>
                </c:pt>
                <c:pt idx="4">
                  <c:v>129.03535156250001</c:v>
                </c:pt>
                <c:pt idx="5">
                  <c:v>129.03535156250001</c:v>
                </c:pt>
                <c:pt idx="6">
                  <c:v>129.03535156250001</c:v>
                </c:pt>
                <c:pt idx="7">
                  <c:v>129.03535156250001</c:v>
                </c:pt>
                <c:pt idx="8">
                  <c:v>309.67078125</c:v>
                </c:pt>
                <c:pt idx="9">
                  <c:v>129.03535156250001</c:v>
                </c:pt>
                <c:pt idx="10">
                  <c:v>129.03535156250001</c:v>
                </c:pt>
                <c:pt idx="11">
                  <c:v>129.03535156250001</c:v>
                </c:pt>
                <c:pt idx="12">
                  <c:v>129.03535156250001</c:v>
                </c:pt>
                <c:pt idx="13">
                  <c:v>129.03535156250001</c:v>
                </c:pt>
                <c:pt idx="14">
                  <c:v>129.03535156250001</c:v>
                </c:pt>
                <c:pt idx="15">
                  <c:v>129.03535156250001</c:v>
                </c:pt>
                <c:pt idx="16">
                  <c:v>2.93359375</c:v>
                </c:pt>
                <c:pt idx="17">
                  <c:v>2.93359375</c:v>
                </c:pt>
                <c:pt idx="18">
                  <c:v>2.93359375</c:v>
                </c:pt>
                <c:pt idx="19">
                  <c:v>2.93359375</c:v>
                </c:pt>
                <c:pt idx="20">
                  <c:v>2.93359375</c:v>
                </c:pt>
                <c:pt idx="21">
                  <c:v>2.93359375</c:v>
                </c:pt>
                <c:pt idx="22">
                  <c:v>2.93359375</c:v>
                </c:pt>
                <c:pt idx="23">
                  <c:v>2.93359375</c:v>
                </c:pt>
                <c:pt idx="24">
                  <c:v>2.93359375</c:v>
                </c:pt>
                <c:pt idx="25">
                  <c:v>2.93359375</c:v>
                </c:pt>
                <c:pt idx="26">
                  <c:v>2.93359375</c:v>
                </c:pt>
                <c:pt idx="27">
                  <c:v>2.93359375</c:v>
                </c:pt>
                <c:pt idx="28">
                  <c:v>2.93359375</c:v>
                </c:pt>
                <c:pt idx="29">
                  <c:v>2.93359375</c:v>
                </c:pt>
                <c:pt idx="30">
                  <c:v>2.93359375</c:v>
                </c:pt>
                <c:pt idx="31">
                  <c:v>2.93359375</c:v>
                </c:pt>
                <c:pt idx="32">
                  <c:v>2.93359375</c:v>
                </c:pt>
                <c:pt idx="33">
                  <c:v>2.93359375</c:v>
                </c:pt>
                <c:pt idx="34">
                  <c:v>2.93359375</c:v>
                </c:pt>
                <c:pt idx="35">
                  <c:v>2.93359375</c:v>
                </c:pt>
                <c:pt idx="36">
                  <c:v>2.93359375</c:v>
                </c:pt>
                <c:pt idx="37">
                  <c:v>2.93359375</c:v>
                </c:pt>
                <c:pt idx="38">
                  <c:v>2.93359375</c:v>
                </c:pt>
                <c:pt idx="39">
                  <c:v>2.93359375</c:v>
                </c:pt>
                <c:pt idx="40">
                  <c:v>2.93359375</c:v>
                </c:pt>
                <c:pt idx="41">
                  <c:v>2.93359375</c:v>
                </c:pt>
                <c:pt idx="42">
                  <c:v>2.93359375</c:v>
                </c:pt>
                <c:pt idx="43">
                  <c:v>2.93359375</c:v>
                </c:pt>
                <c:pt idx="44">
                  <c:v>2.93359375</c:v>
                </c:pt>
                <c:pt idx="45">
                  <c:v>2.93359375</c:v>
                </c:pt>
                <c:pt idx="46">
                  <c:v>2.93359375</c:v>
                </c:pt>
                <c:pt idx="47">
                  <c:v>2.93359375</c:v>
                </c:pt>
                <c:pt idx="48">
                  <c:v>2.93359375</c:v>
                </c:pt>
                <c:pt idx="49">
                  <c:v>2.93359375</c:v>
                </c:pt>
                <c:pt idx="50">
                  <c:v>2.93359375</c:v>
                </c:pt>
                <c:pt idx="51">
                  <c:v>2.93359375</c:v>
                </c:pt>
                <c:pt idx="52">
                  <c:v>2.93359375</c:v>
                </c:pt>
                <c:pt idx="53">
                  <c:v>2.93359375</c:v>
                </c:pt>
                <c:pt idx="54">
                  <c:v>2.93359375</c:v>
                </c:pt>
                <c:pt idx="55">
                  <c:v>2.93359375</c:v>
                </c:pt>
                <c:pt idx="56">
                  <c:v>2.93359375</c:v>
                </c:pt>
                <c:pt idx="57">
                  <c:v>2.93359375</c:v>
                </c:pt>
                <c:pt idx="58">
                  <c:v>2.93359375</c:v>
                </c:pt>
                <c:pt idx="59">
                  <c:v>2.93359375</c:v>
                </c:pt>
                <c:pt idx="60">
                  <c:v>2.93359375</c:v>
                </c:pt>
                <c:pt idx="61">
                  <c:v>2.93359375</c:v>
                </c:pt>
                <c:pt idx="62">
                  <c:v>2.93359375</c:v>
                </c:pt>
                <c:pt idx="63">
                  <c:v>2.93359375</c:v>
                </c:pt>
                <c:pt idx="64">
                  <c:v>2.93359375</c:v>
                </c:pt>
                <c:pt idx="65">
                  <c:v>2.93359375</c:v>
                </c:pt>
                <c:pt idx="66">
                  <c:v>2.93359375</c:v>
                </c:pt>
                <c:pt idx="67">
                  <c:v>2.93359375</c:v>
                </c:pt>
                <c:pt idx="68">
                  <c:v>2.93359375</c:v>
                </c:pt>
                <c:pt idx="69">
                  <c:v>2.93359375</c:v>
                </c:pt>
                <c:pt idx="70">
                  <c:v>2.93359375</c:v>
                </c:pt>
                <c:pt idx="71">
                  <c:v>2.93359375</c:v>
                </c:pt>
                <c:pt idx="72">
                  <c:v>2.93359375</c:v>
                </c:pt>
                <c:pt idx="73">
                  <c:v>2.93359375</c:v>
                </c:pt>
                <c:pt idx="74">
                  <c:v>2.93359375</c:v>
                </c:pt>
                <c:pt idx="75">
                  <c:v>2.93359375</c:v>
                </c:pt>
                <c:pt idx="76">
                  <c:v>2.93359375</c:v>
                </c:pt>
                <c:pt idx="77">
                  <c:v>2.93359375</c:v>
                </c:pt>
                <c:pt idx="78">
                  <c:v>2.93359375</c:v>
                </c:pt>
                <c:pt idx="79">
                  <c:v>2.93359375</c:v>
                </c:pt>
                <c:pt idx="80">
                  <c:v>2.93359375</c:v>
                </c:pt>
                <c:pt idx="81">
                  <c:v>2.93359375</c:v>
                </c:pt>
                <c:pt idx="82">
                  <c:v>2.93359375</c:v>
                </c:pt>
                <c:pt idx="83">
                  <c:v>2.93359375</c:v>
                </c:pt>
                <c:pt idx="84">
                  <c:v>2.93359375</c:v>
                </c:pt>
                <c:pt idx="85">
                  <c:v>2.93359375</c:v>
                </c:pt>
                <c:pt idx="86">
                  <c:v>2.93359375</c:v>
                </c:pt>
                <c:pt idx="87">
                  <c:v>2.93359375</c:v>
                </c:pt>
                <c:pt idx="88">
                  <c:v>2.93359375</c:v>
                </c:pt>
                <c:pt idx="89">
                  <c:v>2.93359375</c:v>
                </c:pt>
                <c:pt idx="90">
                  <c:v>2.93359375</c:v>
                </c:pt>
                <c:pt idx="91">
                  <c:v>2.93359375</c:v>
                </c:pt>
                <c:pt idx="92">
                  <c:v>2.93359375</c:v>
                </c:pt>
                <c:pt idx="93">
                  <c:v>2.93359375</c:v>
                </c:pt>
                <c:pt idx="94">
                  <c:v>2.93359375</c:v>
                </c:pt>
                <c:pt idx="95">
                  <c:v>2.93359375</c:v>
                </c:pt>
                <c:pt idx="96">
                  <c:v>2.93359375</c:v>
                </c:pt>
                <c:pt idx="97">
                  <c:v>2.93359375</c:v>
                </c:pt>
                <c:pt idx="98">
                  <c:v>2.93359375</c:v>
                </c:pt>
                <c:pt idx="99">
                  <c:v>2.93359375</c:v>
                </c:pt>
                <c:pt idx="100">
                  <c:v>2.93359375</c:v>
                </c:pt>
                <c:pt idx="101">
                  <c:v>2.93359375</c:v>
                </c:pt>
                <c:pt idx="102">
                  <c:v>2.93359375</c:v>
                </c:pt>
                <c:pt idx="103">
                  <c:v>2.93359375</c:v>
                </c:pt>
                <c:pt idx="104">
                  <c:v>2.93359375</c:v>
                </c:pt>
                <c:pt idx="105">
                  <c:v>2.93359375</c:v>
                </c:pt>
                <c:pt idx="106">
                  <c:v>2.93359375</c:v>
                </c:pt>
                <c:pt idx="107">
                  <c:v>2.93359375</c:v>
                </c:pt>
                <c:pt idx="108">
                  <c:v>2.93359375</c:v>
                </c:pt>
                <c:pt idx="109">
                  <c:v>2.93359375</c:v>
                </c:pt>
                <c:pt idx="110">
                  <c:v>2.93359375</c:v>
                </c:pt>
                <c:pt idx="111">
                  <c:v>2.93359375</c:v>
                </c:pt>
                <c:pt idx="112">
                  <c:v>2.93359375</c:v>
                </c:pt>
                <c:pt idx="113">
                  <c:v>2.93359375</c:v>
                </c:pt>
                <c:pt idx="114">
                  <c:v>2.93359375</c:v>
                </c:pt>
                <c:pt idx="115">
                  <c:v>2.93359375</c:v>
                </c:pt>
                <c:pt idx="116">
                  <c:v>2.93359375</c:v>
                </c:pt>
                <c:pt idx="117">
                  <c:v>2.93359375</c:v>
                </c:pt>
                <c:pt idx="118">
                  <c:v>2.93359375</c:v>
                </c:pt>
                <c:pt idx="119">
                  <c:v>2.93359375</c:v>
                </c:pt>
                <c:pt idx="120">
                  <c:v>2.93359375</c:v>
                </c:pt>
                <c:pt idx="121">
                  <c:v>2.93359375</c:v>
                </c:pt>
                <c:pt idx="122">
                  <c:v>2.93359375</c:v>
                </c:pt>
                <c:pt idx="123">
                  <c:v>2.93359375</c:v>
                </c:pt>
                <c:pt idx="124">
                  <c:v>2.93359375</c:v>
                </c:pt>
                <c:pt idx="125">
                  <c:v>2.93359375</c:v>
                </c:pt>
                <c:pt idx="126">
                  <c:v>2.93359375</c:v>
                </c:pt>
                <c:pt idx="127">
                  <c:v>2.93359375</c:v>
                </c:pt>
                <c:pt idx="128">
                  <c:v>2.93359375</c:v>
                </c:pt>
                <c:pt idx="129">
                  <c:v>2.93359375</c:v>
                </c:pt>
                <c:pt idx="130">
                  <c:v>2.93359375</c:v>
                </c:pt>
                <c:pt idx="131">
                  <c:v>2.93359375</c:v>
                </c:pt>
                <c:pt idx="132">
                  <c:v>2.93359375</c:v>
                </c:pt>
                <c:pt idx="133">
                  <c:v>2.93359375</c:v>
                </c:pt>
                <c:pt idx="134">
                  <c:v>2.93359375</c:v>
                </c:pt>
                <c:pt idx="135">
                  <c:v>2.93359375</c:v>
                </c:pt>
                <c:pt idx="136">
                  <c:v>2.93359375</c:v>
                </c:pt>
                <c:pt idx="137">
                  <c:v>2.93359375</c:v>
                </c:pt>
                <c:pt idx="138">
                  <c:v>2.93359375</c:v>
                </c:pt>
                <c:pt idx="139">
                  <c:v>2.93359375</c:v>
                </c:pt>
                <c:pt idx="140">
                  <c:v>2.93359375</c:v>
                </c:pt>
                <c:pt idx="141">
                  <c:v>2.93359375</c:v>
                </c:pt>
                <c:pt idx="142">
                  <c:v>2.93359375</c:v>
                </c:pt>
                <c:pt idx="143">
                  <c:v>2.93359375</c:v>
                </c:pt>
                <c:pt idx="144">
                  <c:v>2.93359375</c:v>
                </c:pt>
                <c:pt idx="145">
                  <c:v>2.93359375</c:v>
                </c:pt>
                <c:pt idx="146">
                  <c:v>2.93359375</c:v>
                </c:pt>
                <c:pt idx="147">
                  <c:v>2.93359375</c:v>
                </c:pt>
                <c:pt idx="148">
                  <c:v>2.93359375</c:v>
                </c:pt>
                <c:pt idx="149">
                  <c:v>2.93359375</c:v>
                </c:pt>
                <c:pt idx="150">
                  <c:v>2.93359375</c:v>
                </c:pt>
                <c:pt idx="151">
                  <c:v>2.93359375</c:v>
                </c:pt>
                <c:pt idx="152">
                  <c:v>2.93359375</c:v>
                </c:pt>
                <c:pt idx="153">
                  <c:v>2.93359375</c:v>
                </c:pt>
                <c:pt idx="154">
                  <c:v>2.93359375</c:v>
                </c:pt>
                <c:pt idx="155">
                  <c:v>2.93359375</c:v>
                </c:pt>
                <c:pt idx="156">
                  <c:v>2.93359375</c:v>
                </c:pt>
              </c:numCache>
            </c:numRef>
          </c:val>
        </c:ser>
        <c:dLbls/>
        <c:marker val="1"/>
        <c:axId val="707932544"/>
        <c:axId val="707934080"/>
      </c:lineChart>
      <c:dateAx>
        <c:axId val="70793254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07934080"/>
        <c:crosses val="autoZero"/>
        <c:auto val="1"/>
        <c:lblOffset val="100"/>
        <c:baseTimeUnit val="days"/>
      </c:dateAx>
      <c:valAx>
        <c:axId val="707934080"/>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0793254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02"/>
          <c:y val="0.18584098385082937"/>
          <c:w val="0.75908709652645412"/>
          <c:h val="0.61149672353331264"/>
        </c:manualLayout>
      </c:layout>
      <c:lineChart>
        <c:grouping val="standard"/>
        <c:ser>
          <c:idx val="0"/>
          <c:order val="0"/>
          <c:tx>
            <c:strRef>
              <c:f>'Allocated charts'!$K$2</c:f>
              <c:strCache>
                <c:ptCount val="1"/>
                <c:pt idx="0">
                  <c:v>FDC T4 V-MAX 2804</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charts'!$K$3:$K$499</c:f>
              <c:numCache>
                <c:formatCode>0</c:formatCode>
                <c:ptCount val="497"/>
                <c:pt idx="0">
                  <c:v>121.378828125</c:v>
                </c:pt>
                <c:pt idx="1">
                  <c:v>80.787402343750003</c:v>
                </c:pt>
                <c:pt idx="2">
                  <c:v>80.787402343750003</c:v>
                </c:pt>
                <c:pt idx="3">
                  <c:v>80.787402343750003</c:v>
                </c:pt>
                <c:pt idx="4">
                  <c:v>80.787402343750003</c:v>
                </c:pt>
                <c:pt idx="5">
                  <c:v>80.787402343750003</c:v>
                </c:pt>
                <c:pt idx="6">
                  <c:v>80.787402343750003</c:v>
                </c:pt>
                <c:pt idx="7">
                  <c:v>80.787402343750003</c:v>
                </c:pt>
                <c:pt idx="8">
                  <c:v>116.9333203125</c:v>
                </c:pt>
                <c:pt idx="9">
                  <c:v>80.787402343750003</c:v>
                </c:pt>
                <c:pt idx="10">
                  <c:v>80.787402343750003</c:v>
                </c:pt>
                <c:pt idx="11">
                  <c:v>80.787402343750003</c:v>
                </c:pt>
                <c:pt idx="12">
                  <c:v>80.787402343750003</c:v>
                </c:pt>
                <c:pt idx="13">
                  <c:v>80.787402343750003</c:v>
                </c:pt>
                <c:pt idx="14">
                  <c:v>80.787402343750003</c:v>
                </c:pt>
                <c:pt idx="15">
                  <c:v>80.787402343750003</c:v>
                </c:pt>
                <c:pt idx="16">
                  <c:v>2.73828125</c:v>
                </c:pt>
                <c:pt idx="17">
                  <c:v>2.73828125</c:v>
                </c:pt>
                <c:pt idx="18">
                  <c:v>2.73828125</c:v>
                </c:pt>
                <c:pt idx="19">
                  <c:v>2.73828125</c:v>
                </c:pt>
                <c:pt idx="20">
                  <c:v>2.73828125</c:v>
                </c:pt>
                <c:pt idx="21">
                  <c:v>2.73828125</c:v>
                </c:pt>
                <c:pt idx="22">
                  <c:v>2.73828125</c:v>
                </c:pt>
                <c:pt idx="23">
                  <c:v>2.73828125</c:v>
                </c:pt>
                <c:pt idx="24">
                  <c:v>2.73828125</c:v>
                </c:pt>
                <c:pt idx="25">
                  <c:v>2.73828125</c:v>
                </c:pt>
                <c:pt idx="26">
                  <c:v>2.73828125</c:v>
                </c:pt>
                <c:pt idx="27">
                  <c:v>2.73828125</c:v>
                </c:pt>
                <c:pt idx="28">
                  <c:v>2.73828125</c:v>
                </c:pt>
                <c:pt idx="29">
                  <c:v>2.73828125</c:v>
                </c:pt>
                <c:pt idx="30">
                  <c:v>2.73828125</c:v>
                </c:pt>
                <c:pt idx="31">
                  <c:v>2.73828125</c:v>
                </c:pt>
                <c:pt idx="32">
                  <c:v>2.73828125</c:v>
                </c:pt>
                <c:pt idx="33">
                  <c:v>2.73828125</c:v>
                </c:pt>
                <c:pt idx="34">
                  <c:v>2.73828125</c:v>
                </c:pt>
                <c:pt idx="35">
                  <c:v>2.73828125</c:v>
                </c:pt>
                <c:pt idx="36">
                  <c:v>2.73828125</c:v>
                </c:pt>
                <c:pt idx="37">
                  <c:v>2.73828125</c:v>
                </c:pt>
                <c:pt idx="38">
                  <c:v>2.73828125</c:v>
                </c:pt>
                <c:pt idx="39">
                  <c:v>2.73828125</c:v>
                </c:pt>
                <c:pt idx="40">
                  <c:v>2.73828125</c:v>
                </c:pt>
                <c:pt idx="41">
                  <c:v>2.73828125</c:v>
                </c:pt>
                <c:pt idx="42">
                  <c:v>2.73828125</c:v>
                </c:pt>
                <c:pt idx="43">
                  <c:v>2.73828125</c:v>
                </c:pt>
                <c:pt idx="44">
                  <c:v>2.73828125</c:v>
                </c:pt>
                <c:pt idx="45">
                  <c:v>2.73828125</c:v>
                </c:pt>
                <c:pt idx="46">
                  <c:v>2.73828125</c:v>
                </c:pt>
                <c:pt idx="47">
                  <c:v>2.73828125</c:v>
                </c:pt>
                <c:pt idx="48">
                  <c:v>2.73828125</c:v>
                </c:pt>
                <c:pt idx="49">
                  <c:v>2.73828125</c:v>
                </c:pt>
                <c:pt idx="50">
                  <c:v>2.73828125</c:v>
                </c:pt>
                <c:pt idx="51">
                  <c:v>2.73828125</c:v>
                </c:pt>
                <c:pt idx="52">
                  <c:v>2.73828125</c:v>
                </c:pt>
                <c:pt idx="53">
                  <c:v>2.73828125</c:v>
                </c:pt>
                <c:pt idx="54">
                  <c:v>2.73828125</c:v>
                </c:pt>
                <c:pt idx="55">
                  <c:v>2.73828125</c:v>
                </c:pt>
                <c:pt idx="56">
                  <c:v>2.73828125</c:v>
                </c:pt>
                <c:pt idx="57">
                  <c:v>2.73828125</c:v>
                </c:pt>
                <c:pt idx="58">
                  <c:v>2.73828125</c:v>
                </c:pt>
                <c:pt idx="59">
                  <c:v>2.73828125</c:v>
                </c:pt>
                <c:pt idx="60">
                  <c:v>2.73828125</c:v>
                </c:pt>
                <c:pt idx="61">
                  <c:v>2.73828125</c:v>
                </c:pt>
                <c:pt idx="62">
                  <c:v>2.73828125</c:v>
                </c:pt>
                <c:pt idx="63">
                  <c:v>2.73828125</c:v>
                </c:pt>
                <c:pt idx="64">
                  <c:v>2.73828125</c:v>
                </c:pt>
                <c:pt idx="65">
                  <c:v>2.73828125</c:v>
                </c:pt>
                <c:pt idx="66">
                  <c:v>2.73828125</c:v>
                </c:pt>
                <c:pt idx="67">
                  <c:v>2.73828125</c:v>
                </c:pt>
                <c:pt idx="68">
                  <c:v>2.73828125</c:v>
                </c:pt>
                <c:pt idx="69">
                  <c:v>2.73828125</c:v>
                </c:pt>
                <c:pt idx="70">
                  <c:v>2.73828125</c:v>
                </c:pt>
                <c:pt idx="71">
                  <c:v>2.73828125</c:v>
                </c:pt>
                <c:pt idx="72">
                  <c:v>2.73828125</c:v>
                </c:pt>
                <c:pt idx="73">
                  <c:v>2.73828125</c:v>
                </c:pt>
                <c:pt idx="74">
                  <c:v>2.73828125</c:v>
                </c:pt>
                <c:pt idx="75">
                  <c:v>2.73828125</c:v>
                </c:pt>
                <c:pt idx="76">
                  <c:v>2.73828125</c:v>
                </c:pt>
                <c:pt idx="77">
                  <c:v>2.73828125</c:v>
                </c:pt>
                <c:pt idx="78">
                  <c:v>2.73828125</c:v>
                </c:pt>
                <c:pt idx="79">
                  <c:v>2.73828125</c:v>
                </c:pt>
                <c:pt idx="80">
                  <c:v>2.73828125</c:v>
                </c:pt>
                <c:pt idx="81">
                  <c:v>2.73828125</c:v>
                </c:pt>
                <c:pt idx="82">
                  <c:v>2.73828125</c:v>
                </c:pt>
                <c:pt idx="83">
                  <c:v>2.73828125</c:v>
                </c:pt>
                <c:pt idx="84">
                  <c:v>2.73828125</c:v>
                </c:pt>
                <c:pt idx="85">
                  <c:v>2.73828125</c:v>
                </c:pt>
                <c:pt idx="86">
                  <c:v>2.73828125</c:v>
                </c:pt>
                <c:pt idx="87">
                  <c:v>2.73828125</c:v>
                </c:pt>
                <c:pt idx="88">
                  <c:v>2.73828125</c:v>
                </c:pt>
                <c:pt idx="89">
                  <c:v>2.73828125</c:v>
                </c:pt>
                <c:pt idx="90">
                  <c:v>2.73828125</c:v>
                </c:pt>
                <c:pt idx="91">
                  <c:v>2.73828125</c:v>
                </c:pt>
                <c:pt idx="92">
                  <c:v>2.73828125</c:v>
                </c:pt>
                <c:pt idx="93">
                  <c:v>2.73828125</c:v>
                </c:pt>
                <c:pt idx="94">
                  <c:v>2.73828125</c:v>
                </c:pt>
                <c:pt idx="95">
                  <c:v>2.73828125</c:v>
                </c:pt>
                <c:pt idx="96">
                  <c:v>2.73828125</c:v>
                </c:pt>
                <c:pt idx="97">
                  <c:v>2.73828125</c:v>
                </c:pt>
                <c:pt idx="98">
                  <c:v>2.73828125</c:v>
                </c:pt>
                <c:pt idx="99">
                  <c:v>2.73828125</c:v>
                </c:pt>
                <c:pt idx="100">
                  <c:v>2.73828125</c:v>
                </c:pt>
                <c:pt idx="101">
                  <c:v>2.73828125</c:v>
                </c:pt>
                <c:pt idx="102">
                  <c:v>2.73828125</c:v>
                </c:pt>
                <c:pt idx="103">
                  <c:v>2.73828125</c:v>
                </c:pt>
                <c:pt idx="104">
                  <c:v>2.73828125</c:v>
                </c:pt>
                <c:pt idx="105">
                  <c:v>2.73828125</c:v>
                </c:pt>
                <c:pt idx="106">
                  <c:v>2.73828125</c:v>
                </c:pt>
                <c:pt idx="107">
                  <c:v>2.73828125</c:v>
                </c:pt>
                <c:pt idx="108">
                  <c:v>2.73828125</c:v>
                </c:pt>
                <c:pt idx="109">
                  <c:v>2.73828125</c:v>
                </c:pt>
                <c:pt idx="110">
                  <c:v>2.73828125</c:v>
                </c:pt>
                <c:pt idx="111">
                  <c:v>2.73828125</c:v>
                </c:pt>
                <c:pt idx="112">
                  <c:v>2.73828125</c:v>
                </c:pt>
                <c:pt idx="113">
                  <c:v>2.73828125</c:v>
                </c:pt>
                <c:pt idx="114">
                  <c:v>2.73828125</c:v>
                </c:pt>
                <c:pt idx="115">
                  <c:v>2.73828125</c:v>
                </c:pt>
                <c:pt idx="116">
                  <c:v>2.73828125</c:v>
                </c:pt>
                <c:pt idx="117">
                  <c:v>2.73828125</c:v>
                </c:pt>
                <c:pt idx="118">
                  <c:v>2.73828125</c:v>
                </c:pt>
                <c:pt idx="119">
                  <c:v>2.73828125</c:v>
                </c:pt>
                <c:pt idx="120">
                  <c:v>2.73828125</c:v>
                </c:pt>
                <c:pt idx="121">
                  <c:v>2.73828125</c:v>
                </c:pt>
                <c:pt idx="122">
                  <c:v>2.73828125</c:v>
                </c:pt>
                <c:pt idx="123">
                  <c:v>2.73828125</c:v>
                </c:pt>
                <c:pt idx="124">
                  <c:v>2.73828125</c:v>
                </c:pt>
                <c:pt idx="125">
                  <c:v>2.73828125</c:v>
                </c:pt>
                <c:pt idx="126">
                  <c:v>2.73828125</c:v>
                </c:pt>
                <c:pt idx="127">
                  <c:v>2.73828125</c:v>
                </c:pt>
                <c:pt idx="128">
                  <c:v>2.73828125</c:v>
                </c:pt>
                <c:pt idx="129">
                  <c:v>2.73828125</c:v>
                </c:pt>
                <c:pt idx="130">
                  <c:v>2.73828125</c:v>
                </c:pt>
                <c:pt idx="131">
                  <c:v>2.73828125</c:v>
                </c:pt>
                <c:pt idx="132">
                  <c:v>2.73828125</c:v>
                </c:pt>
                <c:pt idx="133">
                  <c:v>2.73828125</c:v>
                </c:pt>
                <c:pt idx="134">
                  <c:v>2.73828125</c:v>
                </c:pt>
                <c:pt idx="135">
                  <c:v>2.73828125</c:v>
                </c:pt>
                <c:pt idx="136">
                  <c:v>2.73828125</c:v>
                </c:pt>
                <c:pt idx="137">
                  <c:v>2.73828125</c:v>
                </c:pt>
                <c:pt idx="138">
                  <c:v>2.73828125</c:v>
                </c:pt>
                <c:pt idx="139">
                  <c:v>2.73828125</c:v>
                </c:pt>
                <c:pt idx="140">
                  <c:v>2.73828125</c:v>
                </c:pt>
                <c:pt idx="141">
                  <c:v>2.73828125</c:v>
                </c:pt>
                <c:pt idx="142">
                  <c:v>2.73828125</c:v>
                </c:pt>
                <c:pt idx="143">
                  <c:v>2.73828125</c:v>
                </c:pt>
                <c:pt idx="144">
                  <c:v>2.73828125</c:v>
                </c:pt>
                <c:pt idx="145">
                  <c:v>2.73828125</c:v>
                </c:pt>
                <c:pt idx="146">
                  <c:v>2.73828125</c:v>
                </c:pt>
                <c:pt idx="147">
                  <c:v>2.73828125</c:v>
                </c:pt>
                <c:pt idx="148">
                  <c:v>2.73828125</c:v>
                </c:pt>
                <c:pt idx="149">
                  <c:v>2.73828125</c:v>
                </c:pt>
                <c:pt idx="150">
                  <c:v>2.73828125</c:v>
                </c:pt>
                <c:pt idx="151">
                  <c:v>2.73828125</c:v>
                </c:pt>
                <c:pt idx="152">
                  <c:v>2.73828125</c:v>
                </c:pt>
                <c:pt idx="153">
                  <c:v>2.73828125</c:v>
                </c:pt>
                <c:pt idx="154">
                  <c:v>2.73828125</c:v>
                </c:pt>
                <c:pt idx="155">
                  <c:v>2.73828125</c:v>
                </c:pt>
                <c:pt idx="156">
                  <c:v>2.73828125</c:v>
                </c:pt>
              </c:numCache>
            </c:numRef>
          </c:val>
        </c:ser>
        <c:dLbls/>
        <c:marker val="1"/>
        <c:axId val="717096448"/>
        <c:axId val="717097984"/>
      </c:lineChart>
      <c:dateAx>
        <c:axId val="717096448"/>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17097984"/>
        <c:crosses val="autoZero"/>
        <c:auto val="1"/>
        <c:lblOffset val="100"/>
        <c:baseTimeUnit val="days"/>
      </c:dateAx>
      <c:valAx>
        <c:axId val="717097984"/>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17096448"/>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lang val="en-US"/>
  <c:chart>
    <c:title>
      <c:spPr>
        <a:noFill/>
        <a:ln w="25400">
          <a:noFill/>
        </a:ln>
      </c:spPr>
      <c:txPr>
        <a:bodyPr/>
        <a:lstStyle/>
        <a:p>
          <a:pPr>
            <a:defRPr sz="1600" b="1" i="0" u="none" strike="noStrike" baseline="0">
              <a:solidFill>
                <a:srgbClr val="000000"/>
              </a:solidFill>
              <a:latin typeface="Calibri"/>
              <a:ea typeface="Calibri"/>
              <a:cs typeface="Calibri"/>
            </a:defRPr>
          </a:pPr>
          <a:endParaRPr lang="en-US"/>
        </a:p>
      </c:txPr>
    </c:title>
    <c:plotArea>
      <c:layout>
        <c:manualLayout>
          <c:layoutTarget val="inner"/>
          <c:xMode val="edge"/>
          <c:yMode val="edge"/>
          <c:x val="0.18510708549183802"/>
          <c:y val="0.18584098385082937"/>
          <c:w val="0.75908709652645412"/>
          <c:h val="0.60925288148977474"/>
        </c:manualLayout>
      </c:layout>
      <c:lineChart>
        <c:grouping val="standard"/>
        <c:ser>
          <c:idx val="0"/>
          <c:order val="0"/>
          <c:tx>
            <c:strRef>
              <c:f>'Allocated charts'!$F$2</c:f>
              <c:strCache>
                <c:ptCount val="1"/>
                <c:pt idx="0">
                  <c:v>RDC V-MAX 3286</c:v>
                </c:pt>
              </c:strCache>
            </c:strRef>
          </c:tx>
          <c:cat>
            <c:numRef>
              <c:f>'Allocated charts'!$A$3:$A$159</c:f>
              <c:numCache>
                <c:formatCode>[$-409]d\-mmm\-yy;@</c:formatCode>
                <c:ptCount val="157"/>
                <c:pt idx="0">
                  <c:v>41242</c:v>
                </c:pt>
                <c:pt idx="1">
                  <c:v>41241</c:v>
                </c:pt>
                <c:pt idx="2">
                  <c:v>41239</c:v>
                </c:pt>
                <c:pt idx="3">
                  <c:v>41234</c:v>
                </c:pt>
                <c:pt idx="4">
                  <c:v>41232</c:v>
                </c:pt>
                <c:pt idx="5">
                  <c:v>41227</c:v>
                </c:pt>
                <c:pt idx="6">
                  <c:v>41225</c:v>
                </c:pt>
                <c:pt idx="7">
                  <c:v>41221</c:v>
                </c:pt>
                <c:pt idx="8">
                  <c:v>41220</c:v>
                </c:pt>
                <c:pt idx="9">
                  <c:v>41215</c:v>
                </c:pt>
                <c:pt idx="10">
                  <c:v>41214</c:v>
                </c:pt>
                <c:pt idx="11">
                  <c:v>41213</c:v>
                </c:pt>
                <c:pt idx="12">
                  <c:v>41211</c:v>
                </c:pt>
                <c:pt idx="13">
                  <c:v>41208</c:v>
                </c:pt>
                <c:pt idx="14">
                  <c:v>41207</c:v>
                </c:pt>
                <c:pt idx="15">
                  <c:v>41205</c:v>
                </c:pt>
                <c:pt idx="16">
                  <c:v>41200</c:v>
                </c:pt>
                <c:pt idx="17">
                  <c:v>41198</c:v>
                </c:pt>
                <c:pt idx="18">
                  <c:v>41193</c:v>
                </c:pt>
                <c:pt idx="19">
                  <c:v>41190</c:v>
                </c:pt>
                <c:pt idx="20">
                  <c:v>41184</c:v>
                </c:pt>
                <c:pt idx="21">
                  <c:v>41178</c:v>
                </c:pt>
                <c:pt idx="22">
                  <c:v>41176</c:v>
                </c:pt>
                <c:pt idx="23">
                  <c:v>41172</c:v>
                </c:pt>
                <c:pt idx="24">
                  <c:v>41171</c:v>
                </c:pt>
                <c:pt idx="25">
                  <c:v>41170</c:v>
                </c:pt>
                <c:pt idx="26">
                  <c:v>41169</c:v>
                </c:pt>
                <c:pt idx="27">
                  <c:v>41166</c:v>
                </c:pt>
                <c:pt idx="28">
                  <c:v>41164</c:v>
                </c:pt>
                <c:pt idx="29">
                  <c:v>41162</c:v>
                </c:pt>
                <c:pt idx="30">
                  <c:v>41159</c:v>
                </c:pt>
                <c:pt idx="31">
                  <c:v>41156</c:v>
                </c:pt>
                <c:pt idx="32">
                  <c:v>41151</c:v>
                </c:pt>
                <c:pt idx="33">
                  <c:v>41150</c:v>
                </c:pt>
                <c:pt idx="34">
                  <c:v>41149</c:v>
                </c:pt>
                <c:pt idx="35">
                  <c:v>41144</c:v>
                </c:pt>
                <c:pt idx="36">
                  <c:v>41142</c:v>
                </c:pt>
                <c:pt idx="37">
                  <c:v>41138</c:v>
                </c:pt>
                <c:pt idx="38">
                  <c:v>41137</c:v>
                </c:pt>
                <c:pt idx="39">
                  <c:v>41135</c:v>
                </c:pt>
                <c:pt idx="40">
                  <c:v>41134</c:v>
                </c:pt>
                <c:pt idx="41">
                  <c:v>41131</c:v>
                </c:pt>
                <c:pt idx="42">
                  <c:v>41130</c:v>
                </c:pt>
                <c:pt idx="43">
                  <c:v>41129</c:v>
                </c:pt>
                <c:pt idx="44">
                  <c:v>41128</c:v>
                </c:pt>
                <c:pt idx="45">
                  <c:v>41124</c:v>
                </c:pt>
                <c:pt idx="46">
                  <c:v>41123</c:v>
                </c:pt>
                <c:pt idx="47">
                  <c:v>41120</c:v>
                </c:pt>
                <c:pt idx="48">
                  <c:v>41117</c:v>
                </c:pt>
                <c:pt idx="49">
                  <c:v>41115</c:v>
                </c:pt>
                <c:pt idx="50">
                  <c:v>41113</c:v>
                </c:pt>
                <c:pt idx="51">
                  <c:v>41110</c:v>
                </c:pt>
                <c:pt idx="52">
                  <c:v>41109</c:v>
                </c:pt>
                <c:pt idx="53">
                  <c:v>41108</c:v>
                </c:pt>
                <c:pt idx="54">
                  <c:v>41106</c:v>
                </c:pt>
                <c:pt idx="55">
                  <c:v>41103</c:v>
                </c:pt>
                <c:pt idx="56">
                  <c:v>41102</c:v>
                </c:pt>
                <c:pt idx="57">
                  <c:v>41101</c:v>
                </c:pt>
                <c:pt idx="58">
                  <c:v>41099</c:v>
                </c:pt>
                <c:pt idx="59">
                  <c:v>41095</c:v>
                </c:pt>
                <c:pt idx="60">
                  <c:v>41094</c:v>
                </c:pt>
                <c:pt idx="61">
                  <c:v>41093</c:v>
                </c:pt>
                <c:pt idx="62">
                  <c:v>41092</c:v>
                </c:pt>
                <c:pt idx="63">
                  <c:v>41087</c:v>
                </c:pt>
                <c:pt idx="64">
                  <c:v>41086</c:v>
                </c:pt>
                <c:pt idx="65">
                  <c:v>41085</c:v>
                </c:pt>
                <c:pt idx="66">
                  <c:v>41081</c:v>
                </c:pt>
                <c:pt idx="67">
                  <c:v>41080</c:v>
                </c:pt>
                <c:pt idx="68">
                  <c:v>41078</c:v>
                </c:pt>
                <c:pt idx="69">
                  <c:v>41075</c:v>
                </c:pt>
                <c:pt idx="70">
                  <c:v>41074</c:v>
                </c:pt>
                <c:pt idx="71">
                  <c:v>41071</c:v>
                </c:pt>
                <c:pt idx="72">
                  <c:v>41068</c:v>
                </c:pt>
                <c:pt idx="73">
                  <c:v>41067</c:v>
                </c:pt>
                <c:pt idx="74">
                  <c:v>41066</c:v>
                </c:pt>
                <c:pt idx="75">
                  <c:v>41059</c:v>
                </c:pt>
                <c:pt idx="76">
                  <c:v>41058</c:v>
                </c:pt>
                <c:pt idx="77">
                  <c:v>41057</c:v>
                </c:pt>
                <c:pt idx="78">
                  <c:v>41054</c:v>
                </c:pt>
                <c:pt idx="79">
                  <c:v>41053</c:v>
                </c:pt>
                <c:pt idx="80">
                  <c:v>41051</c:v>
                </c:pt>
                <c:pt idx="81">
                  <c:v>41050</c:v>
                </c:pt>
                <c:pt idx="82">
                  <c:v>41047</c:v>
                </c:pt>
                <c:pt idx="83">
                  <c:v>41046</c:v>
                </c:pt>
                <c:pt idx="84">
                  <c:v>41045</c:v>
                </c:pt>
                <c:pt idx="85">
                  <c:v>41044</c:v>
                </c:pt>
                <c:pt idx="86">
                  <c:v>41043</c:v>
                </c:pt>
                <c:pt idx="87">
                  <c:v>41040</c:v>
                </c:pt>
                <c:pt idx="88">
                  <c:v>41039</c:v>
                </c:pt>
                <c:pt idx="89">
                  <c:v>41038</c:v>
                </c:pt>
                <c:pt idx="90">
                  <c:v>41037</c:v>
                </c:pt>
                <c:pt idx="91">
                  <c:v>41033</c:v>
                </c:pt>
                <c:pt idx="92">
                  <c:v>41031</c:v>
                </c:pt>
                <c:pt idx="93">
                  <c:v>41030</c:v>
                </c:pt>
                <c:pt idx="94">
                  <c:v>41026</c:v>
                </c:pt>
                <c:pt idx="95">
                  <c:v>41024</c:v>
                </c:pt>
                <c:pt idx="96">
                  <c:v>41023</c:v>
                </c:pt>
                <c:pt idx="97">
                  <c:v>41022</c:v>
                </c:pt>
                <c:pt idx="98">
                  <c:v>41019</c:v>
                </c:pt>
                <c:pt idx="99">
                  <c:v>41018</c:v>
                </c:pt>
                <c:pt idx="100">
                  <c:v>41017</c:v>
                </c:pt>
                <c:pt idx="101">
                  <c:v>41015</c:v>
                </c:pt>
                <c:pt idx="102">
                  <c:v>41012</c:v>
                </c:pt>
                <c:pt idx="103">
                  <c:v>41011</c:v>
                </c:pt>
                <c:pt idx="104">
                  <c:v>41009</c:v>
                </c:pt>
                <c:pt idx="105">
                  <c:v>41003</c:v>
                </c:pt>
                <c:pt idx="106">
                  <c:v>41002</c:v>
                </c:pt>
                <c:pt idx="107">
                  <c:v>41001</c:v>
                </c:pt>
                <c:pt idx="108">
                  <c:v>40998</c:v>
                </c:pt>
                <c:pt idx="109">
                  <c:v>40997</c:v>
                </c:pt>
                <c:pt idx="110">
                  <c:v>40996</c:v>
                </c:pt>
                <c:pt idx="111">
                  <c:v>40994</c:v>
                </c:pt>
                <c:pt idx="112">
                  <c:v>40989</c:v>
                </c:pt>
                <c:pt idx="113">
                  <c:v>40984</c:v>
                </c:pt>
                <c:pt idx="114">
                  <c:v>40983</c:v>
                </c:pt>
                <c:pt idx="115">
                  <c:v>40982</c:v>
                </c:pt>
                <c:pt idx="116">
                  <c:v>40981</c:v>
                </c:pt>
                <c:pt idx="117">
                  <c:v>40980</c:v>
                </c:pt>
                <c:pt idx="118">
                  <c:v>40977</c:v>
                </c:pt>
                <c:pt idx="119">
                  <c:v>40976</c:v>
                </c:pt>
                <c:pt idx="120">
                  <c:v>40974</c:v>
                </c:pt>
                <c:pt idx="121">
                  <c:v>40973</c:v>
                </c:pt>
                <c:pt idx="122">
                  <c:v>40968</c:v>
                </c:pt>
                <c:pt idx="123">
                  <c:v>40967</c:v>
                </c:pt>
                <c:pt idx="124">
                  <c:v>40966</c:v>
                </c:pt>
                <c:pt idx="125">
                  <c:v>40963</c:v>
                </c:pt>
                <c:pt idx="126">
                  <c:v>40962</c:v>
                </c:pt>
                <c:pt idx="127">
                  <c:v>40961</c:v>
                </c:pt>
                <c:pt idx="128">
                  <c:v>40960</c:v>
                </c:pt>
                <c:pt idx="129">
                  <c:v>40959</c:v>
                </c:pt>
                <c:pt idx="130">
                  <c:v>40956</c:v>
                </c:pt>
                <c:pt idx="131">
                  <c:v>40955</c:v>
                </c:pt>
                <c:pt idx="132">
                  <c:v>40954</c:v>
                </c:pt>
                <c:pt idx="133">
                  <c:v>40953</c:v>
                </c:pt>
                <c:pt idx="134">
                  <c:v>40952</c:v>
                </c:pt>
                <c:pt idx="135">
                  <c:v>40949</c:v>
                </c:pt>
                <c:pt idx="136">
                  <c:v>40948</c:v>
                </c:pt>
                <c:pt idx="137">
                  <c:v>40947</c:v>
                </c:pt>
                <c:pt idx="138">
                  <c:v>40946</c:v>
                </c:pt>
                <c:pt idx="139">
                  <c:v>40945</c:v>
                </c:pt>
                <c:pt idx="140">
                  <c:v>40941</c:v>
                </c:pt>
                <c:pt idx="141">
                  <c:v>40940</c:v>
                </c:pt>
                <c:pt idx="142">
                  <c:v>40939</c:v>
                </c:pt>
                <c:pt idx="143">
                  <c:v>40938</c:v>
                </c:pt>
                <c:pt idx="144">
                  <c:v>40934</c:v>
                </c:pt>
                <c:pt idx="145">
                  <c:v>40932</c:v>
                </c:pt>
                <c:pt idx="146">
                  <c:v>40931</c:v>
                </c:pt>
                <c:pt idx="147">
                  <c:v>40928</c:v>
                </c:pt>
                <c:pt idx="148">
                  <c:v>40927</c:v>
                </c:pt>
                <c:pt idx="149">
                  <c:v>40926</c:v>
                </c:pt>
                <c:pt idx="150">
                  <c:v>40925</c:v>
                </c:pt>
                <c:pt idx="151">
                  <c:v>40924</c:v>
                </c:pt>
                <c:pt idx="152">
                  <c:v>40921</c:v>
                </c:pt>
                <c:pt idx="153">
                  <c:v>40920</c:v>
                </c:pt>
                <c:pt idx="154">
                  <c:v>40919</c:v>
                </c:pt>
                <c:pt idx="155">
                  <c:v>40918</c:v>
                </c:pt>
                <c:pt idx="156">
                  <c:v>40917</c:v>
                </c:pt>
              </c:numCache>
            </c:numRef>
          </c:cat>
          <c:val>
            <c:numRef>
              <c:f>'Allocated charts'!$F$3:$F$159</c:f>
              <c:numCache>
                <c:formatCode>0</c:formatCode>
                <c:ptCount val="157"/>
                <c:pt idx="0">
                  <c:v>227.148984375</c:v>
                </c:pt>
                <c:pt idx="1">
                  <c:v>161.57470703125</c:v>
                </c:pt>
                <c:pt idx="2">
                  <c:v>161.57470703125</c:v>
                </c:pt>
                <c:pt idx="3">
                  <c:v>161.57470703125</c:v>
                </c:pt>
                <c:pt idx="4">
                  <c:v>161.57470703125</c:v>
                </c:pt>
                <c:pt idx="5">
                  <c:v>161.57470703125</c:v>
                </c:pt>
                <c:pt idx="6">
                  <c:v>161.57470703125</c:v>
                </c:pt>
                <c:pt idx="7">
                  <c:v>161.57470703125</c:v>
                </c:pt>
                <c:pt idx="8">
                  <c:v>218.25796875</c:v>
                </c:pt>
                <c:pt idx="9">
                  <c:v>161.57470703125</c:v>
                </c:pt>
                <c:pt idx="10">
                  <c:v>161.57470703125</c:v>
                </c:pt>
                <c:pt idx="11">
                  <c:v>161.57470703125</c:v>
                </c:pt>
                <c:pt idx="12">
                  <c:v>161.57470703125</c:v>
                </c:pt>
                <c:pt idx="13">
                  <c:v>161.57470703125</c:v>
                </c:pt>
                <c:pt idx="14">
                  <c:v>161.57470703125</c:v>
                </c:pt>
                <c:pt idx="15">
                  <c:v>161.57470703125</c:v>
                </c:pt>
                <c:pt idx="16">
                  <c:v>3.208984375</c:v>
                </c:pt>
                <c:pt idx="17">
                  <c:v>3.208984375</c:v>
                </c:pt>
                <c:pt idx="18">
                  <c:v>3.208984375</c:v>
                </c:pt>
                <c:pt idx="19">
                  <c:v>3.208984375</c:v>
                </c:pt>
                <c:pt idx="20">
                  <c:v>3.208984375</c:v>
                </c:pt>
                <c:pt idx="21">
                  <c:v>3.208984375</c:v>
                </c:pt>
                <c:pt idx="22">
                  <c:v>3.208984375</c:v>
                </c:pt>
                <c:pt idx="23">
                  <c:v>3.208984375</c:v>
                </c:pt>
                <c:pt idx="24">
                  <c:v>3.208984375</c:v>
                </c:pt>
                <c:pt idx="25">
                  <c:v>3.208984375</c:v>
                </c:pt>
                <c:pt idx="26">
                  <c:v>3.208984375</c:v>
                </c:pt>
                <c:pt idx="27">
                  <c:v>3.208984375</c:v>
                </c:pt>
                <c:pt idx="28">
                  <c:v>3.208984375</c:v>
                </c:pt>
                <c:pt idx="29">
                  <c:v>3.208984375</c:v>
                </c:pt>
                <c:pt idx="30">
                  <c:v>3.208984375</c:v>
                </c:pt>
                <c:pt idx="31">
                  <c:v>3.208984375</c:v>
                </c:pt>
                <c:pt idx="32">
                  <c:v>3.208984375</c:v>
                </c:pt>
                <c:pt idx="33">
                  <c:v>3.208984375</c:v>
                </c:pt>
                <c:pt idx="34">
                  <c:v>3.208984375</c:v>
                </c:pt>
                <c:pt idx="35">
                  <c:v>3.208984375</c:v>
                </c:pt>
                <c:pt idx="36">
                  <c:v>3.208984375</c:v>
                </c:pt>
                <c:pt idx="37">
                  <c:v>3.208984375</c:v>
                </c:pt>
                <c:pt idx="38">
                  <c:v>3.208984375</c:v>
                </c:pt>
                <c:pt idx="39">
                  <c:v>3.208984375</c:v>
                </c:pt>
                <c:pt idx="40">
                  <c:v>3.208984375</c:v>
                </c:pt>
                <c:pt idx="41">
                  <c:v>3.208984375</c:v>
                </c:pt>
                <c:pt idx="42">
                  <c:v>3.208984375</c:v>
                </c:pt>
                <c:pt idx="43">
                  <c:v>3.208984375</c:v>
                </c:pt>
                <c:pt idx="44">
                  <c:v>3.208984375</c:v>
                </c:pt>
                <c:pt idx="45">
                  <c:v>3.208984375</c:v>
                </c:pt>
                <c:pt idx="46">
                  <c:v>3.208984375</c:v>
                </c:pt>
                <c:pt idx="47">
                  <c:v>3.208984375</c:v>
                </c:pt>
                <c:pt idx="48">
                  <c:v>3.208984375</c:v>
                </c:pt>
                <c:pt idx="49">
                  <c:v>3.208984375</c:v>
                </c:pt>
                <c:pt idx="50">
                  <c:v>3.208984375</c:v>
                </c:pt>
                <c:pt idx="51">
                  <c:v>3.208984375</c:v>
                </c:pt>
                <c:pt idx="52">
                  <c:v>3.208984375</c:v>
                </c:pt>
                <c:pt idx="53">
                  <c:v>3.208984375</c:v>
                </c:pt>
                <c:pt idx="54">
                  <c:v>3.208984375</c:v>
                </c:pt>
                <c:pt idx="55">
                  <c:v>3.208984375</c:v>
                </c:pt>
                <c:pt idx="56">
                  <c:v>3.208984375</c:v>
                </c:pt>
                <c:pt idx="57">
                  <c:v>3.208984375</c:v>
                </c:pt>
                <c:pt idx="58">
                  <c:v>3.208984375</c:v>
                </c:pt>
                <c:pt idx="59">
                  <c:v>3.208984375</c:v>
                </c:pt>
                <c:pt idx="60">
                  <c:v>3.208984375</c:v>
                </c:pt>
                <c:pt idx="61">
                  <c:v>3.208984375</c:v>
                </c:pt>
                <c:pt idx="62">
                  <c:v>3.208984375</c:v>
                </c:pt>
                <c:pt idx="63">
                  <c:v>3.208984375</c:v>
                </c:pt>
                <c:pt idx="64">
                  <c:v>3.208984375</c:v>
                </c:pt>
                <c:pt idx="65">
                  <c:v>3.208984375</c:v>
                </c:pt>
                <c:pt idx="66">
                  <c:v>3.208984375</c:v>
                </c:pt>
                <c:pt idx="67">
                  <c:v>3.208984375</c:v>
                </c:pt>
                <c:pt idx="68">
                  <c:v>3.208984375</c:v>
                </c:pt>
                <c:pt idx="69">
                  <c:v>3.208984375</c:v>
                </c:pt>
                <c:pt idx="70">
                  <c:v>3.208984375</c:v>
                </c:pt>
                <c:pt idx="71">
                  <c:v>3.208984375</c:v>
                </c:pt>
                <c:pt idx="72">
                  <c:v>3.208984375</c:v>
                </c:pt>
                <c:pt idx="73">
                  <c:v>3.208984375</c:v>
                </c:pt>
                <c:pt idx="74">
                  <c:v>3.208984375</c:v>
                </c:pt>
                <c:pt idx="75">
                  <c:v>3.208984375</c:v>
                </c:pt>
                <c:pt idx="76">
                  <c:v>3.208984375</c:v>
                </c:pt>
                <c:pt idx="77">
                  <c:v>3.208984375</c:v>
                </c:pt>
                <c:pt idx="78">
                  <c:v>3.208984375</c:v>
                </c:pt>
                <c:pt idx="79">
                  <c:v>3.208984375</c:v>
                </c:pt>
                <c:pt idx="80">
                  <c:v>3.208984375</c:v>
                </c:pt>
                <c:pt idx="81">
                  <c:v>3.208984375</c:v>
                </c:pt>
                <c:pt idx="82">
                  <c:v>3.208984375</c:v>
                </c:pt>
                <c:pt idx="83">
                  <c:v>3.208984375</c:v>
                </c:pt>
                <c:pt idx="84">
                  <c:v>3.208984375</c:v>
                </c:pt>
                <c:pt idx="85">
                  <c:v>3.208984375</c:v>
                </c:pt>
                <c:pt idx="86">
                  <c:v>3.208984375</c:v>
                </c:pt>
                <c:pt idx="87">
                  <c:v>3.208984375</c:v>
                </c:pt>
                <c:pt idx="88">
                  <c:v>3.208984375</c:v>
                </c:pt>
                <c:pt idx="89">
                  <c:v>3.208984375</c:v>
                </c:pt>
                <c:pt idx="90">
                  <c:v>3.208984375</c:v>
                </c:pt>
                <c:pt idx="91">
                  <c:v>3.208984375</c:v>
                </c:pt>
                <c:pt idx="92">
                  <c:v>3.208984375</c:v>
                </c:pt>
                <c:pt idx="93">
                  <c:v>3.208984375</c:v>
                </c:pt>
                <c:pt idx="94">
                  <c:v>3.208984375</c:v>
                </c:pt>
                <c:pt idx="95">
                  <c:v>3.208984375</c:v>
                </c:pt>
                <c:pt idx="96">
                  <c:v>3.208984375</c:v>
                </c:pt>
                <c:pt idx="97">
                  <c:v>3.208984375</c:v>
                </c:pt>
                <c:pt idx="98">
                  <c:v>3.208984375</c:v>
                </c:pt>
                <c:pt idx="99">
                  <c:v>3.208984375</c:v>
                </c:pt>
                <c:pt idx="100">
                  <c:v>3.208984375</c:v>
                </c:pt>
                <c:pt idx="101">
                  <c:v>3.208984375</c:v>
                </c:pt>
                <c:pt idx="102">
                  <c:v>3.208984375</c:v>
                </c:pt>
                <c:pt idx="103">
                  <c:v>3.208984375</c:v>
                </c:pt>
                <c:pt idx="104">
                  <c:v>3.208984375</c:v>
                </c:pt>
                <c:pt idx="105">
                  <c:v>3.208984375</c:v>
                </c:pt>
                <c:pt idx="106">
                  <c:v>3.208984375</c:v>
                </c:pt>
                <c:pt idx="107">
                  <c:v>3.208984375</c:v>
                </c:pt>
                <c:pt idx="108">
                  <c:v>3.208984375</c:v>
                </c:pt>
                <c:pt idx="109">
                  <c:v>3.208984375</c:v>
                </c:pt>
                <c:pt idx="110">
                  <c:v>3.208984375</c:v>
                </c:pt>
                <c:pt idx="111">
                  <c:v>3.208984375</c:v>
                </c:pt>
                <c:pt idx="112">
                  <c:v>3.208984375</c:v>
                </c:pt>
                <c:pt idx="113">
                  <c:v>3.208984375</c:v>
                </c:pt>
                <c:pt idx="114">
                  <c:v>3.208984375</c:v>
                </c:pt>
                <c:pt idx="115">
                  <c:v>3.208984375</c:v>
                </c:pt>
                <c:pt idx="116">
                  <c:v>3.208984375</c:v>
                </c:pt>
                <c:pt idx="117">
                  <c:v>3.208984375</c:v>
                </c:pt>
                <c:pt idx="118">
                  <c:v>3.208984375</c:v>
                </c:pt>
                <c:pt idx="119">
                  <c:v>3.208984375</c:v>
                </c:pt>
                <c:pt idx="120">
                  <c:v>3.208984375</c:v>
                </c:pt>
                <c:pt idx="121">
                  <c:v>3.208984375</c:v>
                </c:pt>
                <c:pt idx="122">
                  <c:v>3.208984375</c:v>
                </c:pt>
                <c:pt idx="123">
                  <c:v>3.208984375</c:v>
                </c:pt>
                <c:pt idx="124">
                  <c:v>3.208984375</c:v>
                </c:pt>
                <c:pt idx="125">
                  <c:v>3.208984375</c:v>
                </c:pt>
                <c:pt idx="126">
                  <c:v>3.208984375</c:v>
                </c:pt>
                <c:pt idx="127">
                  <c:v>3.208984375</c:v>
                </c:pt>
                <c:pt idx="128">
                  <c:v>3.208984375</c:v>
                </c:pt>
                <c:pt idx="129">
                  <c:v>3.208984375</c:v>
                </c:pt>
                <c:pt idx="130">
                  <c:v>3.208984375</c:v>
                </c:pt>
                <c:pt idx="131">
                  <c:v>3.208984375</c:v>
                </c:pt>
                <c:pt idx="132">
                  <c:v>3.208984375</c:v>
                </c:pt>
                <c:pt idx="133">
                  <c:v>3.208984375</c:v>
                </c:pt>
                <c:pt idx="134">
                  <c:v>3.208984375</c:v>
                </c:pt>
                <c:pt idx="135">
                  <c:v>3.208984375</c:v>
                </c:pt>
                <c:pt idx="136">
                  <c:v>3.208984375</c:v>
                </c:pt>
                <c:pt idx="137">
                  <c:v>3.208984375</c:v>
                </c:pt>
                <c:pt idx="138">
                  <c:v>3.208984375</c:v>
                </c:pt>
                <c:pt idx="139">
                  <c:v>3.208984375</c:v>
                </c:pt>
                <c:pt idx="140">
                  <c:v>3.208984375</c:v>
                </c:pt>
                <c:pt idx="141">
                  <c:v>3.208984375</c:v>
                </c:pt>
                <c:pt idx="142">
                  <c:v>3.208984375</c:v>
                </c:pt>
                <c:pt idx="143">
                  <c:v>3.208984375</c:v>
                </c:pt>
                <c:pt idx="144">
                  <c:v>3.208984375</c:v>
                </c:pt>
                <c:pt idx="145">
                  <c:v>3.208984375</c:v>
                </c:pt>
                <c:pt idx="146">
                  <c:v>3.208984375</c:v>
                </c:pt>
                <c:pt idx="147">
                  <c:v>3.208984375</c:v>
                </c:pt>
                <c:pt idx="148">
                  <c:v>3.208984375</c:v>
                </c:pt>
                <c:pt idx="149">
                  <c:v>3.208984375</c:v>
                </c:pt>
                <c:pt idx="150">
                  <c:v>3.208984375</c:v>
                </c:pt>
                <c:pt idx="151">
                  <c:v>3.208984375</c:v>
                </c:pt>
                <c:pt idx="152">
                  <c:v>3.208984375</c:v>
                </c:pt>
                <c:pt idx="153">
                  <c:v>3.208984375</c:v>
                </c:pt>
                <c:pt idx="154">
                  <c:v>3.208984375</c:v>
                </c:pt>
                <c:pt idx="155">
                  <c:v>3.208984375</c:v>
                </c:pt>
                <c:pt idx="156">
                  <c:v>3.208984375</c:v>
                </c:pt>
              </c:numCache>
            </c:numRef>
          </c:val>
        </c:ser>
        <c:dLbls/>
        <c:marker val="1"/>
        <c:axId val="717113984"/>
        <c:axId val="717128064"/>
      </c:lineChart>
      <c:dateAx>
        <c:axId val="717113984"/>
        <c:scaling>
          <c:orientation val="minMax"/>
        </c:scaling>
        <c:axPos val="b"/>
        <c:numFmt formatCode="[$-409]d\-mmm\-yy;@" sourceLinked="0"/>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717128064"/>
        <c:crosses val="autoZero"/>
        <c:auto val="1"/>
        <c:lblOffset val="100"/>
        <c:baseTimeUnit val="days"/>
      </c:dateAx>
      <c:valAx>
        <c:axId val="717128064"/>
        <c:scaling>
          <c:orientation val="minMax"/>
        </c:scaling>
        <c:axPos val="l"/>
        <c:majorGridlines/>
        <c:numFmt formatCode="0" sourceLinked="1"/>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17113984"/>
        <c:crosses val="autoZero"/>
        <c:crossBetween val="between"/>
      </c:valAx>
    </c:plotArea>
    <c:plotVisOnly val="1"/>
    <c:dispBlanksAs val="gap"/>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11.xml.rels><?xml version="1.0" encoding="UTF-8" standalone="yes"?>
<Relationships xmlns="http://schemas.openxmlformats.org/package/2006/relationships"><Relationship Id="rId8" Type="http://schemas.openxmlformats.org/officeDocument/2006/relationships/chart" Target="../charts/chart46.xml"/><Relationship Id="rId3" Type="http://schemas.openxmlformats.org/officeDocument/2006/relationships/chart" Target="../charts/chart41.xml"/><Relationship Id="rId7" Type="http://schemas.openxmlformats.org/officeDocument/2006/relationships/chart" Target="../charts/chart45.xml"/><Relationship Id="rId12" Type="http://schemas.openxmlformats.org/officeDocument/2006/relationships/chart" Target="../charts/chart50.xml"/><Relationship Id="rId2" Type="http://schemas.openxmlformats.org/officeDocument/2006/relationships/chart" Target="../charts/chart40.xml"/><Relationship Id="rId1" Type="http://schemas.openxmlformats.org/officeDocument/2006/relationships/chart" Target="../charts/chart39.xml"/><Relationship Id="rId6" Type="http://schemas.openxmlformats.org/officeDocument/2006/relationships/chart" Target="../charts/chart44.xml"/><Relationship Id="rId11" Type="http://schemas.openxmlformats.org/officeDocument/2006/relationships/chart" Target="../charts/chart49.xml"/><Relationship Id="rId5" Type="http://schemas.openxmlformats.org/officeDocument/2006/relationships/chart" Target="../charts/chart43.xml"/><Relationship Id="rId10" Type="http://schemas.openxmlformats.org/officeDocument/2006/relationships/chart" Target="../charts/chart48.xml"/><Relationship Id="rId4" Type="http://schemas.openxmlformats.org/officeDocument/2006/relationships/chart" Target="../charts/chart42.xml"/><Relationship Id="rId9" Type="http://schemas.openxmlformats.org/officeDocument/2006/relationships/chart" Target="../charts/chart47.xml"/></Relationships>
</file>

<file path=xl/drawings/drawing1.xml><?xml version="1.0" encoding="utf-8"?>
<xdr:wsDr xmlns:xdr="http://schemas.openxmlformats.org/drawingml/2006/spreadsheetDrawing" xmlns:a="http://schemas.openxmlformats.org/drawingml/2006/main">
  <xdr:twoCellAnchor>
    <xdr:from>
      <xdr:col>30</xdr:col>
      <xdr:colOff>551613</xdr:colOff>
      <xdr:row>195</xdr:row>
      <xdr:rowOff>157100</xdr:rowOff>
    </xdr:from>
    <xdr:to>
      <xdr:col>36</xdr:col>
      <xdr:colOff>467590</xdr:colOff>
      <xdr:row>210</xdr:row>
      <xdr:rowOff>173182</xdr:rowOff>
    </xdr:to>
    <xdr:graphicFrame macro="">
      <xdr:nvGraphicFramePr>
        <xdr:cNvPr id="3174748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532763</xdr:colOff>
      <xdr:row>195</xdr:row>
      <xdr:rowOff>150338</xdr:rowOff>
    </xdr:from>
    <xdr:to>
      <xdr:col>30</xdr:col>
      <xdr:colOff>450271</xdr:colOff>
      <xdr:row>210</xdr:row>
      <xdr:rowOff>173182</xdr:rowOff>
    </xdr:to>
    <xdr:graphicFrame macro="">
      <xdr:nvGraphicFramePr>
        <xdr:cNvPr id="3174748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511013</xdr:colOff>
      <xdr:row>211</xdr:row>
      <xdr:rowOff>35022</xdr:rowOff>
    </xdr:from>
    <xdr:to>
      <xdr:col>30</xdr:col>
      <xdr:colOff>467590</xdr:colOff>
      <xdr:row>226</xdr:row>
      <xdr:rowOff>138546</xdr:rowOff>
    </xdr:to>
    <xdr:graphicFrame macro="">
      <xdr:nvGraphicFramePr>
        <xdr:cNvPr id="3174748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570139</xdr:colOff>
      <xdr:row>211</xdr:row>
      <xdr:rowOff>38182</xdr:rowOff>
    </xdr:from>
    <xdr:to>
      <xdr:col>36</xdr:col>
      <xdr:colOff>484909</xdr:colOff>
      <xdr:row>226</xdr:row>
      <xdr:rowOff>155864</xdr:rowOff>
    </xdr:to>
    <xdr:graphicFrame macro="">
      <xdr:nvGraphicFramePr>
        <xdr:cNvPr id="3174748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573279</xdr:colOff>
      <xdr:row>227</xdr:row>
      <xdr:rowOff>49201</xdr:rowOff>
    </xdr:from>
    <xdr:to>
      <xdr:col>36</xdr:col>
      <xdr:colOff>502227</xdr:colOff>
      <xdr:row>242</xdr:row>
      <xdr:rowOff>138546</xdr:rowOff>
    </xdr:to>
    <xdr:graphicFrame macro="">
      <xdr:nvGraphicFramePr>
        <xdr:cNvPr id="31747491"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544903</xdr:colOff>
      <xdr:row>243</xdr:row>
      <xdr:rowOff>45770</xdr:rowOff>
    </xdr:from>
    <xdr:to>
      <xdr:col>30</xdr:col>
      <xdr:colOff>432954</xdr:colOff>
      <xdr:row>259</xdr:row>
      <xdr:rowOff>0</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42</xdr:col>
      <xdr:colOff>512124</xdr:colOff>
      <xdr:row>195</xdr:row>
      <xdr:rowOff>139781</xdr:rowOff>
    </xdr:from>
    <xdr:to>
      <xdr:col>48</xdr:col>
      <xdr:colOff>363682</xdr:colOff>
      <xdr:row>210</xdr:row>
      <xdr:rowOff>155864</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42</xdr:col>
      <xdr:colOff>556656</xdr:colOff>
      <xdr:row>227</xdr:row>
      <xdr:rowOff>48554</xdr:rowOff>
    </xdr:from>
    <xdr:to>
      <xdr:col>48</xdr:col>
      <xdr:colOff>346364</xdr:colOff>
      <xdr:row>242</xdr:row>
      <xdr:rowOff>173182</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42</xdr:col>
      <xdr:colOff>517134</xdr:colOff>
      <xdr:row>211</xdr:row>
      <xdr:rowOff>47624</xdr:rowOff>
    </xdr:from>
    <xdr:to>
      <xdr:col>48</xdr:col>
      <xdr:colOff>311727</xdr:colOff>
      <xdr:row>226</xdr:row>
      <xdr:rowOff>155863</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36</xdr:col>
      <xdr:colOff>523255</xdr:colOff>
      <xdr:row>195</xdr:row>
      <xdr:rowOff>136999</xdr:rowOff>
    </xdr:from>
    <xdr:to>
      <xdr:col>42</xdr:col>
      <xdr:colOff>415637</xdr:colOff>
      <xdr:row>210</xdr:row>
      <xdr:rowOff>173182</xdr:rowOff>
    </xdr:to>
    <xdr:graphicFrame macro="">
      <xdr:nvGraphicFramePr>
        <xdr:cNvPr id="1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36</xdr:col>
      <xdr:colOff>562220</xdr:colOff>
      <xdr:row>211</xdr:row>
      <xdr:rowOff>65506</xdr:rowOff>
    </xdr:from>
    <xdr:to>
      <xdr:col>42</xdr:col>
      <xdr:colOff>398318</xdr:colOff>
      <xdr:row>227</xdr:row>
      <xdr:rowOff>0</xdr:rowOff>
    </xdr:to>
    <xdr:graphicFrame macro="">
      <xdr:nvGraphicFramePr>
        <xdr:cNvPr id="1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564388</xdr:colOff>
      <xdr:row>227</xdr:row>
      <xdr:rowOff>49168</xdr:rowOff>
    </xdr:from>
    <xdr:to>
      <xdr:col>30</xdr:col>
      <xdr:colOff>450272</xdr:colOff>
      <xdr:row>242</xdr:row>
      <xdr:rowOff>155863</xdr:rowOff>
    </xdr:to>
    <xdr:graphicFrame macro="">
      <xdr:nvGraphicFramePr>
        <xdr:cNvPr id="1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27</xdr:col>
      <xdr:colOff>279194</xdr:colOff>
      <xdr:row>193</xdr:row>
      <xdr:rowOff>5221</xdr:rowOff>
    </xdr:from>
    <xdr:to>
      <xdr:col>33</xdr:col>
      <xdr:colOff>212008</xdr:colOff>
      <xdr:row>206</xdr:row>
      <xdr:rowOff>34635</xdr:rowOff>
    </xdr:to>
    <xdr:graphicFrame macro="">
      <xdr:nvGraphicFramePr>
        <xdr:cNvPr id="3175567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569963</xdr:colOff>
      <xdr:row>193</xdr:row>
      <xdr:rowOff>17666</xdr:rowOff>
    </xdr:from>
    <xdr:to>
      <xdr:col>27</xdr:col>
      <xdr:colOff>212007</xdr:colOff>
      <xdr:row>206</xdr:row>
      <xdr:rowOff>34637</xdr:rowOff>
    </xdr:to>
    <xdr:graphicFrame macro="">
      <xdr:nvGraphicFramePr>
        <xdr:cNvPr id="31755679"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27</xdr:col>
      <xdr:colOff>242455</xdr:colOff>
      <xdr:row>206</xdr:row>
      <xdr:rowOff>141547</xdr:rowOff>
    </xdr:from>
    <xdr:to>
      <xdr:col>33</xdr:col>
      <xdr:colOff>187916</xdr:colOff>
      <xdr:row>219</xdr:row>
      <xdr:rowOff>155863</xdr:rowOff>
    </xdr:to>
    <xdr:graphicFrame macro="">
      <xdr:nvGraphicFramePr>
        <xdr:cNvPr id="3175568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584361</xdr:colOff>
      <xdr:row>206</xdr:row>
      <xdr:rowOff>143223</xdr:rowOff>
    </xdr:from>
    <xdr:to>
      <xdr:col>27</xdr:col>
      <xdr:colOff>153278</xdr:colOff>
      <xdr:row>219</xdr:row>
      <xdr:rowOff>173182</xdr:rowOff>
    </xdr:to>
    <xdr:graphicFrame macro="">
      <xdr:nvGraphicFramePr>
        <xdr:cNvPr id="31755681"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39</xdr:col>
      <xdr:colOff>316714</xdr:colOff>
      <xdr:row>192</xdr:row>
      <xdr:rowOff>214465</xdr:rowOff>
    </xdr:from>
    <xdr:to>
      <xdr:col>45</xdr:col>
      <xdr:colOff>219382</xdr:colOff>
      <xdr:row>206</xdr:row>
      <xdr:rowOff>51954</xdr:rowOff>
    </xdr:to>
    <xdr:graphicFrame macro="">
      <xdr:nvGraphicFramePr>
        <xdr:cNvPr id="3175568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33</xdr:col>
      <xdr:colOff>328918</xdr:colOff>
      <xdr:row>193</xdr:row>
      <xdr:rowOff>151</xdr:rowOff>
    </xdr:from>
    <xdr:to>
      <xdr:col>39</xdr:col>
      <xdr:colOff>183585</xdr:colOff>
      <xdr:row>206</xdr:row>
      <xdr:rowOff>34635</xdr:rowOff>
    </xdr:to>
    <xdr:graphicFrame macro="">
      <xdr:nvGraphicFramePr>
        <xdr:cNvPr id="31755683"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33</xdr:col>
      <xdr:colOff>307963</xdr:colOff>
      <xdr:row>206</xdr:row>
      <xdr:rowOff>125242</xdr:rowOff>
    </xdr:from>
    <xdr:to>
      <xdr:col>39</xdr:col>
      <xdr:colOff>206500</xdr:colOff>
      <xdr:row>219</xdr:row>
      <xdr:rowOff>173180</xdr:rowOff>
    </xdr:to>
    <xdr:graphicFrame macro="">
      <xdr:nvGraphicFramePr>
        <xdr:cNvPr id="3175568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27</xdr:col>
      <xdr:colOff>303067</xdr:colOff>
      <xdr:row>220</xdr:row>
      <xdr:rowOff>75766</xdr:rowOff>
    </xdr:from>
    <xdr:to>
      <xdr:col>33</xdr:col>
      <xdr:colOff>214029</xdr:colOff>
      <xdr:row>233</xdr:row>
      <xdr:rowOff>155863</xdr:rowOff>
    </xdr:to>
    <xdr:graphicFrame macro="">
      <xdr:nvGraphicFramePr>
        <xdr:cNvPr id="21"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530368</xdr:colOff>
      <xdr:row>220</xdr:row>
      <xdr:rowOff>84427</xdr:rowOff>
    </xdr:from>
    <xdr:to>
      <xdr:col>27</xdr:col>
      <xdr:colOff>143156</xdr:colOff>
      <xdr:row>233</xdr:row>
      <xdr:rowOff>138546</xdr:rowOff>
    </xdr:to>
    <xdr:graphicFrame macro="">
      <xdr:nvGraphicFramePr>
        <xdr:cNvPr id="22"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573666</xdr:colOff>
      <xdr:row>233</xdr:row>
      <xdr:rowOff>227300</xdr:rowOff>
    </xdr:from>
    <xdr:to>
      <xdr:col>27</xdr:col>
      <xdr:colOff>224855</xdr:colOff>
      <xdr:row>247</xdr:row>
      <xdr:rowOff>-1</xdr:rowOff>
    </xdr:to>
    <xdr:graphicFrame macro="">
      <xdr:nvGraphicFramePr>
        <xdr:cNvPr id="23"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39</xdr:col>
      <xdr:colOff>326881</xdr:colOff>
      <xdr:row>220</xdr:row>
      <xdr:rowOff>34636</xdr:rowOff>
    </xdr:from>
    <xdr:to>
      <xdr:col>45</xdr:col>
      <xdr:colOff>225418</xdr:colOff>
      <xdr:row>233</xdr:row>
      <xdr:rowOff>173182</xdr:rowOff>
    </xdr:to>
    <xdr:graphicFrame macro="">
      <xdr:nvGraphicFramePr>
        <xdr:cNvPr id="2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39</xdr:col>
      <xdr:colOff>303069</xdr:colOff>
      <xdr:row>206</xdr:row>
      <xdr:rowOff>173182</xdr:rowOff>
    </xdr:from>
    <xdr:to>
      <xdr:col>45</xdr:col>
      <xdr:colOff>201606</xdr:colOff>
      <xdr:row>219</xdr:row>
      <xdr:rowOff>173181</xdr:rowOff>
    </xdr:to>
    <xdr:graphicFrame macro="">
      <xdr:nvGraphicFramePr>
        <xdr:cNvPr id="25"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45</xdr:col>
      <xdr:colOff>266700</xdr:colOff>
      <xdr:row>185</xdr:row>
      <xdr:rowOff>152400</xdr:rowOff>
    </xdr:from>
    <xdr:to>
      <xdr:col>53</xdr:col>
      <xdr:colOff>114300</xdr:colOff>
      <xdr:row>201</xdr:row>
      <xdr:rowOff>142875</xdr:rowOff>
    </xdr:to>
    <xdr:graphicFrame macro="">
      <xdr:nvGraphicFramePr>
        <xdr:cNvPr id="31770428"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45</xdr:col>
      <xdr:colOff>276225</xdr:colOff>
      <xdr:row>202</xdr:row>
      <xdr:rowOff>180975</xdr:rowOff>
    </xdr:from>
    <xdr:to>
      <xdr:col>53</xdr:col>
      <xdr:colOff>123825</xdr:colOff>
      <xdr:row>217</xdr:row>
      <xdr:rowOff>171450</xdr:rowOff>
    </xdr:to>
    <xdr:graphicFrame macro="">
      <xdr:nvGraphicFramePr>
        <xdr:cNvPr id="31770429"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45</xdr:col>
      <xdr:colOff>276225</xdr:colOff>
      <xdr:row>218</xdr:row>
      <xdr:rowOff>161925</xdr:rowOff>
    </xdr:from>
    <xdr:to>
      <xdr:col>53</xdr:col>
      <xdr:colOff>114300</xdr:colOff>
      <xdr:row>233</xdr:row>
      <xdr:rowOff>152400</xdr:rowOff>
    </xdr:to>
    <xdr:graphicFrame macro="">
      <xdr:nvGraphicFramePr>
        <xdr:cNvPr id="31770430"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45</xdr:col>
      <xdr:colOff>276225</xdr:colOff>
      <xdr:row>234</xdr:row>
      <xdr:rowOff>152400</xdr:rowOff>
    </xdr:from>
    <xdr:to>
      <xdr:col>53</xdr:col>
      <xdr:colOff>123825</xdr:colOff>
      <xdr:row>249</xdr:row>
      <xdr:rowOff>152400</xdr:rowOff>
    </xdr:to>
    <xdr:graphicFrame macro="">
      <xdr:nvGraphicFramePr>
        <xdr:cNvPr id="3177043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45</xdr:col>
      <xdr:colOff>276225</xdr:colOff>
      <xdr:row>250</xdr:row>
      <xdr:rowOff>152400</xdr:rowOff>
    </xdr:from>
    <xdr:to>
      <xdr:col>53</xdr:col>
      <xdr:colOff>123825</xdr:colOff>
      <xdr:row>265</xdr:row>
      <xdr:rowOff>142875</xdr:rowOff>
    </xdr:to>
    <xdr:graphicFrame macro="">
      <xdr:nvGraphicFramePr>
        <xdr:cNvPr id="3177043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59</xdr:col>
      <xdr:colOff>428625</xdr:colOff>
      <xdr:row>185</xdr:row>
      <xdr:rowOff>152400</xdr:rowOff>
    </xdr:from>
    <xdr:to>
      <xdr:col>67</xdr:col>
      <xdr:colOff>123825</xdr:colOff>
      <xdr:row>201</xdr:row>
      <xdr:rowOff>142875</xdr:rowOff>
    </xdr:to>
    <xdr:graphicFrame macro="">
      <xdr:nvGraphicFramePr>
        <xdr:cNvPr id="3177043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59</xdr:col>
      <xdr:colOff>438150</xdr:colOff>
      <xdr:row>202</xdr:row>
      <xdr:rowOff>152400</xdr:rowOff>
    </xdr:from>
    <xdr:to>
      <xdr:col>67</xdr:col>
      <xdr:colOff>133350</xdr:colOff>
      <xdr:row>217</xdr:row>
      <xdr:rowOff>142875</xdr:rowOff>
    </xdr:to>
    <xdr:graphicFrame macro="">
      <xdr:nvGraphicFramePr>
        <xdr:cNvPr id="31770434"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59</xdr:col>
      <xdr:colOff>419100</xdr:colOff>
      <xdr:row>218</xdr:row>
      <xdr:rowOff>152400</xdr:rowOff>
    </xdr:from>
    <xdr:to>
      <xdr:col>67</xdr:col>
      <xdr:colOff>114300</xdr:colOff>
      <xdr:row>233</xdr:row>
      <xdr:rowOff>142875</xdr:rowOff>
    </xdr:to>
    <xdr:graphicFrame macro="">
      <xdr:nvGraphicFramePr>
        <xdr:cNvPr id="3177043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59</xdr:col>
      <xdr:colOff>438150</xdr:colOff>
      <xdr:row>234</xdr:row>
      <xdr:rowOff>152400</xdr:rowOff>
    </xdr:from>
    <xdr:to>
      <xdr:col>67</xdr:col>
      <xdr:colOff>133350</xdr:colOff>
      <xdr:row>249</xdr:row>
      <xdr:rowOff>152400</xdr:rowOff>
    </xdr:to>
    <xdr:graphicFrame macro="">
      <xdr:nvGraphicFramePr>
        <xdr:cNvPr id="3177043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59</xdr:col>
      <xdr:colOff>438150</xdr:colOff>
      <xdr:row>250</xdr:row>
      <xdr:rowOff>152400</xdr:rowOff>
    </xdr:from>
    <xdr:to>
      <xdr:col>67</xdr:col>
      <xdr:colOff>133350</xdr:colOff>
      <xdr:row>265</xdr:row>
      <xdr:rowOff>142875</xdr:rowOff>
    </xdr:to>
    <xdr:graphicFrame macro="">
      <xdr:nvGraphicFramePr>
        <xdr:cNvPr id="31770437"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45</xdr:col>
      <xdr:colOff>266700</xdr:colOff>
      <xdr:row>266</xdr:row>
      <xdr:rowOff>161925</xdr:rowOff>
    </xdr:from>
    <xdr:to>
      <xdr:col>53</xdr:col>
      <xdr:colOff>114300</xdr:colOff>
      <xdr:row>281</xdr:row>
      <xdr:rowOff>152400</xdr:rowOff>
    </xdr:to>
    <xdr:graphicFrame macro="">
      <xdr:nvGraphicFramePr>
        <xdr:cNvPr id="31770438"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59</xdr:col>
      <xdr:colOff>419100</xdr:colOff>
      <xdr:row>266</xdr:row>
      <xdr:rowOff>152400</xdr:rowOff>
    </xdr:from>
    <xdr:to>
      <xdr:col>67</xdr:col>
      <xdr:colOff>114300</xdr:colOff>
      <xdr:row>281</xdr:row>
      <xdr:rowOff>142875</xdr:rowOff>
    </xdr:to>
    <xdr:graphicFrame macro="">
      <xdr:nvGraphicFramePr>
        <xdr:cNvPr id="31770439"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59</xdr:col>
      <xdr:colOff>459921</xdr:colOff>
      <xdr:row>283</xdr:row>
      <xdr:rowOff>2721</xdr:rowOff>
    </xdr:from>
    <xdr:to>
      <xdr:col>67</xdr:col>
      <xdr:colOff>155121</xdr:colOff>
      <xdr:row>297</xdr:row>
      <xdr:rowOff>183696</xdr:rowOff>
    </xdr:to>
    <xdr:graphicFrame macro="">
      <xdr:nvGraphicFramePr>
        <xdr:cNvPr id="31770440"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45</xdr:col>
      <xdr:colOff>266700</xdr:colOff>
      <xdr:row>282</xdr:row>
      <xdr:rowOff>142875</xdr:rowOff>
    </xdr:from>
    <xdr:to>
      <xdr:col>53</xdr:col>
      <xdr:colOff>114300</xdr:colOff>
      <xdr:row>297</xdr:row>
      <xdr:rowOff>133350</xdr:rowOff>
    </xdr:to>
    <xdr:graphicFrame macro="">
      <xdr:nvGraphicFramePr>
        <xdr:cNvPr id="31770441"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0.35833</cdr:x>
      <cdr:y>0.22499</cdr:y>
    </cdr:from>
    <cdr:to>
      <cdr:x>0.68333</cdr:x>
      <cdr:y>0.22499</cdr:y>
    </cdr:to>
    <cdr:sp macro="" textlink="">
      <cdr:nvSpPr>
        <cdr:cNvPr id="6" name="Straight Connector 5"/>
        <cdr:cNvSpPr/>
      </cdr:nvSpPr>
      <cdr:spPr>
        <a:xfrm xmlns:a="http://schemas.openxmlformats.org/drawingml/2006/main">
          <a:off x="1638285" y="676273"/>
          <a:ext cx="148590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5.xml><?xml version="1.0" encoding="utf-8"?>
<c:userShapes xmlns:c="http://schemas.openxmlformats.org/drawingml/2006/chart">
  <cdr:relSizeAnchor xmlns:cdr="http://schemas.openxmlformats.org/drawingml/2006/chartDrawing">
    <cdr:from>
      <cdr:x>0.39768</cdr:x>
      <cdr:y>0.21884</cdr:y>
    </cdr:from>
    <cdr:to>
      <cdr:x>0.70625</cdr:x>
      <cdr:y>0.21884</cdr:y>
    </cdr:to>
    <cdr:sp macro="" textlink="">
      <cdr:nvSpPr>
        <cdr:cNvPr id="2" name="Straight Connector 1"/>
        <cdr:cNvSpPr/>
      </cdr:nvSpPr>
      <cdr:spPr>
        <a:xfrm xmlns:a="http://schemas.openxmlformats.org/drawingml/2006/main">
          <a:off x="1819275" y="619124"/>
          <a:ext cx="1409700" cy="1"/>
        </a:xfrm>
        <a:prstGeom xmlns:a="http://schemas.openxmlformats.org/drawingml/2006/main" prst="line">
          <a:avLst/>
        </a:prstGeom>
        <a:noFill xmlns:a="http://schemas.openxmlformats.org/drawingml/2006/main"/>
        <a:ln xmlns:a="http://schemas.openxmlformats.org/drawingml/2006/main" w="25400" cap="flat" cmpd="sng" algn="ctr">
          <a:solidFill>
            <a:srgbClr val="C0504D"/>
          </a:solidFill>
          <a:prstDash val="solid"/>
        </a:ln>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6.xml><?xml version="1.0" encoding="utf-8"?>
<c:userShapes xmlns:c="http://schemas.openxmlformats.org/drawingml/2006/chart">
  <cdr:relSizeAnchor xmlns:cdr="http://schemas.openxmlformats.org/drawingml/2006/chartDrawing">
    <cdr:from>
      <cdr:x>0.42083</cdr:x>
      <cdr:y>0.3032</cdr:y>
    </cdr:from>
    <cdr:to>
      <cdr:x>0.7</cdr:x>
      <cdr:y>0.3032</cdr:y>
    </cdr:to>
    <cdr:sp macro="" textlink="">
      <cdr:nvSpPr>
        <cdr:cNvPr id="4" name="Straight Connector 3"/>
        <cdr:cNvSpPr/>
      </cdr:nvSpPr>
      <cdr:spPr>
        <a:xfrm xmlns:a="http://schemas.openxmlformats.org/drawingml/2006/main">
          <a:off x="1924050" y="847725"/>
          <a:ext cx="127635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7.xml><?xml version="1.0" encoding="utf-8"?>
<c:userShapes xmlns:c="http://schemas.openxmlformats.org/drawingml/2006/chart">
  <cdr:relSizeAnchor xmlns:cdr="http://schemas.openxmlformats.org/drawingml/2006/chartDrawing">
    <cdr:from>
      <cdr:x>0.41458</cdr:x>
      <cdr:y>0.2498</cdr:y>
    </cdr:from>
    <cdr:to>
      <cdr:x>0.70208</cdr:x>
      <cdr:y>0.2498</cdr:y>
    </cdr:to>
    <cdr:sp macro="" textlink="">
      <cdr:nvSpPr>
        <cdr:cNvPr id="5" name="Straight Connector 4"/>
        <cdr:cNvSpPr/>
      </cdr:nvSpPr>
      <cdr:spPr>
        <a:xfrm xmlns:a="http://schemas.openxmlformats.org/drawingml/2006/main">
          <a:off x="1895475" y="704850"/>
          <a:ext cx="1314450"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8.xml><?xml version="1.0" encoding="utf-8"?>
<c:userShapes xmlns:c="http://schemas.openxmlformats.org/drawingml/2006/chart">
  <cdr:relSizeAnchor xmlns:cdr="http://schemas.openxmlformats.org/drawingml/2006/chartDrawing">
    <cdr:from>
      <cdr:x>0.4125</cdr:x>
      <cdr:y>0.25038</cdr:y>
    </cdr:from>
    <cdr:to>
      <cdr:x>0.70625</cdr:x>
      <cdr:y>0.25038</cdr:y>
    </cdr:to>
    <cdr:sp macro="" textlink="">
      <cdr:nvSpPr>
        <cdr:cNvPr id="7" name="Straight Connector 6"/>
        <cdr:cNvSpPr/>
      </cdr:nvSpPr>
      <cdr:spPr>
        <a:xfrm xmlns:a="http://schemas.openxmlformats.org/drawingml/2006/main" flipV="1">
          <a:off x="1885950" y="704849"/>
          <a:ext cx="1343025" cy="1"/>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9.xml><?xml version="1.0" encoding="utf-8"?>
<c:userShapes xmlns:c="http://schemas.openxmlformats.org/drawingml/2006/chart">
  <cdr:relSizeAnchor xmlns:cdr="http://schemas.openxmlformats.org/drawingml/2006/chartDrawing">
    <cdr:from>
      <cdr:x>0.4125</cdr:x>
      <cdr:y>0.25208</cdr:y>
    </cdr:from>
    <cdr:to>
      <cdr:x>0.70625</cdr:x>
      <cdr:y>0.25208</cdr:y>
    </cdr:to>
    <cdr:sp macro="" textlink="">
      <cdr:nvSpPr>
        <cdr:cNvPr id="7" name="Straight Connector 6"/>
        <cdr:cNvSpPr/>
      </cdr:nvSpPr>
      <cdr:spPr>
        <a:xfrm xmlns:a="http://schemas.openxmlformats.org/drawingml/2006/main" flipV="1">
          <a:off x="1885950" y="704849"/>
          <a:ext cx="1343025" cy="1"/>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10.xml><?xml version="1.0" encoding="utf-8"?>
<c:userShapes xmlns:c="http://schemas.openxmlformats.org/drawingml/2006/chart">
  <cdr:relSizeAnchor xmlns:cdr="http://schemas.openxmlformats.org/drawingml/2006/chartDrawing">
    <cdr:from>
      <cdr:x>0.4125</cdr:x>
      <cdr:y>0.26807</cdr:y>
    </cdr:from>
    <cdr:to>
      <cdr:x>0.70625</cdr:x>
      <cdr:y>0.26807</cdr:y>
    </cdr:to>
    <cdr:sp macro="" textlink="">
      <cdr:nvSpPr>
        <cdr:cNvPr id="7" name="Straight Connector 6"/>
        <cdr:cNvSpPr/>
      </cdr:nvSpPr>
      <cdr:spPr>
        <a:xfrm xmlns:a="http://schemas.openxmlformats.org/drawingml/2006/main" flipV="1">
          <a:off x="1885950" y="752470"/>
          <a:ext cx="1343025" cy="0"/>
        </a:xfrm>
        <a:prstGeom xmlns:a="http://schemas.openxmlformats.org/drawingml/2006/main" prst="line">
          <a:avLst/>
        </a:prstGeom>
        <a:effectLst xmlns:a="http://schemas.openxmlformats.org/drawingml/2006/main"/>
      </cdr:spPr>
      <cdr:style>
        <a:lnRef xmlns:a="http://schemas.openxmlformats.org/drawingml/2006/main" idx="2">
          <a:schemeClr val="accent2"/>
        </a:lnRef>
        <a:fillRef xmlns:a="http://schemas.openxmlformats.org/drawingml/2006/main" idx="0">
          <a:schemeClr val="accent2"/>
        </a:fillRef>
        <a:effectRef xmlns:a="http://schemas.openxmlformats.org/drawingml/2006/main" idx="1">
          <a:schemeClr val="accent2"/>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GB"/>
        </a:p>
      </cdr:txBody>
    </cdr:sp>
  </cdr:relSizeAnchor>
</c:userShapes>
</file>

<file path=xl/drawings/drawing11.xml><?xml version="1.0" encoding="utf-8"?>
<xdr:wsDr xmlns:xdr="http://schemas.openxmlformats.org/drawingml/2006/spreadsheetDrawing" xmlns:a="http://schemas.openxmlformats.org/drawingml/2006/main">
  <xdr:twoCellAnchor>
    <xdr:from>
      <xdr:col>31</xdr:col>
      <xdr:colOff>10631</xdr:colOff>
      <xdr:row>180</xdr:row>
      <xdr:rowOff>155972</xdr:rowOff>
    </xdr:from>
    <xdr:to>
      <xdr:col>37</xdr:col>
      <xdr:colOff>123741</xdr:colOff>
      <xdr:row>196</xdr:row>
      <xdr:rowOff>68036</xdr:rowOff>
    </xdr:to>
    <xdr:graphicFrame macro="">
      <xdr:nvGraphicFramePr>
        <xdr:cNvPr id="3177923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488584</xdr:colOff>
      <xdr:row>180</xdr:row>
      <xdr:rowOff>160563</xdr:rowOff>
    </xdr:from>
    <xdr:to>
      <xdr:col>30</xdr:col>
      <xdr:colOff>544286</xdr:colOff>
      <xdr:row>196</xdr:row>
      <xdr:rowOff>81643</xdr:rowOff>
    </xdr:to>
    <xdr:graphicFrame macro="">
      <xdr:nvGraphicFramePr>
        <xdr:cNvPr id="31779231"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31</xdr:col>
      <xdr:colOff>21260</xdr:colOff>
      <xdr:row>196</xdr:row>
      <xdr:rowOff>110049</xdr:rowOff>
    </xdr:from>
    <xdr:to>
      <xdr:col>37</xdr:col>
      <xdr:colOff>95675</xdr:colOff>
      <xdr:row>212</xdr:row>
      <xdr:rowOff>27215</xdr:rowOff>
    </xdr:to>
    <xdr:graphicFrame macro="">
      <xdr:nvGraphicFramePr>
        <xdr:cNvPr id="3177923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489857</xdr:colOff>
      <xdr:row>196</xdr:row>
      <xdr:rowOff>155461</xdr:rowOff>
    </xdr:from>
    <xdr:to>
      <xdr:col>30</xdr:col>
      <xdr:colOff>538331</xdr:colOff>
      <xdr:row>212</xdr:row>
      <xdr:rowOff>40821</xdr:rowOff>
    </xdr:to>
    <xdr:graphicFrame macro="">
      <xdr:nvGraphicFramePr>
        <xdr:cNvPr id="31779233"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43</xdr:col>
      <xdr:colOff>105881</xdr:colOff>
      <xdr:row>180</xdr:row>
      <xdr:rowOff>117362</xdr:rowOff>
    </xdr:from>
    <xdr:to>
      <xdr:col>49</xdr:col>
      <xdr:colOff>40822</xdr:colOff>
      <xdr:row>196</xdr:row>
      <xdr:rowOff>54429</xdr:rowOff>
    </xdr:to>
    <xdr:graphicFrame macro="">
      <xdr:nvGraphicFramePr>
        <xdr:cNvPr id="31779234"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161758</xdr:colOff>
      <xdr:row>180</xdr:row>
      <xdr:rowOff>135648</xdr:rowOff>
    </xdr:from>
    <xdr:to>
      <xdr:col>43</xdr:col>
      <xdr:colOff>36145</xdr:colOff>
      <xdr:row>196</xdr:row>
      <xdr:rowOff>54430</xdr:rowOff>
    </xdr:to>
    <xdr:graphicFrame macro="">
      <xdr:nvGraphicFramePr>
        <xdr:cNvPr id="3177923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37</xdr:col>
      <xdr:colOff>79856</xdr:colOff>
      <xdr:row>196</xdr:row>
      <xdr:rowOff>140239</xdr:rowOff>
    </xdr:from>
    <xdr:to>
      <xdr:col>43</xdr:col>
      <xdr:colOff>54429</xdr:colOff>
      <xdr:row>212</xdr:row>
      <xdr:rowOff>95251</xdr:rowOff>
    </xdr:to>
    <xdr:graphicFrame macro="">
      <xdr:nvGraphicFramePr>
        <xdr:cNvPr id="31779236"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13608</xdr:colOff>
      <xdr:row>212</xdr:row>
      <xdr:rowOff>68035</xdr:rowOff>
    </xdr:from>
    <xdr:to>
      <xdr:col>37</xdr:col>
      <xdr:colOff>113619</xdr:colOff>
      <xdr:row>228</xdr:row>
      <xdr:rowOff>13607</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xdr:col>
      <xdr:colOff>443592</xdr:colOff>
      <xdr:row>228</xdr:row>
      <xdr:rowOff>103415</xdr:rowOff>
    </xdr:from>
    <xdr:to>
      <xdr:col>30</xdr:col>
      <xdr:colOff>543603</xdr:colOff>
      <xdr:row>244</xdr:row>
      <xdr:rowOff>0</xdr:rowOff>
    </xdr:to>
    <xdr:graphicFrame macro="">
      <xdr:nvGraphicFramePr>
        <xdr:cNvPr id="1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43</xdr:col>
      <xdr:colOff>89808</xdr:colOff>
      <xdr:row>212</xdr:row>
      <xdr:rowOff>160564</xdr:rowOff>
    </xdr:from>
    <xdr:to>
      <xdr:col>49</xdr:col>
      <xdr:colOff>81643</xdr:colOff>
      <xdr:row>228</xdr:row>
      <xdr:rowOff>149678</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43</xdr:col>
      <xdr:colOff>114302</xdr:colOff>
      <xdr:row>196</xdr:row>
      <xdr:rowOff>125187</xdr:rowOff>
    </xdr:from>
    <xdr:to>
      <xdr:col>49</xdr:col>
      <xdr:colOff>54429</xdr:colOff>
      <xdr:row>212</xdr:row>
      <xdr:rowOff>81643</xdr:rowOff>
    </xdr:to>
    <xdr:graphicFrame macro="">
      <xdr:nvGraphicFramePr>
        <xdr:cNvPr id="12"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459922</xdr:colOff>
      <xdr:row>212</xdr:row>
      <xdr:rowOff>117022</xdr:rowOff>
    </xdr:from>
    <xdr:to>
      <xdr:col>30</xdr:col>
      <xdr:colOff>559933</xdr:colOff>
      <xdr:row>228</xdr:row>
      <xdr:rowOff>27214</xdr:rowOff>
    </xdr:to>
    <xdr:graphicFrame macro="">
      <xdr:nvGraphicFramePr>
        <xdr:cNvPr id="1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1:AH2309"/>
  <sheetViews>
    <sheetView tabSelected="1" workbookViewId="0">
      <selection activeCell="C15" sqref="C15"/>
    </sheetView>
  </sheetViews>
  <sheetFormatPr defaultRowHeight="15"/>
  <cols>
    <col min="1" max="1" width="20.140625" bestFit="1" customWidth="1"/>
    <col min="2" max="2" width="27.85546875" bestFit="1" customWidth="1"/>
    <col min="3" max="3" width="10.140625" style="67" bestFit="1" customWidth="1"/>
    <col min="4" max="4" width="9" style="67" customWidth="1"/>
    <col min="5" max="5" width="9.140625" style="67" customWidth="1"/>
    <col min="6" max="8" width="9.140625" style="67"/>
    <col min="9" max="9" width="10" style="13" customWidth="1"/>
    <col min="10" max="10" width="9" style="77" customWidth="1"/>
    <col min="11" max="11" width="8.5703125" style="77" bestFit="1" customWidth="1"/>
    <col min="12" max="12" width="8.5703125" style="67" customWidth="1"/>
    <col min="13" max="13" width="9.140625" style="67"/>
    <col min="15" max="15" width="8.5703125" bestFit="1" customWidth="1"/>
    <col min="16" max="16" width="9" style="14" bestFit="1" customWidth="1"/>
    <col min="17" max="18" width="8.140625" style="104" bestFit="1" customWidth="1"/>
    <col min="19" max="19" width="9.28515625" style="104" customWidth="1"/>
    <col min="20" max="20" width="9.140625" style="104" customWidth="1"/>
    <col min="21" max="21" width="8" style="104" customWidth="1"/>
    <col min="22" max="24" width="9" style="104" bestFit="1" customWidth="1"/>
    <col min="25" max="25" width="7.5703125" style="67" bestFit="1" customWidth="1"/>
    <col min="26" max="26" width="8" style="67" bestFit="1" customWidth="1"/>
    <col min="27" max="27" width="8" bestFit="1" customWidth="1"/>
    <col min="28" max="28" width="11.28515625" customWidth="1"/>
  </cols>
  <sheetData>
    <row r="1" spans="1:31" ht="15.75" thickBot="1">
      <c r="A1" s="406">
        <v>41443</v>
      </c>
      <c r="B1" s="406"/>
      <c r="C1" s="282">
        <f>C5+C8+C11</f>
        <v>89088.7</v>
      </c>
      <c r="H1" s="282">
        <f>H5+H8+H11</f>
        <v>164612.4</v>
      </c>
      <c r="K1" s="282"/>
      <c r="L1" s="282">
        <f>N5+N8+N11</f>
        <v>160411.79999999999</v>
      </c>
      <c r="N1" s="15"/>
    </row>
    <row r="2" spans="1:31">
      <c r="A2" s="407" t="s">
        <v>1</v>
      </c>
      <c r="B2" s="408"/>
      <c r="C2" s="300" t="s">
        <v>12</v>
      </c>
      <c r="D2" s="80" t="s">
        <v>12</v>
      </c>
      <c r="E2" s="300" t="s">
        <v>13</v>
      </c>
      <c r="F2" s="290" t="s">
        <v>13</v>
      </c>
      <c r="G2" s="290" t="s">
        <v>13</v>
      </c>
      <c r="H2" s="290" t="s">
        <v>13</v>
      </c>
      <c r="I2" s="290" t="s">
        <v>13</v>
      </c>
      <c r="J2" s="295" t="s">
        <v>13</v>
      </c>
      <c r="K2" s="290" t="s">
        <v>13</v>
      </c>
      <c r="L2" s="385" t="s">
        <v>13</v>
      </c>
      <c r="M2" s="300" t="s">
        <v>2</v>
      </c>
      <c r="N2" s="290" t="s">
        <v>2</v>
      </c>
      <c r="O2" s="295" t="s">
        <v>2</v>
      </c>
      <c r="P2" s="290" t="s">
        <v>2</v>
      </c>
      <c r="Q2" s="295" t="s">
        <v>2</v>
      </c>
      <c r="R2" s="290" t="s">
        <v>2</v>
      </c>
      <c r="S2" s="385" t="s">
        <v>2</v>
      </c>
      <c r="T2" s="301" t="s">
        <v>199</v>
      </c>
      <c r="U2" s="302" t="s">
        <v>199</v>
      </c>
      <c r="Y2" s="104"/>
      <c r="Z2" s="104"/>
      <c r="AA2" s="104"/>
      <c r="AB2" s="104"/>
      <c r="AC2" s="67"/>
      <c r="AD2" s="67"/>
    </row>
    <row r="3" spans="1:31" ht="15.75" thickBot="1">
      <c r="A3" s="409" t="s">
        <v>0</v>
      </c>
      <c r="B3" s="410"/>
      <c r="C3" s="303" t="s">
        <v>102</v>
      </c>
      <c r="D3" s="304" t="s">
        <v>103</v>
      </c>
      <c r="E3" s="303" t="s">
        <v>104</v>
      </c>
      <c r="F3" s="305" t="s">
        <v>105</v>
      </c>
      <c r="G3" s="305" t="s">
        <v>100</v>
      </c>
      <c r="H3" s="305" t="s">
        <v>107</v>
      </c>
      <c r="I3" s="305" t="s">
        <v>106</v>
      </c>
      <c r="J3" s="380" t="s">
        <v>200</v>
      </c>
      <c r="K3" s="308" t="s">
        <v>205</v>
      </c>
      <c r="L3" s="386" t="s">
        <v>207</v>
      </c>
      <c r="M3" s="303" t="s">
        <v>108</v>
      </c>
      <c r="N3" s="305" t="s">
        <v>110</v>
      </c>
      <c r="O3" s="307" t="s">
        <v>101</v>
      </c>
      <c r="P3" s="308" t="s">
        <v>109</v>
      </c>
      <c r="Q3" s="307" t="s">
        <v>201</v>
      </c>
      <c r="R3" s="305" t="s">
        <v>206</v>
      </c>
      <c r="S3" s="394" t="s">
        <v>208</v>
      </c>
      <c r="T3" s="309" t="s">
        <v>111</v>
      </c>
      <c r="U3" s="304" t="s">
        <v>202</v>
      </c>
      <c r="V3" s="14"/>
      <c r="W3" s="14"/>
      <c r="X3" s="14"/>
      <c r="Y3" s="14"/>
      <c r="Z3" s="14"/>
      <c r="AA3" s="14"/>
      <c r="AB3" s="14"/>
      <c r="AC3" s="175"/>
      <c r="AD3" s="174"/>
      <c r="AE3" s="175"/>
    </row>
    <row r="4" spans="1:31" ht="15" customHeight="1">
      <c r="A4" s="411" t="s">
        <v>195</v>
      </c>
      <c r="B4" s="2" t="s">
        <v>4</v>
      </c>
      <c r="C4" s="310">
        <v>143392.20000000001</v>
      </c>
      <c r="D4" s="100">
        <v>150515.79999999999</v>
      </c>
      <c r="E4" s="310">
        <v>150515.79999999999</v>
      </c>
      <c r="F4" s="285">
        <v>181997.8</v>
      </c>
      <c r="G4" s="285">
        <v>165452.5</v>
      </c>
      <c r="H4" s="285">
        <v>132132</v>
      </c>
      <c r="I4" s="365">
        <v>170968.6</v>
      </c>
      <c r="J4" s="287">
        <v>166077.9</v>
      </c>
      <c r="K4" s="285">
        <v>95044.2</v>
      </c>
      <c r="L4" s="100">
        <v>83196.100000000006</v>
      </c>
      <c r="M4" s="311">
        <v>193027</v>
      </c>
      <c r="N4" s="285">
        <v>132132.20000000001</v>
      </c>
      <c r="O4" s="374">
        <v>82726.3</v>
      </c>
      <c r="P4" s="285">
        <v>275755</v>
      </c>
      <c r="Q4" s="374">
        <v>83039</v>
      </c>
      <c r="R4" s="285">
        <v>188981.6</v>
      </c>
      <c r="S4" s="387">
        <v>83196.100000000006</v>
      </c>
      <c r="T4" s="311">
        <v>55151</v>
      </c>
      <c r="U4" s="100">
        <v>33090.5</v>
      </c>
      <c r="Y4" s="104"/>
      <c r="Z4" s="104"/>
      <c r="AA4" s="104"/>
      <c r="AB4" s="104"/>
      <c r="AC4" s="104"/>
      <c r="AD4" s="104"/>
      <c r="AE4" s="104"/>
    </row>
    <row r="5" spans="1:31">
      <c r="A5" s="412"/>
      <c r="B5" s="63" t="s">
        <v>5</v>
      </c>
      <c r="C5" s="312">
        <v>41815.599999999999</v>
      </c>
      <c r="D5" s="102">
        <v>78195.600000000006</v>
      </c>
      <c r="E5" s="312">
        <v>79699.600000000006</v>
      </c>
      <c r="F5" s="286">
        <v>159448.1</v>
      </c>
      <c r="G5" s="286">
        <v>100240</v>
      </c>
      <c r="H5" s="286">
        <v>52145.5</v>
      </c>
      <c r="I5" s="286">
        <v>85757.7</v>
      </c>
      <c r="J5" s="288">
        <v>14302.9</v>
      </c>
      <c r="K5" s="286">
        <v>2.7</v>
      </c>
      <c r="L5" s="102">
        <v>4.7</v>
      </c>
      <c r="M5" s="313">
        <v>159820</v>
      </c>
      <c r="N5" s="286">
        <v>60861.2</v>
      </c>
      <c r="O5" s="375">
        <v>51501.3</v>
      </c>
      <c r="P5" s="286">
        <v>156601.79999999999</v>
      </c>
      <c r="Q5" s="375">
        <v>7253.4</v>
      </c>
      <c r="R5" s="286">
        <v>5.4</v>
      </c>
      <c r="S5" s="388">
        <v>4.7</v>
      </c>
      <c r="T5" s="313">
        <v>7383.1</v>
      </c>
      <c r="U5" s="102">
        <v>4454.3</v>
      </c>
      <c r="Y5" s="104"/>
      <c r="Z5" s="104"/>
      <c r="AA5" s="104"/>
      <c r="AB5" s="104"/>
      <c r="AC5" s="104"/>
      <c r="AD5" s="104"/>
      <c r="AE5" s="104"/>
    </row>
    <row r="6" spans="1:31" ht="15.75" thickBot="1">
      <c r="A6" s="413"/>
      <c r="B6" s="271" t="s">
        <v>3</v>
      </c>
      <c r="C6" s="315">
        <f t="shared" ref="C6:U6" si="0">C5/C4</f>
        <v>0.29161697777145473</v>
      </c>
      <c r="D6" s="363">
        <f t="shared" si="0"/>
        <v>0.51951755231012298</v>
      </c>
      <c r="E6" s="315">
        <f t="shared" si="0"/>
        <v>0.52950985876565793</v>
      </c>
      <c r="F6" s="369">
        <f t="shared" si="0"/>
        <v>0.87609905174677949</v>
      </c>
      <c r="G6" s="291">
        <f t="shared" si="0"/>
        <v>0.60585364379504691</v>
      </c>
      <c r="H6" s="291">
        <f t="shared" si="0"/>
        <v>0.39464701964701965</v>
      </c>
      <c r="I6" s="291">
        <f t="shared" si="0"/>
        <v>0.50159912404967921</v>
      </c>
      <c r="J6" s="296">
        <f t="shared" si="0"/>
        <v>8.6121633281731044E-2</v>
      </c>
      <c r="K6" s="291">
        <f t="shared" si="0"/>
        <v>2.8407835512319535E-5</v>
      </c>
      <c r="L6" s="83">
        <f>L5/L4</f>
        <v>5.6493032726293656E-5</v>
      </c>
      <c r="M6" s="395">
        <f t="shared" si="0"/>
        <v>0.82796707196402575</v>
      </c>
      <c r="N6" s="291">
        <f t="shared" si="0"/>
        <v>0.46060839068750836</v>
      </c>
      <c r="O6" s="330">
        <f t="shared" si="0"/>
        <v>0.62255050691255387</v>
      </c>
      <c r="P6" s="291">
        <f t="shared" si="0"/>
        <v>0.5679019419412159</v>
      </c>
      <c r="Q6" s="330">
        <f t="shared" si="0"/>
        <v>8.734931779043581E-2</v>
      </c>
      <c r="R6" s="291">
        <f t="shared" si="0"/>
        <v>2.8574210399319299E-5</v>
      </c>
      <c r="S6" s="363">
        <f>S5/S4</f>
        <v>5.6493032726293656E-5</v>
      </c>
      <c r="T6" s="316">
        <f t="shared" si="0"/>
        <v>0.13387064604449603</v>
      </c>
      <c r="U6" s="83">
        <f t="shared" si="0"/>
        <v>0.13460963116302263</v>
      </c>
      <c r="Y6" s="104"/>
      <c r="Z6" s="104"/>
      <c r="AA6" s="104"/>
      <c r="AB6" s="104"/>
      <c r="AC6" s="104"/>
      <c r="AD6" s="104"/>
      <c r="AE6" s="104"/>
    </row>
    <row r="7" spans="1:31" ht="15" customHeight="1">
      <c r="A7" s="411" t="s">
        <v>196</v>
      </c>
      <c r="B7" s="27" t="s">
        <v>4</v>
      </c>
      <c r="C7" s="310">
        <v>9191.7999999999993</v>
      </c>
      <c r="D7" s="343" t="s">
        <v>198</v>
      </c>
      <c r="E7" s="344" t="s">
        <v>198</v>
      </c>
      <c r="F7" s="345" t="s">
        <v>198</v>
      </c>
      <c r="G7" s="345" t="s">
        <v>198</v>
      </c>
      <c r="H7" s="285">
        <v>13787.7</v>
      </c>
      <c r="I7" s="345" t="s">
        <v>198</v>
      </c>
      <c r="J7" s="381" t="s">
        <v>198</v>
      </c>
      <c r="K7" s="345" t="s">
        <v>198</v>
      </c>
      <c r="L7" s="100">
        <v>8804.7999999999993</v>
      </c>
      <c r="M7" s="376" t="s">
        <v>198</v>
      </c>
      <c r="N7" s="285">
        <v>13787.7</v>
      </c>
      <c r="O7" s="376" t="s">
        <v>198</v>
      </c>
      <c r="P7" s="345" t="s">
        <v>198</v>
      </c>
      <c r="Q7" s="376" t="s">
        <v>198</v>
      </c>
      <c r="R7" s="345" t="s">
        <v>198</v>
      </c>
      <c r="S7" s="387">
        <v>8804.7999999999993</v>
      </c>
      <c r="T7" s="344" t="s">
        <v>198</v>
      </c>
      <c r="U7" s="343" t="s">
        <v>198</v>
      </c>
      <c r="Y7" s="104"/>
      <c r="Z7" s="104"/>
      <c r="AA7" s="104"/>
      <c r="AB7" s="104"/>
      <c r="AC7" s="104"/>
      <c r="AD7" s="104"/>
      <c r="AE7" s="104"/>
    </row>
    <row r="8" spans="1:31">
      <c r="A8" s="412"/>
      <c r="B8" s="66" t="s">
        <v>5</v>
      </c>
      <c r="C8" s="312">
        <v>8299.9</v>
      </c>
      <c r="D8" s="346" t="s">
        <v>198</v>
      </c>
      <c r="E8" s="347" t="s">
        <v>198</v>
      </c>
      <c r="F8" s="348" t="s">
        <v>198</v>
      </c>
      <c r="G8" s="348" t="s">
        <v>198</v>
      </c>
      <c r="H8" s="286">
        <v>13646.7</v>
      </c>
      <c r="I8" s="348" t="s">
        <v>198</v>
      </c>
      <c r="J8" s="382" t="s">
        <v>198</v>
      </c>
      <c r="K8" s="348" t="s">
        <v>198</v>
      </c>
      <c r="L8" s="102">
        <v>0</v>
      </c>
      <c r="M8" s="396" t="s">
        <v>198</v>
      </c>
      <c r="N8" s="286">
        <v>13649.1</v>
      </c>
      <c r="O8" s="377" t="s">
        <v>198</v>
      </c>
      <c r="P8" s="348" t="s">
        <v>198</v>
      </c>
      <c r="Q8" s="377" t="s">
        <v>198</v>
      </c>
      <c r="R8" s="348" t="s">
        <v>198</v>
      </c>
      <c r="S8" s="388">
        <v>0</v>
      </c>
      <c r="T8" s="356" t="s">
        <v>198</v>
      </c>
      <c r="U8" s="346" t="s">
        <v>198</v>
      </c>
      <c r="Y8" s="104"/>
      <c r="Z8" s="104"/>
      <c r="AA8" s="104"/>
      <c r="AB8" s="104"/>
      <c r="AC8" s="104"/>
      <c r="AD8" s="104"/>
      <c r="AE8" s="104"/>
    </row>
    <row r="9" spans="1:31" ht="15.75" thickBot="1">
      <c r="A9" s="413"/>
      <c r="B9" s="340" t="s">
        <v>3</v>
      </c>
      <c r="C9" s="314">
        <f>C8/C7</f>
        <v>0.90296786266019713</v>
      </c>
      <c r="D9" s="349" t="s">
        <v>198</v>
      </c>
      <c r="E9" s="350" t="s">
        <v>198</v>
      </c>
      <c r="F9" s="351" t="s">
        <v>198</v>
      </c>
      <c r="G9" s="351" t="s">
        <v>198</v>
      </c>
      <c r="H9" s="283">
        <f t="shared" ref="H9" si="1">H8/H7</f>
        <v>0.98977349376618295</v>
      </c>
      <c r="I9" s="351" t="s">
        <v>198</v>
      </c>
      <c r="J9" s="383" t="s">
        <v>198</v>
      </c>
      <c r="K9" s="392" t="s">
        <v>198</v>
      </c>
      <c r="L9" s="393">
        <f>L8/L7</f>
        <v>0</v>
      </c>
      <c r="M9" s="397" t="s">
        <v>198</v>
      </c>
      <c r="N9" s="400">
        <f t="shared" ref="N9" si="2">N8/N7</f>
        <v>0.98994756195739675</v>
      </c>
      <c r="O9" s="378" t="s">
        <v>198</v>
      </c>
      <c r="P9" s="392" t="s">
        <v>198</v>
      </c>
      <c r="Q9" s="378" t="s">
        <v>198</v>
      </c>
      <c r="R9" s="392" t="s">
        <v>198</v>
      </c>
      <c r="S9" s="402">
        <f>S8/S7</f>
        <v>0</v>
      </c>
      <c r="T9" s="357" t="s">
        <v>198</v>
      </c>
      <c r="U9" s="349" t="s">
        <v>198</v>
      </c>
      <c r="Y9" s="104"/>
      <c r="Z9" s="104"/>
      <c r="AA9" s="104"/>
      <c r="AB9" s="104"/>
      <c r="AC9" s="104"/>
      <c r="AD9" s="104"/>
      <c r="AE9" s="104"/>
    </row>
    <row r="10" spans="1:31" ht="15" customHeight="1">
      <c r="A10" s="411" t="s">
        <v>197</v>
      </c>
      <c r="B10" s="27" t="s">
        <v>4</v>
      </c>
      <c r="C10" s="310">
        <v>97433.600000000006</v>
      </c>
      <c r="D10" s="343" t="s">
        <v>198</v>
      </c>
      <c r="E10" s="352" t="s">
        <v>198</v>
      </c>
      <c r="F10" s="345" t="s">
        <v>198</v>
      </c>
      <c r="G10" s="345" t="s">
        <v>198</v>
      </c>
      <c r="H10" s="285">
        <v>243584.4</v>
      </c>
      <c r="I10" s="345" t="s">
        <v>198</v>
      </c>
      <c r="J10" s="381" t="s">
        <v>198</v>
      </c>
      <c r="K10" s="345" t="s">
        <v>198</v>
      </c>
      <c r="L10" s="100">
        <v>132070.29999999999</v>
      </c>
      <c r="M10" s="398" t="s">
        <v>198</v>
      </c>
      <c r="N10" s="285">
        <v>292299.3</v>
      </c>
      <c r="O10" s="376" t="s">
        <v>198</v>
      </c>
      <c r="P10" s="345" t="s">
        <v>198</v>
      </c>
      <c r="Q10" s="376" t="s">
        <v>198</v>
      </c>
      <c r="R10" s="345" t="s">
        <v>198</v>
      </c>
      <c r="S10" s="387">
        <v>132070.39999999999</v>
      </c>
      <c r="T10" s="344" t="s">
        <v>198</v>
      </c>
      <c r="U10" s="343" t="s">
        <v>198</v>
      </c>
      <c r="Y10" s="104"/>
      <c r="Z10" s="104"/>
      <c r="AA10" s="104"/>
      <c r="AB10" s="104"/>
      <c r="AC10" s="104"/>
      <c r="AD10" s="104"/>
      <c r="AE10" s="104"/>
    </row>
    <row r="11" spans="1:31">
      <c r="A11" s="412"/>
      <c r="B11" s="66" t="s">
        <v>5</v>
      </c>
      <c r="C11" s="312">
        <v>38973.199999999997</v>
      </c>
      <c r="D11" s="346" t="s">
        <v>198</v>
      </c>
      <c r="E11" s="347" t="s">
        <v>198</v>
      </c>
      <c r="F11" s="348" t="s">
        <v>198</v>
      </c>
      <c r="G11" s="348" t="s">
        <v>198</v>
      </c>
      <c r="H11" s="286">
        <v>98820.2</v>
      </c>
      <c r="I11" s="348" t="s">
        <v>198</v>
      </c>
      <c r="J11" s="382" t="s">
        <v>198</v>
      </c>
      <c r="K11" s="348" t="s">
        <v>198</v>
      </c>
      <c r="L11" s="102">
        <v>0.1</v>
      </c>
      <c r="M11" s="396" t="s">
        <v>198</v>
      </c>
      <c r="N11" s="286">
        <v>85901.5</v>
      </c>
      <c r="O11" s="377" t="s">
        <v>198</v>
      </c>
      <c r="P11" s="348" t="s">
        <v>198</v>
      </c>
      <c r="Q11" s="377" t="s">
        <v>198</v>
      </c>
      <c r="R11" s="348" t="s">
        <v>198</v>
      </c>
      <c r="S11" s="388">
        <v>0</v>
      </c>
      <c r="T11" s="356" t="s">
        <v>198</v>
      </c>
      <c r="U11" s="346" t="s">
        <v>198</v>
      </c>
      <c r="Y11" s="104"/>
      <c r="Z11" s="104"/>
      <c r="AA11" s="104"/>
      <c r="AB11" s="104"/>
      <c r="AC11" s="104"/>
      <c r="AD11" s="104"/>
      <c r="AE11" s="104"/>
    </row>
    <row r="12" spans="1:31" ht="15.75" thickBot="1">
      <c r="A12" s="413"/>
      <c r="B12" s="256" t="s">
        <v>3</v>
      </c>
      <c r="C12" s="315">
        <f>C11/C10</f>
        <v>0.39999753678402516</v>
      </c>
      <c r="D12" s="353" t="s">
        <v>198</v>
      </c>
      <c r="E12" s="354" t="s">
        <v>198</v>
      </c>
      <c r="F12" s="355" t="s">
        <v>198</v>
      </c>
      <c r="G12" s="355" t="s">
        <v>198</v>
      </c>
      <c r="H12" s="291">
        <f t="shared" ref="H12" si="3">H11/H10</f>
        <v>0.40569182591331793</v>
      </c>
      <c r="I12" s="355" t="s">
        <v>198</v>
      </c>
      <c r="J12" s="384" t="s">
        <v>198</v>
      </c>
      <c r="K12" s="355" t="s">
        <v>198</v>
      </c>
      <c r="L12" s="83">
        <f>L11/L10</f>
        <v>7.5717250585483648E-7</v>
      </c>
      <c r="M12" s="399" t="s">
        <v>198</v>
      </c>
      <c r="N12" s="291">
        <f t="shared" ref="N12" si="4">N11/N10</f>
        <v>0.29388199013819055</v>
      </c>
      <c r="O12" s="379" t="s">
        <v>198</v>
      </c>
      <c r="P12" s="355" t="s">
        <v>198</v>
      </c>
      <c r="Q12" s="379" t="s">
        <v>198</v>
      </c>
      <c r="R12" s="355" t="s">
        <v>198</v>
      </c>
      <c r="S12" s="363">
        <f>S11/S10</f>
        <v>0</v>
      </c>
      <c r="T12" s="358" t="s">
        <v>198</v>
      </c>
      <c r="U12" s="353" t="s">
        <v>198</v>
      </c>
      <c r="Y12" s="104"/>
      <c r="Z12" s="104"/>
      <c r="AA12" s="104"/>
      <c r="AB12" s="104"/>
      <c r="AC12" s="104"/>
      <c r="AD12" s="104"/>
      <c r="AE12" s="104"/>
    </row>
    <row r="13" spans="1:31" ht="15" customHeight="1">
      <c r="A13" s="411" t="s">
        <v>6</v>
      </c>
      <c r="B13" s="279" t="s">
        <v>7</v>
      </c>
      <c r="C13" s="300">
        <v>5870</v>
      </c>
      <c r="D13" s="80">
        <v>3333</v>
      </c>
      <c r="E13" s="300">
        <v>3330</v>
      </c>
      <c r="F13" s="290">
        <v>9457</v>
      </c>
      <c r="G13" s="371">
        <v>8428</v>
      </c>
      <c r="H13" s="290">
        <v>15703</v>
      </c>
      <c r="I13" s="290">
        <v>7403</v>
      </c>
      <c r="J13" s="295">
        <v>9599</v>
      </c>
      <c r="K13" s="290">
        <v>3593</v>
      </c>
      <c r="L13" s="385">
        <v>6399</v>
      </c>
      <c r="M13" s="317">
        <v>9289</v>
      </c>
      <c r="N13" s="290">
        <v>12295</v>
      </c>
      <c r="O13" s="401">
        <v>4354</v>
      </c>
      <c r="P13" s="290">
        <v>10027</v>
      </c>
      <c r="Q13" s="373">
        <v>4799</v>
      </c>
      <c r="R13" s="290">
        <v>7192</v>
      </c>
      <c r="S13" s="385">
        <v>6399</v>
      </c>
      <c r="T13" s="317">
        <v>2000</v>
      </c>
      <c r="U13" s="80">
        <v>1250</v>
      </c>
      <c r="Y13" s="104"/>
      <c r="Z13" s="104"/>
      <c r="AA13" s="104"/>
      <c r="AB13" s="104"/>
      <c r="AC13" s="104"/>
      <c r="AD13" s="104"/>
      <c r="AE13" s="104"/>
    </row>
    <row r="14" spans="1:31">
      <c r="A14" s="412"/>
      <c r="B14" s="28" t="s">
        <v>11</v>
      </c>
      <c r="C14" s="318">
        <f t="shared" ref="C14:S14" si="5">C13*33.717</f>
        <v>197918.78999999998</v>
      </c>
      <c r="D14" s="84">
        <f t="shared" si="5"/>
        <v>112378.761</v>
      </c>
      <c r="E14" s="318">
        <f t="shared" si="5"/>
        <v>112277.61</v>
      </c>
      <c r="F14" s="360">
        <f t="shared" si="5"/>
        <v>318861.66899999999</v>
      </c>
      <c r="G14" s="292">
        <f t="shared" si="5"/>
        <v>284166.87599999999</v>
      </c>
      <c r="H14" s="341">
        <f t="shared" si="5"/>
        <v>529458.05099999998</v>
      </c>
      <c r="I14" s="341">
        <f t="shared" si="5"/>
        <v>249606.951</v>
      </c>
      <c r="J14" s="360">
        <f t="shared" si="5"/>
        <v>323649.48300000001</v>
      </c>
      <c r="K14" s="292">
        <f t="shared" si="5"/>
        <v>121145.181</v>
      </c>
      <c r="L14" s="389">
        <f t="shared" ref="L14" si="6">L13*33.717</f>
        <v>215755.08299999998</v>
      </c>
      <c r="M14" s="319">
        <f t="shared" si="5"/>
        <v>313197.21299999999</v>
      </c>
      <c r="N14" s="292">
        <f t="shared" si="5"/>
        <v>414550.51499999996</v>
      </c>
      <c r="O14" s="360">
        <f t="shared" si="5"/>
        <v>146803.818</v>
      </c>
      <c r="P14" s="292">
        <f t="shared" si="5"/>
        <v>338080.359</v>
      </c>
      <c r="Q14" s="360">
        <f t="shared" si="5"/>
        <v>161807.883</v>
      </c>
      <c r="R14" s="292">
        <f t="shared" si="5"/>
        <v>242492.66399999999</v>
      </c>
      <c r="S14" s="360">
        <f t="shared" si="5"/>
        <v>215755.08299999998</v>
      </c>
      <c r="T14" s="318">
        <f t="shared" ref="T14:U14" si="7">T13*33.717</f>
        <v>67434</v>
      </c>
      <c r="U14" s="389">
        <f t="shared" si="7"/>
        <v>42146.25</v>
      </c>
      <c r="Y14" s="104"/>
      <c r="Z14" s="104"/>
      <c r="AA14" s="104"/>
      <c r="AB14" s="104"/>
      <c r="AC14" s="104"/>
      <c r="AD14" s="104"/>
      <c r="AE14" s="104"/>
    </row>
    <row r="15" spans="1:31">
      <c r="A15" s="412"/>
      <c r="B15" s="66" t="s">
        <v>8</v>
      </c>
      <c r="C15" s="326">
        <f>SUM(C13-531)</f>
        <v>5339</v>
      </c>
      <c r="D15" s="103">
        <f>SUM(D13-650)</f>
        <v>2683</v>
      </c>
      <c r="E15" s="326">
        <f>SUM(E13-616)</f>
        <v>2714</v>
      </c>
      <c r="F15" s="294">
        <f>SUM(F13-1211)</f>
        <v>8246</v>
      </c>
      <c r="G15" s="294">
        <f>SUM(G13-4559)</f>
        <v>3869</v>
      </c>
      <c r="H15" s="294">
        <f>SUM(H13-2079)</f>
        <v>13624</v>
      </c>
      <c r="I15" s="294">
        <f>SUM(I13-(3249-2000))</f>
        <v>6154</v>
      </c>
      <c r="J15" s="298">
        <f>SUM(J13-9172)</f>
        <v>427</v>
      </c>
      <c r="K15" s="294">
        <f>SUM(K13-3504)</f>
        <v>89</v>
      </c>
      <c r="L15" s="390">
        <f>SUM(L13-6312)</f>
        <v>87</v>
      </c>
      <c r="M15" s="327">
        <f>SUM(M13-909)</f>
        <v>8380</v>
      </c>
      <c r="N15" s="294">
        <f>SUM(N13-1185)</f>
        <v>11110</v>
      </c>
      <c r="O15" s="362">
        <f>SUM(O13-338)</f>
        <v>4016</v>
      </c>
      <c r="P15" s="294">
        <f>SUM(P13-(5201-2614))</f>
        <v>7440</v>
      </c>
      <c r="Q15" s="362">
        <f>SUM(Q13-3930)</f>
        <v>869</v>
      </c>
      <c r="R15" s="294">
        <f>SUM(R13-7032)</f>
        <v>160</v>
      </c>
      <c r="S15" s="390">
        <f>SUM(S13-6199)</f>
        <v>200</v>
      </c>
      <c r="T15" s="327">
        <f>SUM(T13-1033)</f>
        <v>967</v>
      </c>
      <c r="U15" s="103">
        <f>SUM(U13-752)</f>
        <v>498</v>
      </c>
      <c r="X15" s="14" t="s">
        <v>192</v>
      </c>
      <c r="Y15" s="104"/>
      <c r="Z15" s="104"/>
      <c r="AA15" s="104"/>
      <c r="AB15" s="104"/>
      <c r="AC15" s="67"/>
      <c r="AD15" s="67"/>
    </row>
    <row r="16" spans="1:31">
      <c r="A16" s="412"/>
      <c r="B16" s="29" t="s">
        <v>77</v>
      </c>
      <c r="C16" s="318">
        <f t="shared" ref="C16:J16" si="8">(C15*33.7167)</f>
        <v>180013.46130000002</v>
      </c>
      <c r="D16" s="341">
        <f t="shared" si="8"/>
        <v>90461.906100000007</v>
      </c>
      <c r="E16" s="318">
        <f t="shared" si="8"/>
        <v>91507.123800000001</v>
      </c>
      <c r="F16" s="341">
        <f t="shared" si="8"/>
        <v>278027.90820000001</v>
      </c>
      <c r="G16" s="341">
        <f t="shared" si="8"/>
        <v>130449.91230000001</v>
      </c>
      <c r="H16" s="341">
        <f t="shared" si="8"/>
        <v>459356.32080000004</v>
      </c>
      <c r="I16" s="341">
        <f t="shared" si="8"/>
        <v>207492.57180000001</v>
      </c>
      <c r="J16" s="360">
        <f t="shared" si="8"/>
        <v>14397.030900000002</v>
      </c>
      <c r="K16" s="321">
        <f>K15*33.717</f>
        <v>3000.8130000000001</v>
      </c>
      <c r="L16" s="391">
        <f>L15*33.717</f>
        <v>2933.3789999999999</v>
      </c>
      <c r="M16" s="319">
        <f t="shared" ref="M16:U16" si="9">(M15*33.7167)</f>
        <v>282545.946</v>
      </c>
      <c r="N16" s="292">
        <f t="shared" si="9"/>
        <v>374592.53700000001</v>
      </c>
      <c r="O16" s="360">
        <f t="shared" si="9"/>
        <v>135406.2672</v>
      </c>
      <c r="P16" s="292">
        <f t="shared" si="9"/>
        <v>250852.24800000002</v>
      </c>
      <c r="Q16" s="360">
        <f t="shared" si="9"/>
        <v>29299.812300000001</v>
      </c>
      <c r="R16" s="292">
        <f t="shared" si="9"/>
        <v>5394.6720000000005</v>
      </c>
      <c r="S16" s="341">
        <f t="shared" ref="S16" si="10">(S15*33.7167)</f>
        <v>6743.34</v>
      </c>
      <c r="T16" s="319">
        <f t="shared" si="9"/>
        <v>32604.048900000002</v>
      </c>
      <c r="U16" s="84">
        <f t="shared" si="9"/>
        <v>16790.9166</v>
      </c>
      <c r="X16" s="89">
        <f>344240-H15</f>
        <v>330616</v>
      </c>
      <c r="Y16" s="104" t="s">
        <v>193</v>
      </c>
      <c r="Z16" s="104"/>
      <c r="AA16" s="104"/>
      <c r="AB16" s="104"/>
      <c r="AC16" s="67"/>
      <c r="AD16" s="67"/>
    </row>
    <row r="17" spans="1:30" ht="15.75" thickBot="1">
      <c r="A17" s="412"/>
      <c r="B17" s="342" t="s">
        <v>203</v>
      </c>
      <c r="C17" s="315">
        <f>C14/(C4+C7+C10)</f>
        <v>0.79161942999212842</v>
      </c>
      <c r="D17" s="83">
        <f>D14/D4</f>
        <v>0.74662434774289477</v>
      </c>
      <c r="E17" s="329">
        <f>E14/E4</f>
        <v>0.74595231862701461</v>
      </c>
      <c r="F17" s="329">
        <f>F14/F4</f>
        <v>1.7520083704308513</v>
      </c>
      <c r="G17" s="329">
        <f>G14/G4</f>
        <v>1.7175133406869041</v>
      </c>
      <c r="H17" s="329">
        <f>H14/(H4+H7+H10)</f>
        <v>1.3593131651245776</v>
      </c>
      <c r="I17" s="329">
        <f>I14/I4</f>
        <v>1.459957857758676</v>
      </c>
      <c r="J17" s="329">
        <f>J14/J4</f>
        <v>1.9487811623340614</v>
      </c>
      <c r="K17" s="329">
        <f>K14/K4</f>
        <v>1.2746193981326583</v>
      </c>
      <c r="L17" s="329">
        <f>L14/(L4+L7+L10)</f>
        <v>0.96288627454130638</v>
      </c>
      <c r="M17" s="315">
        <f>M14/M4</f>
        <v>1.6225564972775828</v>
      </c>
      <c r="N17" s="329">
        <f>N14/(N4+N7+N10)</f>
        <v>0.94598893658698646</v>
      </c>
      <c r="O17" s="329">
        <f>O14/O4</f>
        <v>1.7745725120064597</v>
      </c>
      <c r="P17" s="329">
        <f t="shared" ref="P17:U17" si="11">P14/P4</f>
        <v>1.2260171492810648</v>
      </c>
      <c r="Q17" s="329">
        <f t="shared" si="11"/>
        <v>1.9485769698575368</v>
      </c>
      <c r="R17" s="329">
        <f t="shared" si="11"/>
        <v>1.2831548891532296</v>
      </c>
      <c r="S17" s="83">
        <f t="shared" si="11"/>
        <v>2.593331694634724</v>
      </c>
      <c r="T17" s="329">
        <f t="shared" si="11"/>
        <v>1.2227158165763088</v>
      </c>
      <c r="U17" s="329">
        <f t="shared" si="11"/>
        <v>1.273666157960744</v>
      </c>
      <c r="X17" s="175"/>
      <c r="Y17" s="104"/>
      <c r="Z17" s="104"/>
      <c r="AA17" s="104"/>
      <c r="AB17" s="104"/>
      <c r="AC17" s="67"/>
      <c r="AD17" s="67"/>
    </row>
    <row r="18" spans="1:30" ht="15.75" thickBot="1">
      <c r="A18" s="413"/>
      <c r="B18" s="342" t="s">
        <v>204</v>
      </c>
      <c r="C18" s="315">
        <f>C16/(C4+C7+C10)</f>
        <v>0.72000315697774886</v>
      </c>
      <c r="D18" s="404">
        <f>D16/D4</f>
        <v>0.60101269169083915</v>
      </c>
      <c r="E18" s="329">
        <f t="shared" ref="E18:G18" si="12">E16/E4</f>
        <v>0.6079569307674012</v>
      </c>
      <c r="F18" s="329">
        <f t="shared" si="12"/>
        <v>1.5276443352611957</v>
      </c>
      <c r="G18" s="403">
        <f t="shared" si="12"/>
        <v>0.78844328311751111</v>
      </c>
      <c r="H18" s="329">
        <f>H16/(H4+H7+H10)</f>
        <v>1.1793362914536716</v>
      </c>
      <c r="I18" s="329">
        <f t="shared" ref="I18:K18" si="13">I16/I4</f>
        <v>1.2136297062735497</v>
      </c>
      <c r="J18" s="329">
        <f t="shared" si="13"/>
        <v>8.6688420915726913E-2</v>
      </c>
      <c r="K18" s="329">
        <f t="shared" si="13"/>
        <v>3.1572815595270413E-2</v>
      </c>
      <c r="L18" s="404">
        <f t="shared" ref="L18" si="14">L16/L4</f>
        <v>3.5258611882047354E-2</v>
      </c>
      <c r="M18" s="405">
        <f>M16/M4</f>
        <v>1.4637638568697644</v>
      </c>
      <c r="N18" s="329">
        <f>N16/(N4+N7+N10)</f>
        <v>0.85480630926257906</v>
      </c>
      <c r="O18" s="329">
        <f t="shared" ref="O18:U18" si="15">O16/O4</f>
        <v>1.6367982999360542</v>
      </c>
      <c r="P18" s="329">
        <f t="shared" si="15"/>
        <v>0.90969247339123505</v>
      </c>
      <c r="Q18" s="329">
        <f t="shared" si="15"/>
        <v>0.35284399258179894</v>
      </c>
      <c r="R18" s="329">
        <f t="shared" si="15"/>
        <v>2.8546017178391971E-2</v>
      </c>
      <c r="S18" s="329">
        <f t="shared" ref="S18" si="16">S16/S4</f>
        <v>8.1053559000962783E-2</v>
      </c>
      <c r="T18" s="329">
        <f t="shared" si="15"/>
        <v>0.59117783721056738</v>
      </c>
      <c r="U18" s="329">
        <f t="shared" si="15"/>
        <v>0.50742408244057968</v>
      </c>
      <c r="X18" s="175"/>
      <c r="Y18" s="104"/>
      <c r="Z18" s="104"/>
      <c r="AA18" s="104"/>
      <c r="AB18" s="104"/>
      <c r="AC18" s="67"/>
      <c r="AD18" s="67"/>
    </row>
    <row r="19" spans="1:30" ht="15.75" thickBot="1">
      <c r="A19" s="406">
        <v>41430</v>
      </c>
      <c r="B19" s="406"/>
      <c r="C19" s="282">
        <f>C23+C26+C29</f>
        <v>89088.7</v>
      </c>
      <c r="H19" s="282">
        <f>H23+H26+H29</f>
        <v>164612.4</v>
      </c>
      <c r="K19" s="282"/>
      <c r="L19" s="282">
        <f>M23+M26+M29</f>
        <v>160411.79999999999</v>
      </c>
      <c r="N19" s="15"/>
    </row>
    <row r="20" spans="1:30">
      <c r="A20" s="407" t="s">
        <v>1</v>
      </c>
      <c r="B20" s="408"/>
      <c r="C20" s="300" t="s">
        <v>12</v>
      </c>
      <c r="D20" s="80" t="s">
        <v>12</v>
      </c>
      <c r="E20" s="300" t="s">
        <v>13</v>
      </c>
      <c r="F20" s="290" t="s">
        <v>13</v>
      </c>
      <c r="G20" s="290" t="s">
        <v>13</v>
      </c>
      <c r="H20" s="290" t="s">
        <v>13</v>
      </c>
      <c r="I20" s="290" t="s">
        <v>13</v>
      </c>
      <c r="J20" s="80" t="s">
        <v>13</v>
      </c>
      <c r="K20" s="80" t="s">
        <v>13</v>
      </c>
      <c r="L20" s="300" t="s">
        <v>2</v>
      </c>
      <c r="M20" s="290" t="s">
        <v>2</v>
      </c>
      <c r="N20" s="295" t="s">
        <v>2</v>
      </c>
      <c r="O20" s="290" t="s">
        <v>2</v>
      </c>
      <c r="P20" s="80" t="s">
        <v>2</v>
      </c>
      <c r="Q20" s="80" t="s">
        <v>2</v>
      </c>
      <c r="R20" s="301" t="s">
        <v>199</v>
      </c>
      <c r="S20" s="302" t="s">
        <v>199</v>
      </c>
      <c r="Y20" s="104"/>
      <c r="Z20" s="104"/>
      <c r="AA20" s="67"/>
      <c r="AB20" s="67"/>
    </row>
    <row r="21" spans="1:30" ht="15.75" thickBot="1">
      <c r="A21" s="409" t="s">
        <v>0</v>
      </c>
      <c r="B21" s="410"/>
      <c r="C21" s="303" t="s">
        <v>102</v>
      </c>
      <c r="D21" s="304" t="s">
        <v>103</v>
      </c>
      <c r="E21" s="303" t="s">
        <v>104</v>
      </c>
      <c r="F21" s="305" t="s">
        <v>105</v>
      </c>
      <c r="G21" s="305" t="s">
        <v>100</v>
      </c>
      <c r="H21" s="305" t="s">
        <v>107</v>
      </c>
      <c r="I21" s="305" t="s">
        <v>106</v>
      </c>
      <c r="J21" s="306" t="s">
        <v>200</v>
      </c>
      <c r="K21" s="306" t="s">
        <v>205</v>
      </c>
      <c r="L21" s="303" t="s">
        <v>108</v>
      </c>
      <c r="M21" s="305" t="s">
        <v>110</v>
      </c>
      <c r="N21" s="307" t="s">
        <v>101</v>
      </c>
      <c r="O21" s="308" t="s">
        <v>109</v>
      </c>
      <c r="P21" s="304" t="s">
        <v>201</v>
      </c>
      <c r="Q21" s="304" t="s">
        <v>206</v>
      </c>
      <c r="R21" s="309" t="s">
        <v>111</v>
      </c>
      <c r="S21" s="304" t="s">
        <v>202</v>
      </c>
      <c r="T21" s="14"/>
      <c r="U21" s="14"/>
      <c r="V21" s="14"/>
      <c r="W21" s="14"/>
      <c r="X21" s="14"/>
      <c r="Y21" s="14"/>
      <c r="Z21" s="14"/>
      <c r="AA21" s="175"/>
      <c r="AB21" s="174"/>
      <c r="AC21" s="175"/>
    </row>
    <row r="22" spans="1:30" ht="15" customHeight="1">
      <c r="A22" s="411" t="s">
        <v>195</v>
      </c>
      <c r="B22" s="2" t="s">
        <v>4</v>
      </c>
      <c r="C22" s="310">
        <v>143392.20000000001</v>
      </c>
      <c r="D22" s="100">
        <v>150515.79999999999</v>
      </c>
      <c r="E22" s="310">
        <v>150515.79999999999</v>
      </c>
      <c r="F22" s="285">
        <v>181997.8</v>
      </c>
      <c r="G22" s="285">
        <v>165452.5</v>
      </c>
      <c r="H22" s="285">
        <v>132132</v>
      </c>
      <c r="I22" s="365">
        <v>170968.6</v>
      </c>
      <c r="J22" s="100">
        <v>166077.9</v>
      </c>
      <c r="K22" s="100">
        <v>95044.2</v>
      </c>
      <c r="L22" s="310">
        <v>193027</v>
      </c>
      <c r="M22" s="285">
        <v>132132.20000000001</v>
      </c>
      <c r="N22" s="285">
        <v>82726.3</v>
      </c>
      <c r="O22" s="285">
        <v>275755</v>
      </c>
      <c r="P22" s="100">
        <v>83039</v>
      </c>
      <c r="Q22" s="100">
        <v>188981.6</v>
      </c>
      <c r="R22" s="311">
        <v>55151</v>
      </c>
      <c r="S22" s="100">
        <v>33090.5</v>
      </c>
      <c r="Y22" s="104"/>
      <c r="Z22" s="104"/>
      <c r="AA22" s="104"/>
      <c r="AB22" s="104"/>
      <c r="AC22" s="104"/>
    </row>
    <row r="23" spans="1:30">
      <c r="A23" s="412"/>
      <c r="B23" s="63" t="s">
        <v>5</v>
      </c>
      <c r="C23" s="312">
        <v>41815.599999999999</v>
      </c>
      <c r="D23" s="102">
        <v>78195.600000000006</v>
      </c>
      <c r="E23" s="312">
        <v>79699.600000000006</v>
      </c>
      <c r="F23" s="286">
        <v>159448.1</v>
      </c>
      <c r="G23" s="286">
        <v>100240</v>
      </c>
      <c r="H23" s="286">
        <v>52145.5</v>
      </c>
      <c r="I23" s="286">
        <v>85757.7</v>
      </c>
      <c r="J23" s="102">
        <v>14302.9</v>
      </c>
      <c r="K23" s="102">
        <v>2.7</v>
      </c>
      <c r="L23" s="312">
        <v>159820</v>
      </c>
      <c r="M23" s="102">
        <v>60861.2</v>
      </c>
      <c r="N23" s="286">
        <v>51501.3</v>
      </c>
      <c r="O23" s="286">
        <v>156601.79999999999</v>
      </c>
      <c r="P23" s="102">
        <v>7253.4</v>
      </c>
      <c r="Q23" s="102">
        <v>5.4</v>
      </c>
      <c r="R23" s="313">
        <v>7383.1</v>
      </c>
      <c r="S23" s="102">
        <v>4454.3</v>
      </c>
      <c r="Y23" s="104"/>
      <c r="Z23" s="104"/>
      <c r="AA23" s="104"/>
      <c r="AB23" s="104"/>
      <c r="AC23" s="104"/>
    </row>
    <row r="24" spans="1:30" ht="15.75" thickBot="1">
      <c r="A24" s="413"/>
      <c r="B24" s="271" t="s">
        <v>3</v>
      </c>
      <c r="C24" s="315">
        <f t="shared" ref="C24:S24" si="17">C23/C22</f>
        <v>0.29161697777145473</v>
      </c>
      <c r="D24" s="363">
        <f t="shared" si="17"/>
        <v>0.51951755231012298</v>
      </c>
      <c r="E24" s="315">
        <f t="shared" si="17"/>
        <v>0.52950985876565793</v>
      </c>
      <c r="F24" s="369">
        <f t="shared" si="17"/>
        <v>0.87609905174677949</v>
      </c>
      <c r="G24" s="291">
        <f t="shared" si="17"/>
        <v>0.60585364379504691</v>
      </c>
      <c r="H24" s="291">
        <f t="shared" si="17"/>
        <v>0.39464701964701965</v>
      </c>
      <c r="I24" s="291">
        <f t="shared" si="17"/>
        <v>0.50159912404967921</v>
      </c>
      <c r="J24" s="83">
        <f t="shared" si="17"/>
        <v>8.6121633281731044E-2</v>
      </c>
      <c r="K24" s="83">
        <f t="shared" si="17"/>
        <v>2.8407835512319535E-5</v>
      </c>
      <c r="L24" s="370">
        <f t="shared" si="17"/>
        <v>0.82796707196402575</v>
      </c>
      <c r="M24" s="291">
        <f t="shared" si="17"/>
        <v>0.46060839068750836</v>
      </c>
      <c r="N24" s="296">
        <f t="shared" si="17"/>
        <v>0.62255050691255387</v>
      </c>
      <c r="O24" s="291">
        <f t="shared" si="17"/>
        <v>0.5679019419412159</v>
      </c>
      <c r="P24" s="83">
        <f t="shared" si="17"/>
        <v>8.734931779043581E-2</v>
      </c>
      <c r="Q24" s="83">
        <f t="shared" si="17"/>
        <v>2.8574210399319299E-5</v>
      </c>
      <c r="R24" s="316">
        <f t="shared" si="17"/>
        <v>0.13387064604449603</v>
      </c>
      <c r="S24" s="83">
        <f t="shared" si="17"/>
        <v>0.13460963116302263</v>
      </c>
      <c r="Y24" s="104"/>
      <c r="Z24" s="104"/>
      <c r="AA24" s="104"/>
      <c r="AB24" s="104"/>
      <c r="AC24" s="104"/>
    </row>
    <row r="25" spans="1:30" ht="15" customHeight="1">
      <c r="A25" s="411" t="s">
        <v>196</v>
      </c>
      <c r="B25" s="27" t="s">
        <v>4</v>
      </c>
      <c r="C25" s="310">
        <v>9191.7999999999993</v>
      </c>
      <c r="D25" s="343" t="s">
        <v>198</v>
      </c>
      <c r="E25" s="344" t="s">
        <v>198</v>
      </c>
      <c r="F25" s="345" t="s">
        <v>198</v>
      </c>
      <c r="G25" s="345" t="s">
        <v>198</v>
      </c>
      <c r="H25" s="285">
        <v>13787.7</v>
      </c>
      <c r="I25" s="345" t="s">
        <v>198</v>
      </c>
      <c r="J25" s="343" t="s">
        <v>198</v>
      </c>
      <c r="K25" s="343" t="s">
        <v>198</v>
      </c>
      <c r="L25" s="344" t="s">
        <v>198</v>
      </c>
      <c r="M25" s="285">
        <v>13787.7</v>
      </c>
      <c r="N25" s="345" t="s">
        <v>198</v>
      </c>
      <c r="O25" s="345" t="s">
        <v>198</v>
      </c>
      <c r="P25" s="343" t="s">
        <v>198</v>
      </c>
      <c r="Q25" s="343" t="s">
        <v>198</v>
      </c>
      <c r="R25" s="344" t="s">
        <v>198</v>
      </c>
      <c r="S25" s="343" t="s">
        <v>198</v>
      </c>
      <c r="Y25" s="104"/>
      <c r="Z25" s="104"/>
      <c r="AA25" s="104"/>
      <c r="AB25" s="104"/>
      <c r="AC25" s="104"/>
    </row>
    <row r="26" spans="1:30">
      <c r="A26" s="412"/>
      <c r="B26" s="66" t="s">
        <v>5</v>
      </c>
      <c r="C26" s="312">
        <v>8299.9</v>
      </c>
      <c r="D26" s="346" t="s">
        <v>198</v>
      </c>
      <c r="E26" s="347" t="s">
        <v>198</v>
      </c>
      <c r="F26" s="348" t="s">
        <v>198</v>
      </c>
      <c r="G26" s="348" t="s">
        <v>198</v>
      </c>
      <c r="H26" s="286">
        <v>13646.7</v>
      </c>
      <c r="I26" s="348" t="s">
        <v>198</v>
      </c>
      <c r="J26" s="346" t="s">
        <v>198</v>
      </c>
      <c r="K26" s="346" t="s">
        <v>198</v>
      </c>
      <c r="L26" s="347" t="s">
        <v>198</v>
      </c>
      <c r="M26" s="102">
        <v>13649.1</v>
      </c>
      <c r="N26" s="348" t="s">
        <v>198</v>
      </c>
      <c r="O26" s="348" t="s">
        <v>198</v>
      </c>
      <c r="P26" s="346" t="s">
        <v>198</v>
      </c>
      <c r="Q26" s="346" t="s">
        <v>198</v>
      </c>
      <c r="R26" s="356" t="s">
        <v>198</v>
      </c>
      <c r="S26" s="346" t="s">
        <v>198</v>
      </c>
      <c r="Y26" s="104"/>
      <c r="Z26" s="104"/>
      <c r="AA26" s="104"/>
      <c r="AB26" s="104"/>
      <c r="AC26" s="104"/>
    </row>
    <row r="27" spans="1:30" ht="15.75" thickBot="1">
      <c r="A27" s="413"/>
      <c r="B27" s="340" t="s">
        <v>3</v>
      </c>
      <c r="C27" s="314">
        <f>C26/C25</f>
        <v>0.90296786266019713</v>
      </c>
      <c r="D27" s="349" t="s">
        <v>198</v>
      </c>
      <c r="E27" s="350" t="s">
        <v>198</v>
      </c>
      <c r="F27" s="351" t="s">
        <v>198</v>
      </c>
      <c r="G27" s="351" t="s">
        <v>198</v>
      </c>
      <c r="H27" s="283">
        <f t="shared" ref="H27" si="18">H26/H25</f>
        <v>0.98977349376618295</v>
      </c>
      <c r="I27" s="351" t="s">
        <v>198</v>
      </c>
      <c r="J27" s="349" t="s">
        <v>198</v>
      </c>
      <c r="K27" s="349" t="s">
        <v>198</v>
      </c>
      <c r="L27" s="350" t="s">
        <v>198</v>
      </c>
      <c r="M27" s="335">
        <f t="shared" ref="M27" si="19">M26/M25</f>
        <v>0.98994756195739675</v>
      </c>
      <c r="N27" s="351" t="s">
        <v>198</v>
      </c>
      <c r="O27" s="351" t="s">
        <v>198</v>
      </c>
      <c r="P27" s="349" t="s">
        <v>198</v>
      </c>
      <c r="Q27" s="349" t="s">
        <v>198</v>
      </c>
      <c r="R27" s="357" t="s">
        <v>198</v>
      </c>
      <c r="S27" s="349" t="s">
        <v>198</v>
      </c>
      <c r="Y27" s="104"/>
      <c r="Z27" s="104"/>
      <c r="AA27" s="104"/>
      <c r="AB27" s="104"/>
      <c r="AC27" s="104"/>
    </row>
    <row r="28" spans="1:30" ht="15" customHeight="1">
      <c r="A28" s="411" t="s">
        <v>197</v>
      </c>
      <c r="B28" s="27" t="s">
        <v>4</v>
      </c>
      <c r="C28" s="310">
        <v>97433.600000000006</v>
      </c>
      <c r="D28" s="343" t="s">
        <v>198</v>
      </c>
      <c r="E28" s="352" t="s">
        <v>198</v>
      </c>
      <c r="F28" s="345" t="s">
        <v>198</v>
      </c>
      <c r="G28" s="345" t="s">
        <v>198</v>
      </c>
      <c r="H28" s="285">
        <v>243584.4</v>
      </c>
      <c r="I28" s="345" t="s">
        <v>198</v>
      </c>
      <c r="J28" s="343" t="s">
        <v>198</v>
      </c>
      <c r="K28" s="343" t="s">
        <v>198</v>
      </c>
      <c r="L28" s="352" t="s">
        <v>198</v>
      </c>
      <c r="M28" s="285">
        <v>292299.3</v>
      </c>
      <c r="N28" s="345" t="s">
        <v>198</v>
      </c>
      <c r="O28" s="345" t="s">
        <v>198</v>
      </c>
      <c r="P28" s="343" t="s">
        <v>198</v>
      </c>
      <c r="Q28" s="343" t="s">
        <v>198</v>
      </c>
      <c r="R28" s="344" t="s">
        <v>198</v>
      </c>
      <c r="S28" s="343" t="s">
        <v>198</v>
      </c>
      <c r="Y28" s="104"/>
      <c r="Z28" s="104"/>
      <c r="AA28" s="104"/>
      <c r="AB28" s="104"/>
      <c r="AC28" s="104"/>
    </row>
    <row r="29" spans="1:30">
      <c r="A29" s="412"/>
      <c r="B29" s="66" t="s">
        <v>5</v>
      </c>
      <c r="C29" s="312">
        <v>38973.199999999997</v>
      </c>
      <c r="D29" s="346" t="s">
        <v>198</v>
      </c>
      <c r="E29" s="347" t="s">
        <v>198</v>
      </c>
      <c r="F29" s="348" t="s">
        <v>198</v>
      </c>
      <c r="G29" s="348" t="s">
        <v>198</v>
      </c>
      <c r="H29" s="286">
        <v>98820.2</v>
      </c>
      <c r="I29" s="348" t="s">
        <v>198</v>
      </c>
      <c r="J29" s="346" t="s">
        <v>198</v>
      </c>
      <c r="K29" s="346" t="s">
        <v>198</v>
      </c>
      <c r="L29" s="347" t="s">
        <v>198</v>
      </c>
      <c r="M29" s="102">
        <v>85901.5</v>
      </c>
      <c r="N29" s="348" t="s">
        <v>198</v>
      </c>
      <c r="O29" s="348" t="s">
        <v>198</v>
      </c>
      <c r="P29" s="346" t="s">
        <v>198</v>
      </c>
      <c r="Q29" s="346" t="s">
        <v>198</v>
      </c>
      <c r="R29" s="356" t="s">
        <v>198</v>
      </c>
      <c r="S29" s="346" t="s">
        <v>198</v>
      </c>
      <c r="Y29" s="104"/>
      <c r="Z29" s="104"/>
      <c r="AA29" s="104"/>
      <c r="AB29" s="104"/>
      <c r="AC29" s="104"/>
    </row>
    <row r="30" spans="1:30" ht="15.75" thickBot="1">
      <c r="A30" s="413"/>
      <c r="B30" s="256" t="s">
        <v>3</v>
      </c>
      <c r="C30" s="315">
        <f>C29/C28</f>
        <v>0.39999753678402516</v>
      </c>
      <c r="D30" s="353" t="s">
        <v>198</v>
      </c>
      <c r="E30" s="354" t="s">
        <v>198</v>
      </c>
      <c r="F30" s="355" t="s">
        <v>198</v>
      </c>
      <c r="G30" s="355" t="s">
        <v>198</v>
      </c>
      <c r="H30" s="291">
        <f t="shared" ref="H30" si="20">H29/H28</f>
        <v>0.40569182591331793</v>
      </c>
      <c r="I30" s="355" t="s">
        <v>198</v>
      </c>
      <c r="J30" s="353" t="s">
        <v>198</v>
      </c>
      <c r="K30" s="353" t="s">
        <v>198</v>
      </c>
      <c r="L30" s="354" t="s">
        <v>198</v>
      </c>
      <c r="M30" s="329">
        <f t="shared" ref="M30" si="21">M29/M28</f>
        <v>0.29388199013819055</v>
      </c>
      <c r="N30" s="355" t="s">
        <v>198</v>
      </c>
      <c r="O30" s="355" t="s">
        <v>198</v>
      </c>
      <c r="P30" s="353" t="s">
        <v>198</v>
      </c>
      <c r="Q30" s="353" t="s">
        <v>198</v>
      </c>
      <c r="R30" s="358" t="s">
        <v>198</v>
      </c>
      <c r="S30" s="353" t="s">
        <v>198</v>
      </c>
      <c r="Y30" s="104"/>
      <c r="Z30" s="104"/>
      <c r="AA30" s="104"/>
      <c r="AB30" s="104"/>
      <c r="AC30" s="104"/>
    </row>
    <row r="31" spans="1:30" ht="15" customHeight="1">
      <c r="A31" s="411" t="s">
        <v>6</v>
      </c>
      <c r="B31" s="279" t="s">
        <v>7</v>
      </c>
      <c r="C31" s="300">
        <v>5870</v>
      </c>
      <c r="D31" s="80">
        <v>3333</v>
      </c>
      <c r="E31" s="300">
        <v>3330</v>
      </c>
      <c r="F31" s="290">
        <v>9457</v>
      </c>
      <c r="G31" s="371">
        <v>8428</v>
      </c>
      <c r="H31" s="290">
        <v>15703</v>
      </c>
      <c r="I31" s="290">
        <v>7403</v>
      </c>
      <c r="J31" s="80">
        <v>9599</v>
      </c>
      <c r="K31" s="80">
        <v>3593</v>
      </c>
      <c r="L31" s="300">
        <v>9289</v>
      </c>
      <c r="M31" s="290">
        <v>12295</v>
      </c>
      <c r="N31" s="371">
        <v>4354</v>
      </c>
      <c r="O31" s="290">
        <v>10027</v>
      </c>
      <c r="P31" s="80">
        <v>4799</v>
      </c>
      <c r="Q31" s="80">
        <v>7192</v>
      </c>
      <c r="R31" s="317">
        <v>2000</v>
      </c>
      <c r="S31" s="80">
        <v>1250</v>
      </c>
      <c r="Y31" s="104"/>
      <c r="Z31" s="104"/>
      <c r="AA31" s="104"/>
      <c r="AB31" s="104"/>
      <c r="AC31" s="104"/>
    </row>
    <row r="32" spans="1:30">
      <c r="A32" s="412"/>
      <c r="B32" s="28" t="s">
        <v>11</v>
      </c>
      <c r="C32" s="318">
        <f t="shared" ref="C32:S32" si="22">C31*33.717</f>
        <v>197918.78999999998</v>
      </c>
      <c r="D32" s="84">
        <f t="shared" si="22"/>
        <v>112378.761</v>
      </c>
      <c r="E32" s="318">
        <f t="shared" si="22"/>
        <v>112277.61</v>
      </c>
      <c r="F32" s="360">
        <f t="shared" si="22"/>
        <v>318861.66899999999</v>
      </c>
      <c r="G32" s="292">
        <f t="shared" si="22"/>
        <v>284166.87599999999</v>
      </c>
      <c r="H32" s="341">
        <f t="shared" si="22"/>
        <v>529458.05099999998</v>
      </c>
      <c r="I32" s="341">
        <f t="shared" si="22"/>
        <v>249606.951</v>
      </c>
      <c r="J32" s="341">
        <f t="shared" si="22"/>
        <v>323649.48300000001</v>
      </c>
      <c r="K32" s="84">
        <f t="shared" si="22"/>
        <v>121145.181</v>
      </c>
      <c r="L32" s="319">
        <f t="shared" si="22"/>
        <v>313197.21299999999</v>
      </c>
      <c r="M32" s="292">
        <f t="shared" si="22"/>
        <v>414550.51499999996</v>
      </c>
      <c r="N32" s="292">
        <f t="shared" si="22"/>
        <v>146803.818</v>
      </c>
      <c r="O32" s="341">
        <f t="shared" si="22"/>
        <v>338080.359</v>
      </c>
      <c r="P32" s="341">
        <f t="shared" si="22"/>
        <v>161807.883</v>
      </c>
      <c r="Q32" s="341">
        <v>242492.66399999999</v>
      </c>
      <c r="R32" s="318">
        <f t="shared" si="22"/>
        <v>67434</v>
      </c>
      <c r="S32" s="341">
        <f t="shared" si="22"/>
        <v>42146.25</v>
      </c>
      <c r="Y32" s="104"/>
      <c r="Z32" s="104"/>
      <c r="AA32" s="104"/>
      <c r="AB32" s="104"/>
      <c r="AC32" s="104"/>
    </row>
    <row r="33" spans="1:28">
      <c r="A33" s="412"/>
      <c r="B33" s="66" t="s">
        <v>8</v>
      </c>
      <c r="C33" s="326">
        <f>SUM(C31-531)</f>
        <v>5339</v>
      </c>
      <c r="D33" s="103">
        <f>SUM(D31-650)</f>
        <v>2683</v>
      </c>
      <c r="E33" s="326">
        <f>SUM(E31-616)</f>
        <v>2714</v>
      </c>
      <c r="F33" s="294">
        <f>SUM(F31-1211)</f>
        <v>8246</v>
      </c>
      <c r="G33" s="294">
        <f>SUM(G31-4559)</f>
        <v>3869</v>
      </c>
      <c r="H33" s="294">
        <f>SUM(H31-2079)</f>
        <v>13624</v>
      </c>
      <c r="I33" s="294">
        <f>SUM(I31-(3249-2000))</f>
        <v>6154</v>
      </c>
      <c r="J33" s="298">
        <f>SUM(J31-9172)</f>
        <v>427</v>
      </c>
      <c r="K33" s="103">
        <f>SUM(K31-3504)</f>
        <v>89</v>
      </c>
      <c r="L33" s="326">
        <f>SUM(L31-909)</f>
        <v>8380</v>
      </c>
      <c r="M33" s="294">
        <f>SUM(M31-1185)</f>
        <v>11110</v>
      </c>
      <c r="N33" s="298">
        <f>SUM(N31-338)</f>
        <v>4016</v>
      </c>
      <c r="O33" s="294">
        <f>SUM(O31-(5201-2614))</f>
        <v>7440</v>
      </c>
      <c r="P33" s="298">
        <f>SUM(P31-3930)</f>
        <v>869</v>
      </c>
      <c r="Q33" s="103">
        <f>SUM(Q31-7032)</f>
        <v>160</v>
      </c>
      <c r="R33" s="327">
        <f>SUM(R31-1033)</f>
        <v>967</v>
      </c>
      <c r="S33" s="103">
        <f>SUM(S31-752)</f>
        <v>498</v>
      </c>
      <c r="V33" s="14" t="s">
        <v>192</v>
      </c>
      <c r="Y33" s="104"/>
      <c r="Z33" s="104"/>
      <c r="AA33" s="67"/>
      <c r="AB33" s="67"/>
    </row>
    <row r="34" spans="1:28">
      <c r="A34" s="412"/>
      <c r="B34" s="29" t="s">
        <v>77</v>
      </c>
      <c r="C34" s="318">
        <f t="shared" ref="C34:S34" si="23">(C33*33.7167)</f>
        <v>180013.46130000002</v>
      </c>
      <c r="D34" s="318">
        <f t="shared" si="23"/>
        <v>90461.906100000007</v>
      </c>
      <c r="E34" s="318">
        <f t="shared" si="23"/>
        <v>91507.123800000001</v>
      </c>
      <c r="F34" s="318">
        <f t="shared" si="23"/>
        <v>278027.90820000001</v>
      </c>
      <c r="G34" s="318">
        <f t="shared" si="23"/>
        <v>130449.91230000001</v>
      </c>
      <c r="H34" s="318">
        <f t="shared" si="23"/>
        <v>459356.32080000004</v>
      </c>
      <c r="I34" s="318">
        <f t="shared" si="23"/>
        <v>207492.57180000001</v>
      </c>
      <c r="J34" s="318">
        <f t="shared" si="23"/>
        <v>14397.030900000002</v>
      </c>
      <c r="K34" s="322">
        <f>K33*33.717</f>
        <v>3000.8130000000001</v>
      </c>
      <c r="L34" s="318">
        <f t="shared" si="23"/>
        <v>282545.946</v>
      </c>
      <c r="M34" s="318">
        <f t="shared" si="23"/>
        <v>374592.53700000001</v>
      </c>
      <c r="N34" s="318">
        <f t="shared" si="23"/>
        <v>135406.2672</v>
      </c>
      <c r="O34" s="318">
        <f t="shared" si="23"/>
        <v>250852.24800000002</v>
      </c>
      <c r="P34" s="318">
        <f t="shared" si="23"/>
        <v>29299.812300000001</v>
      </c>
      <c r="Q34" s="318">
        <f t="shared" ref="Q34" si="24">(Q33*33.7167)</f>
        <v>5394.6720000000005</v>
      </c>
      <c r="R34" s="318">
        <f t="shared" si="23"/>
        <v>32604.048900000002</v>
      </c>
      <c r="S34" s="318">
        <f t="shared" si="23"/>
        <v>16790.9166</v>
      </c>
      <c r="V34" s="89">
        <f>344240-H33</f>
        <v>330616</v>
      </c>
      <c r="W34" s="104" t="s">
        <v>193</v>
      </c>
      <c r="Y34" s="104"/>
      <c r="Z34" s="104"/>
      <c r="AA34" s="67"/>
      <c r="AB34" s="67"/>
    </row>
    <row r="35" spans="1:28" ht="15.75" thickBot="1">
      <c r="A35" s="412"/>
      <c r="B35" s="342" t="s">
        <v>203</v>
      </c>
      <c r="C35" s="315">
        <f>C32/(C22+C25+C28)</f>
        <v>0.79161942999212842</v>
      </c>
      <c r="D35" s="329">
        <f>D32/D22</f>
        <v>0.74662434774289477</v>
      </c>
      <c r="E35" s="316">
        <f>E32/E22</f>
        <v>0.74595231862701461</v>
      </c>
      <c r="F35" s="316">
        <f t="shared" ref="F35:G35" si="25">F32/F22</f>
        <v>1.7520083704308513</v>
      </c>
      <c r="G35" s="316">
        <f t="shared" si="25"/>
        <v>1.7175133406869041</v>
      </c>
      <c r="H35" s="291">
        <f>H32/(H22+H25+H28)</f>
        <v>1.3593131651245776</v>
      </c>
      <c r="I35" s="329">
        <f>I32/I22</f>
        <v>1.459957857758676</v>
      </c>
      <c r="J35" s="330">
        <f>J32/J22</f>
        <v>1.9487811623340614</v>
      </c>
      <c r="K35" s="330">
        <f>K32/K22</f>
        <v>1.2746193981326583</v>
      </c>
      <c r="L35" s="315">
        <f>L32/L22</f>
        <v>1.6225564972775828</v>
      </c>
      <c r="M35" s="291">
        <f>M32/(M22+M25+M28)</f>
        <v>0.94598893658698646</v>
      </c>
      <c r="N35" s="291">
        <f t="shared" ref="N35:S35" si="26">N32/N22</f>
        <v>1.7745725120064597</v>
      </c>
      <c r="O35" s="329">
        <f t="shared" si="26"/>
        <v>1.2260171492810648</v>
      </c>
      <c r="P35" s="329">
        <f t="shared" si="26"/>
        <v>1.9485769698575368</v>
      </c>
      <c r="Q35" s="329">
        <f t="shared" si="26"/>
        <v>1.2831548891532296</v>
      </c>
      <c r="R35" s="315">
        <f t="shared" si="26"/>
        <v>1.2227158165763088</v>
      </c>
      <c r="S35" s="329">
        <f t="shared" si="26"/>
        <v>1.273666157960744</v>
      </c>
      <c r="V35" s="175"/>
      <c r="Y35" s="104"/>
      <c r="Z35" s="104"/>
      <c r="AA35" s="67"/>
      <c r="AB35" s="67"/>
    </row>
    <row r="36" spans="1:28" ht="15.75" thickBot="1">
      <c r="A36" s="413"/>
      <c r="B36" s="342" t="s">
        <v>204</v>
      </c>
      <c r="C36" s="315">
        <f>C34/(C22+C25+C28)</f>
        <v>0.72000315697774886</v>
      </c>
      <c r="D36" s="329">
        <f>D34/D22</f>
        <v>0.60101269169083915</v>
      </c>
      <c r="E36" s="329">
        <f t="shared" ref="E36:G36" si="27">E34/E22</f>
        <v>0.6079569307674012</v>
      </c>
      <c r="F36" s="329">
        <f t="shared" si="27"/>
        <v>1.5276443352611957</v>
      </c>
      <c r="G36" s="329">
        <f t="shared" si="27"/>
        <v>0.78844328311751111</v>
      </c>
      <c r="H36" s="315">
        <f>H34/(H22+H25+H28)</f>
        <v>1.1793362914536716</v>
      </c>
      <c r="I36" s="329">
        <f t="shared" ref="I36:J36" si="28">I34/I22</f>
        <v>1.2136297062735497</v>
      </c>
      <c r="J36" s="329">
        <f t="shared" si="28"/>
        <v>8.6688420915726913E-2</v>
      </c>
      <c r="K36" s="329">
        <f t="shared" ref="K36" si="29">K34/K22</f>
        <v>3.1572815595270413E-2</v>
      </c>
      <c r="L36" s="329">
        <f>L34/L22</f>
        <v>1.4637638568697644</v>
      </c>
      <c r="M36" s="315">
        <f>M34/(M22+M25+M28)</f>
        <v>0.85480630926257906</v>
      </c>
      <c r="N36" s="329">
        <f t="shared" ref="N36:S36" si="30">N34/N22</f>
        <v>1.6367982999360542</v>
      </c>
      <c r="O36" s="329">
        <f t="shared" si="30"/>
        <v>0.90969247339123505</v>
      </c>
      <c r="P36" s="329">
        <f t="shared" si="30"/>
        <v>0.35284399258179894</v>
      </c>
      <c r="Q36" s="329">
        <f t="shared" si="30"/>
        <v>2.8546017178391971E-2</v>
      </c>
      <c r="R36" s="329">
        <f t="shared" si="30"/>
        <v>0.59117783721056738</v>
      </c>
      <c r="S36" s="329">
        <f t="shared" si="30"/>
        <v>0.50742408244057968</v>
      </c>
      <c r="V36" s="175"/>
      <c r="Y36" s="104"/>
      <c r="Z36" s="104"/>
      <c r="AA36" s="67"/>
      <c r="AB36" s="67"/>
    </row>
    <row r="37" spans="1:28" ht="15.75" thickBot="1">
      <c r="A37" s="406">
        <v>41414</v>
      </c>
      <c r="B37" s="406"/>
      <c r="C37" s="282">
        <f>C41+C44+C47</f>
        <v>87823.299999999988</v>
      </c>
      <c r="H37" s="282">
        <f>H41+H44+H47</f>
        <v>160378.9</v>
      </c>
      <c r="K37" s="282"/>
      <c r="L37" s="282">
        <f>L41+L44+L47</f>
        <v>156639.9</v>
      </c>
      <c r="N37" s="15"/>
    </row>
    <row r="38" spans="1:28">
      <c r="A38" s="407" t="s">
        <v>1</v>
      </c>
      <c r="B38" s="408"/>
      <c r="C38" s="300" t="s">
        <v>12</v>
      </c>
      <c r="D38" s="80" t="s">
        <v>12</v>
      </c>
      <c r="E38" s="300" t="s">
        <v>13</v>
      </c>
      <c r="F38" s="290" t="s">
        <v>13</v>
      </c>
      <c r="G38" s="290" t="s">
        <v>13</v>
      </c>
      <c r="H38" s="290" t="s">
        <v>13</v>
      </c>
      <c r="I38" s="290" t="s">
        <v>13</v>
      </c>
      <c r="J38" s="80" t="s">
        <v>13</v>
      </c>
      <c r="K38" s="300" t="s">
        <v>2</v>
      </c>
      <c r="L38" s="290" t="s">
        <v>2</v>
      </c>
      <c r="M38" s="295" t="s">
        <v>2</v>
      </c>
      <c r="N38" s="290" t="s">
        <v>2</v>
      </c>
      <c r="O38" s="80" t="s">
        <v>2</v>
      </c>
      <c r="P38" s="301" t="s">
        <v>199</v>
      </c>
      <c r="Q38" s="302" t="s">
        <v>199</v>
      </c>
    </row>
    <row r="39" spans="1:28" ht="15.75" thickBot="1">
      <c r="A39" s="409" t="s">
        <v>0</v>
      </c>
      <c r="B39" s="410"/>
      <c r="C39" s="303" t="s">
        <v>102</v>
      </c>
      <c r="D39" s="304" t="s">
        <v>103</v>
      </c>
      <c r="E39" s="303" t="s">
        <v>104</v>
      </c>
      <c r="F39" s="305" t="s">
        <v>105</v>
      </c>
      <c r="G39" s="305" t="s">
        <v>100</v>
      </c>
      <c r="H39" s="305" t="s">
        <v>107</v>
      </c>
      <c r="I39" s="305" t="s">
        <v>106</v>
      </c>
      <c r="J39" s="306" t="s">
        <v>200</v>
      </c>
      <c r="K39" s="303" t="s">
        <v>108</v>
      </c>
      <c r="L39" s="305" t="s">
        <v>110</v>
      </c>
      <c r="M39" s="307" t="s">
        <v>101</v>
      </c>
      <c r="N39" s="308" t="s">
        <v>109</v>
      </c>
      <c r="O39" s="304" t="s">
        <v>201</v>
      </c>
      <c r="P39" s="309" t="s">
        <v>111</v>
      </c>
      <c r="Q39" s="304" t="s">
        <v>202</v>
      </c>
      <c r="R39" s="14"/>
      <c r="S39" s="14"/>
      <c r="T39" s="14"/>
      <c r="U39" s="14"/>
      <c r="V39" s="14"/>
      <c r="W39" s="14"/>
      <c r="X39" s="14"/>
      <c r="Y39" s="175"/>
      <c r="Z39" s="174"/>
      <c r="AA39" s="175"/>
    </row>
    <row r="40" spans="1:28" ht="15" customHeight="1">
      <c r="A40" s="411" t="s">
        <v>195</v>
      </c>
      <c r="B40" s="2" t="s">
        <v>4</v>
      </c>
      <c r="C40" s="310">
        <v>143392.20000000001</v>
      </c>
      <c r="D40" s="100">
        <v>150515.79999999999</v>
      </c>
      <c r="E40" s="310">
        <v>150515.79999999999</v>
      </c>
      <c r="F40" s="285">
        <v>181997.8</v>
      </c>
      <c r="G40" s="285">
        <v>165452.5</v>
      </c>
      <c r="H40" s="285">
        <v>132132</v>
      </c>
      <c r="I40" s="365">
        <v>170968.6</v>
      </c>
      <c r="J40" s="100">
        <v>166077.9</v>
      </c>
      <c r="K40" s="310">
        <v>193027</v>
      </c>
      <c r="L40" s="285">
        <v>132132.20000000001</v>
      </c>
      <c r="M40" s="285">
        <v>82726.3</v>
      </c>
      <c r="N40" s="285">
        <v>275755</v>
      </c>
      <c r="O40" s="100">
        <v>83039</v>
      </c>
      <c r="P40" s="311">
        <v>55151</v>
      </c>
      <c r="Q40" s="100">
        <v>33090.5</v>
      </c>
      <c r="Y40" s="104"/>
      <c r="Z40" s="104"/>
      <c r="AA40" s="104"/>
    </row>
    <row r="41" spans="1:28">
      <c r="A41" s="412"/>
      <c r="B41" s="63" t="s">
        <v>5</v>
      </c>
      <c r="C41" s="312">
        <v>40480.199999999997</v>
      </c>
      <c r="D41" s="102">
        <v>78195.600000000006</v>
      </c>
      <c r="E41" s="312">
        <v>79699.600000000006</v>
      </c>
      <c r="F41" s="286">
        <v>159448.1</v>
      </c>
      <c r="G41" s="286">
        <v>100240</v>
      </c>
      <c r="H41" s="286">
        <v>55881.2</v>
      </c>
      <c r="I41" s="286">
        <v>85757.7</v>
      </c>
      <c r="J41" s="102">
        <v>14302.9</v>
      </c>
      <c r="K41" s="312">
        <v>159820</v>
      </c>
      <c r="L41" s="286">
        <v>63928.2</v>
      </c>
      <c r="M41" s="286">
        <v>51501.3</v>
      </c>
      <c r="N41" s="286">
        <v>156601.79999999999</v>
      </c>
      <c r="O41" s="102">
        <v>7253.4</v>
      </c>
      <c r="P41" s="313">
        <v>7383.1</v>
      </c>
      <c r="Q41" s="102">
        <v>4454.3</v>
      </c>
      <c r="Y41" s="104"/>
      <c r="Z41" s="104"/>
      <c r="AA41" s="104"/>
    </row>
    <row r="42" spans="1:28" ht="15.75" thickBot="1">
      <c r="A42" s="413"/>
      <c r="B42" s="271" t="s">
        <v>3</v>
      </c>
      <c r="C42" s="315">
        <f t="shared" ref="C42:Q42" si="31">C41/C40</f>
        <v>0.28230405837974448</v>
      </c>
      <c r="D42" s="363">
        <f t="shared" si="31"/>
        <v>0.51951755231012298</v>
      </c>
      <c r="E42" s="315">
        <f t="shared" si="31"/>
        <v>0.52950985876565793</v>
      </c>
      <c r="F42" s="369">
        <f t="shared" si="31"/>
        <v>0.87609905174677949</v>
      </c>
      <c r="G42" s="291">
        <f t="shared" si="31"/>
        <v>0.60585364379504691</v>
      </c>
      <c r="H42" s="291">
        <f t="shared" si="31"/>
        <v>0.42291950473768652</v>
      </c>
      <c r="I42" s="291">
        <f t="shared" si="31"/>
        <v>0.50159912404967921</v>
      </c>
      <c r="J42" s="83">
        <f t="shared" si="31"/>
        <v>8.6121633281731044E-2</v>
      </c>
      <c r="K42" s="370">
        <f t="shared" si="31"/>
        <v>0.82796707196402575</v>
      </c>
      <c r="L42" s="291">
        <f t="shared" si="31"/>
        <v>0.48381999240154927</v>
      </c>
      <c r="M42" s="296">
        <f t="shared" si="31"/>
        <v>0.62255050691255387</v>
      </c>
      <c r="N42" s="291">
        <f t="shared" si="31"/>
        <v>0.5679019419412159</v>
      </c>
      <c r="O42" s="83">
        <f t="shared" si="31"/>
        <v>8.734931779043581E-2</v>
      </c>
      <c r="P42" s="316">
        <f t="shared" si="31"/>
        <v>0.13387064604449603</v>
      </c>
      <c r="Q42" s="83">
        <f t="shared" si="31"/>
        <v>0.13460963116302263</v>
      </c>
      <c r="Y42" s="104"/>
      <c r="Z42" s="104"/>
      <c r="AA42" s="104"/>
    </row>
    <row r="43" spans="1:28" ht="15" customHeight="1">
      <c r="A43" s="411" t="s">
        <v>196</v>
      </c>
      <c r="B43" s="27" t="s">
        <v>4</v>
      </c>
      <c r="C43" s="310">
        <v>9191.7999999999993</v>
      </c>
      <c r="D43" s="343" t="s">
        <v>198</v>
      </c>
      <c r="E43" s="344" t="s">
        <v>198</v>
      </c>
      <c r="F43" s="345" t="s">
        <v>198</v>
      </c>
      <c r="G43" s="345" t="s">
        <v>198</v>
      </c>
      <c r="H43" s="285">
        <v>13787.7</v>
      </c>
      <c r="I43" s="345" t="s">
        <v>198</v>
      </c>
      <c r="J43" s="343" t="s">
        <v>198</v>
      </c>
      <c r="K43" s="344" t="s">
        <v>198</v>
      </c>
      <c r="L43" s="285">
        <v>13787.7</v>
      </c>
      <c r="M43" s="345" t="s">
        <v>198</v>
      </c>
      <c r="N43" s="345" t="s">
        <v>198</v>
      </c>
      <c r="O43" s="343" t="s">
        <v>198</v>
      </c>
      <c r="P43" s="344" t="s">
        <v>198</v>
      </c>
      <c r="Q43" s="343" t="s">
        <v>198</v>
      </c>
      <c r="Y43" s="104"/>
      <c r="Z43" s="104"/>
      <c r="AA43" s="104"/>
    </row>
    <row r="44" spans="1:28">
      <c r="A44" s="412"/>
      <c r="B44" s="66" t="s">
        <v>5</v>
      </c>
      <c r="C44" s="312">
        <v>8535.7000000000007</v>
      </c>
      <c r="D44" s="346" t="s">
        <v>198</v>
      </c>
      <c r="E44" s="347" t="s">
        <v>198</v>
      </c>
      <c r="F44" s="348" t="s">
        <v>198</v>
      </c>
      <c r="G44" s="348" t="s">
        <v>198</v>
      </c>
      <c r="H44" s="286">
        <v>13648.4</v>
      </c>
      <c r="I44" s="348" t="s">
        <v>198</v>
      </c>
      <c r="J44" s="346" t="s">
        <v>198</v>
      </c>
      <c r="K44" s="347" t="s">
        <v>198</v>
      </c>
      <c r="L44" s="286">
        <v>13648</v>
      </c>
      <c r="M44" s="348" t="s">
        <v>198</v>
      </c>
      <c r="N44" s="348" t="s">
        <v>198</v>
      </c>
      <c r="O44" s="346" t="s">
        <v>198</v>
      </c>
      <c r="P44" s="356" t="s">
        <v>198</v>
      </c>
      <c r="Q44" s="346" t="s">
        <v>198</v>
      </c>
      <c r="Y44" s="104"/>
      <c r="Z44" s="104"/>
      <c r="AA44" s="104"/>
    </row>
    <row r="45" spans="1:28" ht="15.75" thickBot="1">
      <c r="A45" s="413"/>
      <c r="B45" s="340" t="s">
        <v>3</v>
      </c>
      <c r="C45" s="314">
        <f>C44/C43</f>
        <v>0.92862116234034697</v>
      </c>
      <c r="D45" s="349" t="s">
        <v>198</v>
      </c>
      <c r="E45" s="350" t="s">
        <v>198</v>
      </c>
      <c r="F45" s="351" t="s">
        <v>198</v>
      </c>
      <c r="G45" s="351" t="s">
        <v>198</v>
      </c>
      <c r="H45" s="283">
        <f t="shared" ref="H45" si="32">H44/H43</f>
        <v>0.98989679206829273</v>
      </c>
      <c r="I45" s="351" t="s">
        <v>198</v>
      </c>
      <c r="J45" s="349" t="s">
        <v>198</v>
      </c>
      <c r="K45" s="350" t="s">
        <v>198</v>
      </c>
      <c r="L45" s="335">
        <f t="shared" ref="L45" si="33">L44/L43</f>
        <v>0.98986778070309034</v>
      </c>
      <c r="M45" s="351" t="s">
        <v>198</v>
      </c>
      <c r="N45" s="351" t="s">
        <v>198</v>
      </c>
      <c r="O45" s="349" t="s">
        <v>198</v>
      </c>
      <c r="P45" s="357" t="s">
        <v>198</v>
      </c>
      <c r="Q45" s="349" t="s">
        <v>198</v>
      </c>
      <c r="Y45" s="104"/>
      <c r="Z45" s="104"/>
      <c r="AA45" s="104"/>
    </row>
    <row r="46" spans="1:28" ht="15" customHeight="1">
      <c r="A46" s="411" t="s">
        <v>197</v>
      </c>
      <c r="B46" s="27" t="s">
        <v>4</v>
      </c>
      <c r="C46" s="310">
        <v>97433.600000000006</v>
      </c>
      <c r="D46" s="343" t="s">
        <v>198</v>
      </c>
      <c r="E46" s="352" t="s">
        <v>198</v>
      </c>
      <c r="F46" s="345" t="s">
        <v>198</v>
      </c>
      <c r="G46" s="345" t="s">
        <v>198</v>
      </c>
      <c r="H46" s="285">
        <v>243584.4</v>
      </c>
      <c r="I46" s="345" t="s">
        <v>198</v>
      </c>
      <c r="J46" s="343" t="s">
        <v>198</v>
      </c>
      <c r="K46" s="352" t="s">
        <v>198</v>
      </c>
      <c r="L46" s="285">
        <v>292299.3</v>
      </c>
      <c r="M46" s="345" t="s">
        <v>198</v>
      </c>
      <c r="N46" s="345" t="s">
        <v>198</v>
      </c>
      <c r="O46" s="343" t="s">
        <v>198</v>
      </c>
      <c r="P46" s="344" t="s">
        <v>198</v>
      </c>
      <c r="Q46" s="343" t="s">
        <v>198</v>
      </c>
      <c r="Y46" s="104"/>
      <c r="Z46" s="104"/>
      <c r="AA46" s="104"/>
    </row>
    <row r="47" spans="1:28">
      <c r="A47" s="412"/>
      <c r="B47" s="66" t="s">
        <v>5</v>
      </c>
      <c r="C47" s="312">
        <v>38807.4</v>
      </c>
      <c r="D47" s="346" t="s">
        <v>198</v>
      </c>
      <c r="E47" s="347" t="s">
        <v>198</v>
      </c>
      <c r="F47" s="348" t="s">
        <v>198</v>
      </c>
      <c r="G47" s="348" t="s">
        <v>198</v>
      </c>
      <c r="H47" s="286">
        <v>90849.3</v>
      </c>
      <c r="I47" s="348" t="s">
        <v>198</v>
      </c>
      <c r="J47" s="346" t="s">
        <v>198</v>
      </c>
      <c r="K47" s="347" t="s">
        <v>198</v>
      </c>
      <c r="L47" s="286">
        <v>79063.7</v>
      </c>
      <c r="M47" s="348" t="s">
        <v>198</v>
      </c>
      <c r="N47" s="348" t="s">
        <v>198</v>
      </c>
      <c r="O47" s="346" t="s">
        <v>198</v>
      </c>
      <c r="P47" s="356" t="s">
        <v>198</v>
      </c>
      <c r="Q47" s="346" t="s">
        <v>198</v>
      </c>
      <c r="Y47" s="104"/>
      <c r="Z47" s="104"/>
      <c r="AA47" s="104"/>
    </row>
    <row r="48" spans="1:28" ht="15.75" thickBot="1">
      <c r="A48" s="413"/>
      <c r="B48" s="256" t="s">
        <v>3</v>
      </c>
      <c r="C48" s="315">
        <f>C47/C46</f>
        <v>0.39829586508145032</v>
      </c>
      <c r="D48" s="353" t="s">
        <v>198</v>
      </c>
      <c r="E48" s="354" t="s">
        <v>198</v>
      </c>
      <c r="F48" s="355" t="s">
        <v>198</v>
      </c>
      <c r="G48" s="355" t="s">
        <v>198</v>
      </c>
      <c r="H48" s="291">
        <f t="shared" ref="H48" si="34">H47/H46</f>
        <v>0.37296846596087435</v>
      </c>
      <c r="I48" s="355" t="s">
        <v>198</v>
      </c>
      <c r="J48" s="353" t="s">
        <v>198</v>
      </c>
      <c r="K48" s="354" t="s">
        <v>198</v>
      </c>
      <c r="L48" s="329">
        <f t="shared" ref="L48" si="35">L47/L46</f>
        <v>0.27048884482446589</v>
      </c>
      <c r="M48" s="355" t="s">
        <v>198</v>
      </c>
      <c r="N48" s="355" t="s">
        <v>198</v>
      </c>
      <c r="O48" s="353" t="s">
        <v>198</v>
      </c>
      <c r="P48" s="358" t="s">
        <v>198</v>
      </c>
      <c r="Q48" s="353" t="s">
        <v>198</v>
      </c>
      <c r="Y48" s="104"/>
      <c r="Z48" s="104"/>
      <c r="AA48" s="104"/>
    </row>
    <row r="49" spans="1:27" ht="15" customHeight="1">
      <c r="A49" s="411" t="s">
        <v>6</v>
      </c>
      <c r="B49" s="279" t="s">
        <v>7</v>
      </c>
      <c r="C49" s="300">
        <v>5870</v>
      </c>
      <c r="D49" s="80">
        <v>3333</v>
      </c>
      <c r="E49" s="300">
        <v>3330</v>
      </c>
      <c r="F49" s="290">
        <v>9457</v>
      </c>
      <c r="G49" s="371">
        <v>8428</v>
      </c>
      <c r="H49" s="290">
        <v>15703</v>
      </c>
      <c r="I49" s="290">
        <v>7403</v>
      </c>
      <c r="J49" s="80">
        <v>9599</v>
      </c>
      <c r="K49" s="300">
        <v>9289</v>
      </c>
      <c r="L49" s="290">
        <v>12295</v>
      </c>
      <c r="M49" s="371">
        <v>4354</v>
      </c>
      <c r="N49" s="290">
        <v>10027</v>
      </c>
      <c r="O49" s="80">
        <v>4799</v>
      </c>
      <c r="P49" s="317">
        <v>2000</v>
      </c>
      <c r="Q49" s="80">
        <v>1250</v>
      </c>
      <c r="Y49" s="104"/>
      <c r="Z49" s="104"/>
      <c r="AA49" s="104"/>
    </row>
    <row r="50" spans="1:27">
      <c r="A50" s="412"/>
      <c r="B50" s="28" t="s">
        <v>11</v>
      </c>
      <c r="C50" s="318">
        <f t="shared" ref="C50:Q50" si="36">C49*33.717</f>
        <v>197918.78999999998</v>
      </c>
      <c r="D50" s="84">
        <f t="shared" si="36"/>
        <v>112378.761</v>
      </c>
      <c r="E50" s="318">
        <f t="shared" si="36"/>
        <v>112277.61</v>
      </c>
      <c r="F50" s="360">
        <f t="shared" si="36"/>
        <v>318861.66899999999</v>
      </c>
      <c r="G50" s="292">
        <f t="shared" si="36"/>
        <v>284166.87599999999</v>
      </c>
      <c r="H50" s="341">
        <f t="shared" si="36"/>
        <v>529458.05099999998</v>
      </c>
      <c r="I50" s="341">
        <f t="shared" si="36"/>
        <v>249606.951</v>
      </c>
      <c r="J50" s="341">
        <f t="shared" si="36"/>
        <v>323649.48300000001</v>
      </c>
      <c r="K50" s="319">
        <f t="shared" si="36"/>
        <v>313197.21299999999</v>
      </c>
      <c r="L50" s="292">
        <f t="shared" si="36"/>
        <v>414550.51499999996</v>
      </c>
      <c r="M50" s="292">
        <f t="shared" si="36"/>
        <v>146803.818</v>
      </c>
      <c r="N50" s="341">
        <f t="shared" si="36"/>
        <v>338080.359</v>
      </c>
      <c r="O50" s="341">
        <f t="shared" si="36"/>
        <v>161807.883</v>
      </c>
      <c r="P50" s="318">
        <f t="shared" si="36"/>
        <v>67434</v>
      </c>
      <c r="Q50" s="341">
        <f t="shared" si="36"/>
        <v>42146.25</v>
      </c>
      <c r="Y50" s="104"/>
      <c r="Z50" s="104"/>
      <c r="AA50" s="104"/>
    </row>
    <row r="51" spans="1:27">
      <c r="A51" s="412"/>
      <c r="B51" s="66" t="s">
        <v>8</v>
      </c>
      <c r="C51" s="326">
        <v>5337</v>
      </c>
      <c r="D51" s="103">
        <v>2653</v>
      </c>
      <c r="E51" s="326">
        <v>2684</v>
      </c>
      <c r="F51" s="294">
        <v>8246</v>
      </c>
      <c r="G51" s="294">
        <v>3825</v>
      </c>
      <c r="H51" s="294">
        <v>13622</v>
      </c>
      <c r="I51" s="294">
        <v>6131</v>
      </c>
      <c r="J51" s="103">
        <v>380</v>
      </c>
      <c r="K51" s="326">
        <v>8380</v>
      </c>
      <c r="L51" s="294">
        <v>11047</v>
      </c>
      <c r="M51" s="298">
        <v>3972</v>
      </c>
      <c r="N51" s="294">
        <v>7417</v>
      </c>
      <c r="O51" s="103">
        <v>855</v>
      </c>
      <c r="P51" s="327">
        <v>967</v>
      </c>
      <c r="Q51" s="103">
        <v>498</v>
      </c>
      <c r="T51" s="14" t="s">
        <v>192</v>
      </c>
    </row>
    <row r="52" spans="1:27">
      <c r="A52" s="412"/>
      <c r="B52" s="29" t="s">
        <v>77</v>
      </c>
      <c r="C52" s="318">
        <f t="shared" ref="C52:Q52" si="37">(C51*33.7167)</f>
        <v>179946.02790000002</v>
      </c>
      <c r="D52" s="318">
        <f t="shared" si="37"/>
        <v>89450.405100000004</v>
      </c>
      <c r="E52" s="318">
        <f t="shared" si="37"/>
        <v>90495.622800000012</v>
      </c>
      <c r="F52" s="318">
        <f t="shared" si="37"/>
        <v>278027.90820000001</v>
      </c>
      <c r="G52" s="318">
        <f t="shared" si="37"/>
        <v>128966.37750000002</v>
      </c>
      <c r="H52" s="318">
        <f t="shared" si="37"/>
        <v>459288.88740000007</v>
      </c>
      <c r="I52" s="318">
        <f t="shared" si="37"/>
        <v>206717.08770000003</v>
      </c>
      <c r="J52" s="318">
        <f t="shared" si="37"/>
        <v>12812.346000000001</v>
      </c>
      <c r="K52" s="318">
        <f t="shared" si="37"/>
        <v>282545.946</v>
      </c>
      <c r="L52" s="318">
        <f t="shared" si="37"/>
        <v>372468.3849</v>
      </c>
      <c r="M52" s="318">
        <f t="shared" si="37"/>
        <v>133922.73240000001</v>
      </c>
      <c r="N52" s="318">
        <f t="shared" si="37"/>
        <v>250076.76390000002</v>
      </c>
      <c r="O52" s="318">
        <f t="shared" si="37"/>
        <v>28827.778500000004</v>
      </c>
      <c r="P52" s="318">
        <f t="shared" si="37"/>
        <v>32604.048900000002</v>
      </c>
      <c r="Q52" s="318">
        <f t="shared" si="37"/>
        <v>16790.9166</v>
      </c>
      <c r="T52" s="89">
        <f>344240-H51</f>
        <v>330618</v>
      </c>
      <c r="U52" s="104" t="s">
        <v>193</v>
      </c>
    </row>
    <row r="53" spans="1:27" ht="15.75" thickBot="1">
      <c r="A53" s="412"/>
      <c r="B53" s="342" t="s">
        <v>203</v>
      </c>
      <c r="C53" s="315">
        <f>C50/(C40+C43+C46)</f>
        <v>0.79161942999212842</v>
      </c>
      <c r="D53" s="329">
        <f>D50/D40</f>
        <v>0.74662434774289477</v>
      </c>
      <c r="E53" s="316">
        <f>E50/E40</f>
        <v>0.74595231862701461</v>
      </c>
      <c r="F53" s="316">
        <f t="shared" ref="F53:G53" si="38">F50/F40</f>
        <v>1.7520083704308513</v>
      </c>
      <c r="G53" s="316">
        <f t="shared" si="38"/>
        <v>1.7175133406869041</v>
      </c>
      <c r="H53" s="291">
        <f>H50/(H40+H43+H46)</f>
        <v>1.3593131651245776</v>
      </c>
      <c r="I53" s="329">
        <f>I50/I40</f>
        <v>1.459957857758676</v>
      </c>
      <c r="J53" s="330">
        <f>J50/J40</f>
        <v>1.9487811623340614</v>
      </c>
      <c r="K53" s="315">
        <f>K50/K40</f>
        <v>1.6225564972775828</v>
      </c>
      <c r="L53" s="291">
        <f>L50/(L40+L43+L46)</f>
        <v>0.94598893658698646</v>
      </c>
      <c r="M53" s="291">
        <f>M50/M40</f>
        <v>1.7745725120064597</v>
      </c>
      <c r="N53" s="329">
        <f>N50/N40</f>
        <v>1.2260171492810648</v>
      </c>
      <c r="O53" s="329">
        <f>O50/O40</f>
        <v>1.9485769698575368</v>
      </c>
      <c r="P53" s="315">
        <f>P50/P40</f>
        <v>1.2227158165763088</v>
      </c>
      <c r="Q53" s="329">
        <f>Q50/Q40</f>
        <v>1.273666157960744</v>
      </c>
      <c r="T53" s="175"/>
    </row>
    <row r="54" spans="1:27" ht="15.75" thickBot="1">
      <c r="A54" s="413"/>
      <c r="B54" s="342" t="s">
        <v>204</v>
      </c>
      <c r="C54" s="315">
        <f>C52/(C40+C43+C46)</f>
        <v>0.71973344236565751</v>
      </c>
      <c r="D54" s="329">
        <f>D52/D40</f>
        <v>0.59429246032642424</v>
      </c>
      <c r="E54" s="329">
        <f t="shared" ref="E54:G54" si="39">E52/E40</f>
        <v>0.60123669940298641</v>
      </c>
      <c r="F54" s="329">
        <f t="shared" si="39"/>
        <v>1.5276443352611957</v>
      </c>
      <c r="G54" s="329">
        <f t="shared" si="39"/>
        <v>0.77947675314667364</v>
      </c>
      <c r="H54" s="315">
        <f>H52/(H40+H43+H46)</f>
        <v>1.1791631651630883</v>
      </c>
      <c r="I54" s="329">
        <f t="shared" ref="I54:K54" si="40">I52/I40</f>
        <v>1.2090938786420431</v>
      </c>
      <c r="J54" s="329">
        <f t="shared" si="40"/>
        <v>7.7146604093621132E-2</v>
      </c>
      <c r="K54" s="329">
        <f t="shared" si="40"/>
        <v>1.4637638568697644</v>
      </c>
      <c r="L54" s="315">
        <f>L52/(L40+L43+L46)</f>
        <v>0.84995907276541049</v>
      </c>
      <c r="M54" s="329">
        <f t="shared" ref="M54:Q54" si="41">M52/M40</f>
        <v>1.6188652508331691</v>
      </c>
      <c r="N54" s="329">
        <f t="shared" si="41"/>
        <v>0.9068802520353213</v>
      </c>
      <c r="O54" s="329">
        <f t="shared" si="41"/>
        <v>0.34715950938715551</v>
      </c>
      <c r="P54" s="329">
        <f t="shared" si="41"/>
        <v>0.59117783721056738</v>
      </c>
      <c r="Q54" s="329">
        <f t="shared" si="41"/>
        <v>0.50742408244057968</v>
      </c>
      <c r="T54" s="175"/>
    </row>
    <row r="55" spans="1:27" ht="15.75" thickBot="1">
      <c r="A55" s="406">
        <v>41408</v>
      </c>
      <c r="B55" s="406"/>
      <c r="C55" s="282">
        <f>C59+C62+C65</f>
        <v>87271.799999999988</v>
      </c>
      <c r="H55" s="282">
        <f>H59+H62+H65</f>
        <v>160251.1</v>
      </c>
      <c r="K55" s="282"/>
      <c r="L55" s="282">
        <f>L59+L62+L65</f>
        <v>156719.9</v>
      </c>
      <c r="N55" s="15"/>
    </row>
    <row r="56" spans="1:27">
      <c r="A56" s="407" t="s">
        <v>1</v>
      </c>
      <c r="B56" s="408"/>
      <c r="C56" s="300" t="s">
        <v>12</v>
      </c>
      <c r="D56" s="80" t="s">
        <v>12</v>
      </c>
      <c r="E56" s="300" t="s">
        <v>13</v>
      </c>
      <c r="F56" s="290" t="s">
        <v>13</v>
      </c>
      <c r="G56" s="290" t="s">
        <v>13</v>
      </c>
      <c r="H56" s="290" t="s">
        <v>13</v>
      </c>
      <c r="I56" s="290" t="s">
        <v>13</v>
      </c>
      <c r="J56" s="80" t="s">
        <v>13</v>
      </c>
      <c r="K56" s="300" t="s">
        <v>2</v>
      </c>
      <c r="L56" s="290" t="s">
        <v>2</v>
      </c>
      <c r="M56" s="295" t="s">
        <v>2</v>
      </c>
      <c r="N56" s="290" t="s">
        <v>2</v>
      </c>
      <c r="O56" s="80" t="s">
        <v>2</v>
      </c>
      <c r="P56" s="301" t="s">
        <v>199</v>
      </c>
      <c r="Q56" s="302" t="s">
        <v>199</v>
      </c>
    </row>
    <row r="57" spans="1:27" ht="15.75" thickBot="1">
      <c r="A57" s="409" t="s">
        <v>0</v>
      </c>
      <c r="B57" s="410"/>
      <c r="C57" s="303" t="s">
        <v>102</v>
      </c>
      <c r="D57" s="304" t="s">
        <v>103</v>
      </c>
      <c r="E57" s="303" t="s">
        <v>104</v>
      </c>
      <c r="F57" s="305" t="s">
        <v>105</v>
      </c>
      <c r="G57" s="305" t="s">
        <v>100</v>
      </c>
      <c r="H57" s="305" t="s">
        <v>107</v>
      </c>
      <c r="I57" s="305" t="s">
        <v>106</v>
      </c>
      <c r="J57" s="306" t="s">
        <v>200</v>
      </c>
      <c r="K57" s="303" t="s">
        <v>108</v>
      </c>
      <c r="L57" s="305" t="s">
        <v>110</v>
      </c>
      <c r="M57" s="307" t="s">
        <v>101</v>
      </c>
      <c r="N57" s="308" t="s">
        <v>109</v>
      </c>
      <c r="O57" s="304" t="s">
        <v>201</v>
      </c>
      <c r="P57" s="309" t="s">
        <v>111</v>
      </c>
      <c r="Q57" s="304" t="s">
        <v>202</v>
      </c>
      <c r="R57" s="14"/>
      <c r="S57" s="14"/>
      <c r="T57" s="14"/>
      <c r="U57" s="14"/>
      <c r="V57" s="14"/>
      <c r="W57" s="14"/>
      <c r="X57" s="14"/>
      <c r="Y57" s="175"/>
      <c r="Z57" s="174"/>
      <c r="AA57" s="175"/>
    </row>
    <row r="58" spans="1:27" ht="15" customHeight="1">
      <c r="A58" s="411" t="s">
        <v>195</v>
      </c>
      <c r="B58" s="2" t="s">
        <v>4</v>
      </c>
      <c r="C58" s="310">
        <v>143392.20000000001</v>
      </c>
      <c r="D58" s="100">
        <v>150515.79999999999</v>
      </c>
      <c r="E58" s="310">
        <v>150515.79999999999</v>
      </c>
      <c r="F58" s="285">
        <v>181997.8</v>
      </c>
      <c r="G58" s="285">
        <v>165452.5</v>
      </c>
      <c r="H58" s="285">
        <v>132132</v>
      </c>
      <c r="I58" s="365">
        <v>170968.6</v>
      </c>
      <c r="J58" s="100">
        <v>166077.9</v>
      </c>
      <c r="K58" s="310">
        <v>193027</v>
      </c>
      <c r="L58" s="285">
        <v>132132.20000000001</v>
      </c>
      <c r="M58" s="285">
        <v>82726.3</v>
      </c>
      <c r="N58" s="285">
        <v>275755</v>
      </c>
      <c r="O58" s="100">
        <v>83039</v>
      </c>
      <c r="P58" s="311">
        <v>55151</v>
      </c>
      <c r="Q58" s="100">
        <v>33090.5</v>
      </c>
      <c r="Y58" s="104"/>
      <c r="Z58" s="104"/>
      <c r="AA58" s="104"/>
    </row>
    <row r="59" spans="1:27">
      <c r="A59" s="412"/>
      <c r="B59" s="63" t="s">
        <v>5</v>
      </c>
      <c r="C59" s="312">
        <v>39928.699999999997</v>
      </c>
      <c r="D59" s="102">
        <v>78104.2</v>
      </c>
      <c r="E59" s="312">
        <v>79624.899999999994</v>
      </c>
      <c r="F59" s="286">
        <v>159191.29999999999</v>
      </c>
      <c r="G59" s="286">
        <v>99448.8</v>
      </c>
      <c r="H59" s="286">
        <v>55753.4</v>
      </c>
      <c r="I59" s="286">
        <v>85361.2</v>
      </c>
      <c r="J59" s="102">
        <v>14178.6</v>
      </c>
      <c r="K59" s="312">
        <v>159241.29999999999</v>
      </c>
      <c r="L59" s="286">
        <v>64008.2</v>
      </c>
      <c r="M59" s="286">
        <v>51122.2</v>
      </c>
      <c r="N59" s="286">
        <v>155906.6</v>
      </c>
      <c r="O59" s="102">
        <v>7191.3</v>
      </c>
      <c r="P59" s="313">
        <v>7051.7</v>
      </c>
      <c r="Q59" s="102">
        <v>3991</v>
      </c>
      <c r="Y59" s="104"/>
      <c r="Z59" s="104"/>
      <c r="AA59" s="104"/>
    </row>
    <row r="60" spans="1:27" ht="15.75" thickBot="1">
      <c r="A60" s="413"/>
      <c r="B60" s="271" t="s">
        <v>3</v>
      </c>
      <c r="C60" s="315">
        <f t="shared" ref="C60" si="42">C59/C58</f>
        <v>0.27845796354334473</v>
      </c>
      <c r="D60" s="363">
        <f>D59/D58</f>
        <v>0.5189103070906842</v>
      </c>
      <c r="E60" s="315">
        <f t="shared" ref="E60" si="43">E59/E58</f>
        <v>0.52901356535327193</v>
      </c>
      <c r="F60" s="366">
        <f>F59/F58</f>
        <v>0.87468804567967307</v>
      </c>
      <c r="G60" s="291">
        <f>G59/G58</f>
        <v>0.6010716066544779</v>
      </c>
      <c r="H60" s="291">
        <f t="shared" ref="H60" si="44">H59/H58</f>
        <v>0.42195229013410834</v>
      </c>
      <c r="I60" s="291">
        <f>I59/I58</f>
        <v>0.49927998474573693</v>
      </c>
      <c r="J60" s="83">
        <f>J59/J58</f>
        <v>8.5373189328622298E-2</v>
      </c>
      <c r="K60" s="367">
        <f t="shared" ref="K60" si="45">K59/K58</f>
        <v>0.82496904578116004</v>
      </c>
      <c r="L60" s="291">
        <f>L59/L58</f>
        <v>0.48442544663602055</v>
      </c>
      <c r="M60" s="296">
        <f>M59/M58</f>
        <v>0.61796792555692681</v>
      </c>
      <c r="N60" s="291">
        <f>N59/N58</f>
        <v>0.56538086344762561</v>
      </c>
      <c r="O60" s="83">
        <f t="shared" ref="O60:Q60" si="46">O59/O58</f>
        <v>8.6601476414696704E-2</v>
      </c>
      <c r="P60" s="316">
        <f t="shared" si="46"/>
        <v>0.12786168881797247</v>
      </c>
      <c r="Q60" s="83">
        <f t="shared" si="46"/>
        <v>0.12060863389794654</v>
      </c>
      <c r="Y60" s="104"/>
      <c r="Z60" s="104"/>
      <c r="AA60" s="104"/>
    </row>
    <row r="61" spans="1:27" ht="15" customHeight="1">
      <c r="A61" s="411" t="s">
        <v>196</v>
      </c>
      <c r="B61" s="27" t="s">
        <v>4</v>
      </c>
      <c r="C61" s="310">
        <v>9191.7999999999993</v>
      </c>
      <c r="D61" s="343" t="s">
        <v>198</v>
      </c>
      <c r="E61" s="344" t="s">
        <v>198</v>
      </c>
      <c r="F61" s="345" t="s">
        <v>198</v>
      </c>
      <c r="G61" s="345" t="s">
        <v>198</v>
      </c>
      <c r="H61" s="285">
        <v>13787.7</v>
      </c>
      <c r="I61" s="345" t="s">
        <v>198</v>
      </c>
      <c r="J61" s="343" t="s">
        <v>198</v>
      </c>
      <c r="K61" s="344" t="s">
        <v>198</v>
      </c>
      <c r="L61" s="285">
        <v>13787.7</v>
      </c>
      <c r="M61" s="345" t="s">
        <v>198</v>
      </c>
      <c r="N61" s="345" t="s">
        <v>198</v>
      </c>
      <c r="O61" s="343" t="s">
        <v>198</v>
      </c>
      <c r="P61" s="344" t="s">
        <v>198</v>
      </c>
      <c r="Q61" s="343" t="s">
        <v>198</v>
      </c>
      <c r="Y61" s="104"/>
      <c r="Z61" s="104"/>
      <c r="AA61" s="104"/>
    </row>
    <row r="62" spans="1:27">
      <c r="A62" s="412"/>
      <c r="B62" s="66" t="s">
        <v>5</v>
      </c>
      <c r="C62" s="312">
        <v>8535.7000000000007</v>
      </c>
      <c r="D62" s="346" t="s">
        <v>198</v>
      </c>
      <c r="E62" s="347" t="s">
        <v>198</v>
      </c>
      <c r="F62" s="348" t="s">
        <v>198</v>
      </c>
      <c r="G62" s="348" t="s">
        <v>198</v>
      </c>
      <c r="H62" s="286">
        <v>13648.4</v>
      </c>
      <c r="I62" s="348" t="s">
        <v>198</v>
      </c>
      <c r="J62" s="346" t="s">
        <v>198</v>
      </c>
      <c r="K62" s="347" t="s">
        <v>198</v>
      </c>
      <c r="L62" s="286">
        <v>13648</v>
      </c>
      <c r="M62" s="348" t="s">
        <v>198</v>
      </c>
      <c r="N62" s="348" t="s">
        <v>198</v>
      </c>
      <c r="O62" s="346" t="s">
        <v>198</v>
      </c>
      <c r="P62" s="356" t="s">
        <v>198</v>
      </c>
      <c r="Q62" s="346" t="s">
        <v>198</v>
      </c>
      <c r="Y62" s="104"/>
      <c r="Z62" s="104"/>
      <c r="AA62" s="104"/>
    </row>
    <row r="63" spans="1:27" ht="15.75" thickBot="1">
      <c r="A63" s="413"/>
      <c r="B63" s="340" t="s">
        <v>3</v>
      </c>
      <c r="C63" s="314">
        <f>C62/C61</f>
        <v>0.92862116234034697</v>
      </c>
      <c r="D63" s="349" t="s">
        <v>198</v>
      </c>
      <c r="E63" s="350" t="s">
        <v>198</v>
      </c>
      <c r="F63" s="351" t="s">
        <v>198</v>
      </c>
      <c r="G63" s="351" t="s">
        <v>198</v>
      </c>
      <c r="H63" s="283">
        <f t="shared" ref="H63" si="47">H62/H61</f>
        <v>0.98989679206829273</v>
      </c>
      <c r="I63" s="351" t="s">
        <v>198</v>
      </c>
      <c r="J63" s="349" t="s">
        <v>198</v>
      </c>
      <c r="K63" s="350" t="s">
        <v>198</v>
      </c>
      <c r="L63" s="335">
        <f t="shared" ref="L63" si="48">L62/L61</f>
        <v>0.98986778070309034</v>
      </c>
      <c r="M63" s="351" t="s">
        <v>198</v>
      </c>
      <c r="N63" s="351" t="s">
        <v>198</v>
      </c>
      <c r="O63" s="349" t="s">
        <v>198</v>
      </c>
      <c r="P63" s="357" t="s">
        <v>198</v>
      </c>
      <c r="Q63" s="349" t="s">
        <v>198</v>
      </c>
      <c r="Y63" s="104"/>
      <c r="Z63" s="104"/>
      <c r="AA63" s="104"/>
    </row>
    <row r="64" spans="1:27" ht="15" customHeight="1">
      <c r="A64" s="411" t="s">
        <v>197</v>
      </c>
      <c r="B64" s="27" t="s">
        <v>4</v>
      </c>
      <c r="C64" s="310">
        <v>97433.600000000006</v>
      </c>
      <c r="D64" s="343" t="s">
        <v>198</v>
      </c>
      <c r="E64" s="352" t="s">
        <v>198</v>
      </c>
      <c r="F64" s="345" t="s">
        <v>198</v>
      </c>
      <c r="G64" s="345" t="s">
        <v>198</v>
      </c>
      <c r="H64" s="285">
        <v>243584.4</v>
      </c>
      <c r="I64" s="345" t="s">
        <v>198</v>
      </c>
      <c r="J64" s="343" t="s">
        <v>198</v>
      </c>
      <c r="K64" s="352" t="s">
        <v>198</v>
      </c>
      <c r="L64" s="285">
        <v>292299.3</v>
      </c>
      <c r="M64" s="345" t="s">
        <v>198</v>
      </c>
      <c r="N64" s="345" t="s">
        <v>198</v>
      </c>
      <c r="O64" s="343" t="s">
        <v>198</v>
      </c>
      <c r="P64" s="344" t="s">
        <v>198</v>
      </c>
      <c r="Q64" s="343" t="s">
        <v>198</v>
      </c>
      <c r="Y64" s="104"/>
      <c r="Z64" s="104"/>
      <c r="AA64" s="104"/>
    </row>
    <row r="65" spans="1:27">
      <c r="A65" s="412"/>
      <c r="B65" s="66" t="s">
        <v>5</v>
      </c>
      <c r="C65" s="312">
        <v>38807.4</v>
      </c>
      <c r="D65" s="346" t="s">
        <v>198</v>
      </c>
      <c r="E65" s="347" t="s">
        <v>198</v>
      </c>
      <c r="F65" s="348" t="s">
        <v>198</v>
      </c>
      <c r="G65" s="348" t="s">
        <v>198</v>
      </c>
      <c r="H65" s="286">
        <v>90849.3</v>
      </c>
      <c r="I65" s="348" t="s">
        <v>198</v>
      </c>
      <c r="J65" s="346" t="s">
        <v>198</v>
      </c>
      <c r="K65" s="347" t="s">
        <v>198</v>
      </c>
      <c r="L65" s="286">
        <v>79063.7</v>
      </c>
      <c r="M65" s="348" t="s">
        <v>198</v>
      </c>
      <c r="N65" s="348" t="s">
        <v>198</v>
      </c>
      <c r="O65" s="346" t="s">
        <v>198</v>
      </c>
      <c r="P65" s="356" t="s">
        <v>198</v>
      </c>
      <c r="Q65" s="346" t="s">
        <v>198</v>
      </c>
      <c r="Y65" s="104"/>
      <c r="Z65" s="104"/>
      <c r="AA65" s="104"/>
    </row>
    <row r="66" spans="1:27" ht="15.75" thickBot="1">
      <c r="A66" s="413"/>
      <c r="B66" s="256" t="s">
        <v>3</v>
      </c>
      <c r="C66" s="315">
        <f>C65/C64</f>
        <v>0.39829586508145032</v>
      </c>
      <c r="D66" s="353" t="s">
        <v>198</v>
      </c>
      <c r="E66" s="354" t="s">
        <v>198</v>
      </c>
      <c r="F66" s="355" t="s">
        <v>198</v>
      </c>
      <c r="G66" s="355" t="s">
        <v>198</v>
      </c>
      <c r="H66" s="291">
        <f t="shared" ref="H66" si="49">H65/H64</f>
        <v>0.37296846596087435</v>
      </c>
      <c r="I66" s="355" t="s">
        <v>198</v>
      </c>
      <c r="J66" s="353" t="s">
        <v>198</v>
      </c>
      <c r="K66" s="354" t="s">
        <v>198</v>
      </c>
      <c r="L66" s="329">
        <f t="shared" ref="L66" si="50">L65/L64</f>
        <v>0.27048884482446589</v>
      </c>
      <c r="M66" s="355" t="s">
        <v>198</v>
      </c>
      <c r="N66" s="355" t="s">
        <v>198</v>
      </c>
      <c r="O66" s="353" t="s">
        <v>198</v>
      </c>
      <c r="P66" s="358" t="s">
        <v>198</v>
      </c>
      <c r="Q66" s="353" t="s">
        <v>198</v>
      </c>
      <c r="Y66" s="104"/>
      <c r="Z66" s="104"/>
      <c r="AA66" s="104"/>
    </row>
    <row r="67" spans="1:27" ht="15" customHeight="1">
      <c r="A67" s="411" t="s">
        <v>6</v>
      </c>
      <c r="B67" s="279" t="s">
        <v>7</v>
      </c>
      <c r="C67" s="300">
        <v>5870</v>
      </c>
      <c r="D67" s="80">
        <v>3333</v>
      </c>
      <c r="E67" s="300">
        <v>3330</v>
      </c>
      <c r="F67" s="290">
        <v>9457</v>
      </c>
      <c r="G67" s="290">
        <v>8210</v>
      </c>
      <c r="H67" s="290">
        <v>15703</v>
      </c>
      <c r="I67" s="290">
        <v>7403</v>
      </c>
      <c r="J67" s="80">
        <v>9599</v>
      </c>
      <c r="K67" s="300">
        <v>9289</v>
      </c>
      <c r="L67" s="290">
        <v>12295</v>
      </c>
      <c r="M67" s="290">
        <v>4145</v>
      </c>
      <c r="N67" s="290">
        <v>10027</v>
      </c>
      <c r="O67" s="80">
        <v>4799</v>
      </c>
      <c r="P67" s="317">
        <v>2000</v>
      </c>
      <c r="Q67" s="80">
        <v>1250</v>
      </c>
      <c r="Y67" s="104"/>
      <c r="Z67" s="104"/>
      <c r="AA67" s="104"/>
    </row>
    <row r="68" spans="1:27">
      <c r="A68" s="412"/>
      <c r="B68" s="28" t="s">
        <v>11</v>
      </c>
      <c r="C68" s="318">
        <f t="shared" ref="C68:Q68" si="51">C67*33.717</f>
        <v>197918.78999999998</v>
      </c>
      <c r="D68" s="84">
        <f t="shared" si="51"/>
        <v>112378.761</v>
      </c>
      <c r="E68" s="318">
        <f t="shared" si="51"/>
        <v>112277.61</v>
      </c>
      <c r="F68" s="360">
        <f t="shared" si="51"/>
        <v>318861.66899999999</v>
      </c>
      <c r="G68" s="292">
        <f t="shared" si="51"/>
        <v>276816.57</v>
      </c>
      <c r="H68" s="341">
        <f t="shared" si="51"/>
        <v>529458.05099999998</v>
      </c>
      <c r="I68" s="341">
        <f t="shared" si="51"/>
        <v>249606.951</v>
      </c>
      <c r="J68" s="341">
        <f t="shared" si="51"/>
        <v>323649.48300000001</v>
      </c>
      <c r="K68" s="319">
        <f t="shared" si="51"/>
        <v>313197.21299999999</v>
      </c>
      <c r="L68" s="292">
        <f t="shared" si="51"/>
        <v>414550.51499999996</v>
      </c>
      <c r="M68" s="292">
        <f t="shared" si="51"/>
        <v>139756.965</v>
      </c>
      <c r="N68" s="341">
        <f t="shared" si="51"/>
        <v>338080.359</v>
      </c>
      <c r="O68" s="341">
        <f t="shared" si="51"/>
        <v>161807.883</v>
      </c>
      <c r="P68" s="318">
        <f t="shared" si="51"/>
        <v>67434</v>
      </c>
      <c r="Q68" s="341">
        <f t="shared" si="51"/>
        <v>42146.25</v>
      </c>
      <c r="Y68" s="104"/>
      <c r="Z68" s="104"/>
      <c r="AA68" s="104"/>
    </row>
    <row r="69" spans="1:27">
      <c r="A69" s="412"/>
      <c r="B69" s="66" t="s">
        <v>8</v>
      </c>
      <c r="C69" s="326">
        <f>SUM(C67-575)</f>
        <v>5295</v>
      </c>
      <c r="D69" s="103">
        <f>SUM(D67-680)</f>
        <v>2653</v>
      </c>
      <c r="E69" s="326">
        <f>SUM(E67-646)</f>
        <v>2684</v>
      </c>
      <c r="F69" s="294">
        <f>SUM(F67-1211)</f>
        <v>8246</v>
      </c>
      <c r="G69" s="294">
        <f>SUM(G67-4410)</f>
        <v>3800</v>
      </c>
      <c r="H69" s="294">
        <f>SUM(H67-2087)</f>
        <v>13616</v>
      </c>
      <c r="I69" s="294">
        <f>SUM(I67-(3272-2000))</f>
        <v>6131</v>
      </c>
      <c r="J69" s="103">
        <f>SUM(J67-9229)</f>
        <v>370</v>
      </c>
      <c r="K69" s="326">
        <f>SUM(K67-909)</f>
        <v>8380</v>
      </c>
      <c r="L69" s="294">
        <f>SUM(L67-1251)</f>
        <v>11044</v>
      </c>
      <c r="M69" s="298">
        <f>SUM(M67-198)</f>
        <v>3947</v>
      </c>
      <c r="N69" s="294">
        <f>SUM(N67-(5224-2614))</f>
        <v>7417</v>
      </c>
      <c r="O69" s="103">
        <f>SUM(O67-3960)</f>
        <v>839</v>
      </c>
      <c r="P69" s="327">
        <f>SUM(P67-1033)</f>
        <v>967</v>
      </c>
      <c r="Q69" s="103">
        <f>SUM(Q67-752)</f>
        <v>498</v>
      </c>
      <c r="T69" s="14" t="s">
        <v>192</v>
      </c>
    </row>
    <row r="70" spans="1:27">
      <c r="A70" s="412"/>
      <c r="B70" s="29" t="s">
        <v>77</v>
      </c>
      <c r="C70" s="318">
        <f t="shared" ref="C70:Q70" si="52">(C69*33.7167)</f>
        <v>178529.9265</v>
      </c>
      <c r="D70" s="318">
        <f t="shared" si="52"/>
        <v>89450.405100000004</v>
      </c>
      <c r="E70" s="318">
        <f t="shared" si="52"/>
        <v>90495.622800000012</v>
      </c>
      <c r="F70" s="318">
        <f t="shared" si="52"/>
        <v>278027.90820000001</v>
      </c>
      <c r="G70" s="318">
        <f t="shared" si="52"/>
        <v>128123.46</v>
      </c>
      <c r="H70" s="318">
        <f t="shared" si="52"/>
        <v>459086.58720000007</v>
      </c>
      <c r="I70" s="318">
        <f t="shared" si="52"/>
        <v>206717.08770000003</v>
      </c>
      <c r="J70" s="318">
        <f t="shared" si="52"/>
        <v>12475.179000000002</v>
      </c>
      <c r="K70" s="318">
        <f t="shared" si="52"/>
        <v>282545.946</v>
      </c>
      <c r="L70" s="318">
        <f t="shared" si="52"/>
        <v>372367.23480000003</v>
      </c>
      <c r="M70" s="318">
        <f t="shared" si="52"/>
        <v>133079.8149</v>
      </c>
      <c r="N70" s="318">
        <f t="shared" si="52"/>
        <v>250076.76390000002</v>
      </c>
      <c r="O70" s="318">
        <f t="shared" si="52"/>
        <v>28288.311300000001</v>
      </c>
      <c r="P70" s="318">
        <f t="shared" si="52"/>
        <v>32604.048900000002</v>
      </c>
      <c r="Q70" s="318">
        <f t="shared" si="52"/>
        <v>16790.9166</v>
      </c>
      <c r="T70" s="89">
        <f>344240-H69</f>
        <v>330624</v>
      </c>
      <c r="U70" s="104" t="s">
        <v>193</v>
      </c>
    </row>
    <row r="71" spans="1:27" ht="15.75" thickBot="1">
      <c r="A71" s="412"/>
      <c r="B71" s="342" t="s">
        <v>203</v>
      </c>
      <c r="C71" s="315">
        <f>C68/(C58+C61+C64)</f>
        <v>0.79161942999212842</v>
      </c>
      <c r="D71" s="329">
        <f>D68/D58</f>
        <v>0.74662434774289477</v>
      </c>
      <c r="E71" s="316">
        <f>E68/E58</f>
        <v>0.74595231862701461</v>
      </c>
      <c r="F71" s="316">
        <f t="shared" ref="F71:G71" si="53">F68/F58</f>
        <v>1.7520083704308513</v>
      </c>
      <c r="G71" s="316">
        <f t="shared" si="53"/>
        <v>1.6730878650972334</v>
      </c>
      <c r="H71" s="291">
        <f>H68/(H58+H61+H64)</f>
        <v>1.3593131651245776</v>
      </c>
      <c r="I71" s="329">
        <f>I68/I58</f>
        <v>1.459957857758676</v>
      </c>
      <c r="J71" s="330">
        <f>J68/J58</f>
        <v>1.9487811623340614</v>
      </c>
      <c r="K71" s="315">
        <f>K68/K58</f>
        <v>1.6225564972775828</v>
      </c>
      <c r="L71" s="291">
        <f>L68/(L58+L61+L64)</f>
        <v>0.94598893658698646</v>
      </c>
      <c r="M71" s="291">
        <f>M68/M58</f>
        <v>1.689389770846756</v>
      </c>
      <c r="N71" s="329">
        <f>N68/N58</f>
        <v>1.2260171492810648</v>
      </c>
      <c r="O71" s="329">
        <f>O68/O58</f>
        <v>1.9485769698575368</v>
      </c>
      <c r="P71" s="315">
        <f>P68/P58</f>
        <v>1.2227158165763088</v>
      </c>
      <c r="Q71" s="329">
        <f>Q68/Q58</f>
        <v>1.273666157960744</v>
      </c>
      <c r="T71" s="175"/>
    </row>
    <row r="72" spans="1:27" ht="15.75" thickBot="1">
      <c r="A72" s="413"/>
      <c r="B72" s="342" t="s">
        <v>204</v>
      </c>
      <c r="C72" s="315">
        <f>C70/(C58+C61+C64)</f>
        <v>0.71406943551173996</v>
      </c>
      <c r="D72" s="329">
        <f>D70/D58</f>
        <v>0.59429246032642424</v>
      </c>
      <c r="E72" s="329">
        <f t="shared" ref="E72:Q72" si="54">E70/E58</f>
        <v>0.60123669940298641</v>
      </c>
      <c r="F72" s="329">
        <f t="shared" si="54"/>
        <v>1.5276443352611957</v>
      </c>
      <c r="G72" s="329">
        <f t="shared" si="54"/>
        <v>0.77438213384506127</v>
      </c>
      <c r="H72" s="315">
        <f>H70/(H58+H61+H64)</f>
        <v>1.1786437862913384</v>
      </c>
      <c r="I72" s="329">
        <f t="shared" si="54"/>
        <v>1.2090938786420431</v>
      </c>
      <c r="J72" s="329">
        <f t="shared" si="54"/>
        <v>7.5116430301683745E-2</v>
      </c>
      <c r="K72" s="329">
        <f t="shared" si="54"/>
        <v>1.4637638568697644</v>
      </c>
      <c r="L72" s="315">
        <f>L70/(L58+L61+L64)</f>
        <v>0.84972825197983115</v>
      </c>
      <c r="M72" s="329">
        <f t="shared" si="54"/>
        <v>1.608676018388348</v>
      </c>
      <c r="N72" s="329">
        <f t="shared" si="54"/>
        <v>0.9068802520353213</v>
      </c>
      <c r="O72" s="329">
        <f t="shared" si="54"/>
        <v>0.34066295716470574</v>
      </c>
      <c r="P72" s="329">
        <f t="shared" si="54"/>
        <v>0.59117783721056738</v>
      </c>
      <c r="Q72" s="329">
        <f t="shared" si="54"/>
        <v>0.50742408244057968</v>
      </c>
      <c r="T72" s="175"/>
    </row>
    <row r="73" spans="1:27" ht="15.75" thickBot="1">
      <c r="A73" s="406">
        <v>41401</v>
      </c>
      <c r="B73" s="406"/>
      <c r="C73" s="282">
        <f>C77+C80+C83</f>
        <v>86789.7</v>
      </c>
      <c r="H73" s="282">
        <f>H77+H80+H83</f>
        <v>156245</v>
      </c>
      <c r="K73" s="282"/>
      <c r="L73" s="282">
        <f>L77+L80+L83</f>
        <v>155852.40000000002</v>
      </c>
      <c r="N73" s="15"/>
    </row>
    <row r="74" spans="1:27">
      <c r="A74" s="407" t="s">
        <v>1</v>
      </c>
      <c r="B74" s="408"/>
      <c r="C74" s="300" t="s">
        <v>12</v>
      </c>
      <c r="D74" s="80" t="s">
        <v>12</v>
      </c>
      <c r="E74" s="300" t="s">
        <v>13</v>
      </c>
      <c r="F74" s="290" t="s">
        <v>13</v>
      </c>
      <c r="G74" s="290" t="s">
        <v>13</v>
      </c>
      <c r="H74" s="290" t="s">
        <v>13</v>
      </c>
      <c r="I74" s="290" t="s">
        <v>13</v>
      </c>
      <c r="J74" s="80" t="s">
        <v>13</v>
      </c>
      <c r="K74" s="300" t="s">
        <v>2</v>
      </c>
      <c r="L74" s="290" t="s">
        <v>2</v>
      </c>
      <c r="M74" s="295" t="s">
        <v>2</v>
      </c>
      <c r="N74" s="290" t="s">
        <v>2</v>
      </c>
      <c r="O74" s="80" t="s">
        <v>2</v>
      </c>
      <c r="P74" s="301" t="s">
        <v>199</v>
      </c>
      <c r="Q74" s="302" t="s">
        <v>199</v>
      </c>
    </row>
    <row r="75" spans="1:27" ht="15.75" thickBot="1">
      <c r="A75" s="409" t="s">
        <v>0</v>
      </c>
      <c r="B75" s="410"/>
      <c r="C75" s="303" t="s">
        <v>102</v>
      </c>
      <c r="D75" s="304" t="s">
        <v>103</v>
      </c>
      <c r="E75" s="303" t="s">
        <v>104</v>
      </c>
      <c r="F75" s="305" t="s">
        <v>105</v>
      </c>
      <c r="G75" s="305" t="s">
        <v>100</v>
      </c>
      <c r="H75" s="305" t="s">
        <v>107</v>
      </c>
      <c r="I75" s="305" t="s">
        <v>106</v>
      </c>
      <c r="J75" s="306" t="s">
        <v>200</v>
      </c>
      <c r="K75" s="303" t="s">
        <v>108</v>
      </c>
      <c r="L75" s="305" t="s">
        <v>110</v>
      </c>
      <c r="M75" s="307" t="s">
        <v>101</v>
      </c>
      <c r="N75" s="308" t="s">
        <v>109</v>
      </c>
      <c r="O75" s="304" t="s">
        <v>201</v>
      </c>
      <c r="P75" s="309" t="s">
        <v>111</v>
      </c>
      <c r="Q75" s="304" t="s">
        <v>202</v>
      </c>
      <c r="R75" s="14"/>
      <c r="S75" s="14"/>
      <c r="T75" s="14"/>
      <c r="U75" s="14"/>
      <c r="V75" s="14"/>
      <c r="W75" s="14"/>
      <c r="X75" s="14"/>
      <c r="Y75" s="175"/>
      <c r="Z75" s="174"/>
      <c r="AA75" s="175"/>
    </row>
    <row r="76" spans="1:27" ht="15" customHeight="1">
      <c r="A76" s="411" t="s">
        <v>195</v>
      </c>
      <c r="B76" s="2" t="s">
        <v>4</v>
      </c>
      <c r="C76" s="310">
        <v>143392.20000000001</v>
      </c>
      <c r="D76" s="100">
        <v>150515.79999999999</v>
      </c>
      <c r="E76" s="310">
        <v>150515.79999999999</v>
      </c>
      <c r="F76" s="285">
        <v>181997.8</v>
      </c>
      <c r="G76" s="285">
        <v>165452.5</v>
      </c>
      <c r="H76" s="285">
        <v>132132</v>
      </c>
      <c r="I76" s="285">
        <v>121331.8</v>
      </c>
      <c r="J76" s="100">
        <v>166077.9</v>
      </c>
      <c r="K76" s="310">
        <v>193027</v>
      </c>
      <c r="L76" s="285">
        <v>132132.20000000001</v>
      </c>
      <c r="M76" s="285">
        <v>82726.3</v>
      </c>
      <c r="N76" s="285">
        <v>176482.7</v>
      </c>
      <c r="O76" s="100">
        <v>83039</v>
      </c>
      <c r="P76" s="311">
        <v>55151</v>
      </c>
      <c r="Q76" s="100">
        <v>33090.5</v>
      </c>
      <c r="Y76" s="104"/>
      <c r="Z76" s="104"/>
      <c r="AA76" s="104"/>
    </row>
    <row r="77" spans="1:27">
      <c r="A77" s="412"/>
      <c r="B77" s="63" t="s">
        <v>5</v>
      </c>
      <c r="C77" s="312">
        <v>39748.1</v>
      </c>
      <c r="D77" s="102">
        <v>78060.399999999994</v>
      </c>
      <c r="E77" s="312">
        <v>79602.8</v>
      </c>
      <c r="F77" s="286">
        <v>158581.29999999999</v>
      </c>
      <c r="G77" s="286">
        <v>98363.5</v>
      </c>
      <c r="H77" s="286">
        <v>51009.5</v>
      </c>
      <c r="I77" s="286">
        <v>84365.5</v>
      </c>
      <c r="J77" s="102">
        <v>13782.4</v>
      </c>
      <c r="K77" s="312">
        <v>158963</v>
      </c>
      <c r="L77" s="286">
        <v>63268.3</v>
      </c>
      <c r="M77" s="286">
        <v>50687.3</v>
      </c>
      <c r="N77" s="286">
        <v>154723.79999999999</v>
      </c>
      <c r="O77" s="102">
        <v>6993.2</v>
      </c>
      <c r="P77" s="313">
        <v>7016.2</v>
      </c>
      <c r="Q77" s="102">
        <v>3466.6</v>
      </c>
      <c r="Y77" s="104"/>
      <c r="Z77" s="104"/>
      <c r="AA77" s="104"/>
    </row>
    <row r="78" spans="1:27" ht="15.75" thickBot="1">
      <c r="A78" s="413"/>
      <c r="B78" s="271" t="s">
        <v>3</v>
      </c>
      <c r="C78" s="315">
        <f t="shared" ref="C78" si="55">C77/C76</f>
        <v>0.27719848080997428</v>
      </c>
      <c r="D78" s="363">
        <f>D77/D76</f>
        <v>0.51861930774044984</v>
      </c>
      <c r="E78" s="315">
        <f t="shared" ref="E78" si="56">E77/E76</f>
        <v>0.52886673691399844</v>
      </c>
      <c r="F78" s="291">
        <f>F77/F76</f>
        <v>0.87133635681310428</v>
      </c>
      <c r="G78" s="291">
        <f>G77/G76</f>
        <v>0.59451202006618209</v>
      </c>
      <c r="H78" s="291">
        <f t="shared" ref="H78" si="57">H77/H76</f>
        <v>0.38604955650410194</v>
      </c>
      <c r="I78" s="291">
        <f>I77/I76</f>
        <v>0.69532884206778434</v>
      </c>
      <c r="J78" s="83">
        <f>J77/J76</f>
        <v>8.2987561861030276E-2</v>
      </c>
      <c r="K78" s="315">
        <f t="shared" ref="K78" si="58">K77/K76</f>
        <v>0.82352727856724706</v>
      </c>
      <c r="L78" s="291">
        <f>L77/L76</f>
        <v>0.47882575178495473</v>
      </c>
      <c r="M78" s="296">
        <f>M77/M76</f>
        <v>0.61271083077570254</v>
      </c>
      <c r="N78" s="291">
        <f>N77/N76</f>
        <v>0.87670802860563657</v>
      </c>
      <c r="O78" s="83">
        <f t="shared" ref="O78:Q78" si="59">O77/O76</f>
        <v>8.4215850383554711E-2</v>
      </c>
      <c r="P78" s="316">
        <f t="shared" si="59"/>
        <v>0.12721800148682708</v>
      </c>
      <c r="Q78" s="83">
        <f t="shared" si="59"/>
        <v>0.10476118523443284</v>
      </c>
      <c r="Y78" s="104"/>
      <c r="Z78" s="104"/>
      <c r="AA78" s="104"/>
    </row>
    <row r="79" spans="1:27" ht="15" customHeight="1">
      <c r="A79" s="411" t="s">
        <v>196</v>
      </c>
      <c r="B79" s="27" t="s">
        <v>4</v>
      </c>
      <c r="C79" s="310">
        <v>9191.7999999999993</v>
      </c>
      <c r="D79" s="343" t="s">
        <v>198</v>
      </c>
      <c r="E79" s="344" t="s">
        <v>198</v>
      </c>
      <c r="F79" s="345" t="s">
        <v>198</v>
      </c>
      <c r="G79" s="345" t="s">
        <v>198</v>
      </c>
      <c r="H79" s="285">
        <v>13787.7</v>
      </c>
      <c r="I79" s="345" t="s">
        <v>198</v>
      </c>
      <c r="J79" s="343" t="s">
        <v>198</v>
      </c>
      <c r="K79" s="344" t="s">
        <v>198</v>
      </c>
      <c r="L79" s="285">
        <v>13787.7</v>
      </c>
      <c r="M79" s="345" t="s">
        <v>198</v>
      </c>
      <c r="N79" s="345" t="s">
        <v>198</v>
      </c>
      <c r="O79" s="343" t="s">
        <v>198</v>
      </c>
      <c r="P79" s="344" t="s">
        <v>198</v>
      </c>
      <c r="Q79" s="343" t="s">
        <v>198</v>
      </c>
      <c r="Y79" s="104"/>
      <c r="Z79" s="104"/>
      <c r="AA79" s="104"/>
    </row>
    <row r="80" spans="1:27">
      <c r="A80" s="412"/>
      <c r="B80" s="66" t="s">
        <v>5</v>
      </c>
      <c r="C80" s="312">
        <v>8316.4</v>
      </c>
      <c r="D80" s="346" t="s">
        <v>198</v>
      </c>
      <c r="E80" s="347" t="s">
        <v>198</v>
      </c>
      <c r="F80" s="348" t="s">
        <v>198</v>
      </c>
      <c r="G80" s="348" t="s">
        <v>198</v>
      </c>
      <c r="H80" s="286">
        <v>13649.3</v>
      </c>
      <c r="I80" s="348" t="s">
        <v>198</v>
      </c>
      <c r="J80" s="346" t="s">
        <v>198</v>
      </c>
      <c r="K80" s="347" t="s">
        <v>198</v>
      </c>
      <c r="L80" s="286">
        <v>13648.6</v>
      </c>
      <c r="M80" s="348" t="s">
        <v>198</v>
      </c>
      <c r="N80" s="348" t="s">
        <v>198</v>
      </c>
      <c r="O80" s="346" t="s">
        <v>198</v>
      </c>
      <c r="P80" s="356" t="s">
        <v>198</v>
      </c>
      <c r="Q80" s="346" t="s">
        <v>198</v>
      </c>
      <c r="Y80" s="104"/>
      <c r="Z80" s="104"/>
      <c r="AA80" s="104"/>
    </row>
    <row r="81" spans="1:27" ht="15.75" thickBot="1">
      <c r="A81" s="413"/>
      <c r="B81" s="340" t="s">
        <v>3</v>
      </c>
      <c r="C81" s="314">
        <f>C80/C79</f>
        <v>0.90476294088209064</v>
      </c>
      <c r="D81" s="349" t="s">
        <v>198</v>
      </c>
      <c r="E81" s="350" t="s">
        <v>198</v>
      </c>
      <c r="F81" s="351" t="s">
        <v>198</v>
      </c>
      <c r="G81" s="351" t="s">
        <v>198</v>
      </c>
      <c r="H81" s="283">
        <f t="shared" ref="H81" si="60">H80/H79</f>
        <v>0.98996206763999783</v>
      </c>
      <c r="I81" s="351" t="s">
        <v>198</v>
      </c>
      <c r="J81" s="349" t="s">
        <v>198</v>
      </c>
      <c r="K81" s="350" t="s">
        <v>198</v>
      </c>
      <c r="L81" s="335">
        <f t="shared" ref="L81" si="61">L80/L79</f>
        <v>0.98991129775089393</v>
      </c>
      <c r="M81" s="351" t="s">
        <v>198</v>
      </c>
      <c r="N81" s="351" t="s">
        <v>198</v>
      </c>
      <c r="O81" s="349" t="s">
        <v>198</v>
      </c>
      <c r="P81" s="357" t="s">
        <v>198</v>
      </c>
      <c r="Q81" s="349" t="s">
        <v>198</v>
      </c>
      <c r="Y81" s="104"/>
      <c r="Z81" s="104"/>
      <c r="AA81" s="104"/>
    </row>
    <row r="82" spans="1:27" ht="15" customHeight="1">
      <c r="A82" s="411" t="s">
        <v>197</v>
      </c>
      <c r="B82" s="27" t="s">
        <v>4</v>
      </c>
      <c r="C82" s="310">
        <v>97433.600000000006</v>
      </c>
      <c r="D82" s="343" t="s">
        <v>198</v>
      </c>
      <c r="E82" s="352" t="s">
        <v>198</v>
      </c>
      <c r="F82" s="345" t="s">
        <v>198</v>
      </c>
      <c r="G82" s="345" t="s">
        <v>198</v>
      </c>
      <c r="H82" s="285">
        <v>243584.4</v>
      </c>
      <c r="I82" s="345" t="s">
        <v>198</v>
      </c>
      <c r="J82" s="343" t="s">
        <v>198</v>
      </c>
      <c r="K82" s="352" t="s">
        <v>198</v>
      </c>
      <c r="L82" s="285">
        <v>292299.3</v>
      </c>
      <c r="M82" s="345" t="s">
        <v>198</v>
      </c>
      <c r="N82" s="345" t="s">
        <v>198</v>
      </c>
      <c r="O82" s="343" t="s">
        <v>198</v>
      </c>
      <c r="P82" s="344" t="s">
        <v>198</v>
      </c>
      <c r="Q82" s="343" t="s">
        <v>198</v>
      </c>
      <c r="Y82" s="104"/>
      <c r="Z82" s="104"/>
      <c r="AA82" s="104"/>
    </row>
    <row r="83" spans="1:27">
      <c r="A83" s="412"/>
      <c r="B83" s="66" t="s">
        <v>5</v>
      </c>
      <c r="C83" s="312">
        <v>38725.199999999997</v>
      </c>
      <c r="D83" s="346" t="s">
        <v>198</v>
      </c>
      <c r="E83" s="347" t="s">
        <v>198</v>
      </c>
      <c r="F83" s="348" t="s">
        <v>198</v>
      </c>
      <c r="G83" s="348" t="s">
        <v>198</v>
      </c>
      <c r="H83" s="286">
        <v>91586.2</v>
      </c>
      <c r="I83" s="348" t="s">
        <v>198</v>
      </c>
      <c r="J83" s="346" t="s">
        <v>198</v>
      </c>
      <c r="K83" s="347" t="s">
        <v>198</v>
      </c>
      <c r="L83" s="286">
        <v>78935.5</v>
      </c>
      <c r="M83" s="348" t="s">
        <v>198</v>
      </c>
      <c r="N83" s="348" t="s">
        <v>198</v>
      </c>
      <c r="O83" s="346" t="s">
        <v>198</v>
      </c>
      <c r="P83" s="356" t="s">
        <v>198</v>
      </c>
      <c r="Q83" s="346" t="s">
        <v>198</v>
      </c>
      <c r="Y83" s="104"/>
      <c r="Z83" s="104"/>
      <c r="AA83" s="104"/>
    </row>
    <row r="84" spans="1:27" ht="15.75" thickBot="1">
      <c r="A84" s="413"/>
      <c r="B84" s="256" t="s">
        <v>3</v>
      </c>
      <c r="C84" s="315">
        <f>C83/C82</f>
        <v>0.39745221361008926</v>
      </c>
      <c r="D84" s="353" t="s">
        <v>198</v>
      </c>
      <c r="E84" s="354" t="s">
        <v>198</v>
      </c>
      <c r="F84" s="355" t="s">
        <v>198</v>
      </c>
      <c r="G84" s="355" t="s">
        <v>198</v>
      </c>
      <c r="H84" s="291">
        <f t="shared" ref="H84" si="62">H83/H82</f>
        <v>0.37599370074602478</v>
      </c>
      <c r="I84" s="355" t="s">
        <v>198</v>
      </c>
      <c r="J84" s="353" t="s">
        <v>198</v>
      </c>
      <c r="K84" s="354" t="s">
        <v>198</v>
      </c>
      <c r="L84" s="329">
        <f t="shared" ref="L84" si="63">L83/L82</f>
        <v>0.27005025328490351</v>
      </c>
      <c r="M84" s="355" t="s">
        <v>198</v>
      </c>
      <c r="N84" s="355" t="s">
        <v>198</v>
      </c>
      <c r="O84" s="353" t="s">
        <v>198</v>
      </c>
      <c r="P84" s="358" t="s">
        <v>198</v>
      </c>
      <c r="Q84" s="353" t="s">
        <v>198</v>
      </c>
      <c r="Y84" s="104"/>
      <c r="Z84" s="104"/>
      <c r="AA84" s="104"/>
    </row>
    <row r="85" spans="1:27" ht="15" customHeight="1">
      <c r="A85" s="411" t="s">
        <v>6</v>
      </c>
      <c r="B85" s="279" t="s">
        <v>7</v>
      </c>
      <c r="C85" s="300">
        <v>5870</v>
      </c>
      <c r="D85" s="80">
        <v>3333</v>
      </c>
      <c r="E85" s="300">
        <v>3330</v>
      </c>
      <c r="F85" s="290">
        <v>9457</v>
      </c>
      <c r="G85" s="290">
        <v>8210</v>
      </c>
      <c r="H85" s="290">
        <v>15703</v>
      </c>
      <c r="I85" s="290">
        <v>7403</v>
      </c>
      <c r="J85" s="80">
        <v>9599</v>
      </c>
      <c r="K85" s="300">
        <v>9289</v>
      </c>
      <c r="L85" s="290">
        <v>12295</v>
      </c>
      <c r="M85" s="290">
        <v>4133</v>
      </c>
      <c r="N85" s="290">
        <v>10027</v>
      </c>
      <c r="O85" s="80">
        <v>4799</v>
      </c>
      <c r="P85" s="317">
        <v>2000</v>
      </c>
      <c r="Q85" s="80">
        <v>1250</v>
      </c>
      <c r="Y85" s="104"/>
      <c r="Z85" s="104"/>
      <c r="AA85" s="104"/>
    </row>
    <row r="86" spans="1:27">
      <c r="A86" s="412"/>
      <c r="B86" s="28" t="s">
        <v>11</v>
      </c>
      <c r="C86" s="318">
        <f t="shared" ref="C86:Q86" si="64">C85*33.7167</f>
        <v>197917.02900000001</v>
      </c>
      <c r="D86" s="84">
        <f t="shared" si="64"/>
        <v>112377.7611</v>
      </c>
      <c r="E86" s="318">
        <f t="shared" si="64"/>
        <v>112276.611</v>
      </c>
      <c r="F86" s="360">
        <f t="shared" si="64"/>
        <v>318858.83190000005</v>
      </c>
      <c r="G86" s="292">
        <f t="shared" si="64"/>
        <v>276814.10700000002</v>
      </c>
      <c r="H86" s="341">
        <f t="shared" si="64"/>
        <v>529453.34010000003</v>
      </c>
      <c r="I86" s="341">
        <f t="shared" si="64"/>
        <v>249604.73010000002</v>
      </c>
      <c r="J86" s="341">
        <f t="shared" si="64"/>
        <v>323646.60330000002</v>
      </c>
      <c r="K86" s="319">
        <f t="shared" si="64"/>
        <v>313194.42630000005</v>
      </c>
      <c r="L86" s="292">
        <f t="shared" si="64"/>
        <v>414546.82650000002</v>
      </c>
      <c r="M86" s="292">
        <f t="shared" si="64"/>
        <v>139351.12110000002</v>
      </c>
      <c r="N86" s="341">
        <f t="shared" si="64"/>
        <v>338077.35090000002</v>
      </c>
      <c r="O86" s="341">
        <f t="shared" si="64"/>
        <v>161806.44330000001</v>
      </c>
      <c r="P86" s="318">
        <f t="shared" si="64"/>
        <v>67433.400000000009</v>
      </c>
      <c r="Q86" s="341">
        <f t="shared" si="64"/>
        <v>42145.875000000007</v>
      </c>
      <c r="Y86" s="104"/>
      <c r="Z86" s="104"/>
      <c r="AA86" s="104"/>
    </row>
    <row r="87" spans="1:27">
      <c r="A87" s="412"/>
      <c r="B87" s="66" t="s">
        <v>8</v>
      </c>
      <c r="C87" s="326">
        <f>SUM(C85-642)</f>
        <v>5228</v>
      </c>
      <c r="D87" s="361">
        <f>SUM(D85-686)</f>
        <v>2647</v>
      </c>
      <c r="E87" s="327">
        <f>SUM(E85-652)</f>
        <v>2678</v>
      </c>
      <c r="F87" s="294">
        <f>SUM(F85-1211)</f>
        <v>8246</v>
      </c>
      <c r="G87" s="362">
        <f>SUM(G85-4417)</f>
        <v>3793</v>
      </c>
      <c r="H87" s="294">
        <f>SUM(H85-2129)</f>
        <v>13574</v>
      </c>
      <c r="I87" s="362">
        <f>SUM(I85-(3166-2000))</f>
        <v>6237</v>
      </c>
      <c r="J87" s="103">
        <f>SUM(J85-9230)</f>
        <v>369</v>
      </c>
      <c r="K87" s="327">
        <f>SUM(K85-909)</f>
        <v>8380</v>
      </c>
      <c r="L87" s="294">
        <f>SUM(L85-1241)</f>
        <v>11054</v>
      </c>
      <c r="M87" s="362">
        <f>SUM(M85-198)</f>
        <v>3935</v>
      </c>
      <c r="N87" s="294">
        <f>SUM(N85-(5053-2614))</f>
        <v>7588</v>
      </c>
      <c r="O87" s="361">
        <f>SUM(O85-3961)</f>
        <v>838</v>
      </c>
      <c r="P87" s="326">
        <f>SUM(P85-1057)</f>
        <v>943</v>
      </c>
      <c r="Q87" s="361">
        <f>SUM(Q85-767)</f>
        <v>483</v>
      </c>
      <c r="T87" s="14" t="s">
        <v>192</v>
      </c>
    </row>
    <row r="88" spans="1:27">
      <c r="A88" s="412"/>
      <c r="B88" s="29" t="s">
        <v>77</v>
      </c>
      <c r="C88" s="318">
        <f t="shared" ref="C88:Q88" si="65">(C87*33.7167)</f>
        <v>176270.90760000001</v>
      </c>
      <c r="D88" s="320">
        <f t="shared" si="65"/>
        <v>89248.104900000006</v>
      </c>
      <c r="E88" s="318">
        <f t="shared" si="65"/>
        <v>90293.322600000014</v>
      </c>
      <c r="F88" s="320">
        <f t="shared" si="65"/>
        <v>278027.90820000001</v>
      </c>
      <c r="G88" s="321">
        <f t="shared" si="65"/>
        <v>127887.44310000002</v>
      </c>
      <c r="H88" s="321">
        <f t="shared" si="65"/>
        <v>457670.48580000002</v>
      </c>
      <c r="I88" s="321">
        <f t="shared" si="65"/>
        <v>210291.05790000001</v>
      </c>
      <c r="J88" s="322">
        <f t="shared" si="65"/>
        <v>12441.462300000001</v>
      </c>
      <c r="K88" s="323">
        <f t="shared" si="65"/>
        <v>282545.946</v>
      </c>
      <c r="L88" s="321">
        <f t="shared" si="65"/>
        <v>372704.40180000005</v>
      </c>
      <c r="M88" s="321">
        <f t="shared" si="65"/>
        <v>132675.2145</v>
      </c>
      <c r="N88" s="321">
        <f t="shared" si="65"/>
        <v>255842.31960000002</v>
      </c>
      <c r="O88" s="322">
        <f t="shared" si="65"/>
        <v>28254.594600000004</v>
      </c>
      <c r="P88" s="324">
        <f t="shared" si="65"/>
        <v>31794.848100000003</v>
      </c>
      <c r="Q88" s="325">
        <f t="shared" si="65"/>
        <v>16285.166100000002</v>
      </c>
      <c r="T88" s="89">
        <f>344240-H88</f>
        <v>-113430.48580000002</v>
      </c>
      <c r="U88" s="104" t="s">
        <v>193</v>
      </c>
    </row>
    <row r="89" spans="1:27" ht="15.75" thickBot="1">
      <c r="A89" s="412"/>
      <c r="B89" s="342" t="s">
        <v>203</v>
      </c>
      <c r="C89" s="315">
        <f>C86/(C76+C79+C82)</f>
        <v>0.79161238648799126</v>
      </c>
      <c r="D89" s="329">
        <f>D86/D76</f>
        <v>0.74661770458649535</v>
      </c>
      <c r="E89" s="316">
        <f>E86/E76</f>
        <v>0.7459456814500538</v>
      </c>
      <c r="F89" s="316">
        <f t="shared" ref="F89:G89" si="66">F86/F76</f>
        <v>1.7519927817808791</v>
      </c>
      <c r="G89" s="316">
        <f t="shared" si="66"/>
        <v>1.6730729786494614</v>
      </c>
      <c r="H89" s="291">
        <f>H86/(H76+H79+H82)</f>
        <v>1.3593010705150474</v>
      </c>
      <c r="I89" s="329">
        <f>I86/I76</f>
        <v>2.0572078391650006</v>
      </c>
      <c r="J89" s="330">
        <f>J86/J76</f>
        <v>1.9487638228807085</v>
      </c>
      <c r="K89" s="315">
        <f>K86/K76</f>
        <v>1.6225420604371412</v>
      </c>
      <c r="L89" s="291">
        <f>L86/(L76+L79+L82)</f>
        <v>0.94598051956646356</v>
      </c>
      <c r="M89" s="291">
        <f>M86/M76</f>
        <v>1.6844839077778169</v>
      </c>
      <c r="N89" s="329">
        <f>N86/N76</f>
        <v>1.9156401783290939</v>
      </c>
      <c r="O89" s="329">
        <f>O86/O76</f>
        <v>1.9485596322210048</v>
      </c>
      <c r="P89" s="315">
        <f>P86/P76</f>
        <v>1.2227049373538106</v>
      </c>
      <c r="Q89" s="329">
        <f>Q86/Q76</f>
        <v>1.2736548254030615</v>
      </c>
      <c r="T89" s="175"/>
    </row>
    <row r="90" spans="1:27" ht="15.75" thickBot="1">
      <c r="A90" s="413"/>
      <c r="B90" s="342" t="s">
        <v>204</v>
      </c>
      <c r="C90" s="315">
        <f>C88/(C76+C79+C82)</f>
        <v>0.70503399600668115</v>
      </c>
      <c r="D90" s="329">
        <f>D88/D76</f>
        <v>0.59294841405354126</v>
      </c>
      <c r="E90" s="316">
        <f>E88/E76</f>
        <v>0.59989265313010343</v>
      </c>
      <c r="F90" s="316">
        <f t="shared" ref="F90:G90" si="67">F88/F76</f>
        <v>1.5276443352611957</v>
      </c>
      <c r="G90" s="316">
        <f t="shared" si="67"/>
        <v>0.77295564044060994</v>
      </c>
      <c r="H90" s="291">
        <f>H88/(H76+H79+H82)</f>
        <v>1.1750081341890883</v>
      </c>
      <c r="I90" s="329">
        <f>I88/I76</f>
        <v>1.733189962565461</v>
      </c>
      <c r="J90" s="330">
        <f>J88/J76</f>
        <v>7.491341292249E-2</v>
      </c>
      <c r="K90" s="315">
        <f>K88/K76</f>
        <v>1.4637638568697644</v>
      </c>
      <c r="L90" s="291">
        <f>L88/(L76+L79+L82)</f>
        <v>0.85049765459842941</v>
      </c>
      <c r="M90" s="291">
        <f>M88/M76</f>
        <v>1.6037851868148338</v>
      </c>
      <c r="N90" s="329">
        <f>N88/N76</f>
        <v>1.4496736484652604</v>
      </c>
      <c r="O90" s="329">
        <f>O88/O76</f>
        <v>0.34025692265080271</v>
      </c>
      <c r="P90" s="315">
        <f t="shared" ref="P90:Q90" si="68">P88/P76</f>
        <v>0.57650537796232171</v>
      </c>
      <c r="Q90" s="329">
        <f t="shared" si="68"/>
        <v>0.49214022453574297</v>
      </c>
      <c r="T90" s="175"/>
    </row>
    <row r="91" spans="1:27" ht="15.75" thickBot="1">
      <c r="A91" s="406">
        <v>41393</v>
      </c>
      <c r="B91" s="406"/>
      <c r="C91" s="282">
        <f>C95+C98+C101</f>
        <v>121593.90000000001</v>
      </c>
      <c r="H91" s="282">
        <f>H95+H98+H101</f>
        <v>154944.20000000001</v>
      </c>
      <c r="K91" s="282"/>
      <c r="L91" s="282">
        <f>L95+L98+L101</f>
        <v>155105.60000000001</v>
      </c>
      <c r="N91" s="15"/>
    </row>
    <row r="92" spans="1:27">
      <c r="A92" s="407" t="s">
        <v>1</v>
      </c>
      <c r="B92" s="408"/>
      <c r="C92" s="300" t="s">
        <v>12</v>
      </c>
      <c r="D92" s="80" t="s">
        <v>12</v>
      </c>
      <c r="E92" s="300" t="s">
        <v>13</v>
      </c>
      <c r="F92" s="290" t="s">
        <v>13</v>
      </c>
      <c r="G92" s="290" t="s">
        <v>13</v>
      </c>
      <c r="H92" s="290" t="s">
        <v>13</v>
      </c>
      <c r="I92" s="290" t="s">
        <v>13</v>
      </c>
      <c r="J92" s="80" t="s">
        <v>13</v>
      </c>
      <c r="K92" s="300" t="s">
        <v>2</v>
      </c>
      <c r="L92" s="290" t="s">
        <v>2</v>
      </c>
      <c r="M92" s="295" t="s">
        <v>2</v>
      </c>
      <c r="N92" s="290" t="s">
        <v>2</v>
      </c>
      <c r="O92" s="80" t="s">
        <v>2</v>
      </c>
      <c r="P92" s="301" t="s">
        <v>199</v>
      </c>
      <c r="Q92" s="302" t="s">
        <v>199</v>
      </c>
    </row>
    <row r="93" spans="1:27" ht="15.75" thickBot="1">
      <c r="A93" s="409" t="s">
        <v>0</v>
      </c>
      <c r="B93" s="410"/>
      <c r="C93" s="303" t="s">
        <v>102</v>
      </c>
      <c r="D93" s="304" t="s">
        <v>103</v>
      </c>
      <c r="E93" s="303" t="s">
        <v>104</v>
      </c>
      <c r="F93" s="305" t="s">
        <v>105</v>
      </c>
      <c r="G93" s="305" t="s">
        <v>100</v>
      </c>
      <c r="H93" s="305" t="s">
        <v>107</v>
      </c>
      <c r="I93" s="305" t="s">
        <v>106</v>
      </c>
      <c r="J93" s="306" t="s">
        <v>200</v>
      </c>
      <c r="K93" s="303" t="s">
        <v>108</v>
      </c>
      <c r="L93" s="305" t="s">
        <v>110</v>
      </c>
      <c r="M93" s="307" t="s">
        <v>101</v>
      </c>
      <c r="N93" s="308" t="s">
        <v>109</v>
      </c>
      <c r="O93" s="304" t="s">
        <v>201</v>
      </c>
      <c r="P93" s="309" t="s">
        <v>111</v>
      </c>
      <c r="Q93" s="304" t="s">
        <v>202</v>
      </c>
      <c r="R93" s="14"/>
      <c r="S93" s="14"/>
      <c r="T93" s="14"/>
      <c r="U93" s="14"/>
      <c r="V93" s="14"/>
      <c r="W93" s="14"/>
      <c r="X93" s="14"/>
      <c r="Y93" s="175"/>
      <c r="Z93" s="174"/>
      <c r="AA93" s="175"/>
    </row>
    <row r="94" spans="1:27" ht="15" customHeight="1">
      <c r="A94" s="411" t="s">
        <v>195</v>
      </c>
      <c r="B94" s="2" t="s">
        <v>4</v>
      </c>
      <c r="C94" s="310">
        <v>143392.20000000001</v>
      </c>
      <c r="D94" s="100">
        <v>150515.79999999999</v>
      </c>
      <c r="E94" s="310">
        <v>150515.79999999999</v>
      </c>
      <c r="F94" s="285">
        <v>181997.8</v>
      </c>
      <c r="G94" s="285">
        <v>165452.5</v>
      </c>
      <c r="H94" s="285">
        <v>132132</v>
      </c>
      <c r="I94" s="285">
        <v>121331.8</v>
      </c>
      <c r="J94" s="100">
        <v>166077.9</v>
      </c>
      <c r="K94" s="310">
        <v>193027</v>
      </c>
      <c r="L94" s="285">
        <v>132132.20000000001</v>
      </c>
      <c r="M94" s="285">
        <v>82726.3</v>
      </c>
      <c r="N94" s="285">
        <v>176482.7</v>
      </c>
      <c r="O94" s="100">
        <v>83039</v>
      </c>
      <c r="P94" s="311">
        <v>55151</v>
      </c>
      <c r="Q94" s="100">
        <v>33090.5</v>
      </c>
      <c r="Y94" s="104"/>
      <c r="Z94" s="104"/>
      <c r="AA94" s="104"/>
    </row>
    <row r="95" spans="1:27">
      <c r="A95" s="412"/>
      <c r="B95" s="63" t="s">
        <v>5</v>
      </c>
      <c r="C95" s="312">
        <v>42452.9</v>
      </c>
      <c r="D95" s="102">
        <v>77798.5</v>
      </c>
      <c r="E95" s="312">
        <v>79368</v>
      </c>
      <c r="F95" s="286">
        <v>157790.20000000001</v>
      </c>
      <c r="G95" s="286">
        <v>97448.1</v>
      </c>
      <c r="H95" s="286">
        <v>51518.3</v>
      </c>
      <c r="I95" s="286">
        <v>84056.7</v>
      </c>
      <c r="J95" s="102">
        <v>13757.2</v>
      </c>
      <c r="K95" s="312">
        <v>158575.20000000001</v>
      </c>
      <c r="L95" s="286">
        <v>64981.5</v>
      </c>
      <c r="M95" s="286">
        <v>50227.5</v>
      </c>
      <c r="N95" s="286">
        <v>154514.9</v>
      </c>
      <c r="O95" s="102">
        <v>6979.2</v>
      </c>
      <c r="P95" s="313">
        <v>6996.7</v>
      </c>
      <c r="Q95" s="102">
        <v>3446.7</v>
      </c>
      <c r="Y95" s="104"/>
      <c r="Z95" s="104"/>
      <c r="AA95" s="104"/>
    </row>
    <row r="96" spans="1:27" ht="15.75" thickBot="1">
      <c r="A96" s="413"/>
      <c r="B96" s="271" t="s">
        <v>3</v>
      </c>
      <c r="C96" s="315">
        <f t="shared" ref="C96" si="69">C95/C94</f>
        <v>0.29606143151440595</v>
      </c>
      <c r="D96" s="363">
        <f>D95/D94</f>
        <v>0.51687929107774733</v>
      </c>
      <c r="E96" s="315">
        <f t="shared" ref="E96" si="70">E95/E94</f>
        <v>0.52730676779447738</v>
      </c>
      <c r="F96" s="291">
        <f>F95/F94</f>
        <v>0.86698960097319866</v>
      </c>
      <c r="G96" s="291">
        <f>G95/G94</f>
        <v>0.58897931430470984</v>
      </c>
      <c r="H96" s="291">
        <f t="shared" ref="H96" si="71">H95/H94</f>
        <v>0.38990025126388766</v>
      </c>
      <c r="I96" s="291">
        <f>I95/I94</f>
        <v>0.6927837549595407</v>
      </c>
      <c r="J96" s="83">
        <f>J95/J94</f>
        <v>8.283582583835658E-2</v>
      </c>
      <c r="K96" s="315">
        <f t="shared" ref="K96" si="72">K95/K94</f>
        <v>0.82151823320053674</v>
      </c>
      <c r="L96" s="291">
        <f>L95/L94</f>
        <v>0.49179155421615622</v>
      </c>
      <c r="M96" s="296">
        <f>M95/M94</f>
        <v>0.607152743444346</v>
      </c>
      <c r="N96" s="291">
        <f>N95/N94</f>
        <v>0.87552434317924632</v>
      </c>
      <c r="O96" s="83">
        <f t="shared" ref="O96:Q96" si="73">O95/O94</f>
        <v>8.4047254904322063E-2</v>
      </c>
      <c r="P96" s="316">
        <f t="shared" si="73"/>
        <v>0.12686442675563453</v>
      </c>
      <c r="Q96" s="83">
        <f t="shared" si="73"/>
        <v>0.10415980417340323</v>
      </c>
      <c r="Y96" s="104"/>
      <c r="Z96" s="104"/>
      <c r="AA96" s="104"/>
    </row>
    <row r="97" spans="1:27" ht="15" customHeight="1">
      <c r="A97" s="411" t="s">
        <v>196</v>
      </c>
      <c r="B97" s="27" t="s">
        <v>4</v>
      </c>
      <c r="C97" s="310">
        <v>9191.7999999999993</v>
      </c>
      <c r="D97" s="343" t="s">
        <v>198</v>
      </c>
      <c r="E97" s="344" t="s">
        <v>198</v>
      </c>
      <c r="F97" s="345" t="s">
        <v>198</v>
      </c>
      <c r="G97" s="345" t="s">
        <v>198</v>
      </c>
      <c r="H97" s="285">
        <v>13787.7</v>
      </c>
      <c r="I97" s="345" t="s">
        <v>198</v>
      </c>
      <c r="J97" s="343" t="s">
        <v>198</v>
      </c>
      <c r="K97" s="344" t="s">
        <v>198</v>
      </c>
      <c r="L97" s="285">
        <v>13787.7</v>
      </c>
      <c r="M97" s="345" t="s">
        <v>198</v>
      </c>
      <c r="N97" s="345" t="s">
        <v>198</v>
      </c>
      <c r="O97" s="343" t="s">
        <v>198</v>
      </c>
      <c r="P97" s="344" t="s">
        <v>198</v>
      </c>
      <c r="Q97" s="343" t="s">
        <v>198</v>
      </c>
      <c r="Y97" s="104"/>
      <c r="Z97" s="104"/>
      <c r="AA97" s="104"/>
    </row>
    <row r="98" spans="1:27">
      <c r="A98" s="412"/>
      <c r="B98" s="66" t="s">
        <v>5</v>
      </c>
      <c r="C98" s="312">
        <v>8517.7000000000007</v>
      </c>
      <c r="D98" s="346" t="s">
        <v>198</v>
      </c>
      <c r="E98" s="347" t="s">
        <v>198</v>
      </c>
      <c r="F98" s="348" t="s">
        <v>198</v>
      </c>
      <c r="G98" s="348" t="s">
        <v>198</v>
      </c>
      <c r="H98" s="286">
        <v>13649.2</v>
      </c>
      <c r="I98" s="348" t="s">
        <v>198</v>
      </c>
      <c r="J98" s="346" t="s">
        <v>198</v>
      </c>
      <c r="K98" s="347" t="s">
        <v>198</v>
      </c>
      <c r="L98" s="286">
        <v>13649.1</v>
      </c>
      <c r="M98" s="348" t="s">
        <v>198</v>
      </c>
      <c r="N98" s="348" t="s">
        <v>198</v>
      </c>
      <c r="O98" s="346" t="s">
        <v>198</v>
      </c>
      <c r="P98" s="356" t="s">
        <v>198</v>
      </c>
      <c r="Q98" s="346" t="s">
        <v>198</v>
      </c>
      <c r="Y98" s="104"/>
      <c r="Z98" s="104"/>
      <c r="AA98" s="104"/>
    </row>
    <row r="99" spans="1:27" ht="15.75" thickBot="1">
      <c r="A99" s="413"/>
      <c r="B99" s="340" t="s">
        <v>3</v>
      </c>
      <c r="C99" s="314">
        <f>C98/C97</f>
        <v>0.92666289518919054</v>
      </c>
      <c r="D99" s="349" t="s">
        <v>198</v>
      </c>
      <c r="E99" s="350" t="s">
        <v>198</v>
      </c>
      <c r="F99" s="351" t="s">
        <v>198</v>
      </c>
      <c r="G99" s="351" t="s">
        <v>198</v>
      </c>
      <c r="H99" s="283">
        <f t="shared" ref="H99" si="74">H98/H97</f>
        <v>0.9899548147986974</v>
      </c>
      <c r="I99" s="351" t="s">
        <v>198</v>
      </c>
      <c r="J99" s="349" t="s">
        <v>198</v>
      </c>
      <c r="K99" s="350" t="s">
        <v>198</v>
      </c>
      <c r="L99" s="335">
        <f t="shared" ref="L99" si="75">L98/L97</f>
        <v>0.98994756195739675</v>
      </c>
      <c r="M99" s="351" t="s">
        <v>198</v>
      </c>
      <c r="N99" s="351" t="s">
        <v>198</v>
      </c>
      <c r="O99" s="349" t="s">
        <v>198</v>
      </c>
      <c r="P99" s="357" t="s">
        <v>198</v>
      </c>
      <c r="Q99" s="349" t="s">
        <v>198</v>
      </c>
      <c r="Y99" s="104"/>
      <c r="Z99" s="104"/>
      <c r="AA99" s="104"/>
    </row>
    <row r="100" spans="1:27" ht="15" customHeight="1">
      <c r="A100" s="411" t="s">
        <v>197</v>
      </c>
      <c r="B100" s="27" t="s">
        <v>4</v>
      </c>
      <c r="C100" s="310">
        <v>97433.600000000006</v>
      </c>
      <c r="D100" s="343" t="s">
        <v>198</v>
      </c>
      <c r="E100" s="352" t="s">
        <v>198</v>
      </c>
      <c r="F100" s="345" t="s">
        <v>198</v>
      </c>
      <c r="G100" s="345" t="s">
        <v>198</v>
      </c>
      <c r="H100" s="285">
        <v>243584.4</v>
      </c>
      <c r="I100" s="345" t="s">
        <v>198</v>
      </c>
      <c r="J100" s="343" t="s">
        <v>198</v>
      </c>
      <c r="K100" s="352" t="s">
        <v>198</v>
      </c>
      <c r="L100" s="285">
        <v>292299.3</v>
      </c>
      <c r="M100" s="345" t="s">
        <v>198</v>
      </c>
      <c r="N100" s="345" t="s">
        <v>198</v>
      </c>
      <c r="O100" s="343" t="s">
        <v>198</v>
      </c>
      <c r="P100" s="344" t="s">
        <v>198</v>
      </c>
      <c r="Q100" s="343" t="s">
        <v>198</v>
      </c>
      <c r="Y100" s="104"/>
      <c r="Z100" s="104"/>
      <c r="AA100" s="104"/>
    </row>
    <row r="101" spans="1:27">
      <c r="A101" s="412"/>
      <c r="B101" s="66" t="s">
        <v>5</v>
      </c>
      <c r="C101" s="312">
        <v>70623.3</v>
      </c>
      <c r="D101" s="346" t="s">
        <v>198</v>
      </c>
      <c r="E101" s="347" t="s">
        <v>198</v>
      </c>
      <c r="F101" s="348" t="s">
        <v>198</v>
      </c>
      <c r="G101" s="348" t="s">
        <v>198</v>
      </c>
      <c r="H101" s="286">
        <v>89776.7</v>
      </c>
      <c r="I101" s="348" t="s">
        <v>198</v>
      </c>
      <c r="J101" s="346" t="s">
        <v>198</v>
      </c>
      <c r="K101" s="347" t="s">
        <v>198</v>
      </c>
      <c r="L101" s="286">
        <v>76475</v>
      </c>
      <c r="M101" s="348" t="s">
        <v>198</v>
      </c>
      <c r="N101" s="348" t="s">
        <v>198</v>
      </c>
      <c r="O101" s="346" t="s">
        <v>198</v>
      </c>
      <c r="P101" s="356" t="s">
        <v>198</v>
      </c>
      <c r="Q101" s="346" t="s">
        <v>198</v>
      </c>
      <c r="Y101" s="104"/>
      <c r="Z101" s="104"/>
      <c r="AA101" s="104"/>
    </row>
    <row r="102" spans="1:27" ht="15.75" thickBot="1">
      <c r="A102" s="413"/>
      <c r="B102" s="256" t="s">
        <v>3</v>
      </c>
      <c r="C102" s="315">
        <f>C101/C100</f>
        <v>0.72483516979768781</v>
      </c>
      <c r="D102" s="353" t="s">
        <v>198</v>
      </c>
      <c r="E102" s="354" t="s">
        <v>198</v>
      </c>
      <c r="F102" s="355" t="s">
        <v>198</v>
      </c>
      <c r="G102" s="355" t="s">
        <v>198</v>
      </c>
      <c r="H102" s="291">
        <f t="shared" ref="H102" si="76">H101/H100</f>
        <v>0.36856506410098511</v>
      </c>
      <c r="I102" s="355" t="s">
        <v>198</v>
      </c>
      <c r="J102" s="353" t="s">
        <v>198</v>
      </c>
      <c r="K102" s="354" t="s">
        <v>198</v>
      </c>
      <c r="L102" s="329">
        <f t="shared" ref="L102" si="77">L101/L100</f>
        <v>0.2616325116071096</v>
      </c>
      <c r="M102" s="355" t="s">
        <v>198</v>
      </c>
      <c r="N102" s="355" t="s">
        <v>198</v>
      </c>
      <c r="O102" s="353" t="s">
        <v>198</v>
      </c>
      <c r="P102" s="358" t="s">
        <v>198</v>
      </c>
      <c r="Q102" s="353" t="s">
        <v>198</v>
      </c>
      <c r="Y102" s="104"/>
      <c r="Z102" s="104"/>
      <c r="AA102" s="104"/>
    </row>
    <row r="103" spans="1:27" ht="15" customHeight="1">
      <c r="A103" s="411" t="s">
        <v>6</v>
      </c>
      <c r="B103" s="279" t="s">
        <v>7</v>
      </c>
      <c r="C103" s="300">
        <v>5870</v>
      </c>
      <c r="D103" s="80">
        <v>3333</v>
      </c>
      <c r="E103" s="300">
        <v>3330</v>
      </c>
      <c r="F103" s="290">
        <v>9457</v>
      </c>
      <c r="G103" s="290">
        <v>7870</v>
      </c>
      <c r="H103" s="290">
        <v>15543</v>
      </c>
      <c r="I103" s="290">
        <v>7403</v>
      </c>
      <c r="J103" s="80">
        <v>9599</v>
      </c>
      <c r="K103" s="300">
        <v>9289</v>
      </c>
      <c r="L103" s="290">
        <v>12295</v>
      </c>
      <c r="M103" s="290">
        <v>4133</v>
      </c>
      <c r="N103" s="290">
        <v>10027</v>
      </c>
      <c r="O103" s="80">
        <v>4799</v>
      </c>
      <c r="P103" s="317">
        <v>2000</v>
      </c>
      <c r="Q103" s="80">
        <v>1250</v>
      </c>
      <c r="Y103" s="104"/>
      <c r="Z103" s="104"/>
      <c r="AA103" s="104"/>
    </row>
    <row r="104" spans="1:27">
      <c r="A104" s="412"/>
      <c r="B104" s="28" t="s">
        <v>11</v>
      </c>
      <c r="C104" s="318">
        <f t="shared" ref="C104" si="78">C103*33.7167</f>
        <v>197917.02900000001</v>
      </c>
      <c r="D104" s="84">
        <f t="shared" ref="D104" si="79">D103*33.7167</f>
        <v>112377.7611</v>
      </c>
      <c r="E104" s="318">
        <f t="shared" ref="E104" si="80">E103*33.7167</f>
        <v>112276.611</v>
      </c>
      <c r="F104" s="360">
        <f t="shared" ref="F104" si="81">F103*33.7167</f>
        <v>318858.83190000005</v>
      </c>
      <c r="G104" s="292">
        <f t="shared" ref="G104" si="82">G103*33.7167</f>
        <v>265350.429</v>
      </c>
      <c r="H104" s="341">
        <f t="shared" ref="H104" si="83">H103*33.7167</f>
        <v>524058.66810000007</v>
      </c>
      <c r="I104" s="341">
        <f t="shared" ref="I104" si="84">I103*33.7167</f>
        <v>249604.73010000002</v>
      </c>
      <c r="J104" s="341">
        <f t="shared" ref="J104" si="85">J103*33.7167</f>
        <v>323646.60330000002</v>
      </c>
      <c r="K104" s="319">
        <f t="shared" ref="K104" si="86">K103*33.7167</f>
        <v>313194.42630000005</v>
      </c>
      <c r="L104" s="292">
        <f t="shared" ref="L104" si="87">L103*33.7167</f>
        <v>414546.82650000002</v>
      </c>
      <c r="M104" s="292">
        <f t="shared" ref="M104" si="88">M103*33.7167</f>
        <v>139351.12110000002</v>
      </c>
      <c r="N104" s="341">
        <f t="shared" ref="N104" si="89">N103*33.7167</f>
        <v>338077.35090000002</v>
      </c>
      <c r="O104" s="341">
        <f t="shared" ref="O104" si="90">O103*33.7167</f>
        <v>161806.44330000001</v>
      </c>
      <c r="P104" s="318">
        <f t="shared" ref="P104" si="91">P103*33.7167</f>
        <v>67433.400000000009</v>
      </c>
      <c r="Q104" s="341">
        <f t="shared" ref="Q104" si="92">Q103*33.7167</f>
        <v>42145.875000000007</v>
      </c>
      <c r="Y104" s="104"/>
      <c r="Z104" s="104"/>
      <c r="AA104" s="104"/>
    </row>
    <row r="105" spans="1:27">
      <c r="A105" s="412"/>
      <c r="B105" s="66" t="s">
        <v>8</v>
      </c>
      <c r="C105" s="326">
        <f>SUM(C103-168)</f>
        <v>5702</v>
      </c>
      <c r="D105" s="361">
        <f>SUM(D103-686)</f>
        <v>2647</v>
      </c>
      <c r="E105" s="327">
        <f>SUM(E103-652)</f>
        <v>2678</v>
      </c>
      <c r="F105" s="294">
        <f>SUM(F103-1211)</f>
        <v>8246</v>
      </c>
      <c r="G105" s="362">
        <f>SUM(G103-4109)</f>
        <v>3761</v>
      </c>
      <c r="H105" s="294">
        <f>SUM(H103-2129)</f>
        <v>13414</v>
      </c>
      <c r="I105" s="362">
        <f>SUM(I103-(3437-2000))</f>
        <v>5966</v>
      </c>
      <c r="J105" s="103">
        <f>SUM(J103-9288)</f>
        <v>311</v>
      </c>
      <c r="K105" s="327">
        <f>SUM(K103-887)</f>
        <v>8402</v>
      </c>
      <c r="L105" s="294">
        <f>SUM(L103-1241)</f>
        <v>11054</v>
      </c>
      <c r="M105" s="362">
        <f>SUM(M103-213)</f>
        <v>3920</v>
      </c>
      <c r="N105" s="294">
        <f>SUM(N103-(5357-2614))</f>
        <v>7284</v>
      </c>
      <c r="O105" s="361">
        <f>SUM(O103-3991)</f>
        <v>808</v>
      </c>
      <c r="P105" s="326">
        <f>SUM(P103-1261)</f>
        <v>739</v>
      </c>
      <c r="Q105" s="361">
        <f>SUM(Q103-869)</f>
        <v>381</v>
      </c>
      <c r="T105" s="14" t="s">
        <v>192</v>
      </c>
    </row>
    <row r="106" spans="1:27">
      <c r="A106" s="412"/>
      <c r="B106" s="29" t="s">
        <v>77</v>
      </c>
      <c r="C106" s="318">
        <f t="shared" ref="C106" si="93">(C105*33.7167)</f>
        <v>192252.62340000001</v>
      </c>
      <c r="D106" s="320">
        <f t="shared" ref="D106" si="94">(D105*33.7167)</f>
        <v>89248.104900000006</v>
      </c>
      <c r="E106" s="318">
        <f t="shared" ref="E106" si="95">(E105*33.7167)</f>
        <v>90293.322600000014</v>
      </c>
      <c r="F106" s="320">
        <f t="shared" ref="F106" si="96">(F105*33.7167)</f>
        <v>278027.90820000001</v>
      </c>
      <c r="G106" s="321">
        <f t="shared" ref="G106" si="97">(G105*33.7167)</f>
        <v>126808.50870000001</v>
      </c>
      <c r="H106" s="321">
        <f t="shared" ref="H106" si="98">(H105*33.7167)</f>
        <v>452275.81380000006</v>
      </c>
      <c r="I106" s="321">
        <f t="shared" ref="I106" si="99">(I105*33.7167)</f>
        <v>201153.8322</v>
      </c>
      <c r="J106" s="322">
        <f t="shared" ref="J106" si="100">(J105*33.7167)</f>
        <v>10485.893700000001</v>
      </c>
      <c r="K106" s="323">
        <f t="shared" ref="K106" si="101">(K105*33.7167)</f>
        <v>283287.71340000001</v>
      </c>
      <c r="L106" s="321">
        <f t="shared" ref="L106" si="102">(L105*33.7167)</f>
        <v>372704.40180000005</v>
      </c>
      <c r="M106" s="321">
        <f t="shared" ref="M106" si="103">(M105*33.7167)</f>
        <v>132169.46400000001</v>
      </c>
      <c r="N106" s="321">
        <f t="shared" ref="N106" si="104">(N105*33.7167)</f>
        <v>245592.44280000002</v>
      </c>
      <c r="O106" s="322">
        <f t="shared" ref="O106" si="105">(O105*33.7167)</f>
        <v>27243.093600000004</v>
      </c>
      <c r="P106" s="324">
        <f t="shared" ref="P106" si="106">(P105*33.7167)</f>
        <v>24916.641300000003</v>
      </c>
      <c r="Q106" s="325">
        <f t="shared" ref="Q106" si="107">(Q105*33.7167)</f>
        <v>12846.0627</v>
      </c>
      <c r="T106" s="89">
        <f>344240-H106</f>
        <v>-108035.81380000006</v>
      </c>
      <c r="U106" s="104" t="s">
        <v>193</v>
      </c>
    </row>
    <row r="107" spans="1:27" ht="15.75" thickBot="1">
      <c r="A107" s="412"/>
      <c r="B107" s="342" t="s">
        <v>203</v>
      </c>
      <c r="C107" s="315">
        <f>C104/(C94+C97+C100)</f>
        <v>0.79161238648799126</v>
      </c>
      <c r="D107" s="329">
        <f>D104/D94</f>
        <v>0.74661770458649535</v>
      </c>
      <c r="E107" s="316">
        <f>E104/E94</f>
        <v>0.7459456814500538</v>
      </c>
      <c r="F107" s="316">
        <f t="shared" ref="F107:G107" si="108">F104/F94</f>
        <v>1.7519927817808791</v>
      </c>
      <c r="G107" s="316">
        <f t="shared" si="108"/>
        <v>1.6037861561475348</v>
      </c>
      <c r="H107" s="291">
        <f>H104/(H94+H97+H100)</f>
        <v>1.3454509672683808</v>
      </c>
      <c r="I107" s="329">
        <f>I104/I94</f>
        <v>2.0572078391650006</v>
      </c>
      <c r="J107" s="330">
        <f>J104/J94</f>
        <v>1.9487638228807085</v>
      </c>
      <c r="K107" s="315">
        <f>K104/K94</f>
        <v>1.6225420604371412</v>
      </c>
      <c r="L107" s="291">
        <f>L104/(L94+L97+L100)</f>
        <v>0.94598051956646356</v>
      </c>
      <c r="M107" s="291">
        <f>M104/M94</f>
        <v>1.6844839077778169</v>
      </c>
      <c r="N107" s="329">
        <f>N104/N94</f>
        <v>1.9156401783290939</v>
      </c>
      <c r="O107" s="329">
        <f>O104/O94</f>
        <v>1.9485596322210048</v>
      </c>
      <c r="P107" s="315">
        <f>P104/P94</f>
        <v>1.2227049373538106</v>
      </c>
      <c r="Q107" s="329">
        <f>Q104/Q94</f>
        <v>1.2736548254030615</v>
      </c>
      <c r="T107" s="175"/>
    </row>
    <row r="108" spans="1:27" ht="15.75" thickBot="1">
      <c r="A108" s="413"/>
      <c r="B108" s="342" t="s">
        <v>204</v>
      </c>
      <c r="C108" s="315">
        <f>C106/(C94+C97+C100)</f>
        <v>0.76895635907232129</v>
      </c>
      <c r="D108" s="329">
        <f>D106/D94</f>
        <v>0.59294841405354126</v>
      </c>
      <c r="E108" s="316">
        <f>E106/E94</f>
        <v>0.59989265313010343</v>
      </c>
      <c r="F108" s="316">
        <f t="shared" ref="F108:G108" si="109">F106/F94</f>
        <v>1.5276443352611957</v>
      </c>
      <c r="G108" s="316">
        <f t="shared" si="109"/>
        <v>0.76643452773454623</v>
      </c>
      <c r="H108" s="291">
        <f>H106/(H94+H97+H100)</f>
        <v>1.1611580309424216</v>
      </c>
      <c r="I108" s="329">
        <f>I106/I94</f>
        <v>1.6578822056542473</v>
      </c>
      <c r="J108" s="330">
        <f>J106/J94</f>
        <v>6.3138404929253086E-2</v>
      </c>
      <c r="K108" s="315">
        <f>K106/K94</f>
        <v>1.4676066736777758</v>
      </c>
      <c r="L108" s="291">
        <f>L106/(L94+L97+L100)</f>
        <v>0.85049765459842941</v>
      </c>
      <c r="M108" s="291">
        <f>M106/M94</f>
        <v>1.5976716473479413</v>
      </c>
      <c r="N108" s="329">
        <f>N106/N94</f>
        <v>1.3915949993965415</v>
      </c>
      <c r="O108" s="329">
        <f>O106/O94</f>
        <v>0.32807588723370951</v>
      </c>
      <c r="P108" s="315">
        <f t="shared" ref="P108:Q108" si="110">P106/P94</f>
        <v>0.45178947435223299</v>
      </c>
      <c r="Q108" s="329">
        <f t="shared" si="110"/>
        <v>0.38820999078285312</v>
      </c>
      <c r="T108" s="175"/>
    </row>
    <row r="109" spans="1:27" ht="15.75" thickBot="1">
      <c r="A109" s="406">
        <v>41374</v>
      </c>
      <c r="B109" s="419"/>
      <c r="C109" s="282">
        <f>C113+C116+C119</f>
        <v>121180</v>
      </c>
      <c r="H109" s="282">
        <f>H113+H116+H119</f>
        <v>151257.29999999999</v>
      </c>
      <c r="K109" s="282"/>
      <c r="L109" s="282">
        <f>L113+L116+L119</f>
        <v>143252.29999999999</v>
      </c>
      <c r="N109" s="15"/>
    </row>
    <row r="110" spans="1:27">
      <c r="A110" s="407" t="s">
        <v>1</v>
      </c>
      <c r="B110" s="420"/>
      <c r="C110" s="300" t="s">
        <v>12</v>
      </c>
      <c r="D110" s="80" t="s">
        <v>12</v>
      </c>
      <c r="E110" s="300" t="s">
        <v>13</v>
      </c>
      <c r="F110" s="290" t="s">
        <v>13</v>
      </c>
      <c r="G110" s="290" t="s">
        <v>13</v>
      </c>
      <c r="H110" s="290" t="s">
        <v>13</v>
      </c>
      <c r="I110" s="290" t="s">
        <v>13</v>
      </c>
      <c r="J110" s="80" t="s">
        <v>13</v>
      </c>
      <c r="K110" s="300" t="s">
        <v>2</v>
      </c>
      <c r="L110" s="290" t="s">
        <v>2</v>
      </c>
      <c r="M110" s="295" t="s">
        <v>2</v>
      </c>
      <c r="N110" s="290" t="s">
        <v>2</v>
      </c>
      <c r="O110" s="80" t="s">
        <v>2</v>
      </c>
      <c r="P110" s="301" t="s">
        <v>199</v>
      </c>
      <c r="Q110" s="302" t="s">
        <v>199</v>
      </c>
    </row>
    <row r="111" spans="1:27" ht="15.75" thickBot="1">
      <c r="A111" s="409" t="s">
        <v>0</v>
      </c>
      <c r="B111" s="414"/>
      <c r="C111" s="303" t="s">
        <v>102</v>
      </c>
      <c r="D111" s="304" t="s">
        <v>103</v>
      </c>
      <c r="E111" s="303" t="s">
        <v>104</v>
      </c>
      <c r="F111" s="305" t="s">
        <v>105</v>
      </c>
      <c r="G111" s="305" t="s">
        <v>100</v>
      </c>
      <c r="H111" s="305" t="s">
        <v>107</v>
      </c>
      <c r="I111" s="305" t="s">
        <v>106</v>
      </c>
      <c r="J111" s="306" t="s">
        <v>200</v>
      </c>
      <c r="K111" s="303" t="s">
        <v>108</v>
      </c>
      <c r="L111" s="305" t="s">
        <v>110</v>
      </c>
      <c r="M111" s="307" t="s">
        <v>101</v>
      </c>
      <c r="N111" s="308" t="s">
        <v>109</v>
      </c>
      <c r="O111" s="304" t="s">
        <v>201</v>
      </c>
      <c r="P111" s="309" t="s">
        <v>111</v>
      </c>
      <c r="Q111" s="304" t="s">
        <v>202</v>
      </c>
      <c r="R111" s="14"/>
      <c r="S111" s="14"/>
      <c r="T111" s="14"/>
      <c r="U111" s="14"/>
      <c r="V111" s="14"/>
      <c r="W111" s="14"/>
      <c r="X111" s="14"/>
      <c r="Y111" s="175"/>
      <c r="Z111" s="174"/>
      <c r="AA111" s="175"/>
    </row>
    <row r="112" spans="1:27" ht="15" customHeight="1">
      <c r="A112" s="411" t="s">
        <v>195</v>
      </c>
      <c r="B112" s="2" t="s">
        <v>4</v>
      </c>
      <c r="C112" s="310">
        <v>143392.20000000001</v>
      </c>
      <c r="D112" s="100">
        <v>150515.79999999999</v>
      </c>
      <c r="E112" s="310">
        <v>150515.79999999999</v>
      </c>
      <c r="F112" s="285">
        <v>181997.8</v>
      </c>
      <c r="G112" s="285">
        <v>165452.5</v>
      </c>
      <c r="H112" s="285">
        <v>132132</v>
      </c>
      <c r="I112" s="285">
        <v>121331.8</v>
      </c>
      <c r="J112" s="100">
        <v>166077.9</v>
      </c>
      <c r="K112" s="310">
        <v>193027</v>
      </c>
      <c r="L112" s="285">
        <v>132132.20000000001</v>
      </c>
      <c r="M112" s="285">
        <v>82726.3</v>
      </c>
      <c r="N112" s="285">
        <v>176482.7</v>
      </c>
      <c r="O112" s="100">
        <v>83039</v>
      </c>
      <c r="P112" s="311">
        <v>55151</v>
      </c>
      <c r="Q112" s="100">
        <v>33090.5</v>
      </c>
      <c r="Y112" s="104"/>
      <c r="Z112" s="104"/>
      <c r="AA112" s="104"/>
    </row>
    <row r="113" spans="1:27">
      <c r="A113" s="412"/>
      <c r="B113" s="63" t="s">
        <v>5</v>
      </c>
      <c r="C113" s="312">
        <v>39080.800000000003</v>
      </c>
      <c r="D113" s="102">
        <v>77587.600000000006</v>
      </c>
      <c r="E113" s="312">
        <v>78998.600000000006</v>
      </c>
      <c r="F113" s="286">
        <v>158294.6</v>
      </c>
      <c r="G113" s="286">
        <v>93859.7</v>
      </c>
      <c r="H113" s="286">
        <v>50262</v>
      </c>
      <c r="I113" s="286">
        <v>76413</v>
      </c>
      <c r="J113" s="102">
        <v>12958.5</v>
      </c>
      <c r="K113" s="312">
        <v>156851.20000000001</v>
      </c>
      <c r="L113" s="286">
        <v>55901</v>
      </c>
      <c r="M113" s="286">
        <v>48632.9</v>
      </c>
      <c r="N113" s="286">
        <v>138263.29999999999</v>
      </c>
      <c r="O113" s="102">
        <v>6752.2</v>
      </c>
      <c r="P113" s="313">
        <v>6936.2</v>
      </c>
      <c r="Q113" s="102">
        <v>3328.7</v>
      </c>
      <c r="Y113" s="104"/>
      <c r="Z113" s="104"/>
      <c r="AA113" s="104"/>
    </row>
    <row r="114" spans="1:27" ht="15.75" thickBot="1">
      <c r="A114" s="412"/>
      <c r="B114" s="271" t="s">
        <v>3</v>
      </c>
      <c r="C114" s="314">
        <f>C113/C112</f>
        <v>0.27254481066613107</v>
      </c>
      <c r="D114" s="83">
        <f t="shared" ref="D114:E114" si="111">D113/D112</f>
        <v>0.51547810927490678</v>
      </c>
      <c r="E114" s="315">
        <f t="shared" si="111"/>
        <v>0.52485254039775231</v>
      </c>
      <c r="F114" s="291">
        <f>F113/F112</f>
        <v>0.86976106304581713</v>
      </c>
      <c r="G114" s="291">
        <f>G113/G112</f>
        <v>0.56729091431075385</v>
      </c>
      <c r="H114" s="291">
        <f t="shared" ref="H114" si="112">H113/H112</f>
        <v>0.38039233493778946</v>
      </c>
      <c r="I114" s="291">
        <f>I113/I112</f>
        <v>0.62978543135435228</v>
      </c>
      <c r="J114" s="83">
        <f>J113/J112</f>
        <v>7.8026636897504123E-2</v>
      </c>
      <c r="K114" s="315">
        <f t="shared" ref="K114" si="113">K113/K112</f>
        <v>0.81258684018297966</v>
      </c>
      <c r="L114" s="291">
        <f>L113/L112</f>
        <v>0.42306871451470568</v>
      </c>
      <c r="M114" s="296">
        <f>M113/M112</f>
        <v>0.58787713218166415</v>
      </c>
      <c r="N114" s="291">
        <f>N113/N112</f>
        <v>0.78343826335385836</v>
      </c>
      <c r="O114" s="83">
        <f t="shared" ref="O114:Q114" si="114">O113/O112</f>
        <v>8.1313599633906955E-2</v>
      </c>
      <c r="P114" s="316">
        <f t="shared" si="114"/>
        <v>0.12576743848706279</v>
      </c>
      <c r="Q114" s="83">
        <f t="shared" si="114"/>
        <v>0.10059382602257445</v>
      </c>
      <c r="Y114" s="104"/>
      <c r="Z114" s="104"/>
      <c r="AA114" s="104"/>
    </row>
    <row r="115" spans="1:27" ht="15" customHeight="1">
      <c r="A115" s="415" t="s">
        <v>196</v>
      </c>
      <c r="B115" s="27" t="s">
        <v>4</v>
      </c>
      <c r="C115" s="310">
        <v>9191.7999999999993</v>
      </c>
      <c r="D115" s="343" t="s">
        <v>198</v>
      </c>
      <c r="E115" s="344" t="s">
        <v>198</v>
      </c>
      <c r="F115" s="345" t="s">
        <v>198</v>
      </c>
      <c r="G115" s="345" t="s">
        <v>198</v>
      </c>
      <c r="H115" s="285">
        <v>13787.7</v>
      </c>
      <c r="I115" s="345" t="s">
        <v>198</v>
      </c>
      <c r="J115" s="343" t="s">
        <v>198</v>
      </c>
      <c r="K115" s="344" t="s">
        <v>198</v>
      </c>
      <c r="L115" s="285">
        <v>13787.7</v>
      </c>
      <c r="M115" s="345" t="s">
        <v>198</v>
      </c>
      <c r="N115" s="345" t="s">
        <v>198</v>
      </c>
      <c r="O115" s="343" t="s">
        <v>198</v>
      </c>
      <c r="P115" s="344" t="s">
        <v>198</v>
      </c>
      <c r="Q115" s="343" t="s">
        <v>198</v>
      </c>
      <c r="Y115" s="104"/>
      <c r="Z115" s="104"/>
      <c r="AA115" s="104"/>
    </row>
    <row r="116" spans="1:27">
      <c r="A116" s="416"/>
      <c r="B116" s="66" t="s">
        <v>5</v>
      </c>
      <c r="C116" s="312">
        <v>9035.7000000000007</v>
      </c>
      <c r="D116" s="346" t="s">
        <v>198</v>
      </c>
      <c r="E116" s="347" t="s">
        <v>198</v>
      </c>
      <c r="F116" s="348" t="s">
        <v>198</v>
      </c>
      <c r="G116" s="348" t="s">
        <v>198</v>
      </c>
      <c r="H116" s="286">
        <v>13649.7</v>
      </c>
      <c r="I116" s="348" t="s">
        <v>198</v>
      </c>
      <c r="J116" s="346" t="s">
        <v>198</v>
      </c>
      <c r="K116" s="347" t="s">
        <v>198</v>
      </c>
      <c r="L116" s="286">
        <v>13649.1</v>
      </c>
      <c r="M116" s="348" t="s">
        <v>198</v>
      </c>
      <c r="N116" s="348" t="s">
        <v>198</v>
      </c>
      <c r="O116" s="346" t="s">
        <v>198</v>
      </c>
      <c r="P116" s="356" t="s">
        <v>198</v>
      </c>
      <c r="Q116" s="346" t="s">
        <v>198</v>
      </c>
      <c r="Y116" s="104"/>
      <c r="Z116" s="104"/>
      <c r="AA116" s="104"/>
    </row>
    <row r="117" spans="1:27" ht="15.75" thickBot="1">
      <c r="A117" s="417"/>
      <c r="B117" s="340" t="s">
        <v>3</v>
      </c>
      <c r="C117" s="314">
        <f>C116/C115</f>
        <v>0.98301747209469326</v>
      </c>
      <c r="D117" s="349" t="s">
        <v>198</v>
      </c>
      <c r="E117" s="350" t="s">
        <v>198</v>
      </c>
      <c r="F117" s="351" t="s">
        <v>198</v>
      </c>
      <c r="G117" s="351" t="s">
        <v>198</v>
      </c>
      <c r="H117" s="283">
        <f t="shared" ref="H117" si="115">H116/H115</f>
        <v>0.98999107900520034</v>
      </c>
      <c r="I117" s="351" t="s">
        <v>198</v>
      </c>
      <c r="J117" s="349" t="s">
        <v>198</v>
      </c>
      <c r="K117" s="350" t="s">
        <v>198</v>
      </c>
      <c r="L117" s="335">
        <f t="shared" ref="L117" si="116">L116/L115</f>
        <v>0.98994756195739675</v>
      </c>
      <c r="M117" s="351" t="s">
        <v>198</v>
      </c>
      <c r="N117" s="351" t="s">
        <v>198</v>
      </c>
      <c r="O117" s="349" t="s">
        <v>198</v>
      </c>
      <c r="P117" s="357" t="s">
        <v>198</v>
      </c>
      <c r="Q117" s="349" t="s">
        <v>198</v>
      </c>
      <c r="Y117" s="104"/>
      <c r="Z117" s="104"/>
      <c r="AA117" s="104"/>
    </row>
    <row r="118" spans="1:27" ht="15" customHeight="1">
      <c r="A118" s="415" t="s">
        <v>197</v>
      </c>
      <c r="B118" s="27" t="s">
        <v>4</v>
      </c>
      <c r="C118" s="310">
        <v>97433.600000000006</v>
      </c>
      <c r="D118" s="343" t="s">
        <v>198</v>
      </c>
      <c r="E118" s="352" t="s">
        <v>198</v>
      </c>
      <c r="F118" s="345" t="s">
        <v>198</v>
      </c>
      <c r="G118" s="345" t="s">
        <v>198</v>
      </c>
      <c r="H118" s="285">
        <v>243584.4</v>
      </c>
      <c r="I118" s="345" t="s">
        <v>198</v>
      </c>
      <c r="J118" s="343" t="s">
        <v>198</v>
      </c>
      <c r="K118" s="352" t="s">
        <v>198</v>
      </c>
      <c r="L118" s="285">
        <v>292299.3</v>
      </c>
      <c r="M118" s="345" t="s">
        <v>198</v>
      </c>
      <c r="N118" s="345" t="s">
        <v>198</v>
      </c>
      <c r="O118" s="343" t="s">
        <v>198</v>
      </c>
      <c r="P118" s="344" t="s">
        <v>198</v>
      </c>
      <c r="Q118" s="343" t="s">
        <v>198</v>
      </c>
      <c r="Y118" s="104"/>
      <c r="Z118" s="104"/>
      <c r="AA118" s="104"/>
    </row>
    <row r="119" spans="1:27">
      <c r="A119" s="416"/>
      <c r="B119" s="66" t="s">
        <v>5</v>
      </c>
      <c r="C119" s="312">
        <v>73063.5</v>
      </c>
      <c r="D119" s="346" t="s">
        <v>198</v>
      </c>
      <c r="E119" s="347" t="s">
        <v>198</v>
      </c>
      <c r="F119" s="348" t="s">
        <v>198</v>
      </c>
      <c r="G119" s="348" t="s">
        <v>198</v>
      </c>
      <c r="H119" s="286">
        <v>87345.600000000006</v>
      </c>
      <c r="I119" s="348" t="s">
        <v>198</v>
      </c>
      <c r="J119" s="346" t="s">
        <v>198</v>
      </c>
      <c r="K119" s="347" t="s">
        <v>198</v>
      </c>
      <c r="L119" s="286">
        <v>73702.2</v>
      </c>
      <c r="M119" s="348" t="s">
        <v>198</v>
      </c>
      <c r="N119" s="348" t="s">
        <v>198</v>
      </c>
      <c r="O119" s="346" t="s">
        <v>198</v>
      </c>
      <c r="P119" s="356" t="s">
        <v>198</v>
      </c>
      <c r="Q119" s="346" t="s">
        <v>198</v>
      </c>
      <c r="Y119" s="104"/>
      <c r="Z119" s="104"/>
      <c r="AA119" s="104"/>
    </row>
    <row r="120" spans="1:27" ht="15.75" thickBot="1">
      <c r="A120" s="418"/>
      <c r="B120" s="256" t="s">
        <v>3</v>
      </c>
      <c r="C120" s="315">
        <f>C119/C118</f>
        <v>0.74987991822122957</v>
      </c>
      <c r="D120" s="353" t="s">
        <v>198</v>
      </c>
      <c r="E120" s="354" t="s">
        <v>198</v>
      </c>
      <c r="F120" s="355" t="s">
        <v>198</v>
      </c>
      <c r="G120" s="355" t="s">
        <v>198</v>
      </c>
      <c r="H120" s="291">
        <f t="shared" ref="H120" si="117">H119/H118</f>
        <v>0.35858453989664368</v>
      </c>
      <c r="I120" s="355" t="s">
        <v>198</v>
      </c>
      <c r="J120" s="353" t="s">
        <v>198</v>
      </c>
      <c r="K120" s="354" t="s">
        <v>198</v>
      </c>
      <c r="L120" s="329">
        <f t="shared" ref="L120" si="118">L119/L118</f>
        <v>0.25214634451741758</v>
      </c>
      <c r="M120" s="355" t="s">
        <v>198</v>
      </c>
      <c r="N120" s="355" t="s">
        <v>198</v>
      </c>
      <c r="O120" s="353" t="s">
        <v>198</v>
      </c>
      <c r="P120" s="358" t="s">
        <v>198</v>
      </c>
      <c r="Q120" s="353" t="s">
        <v>198</v>
      </c>
      <c r="Y120" s="104"/>
      <c r="Z120" s="104"/>
      <c r="AA120" s="104"/>
    </row>
    <row r="121" spans="1:27" ht="15" customHeight="1">
      <c r="A121" s="412" t="s">
        <v>6</v>
      </c>
      <c r="B121" s="279" t="s">
        <v>7</v>
      </c>
      <c r="C121" s="300">
        <v>5870</v>
      </c>
      <c r="D121" s="80">
        <v>3333</v>
      </c>
      <c r="E121" s="300">
        <v>3330</v>
      </c>
      <c r="F121" s="290">
        <v>9457</v>
      </c>
      <c r="G121" s="290">
        <v>7870</v>
      </c>
      <c r="H121" s="290">
        <v>15543</v>
      </c>
      <c r="I121" s="290">
        <v>7403</v>
      </c>
      <c r="J121" s="80">
        <v>9599</v>
      </c>
      <c r="K121" s="300">
        <v>9289</v>
      </c>
      <c r="L121" s="290">
        <v>12295</v>
      </c>
      <c r="M121" s="290">
        <v>4133</v>
      </c>
      <c r="N121" s="290">
        <v>10027</v>
      </c>
      <c r="O121" s="80">
        <v>4799</v>
      </c>
      <c r="P121" s="317">
        <v>2000</v>
      </c>
      <c r="Q121" s="80">
        <v>1250</v>
      </c>
      <c r="Y121" s="104"/>
      <c r="Z121" s="104"/>
      <c r="AA121" s="104"/>
    </row>
    <row r="122" spans="1:27">
      <c r="A122" s="412"/>
      <c r="B122" s="28" t="s">
        <v>11</v>
      </c>
      <c r="C122" s="318">
        <f t="shared" ref="C122:Q122" si="119">C121*33.7167</f>
        <v>197917.02900000001</v>
      </c>
      <c r="D122" s="84">
        <f t="shared" si="119"/>
        <v>112377.7611</v>
      </c>
      <c r="E122" s="318">
        <f t="shared" si="119"/>
        <v>112276.611</v>
      </c>
      <c r="F122" s="360">
        <f t="shared" si="119"/>
        <v>318858.83190000005</v>
      </c>
      <c r="G122" s="292">
        <f t="shared" si="119"/>
        <v>265350.429</v>
      </c>
      <c r="H122" s="341">
        <f t="shared" si="119"/>
        <v>524058.66810000007</v>
      </c>
      <c r="I122" s="341">
        <f t="shared" si="119"/>
        <v>249604.73010000002</v>
      </c>
      <c r="J122" s="341">
        <f t="shared" si="119"/>
        <v>323646.60330000002</v>
      </c>
      <c r="K122" s="319">
        <f t="shared" si="119"/>
        <v>313194.42630000005</v>
      </c>
      <c r="L122" s="292">
        <f t="shared" si="119"/>
        <v>414546.82650000002</v>
      </c>
      <c r="M122" s="292">
        <f t="shared" si="119"/>
        <v>139351.12110000002</v>
      </c>
      <c r="N122" s="341">
        <f t="shared" si="119"/>
        <v>338077.35090000002</v>
      </c>
      <c r="O122" s="341">
        <f t="shared" si="119"/>
        <v>161806.44330000001</v>
      </c>
      <c r="P122" s="318">
        <f t="shared" si="119"/>
        <v>67433.400000000009</v>
      </c>
      <c r="Q122" s="341">
        <f t="shared" si="119"/>
        <v>42145.875000000007</v>
      </c>
      <c r="Y122" s="104"/>
      <c r="Z122" s="104"/>
      <c r="AA122" s="104"/>
    </row>
    <row r="123" spans="1:27">
      <c r="A123" s="412"/>
      <c r="B123" s="66" t="s">
        <v>8</v>
      </c>
      <c r="C123" s="326">
        <f>SUM(C121-168)</f>
        <v>5702</v>
      </c>
      <c r="D123" s="361">
        <f>SUM(D121-686)</f>
        <v>2647</v>
      </c>
      <c r="E123" s="327">
        <f>SUM(E121-652)</f>
        <v>2678</v>
      </c>
      <c r="F123" s="294">
        <f>SUM(F121-1211)</f>
        <v>8246</v>
      </c>
      <c r="G123" s="362">
        <f>SUM(G121-4109)</f>
        <v>3761</v>
      </c>
      <c r="H123" s="294">
        <f>SUM(H121-2129)</f>
        <v>13414</v>
      </c>
      <c r="I123" s="362">
        <f>SUM(I121-(3437-2000))</f>
        <v>5966</v>
      </c>
      <c r="J123" s="103">
        <f>SUM(J121-9288)</f>
        <v>311</v>
      </c>
      <c r="K123" s="327">
        <f>SUM(K121-887)</f>
        <v>8402</v>
      </c>
      <c r="L123" s="294">
        <f>SUM(L121-1241)</f>
        <v>11054</v>
      </c>
      <c r="M123" s="362">
        <f>SUM(M121-213)</f>
        <v>3920</v>
      </c>
      <c r="N123" s="294">
        <f>SUM(N121-(5357-2614))</f>
        <v>7284</v>
      </c>
      <c r="O123" s="361">
        <f>SUM(O121-3991)</f>
        <v>808</v>
      </c>
      <c r="P123" s="326">
        <f>SUM(P121-1261)</f>
        <v>739</v>
      </c>
      <c r="Q123" s="361">
        <f>SUM(Q121-869)</f>
        <v>381</v>
      </c>
      <c r="T123" s="14" t="s">
        <v>192</v>
      </c>
    </row>
    <row r="124" spans="1:27">
      <c r="A124" s="412"/>
      <c r="B124" s="29" t="s">
        <v>77</v>
      </c>
      <c r="C124" s="318">
        <f t="shared" ref="C124:Q124" si="120">(C123*33.7167)</f>
        <v>192252.62340000001</v>
      </c>
      <c r="D124" s="320">
        <f t="shared" si="120"/>
        <v>89248.104900000006</v>
      </c>
      <c r="E124" s="318">
        <f t="shared" si="120"/>
        <v>90293.322600000014</v>
      </c>
      <c r="F124" s="320">
        <f t="shared" si="120"/>
        <v>278027.90820000001</v>
      </c>
      <c r="G124" s="321">
        <f t="shared" si="120"/>
        <v>126808.50870000001</v>
      </c>
      <c r="H124" s="321">
        <f t="shared" si="120"/>
        <v>452275.81380000006</v>
      </c>
      <c r="I124" s="321">
        <f t="shared" si="120"/>
        <v>201153.8322</v>
      </c>
      <c r="J124" s="322">
        <f t="shared" si="120"/>
        <v>10485.893700000001</v>
      </c>
      <c r="K124" s="323">
        <f t="shared" si="120"/>
        <v>283287.71340000001</v>
      </c>
      <c r="L124" s="321">
        <f t="shared" si="120"/>
        <v>372704.40180000005</v>
      </c>
      <c r="M124" s="321">
        <f t="shared" si="120"/>
        <v>132169.46400000001</v>
      </c>
      <c r="N124" s="321">
        <f t="shared" si="120"/>
        <v>245592.44280000002</v>
      </c>
      <c r="O124" s="322">
        <f t="shared" si="120"/>
        <v>27243.093600000004</v>
      </c>
      <c r="P124" s="324">
        <f t="shared" si="120"/>
        <v>24916.641300000003</v>
      </c>
      <c r="Q124" s="325">
        <f t="shared" si="120"/>
        <v>12846.0627</v>
      </c>
      <c r="T124" s="89">
        <f>344240-H124</f>
        <v>-108035.81380000006</v>
      </c>
      <c r="U124" s="104" t="s">
        <v>193</v>
      </c>
    </row>
    <row r="125" spans="1:27" ht="15.75" thickBot="1">
      <c r="A125" s="412"/>
      <c r="B125" s="342" t="s">
        <v>203</v>
      </c>
      <c r="C125" s="315">
        <f>C122/(C112+C115+C118)</f>
        <v>0.79161238648799126</v>
      </c>
      <c r="D125" s="329">
        <f>D122/D112</f>
        <v>0.74661770458649535</v>
      </c>
      <c r="E125" s="316">
        <f>E122/E112</f>
        <v>0.7459456814500538</v>
      </c>
      <c r="F125" s="316">
        <f t="shared" ref="F125:G125" si="121">F122/F112</f>
        <v>1.7519927817808791</v>
      </c>
      <c r="G125" s="316">
        <f t="shared" si="121"/>
        <v>1.6037861561475348</v>
      </c>
      <c r="H125" s="291">
        <f>H122/(H112+H115+H118)</f>
        <v>1.3454509672683808</v>
      </c>
      <c r="I125" s="329">
        <f>I122/I112</f>
        <v>2.0572078391650006</v>
      </c>
      <c r="J125" s="330">
        <f>J122/J112</f>
        <v>1.9487638228807085</v>
      </c>
      <c r="K125" s="315">
        <f>K122/K112</f>
        <v>1.6225420604371412</v>
      </c>
      <c r="L125" s="291">
        <f>L122/(L112+L115+L118)</f>
        <v>0.94598051956646356</v>
      </c>
      <c r="M125" s="291">
        <f>M122/M112</f>
        <v>1.6844839077778169</v>
      </c>
      <c r="N125" s="329">
        <f>N122/N112</f>
        <v>1.9156401783290939</v>
      </c>
      <c r="O125" s="329">
        <f>O122/O112</f>
        <v>1.9485596322210048</v>
      </c>
      <c r="P125" s="315">
        <f>P122/P112</f>
        <v>1.2227049373538106</v>
      </c>
      <c r="Q125" s="329">
        <f>Q122/Q112</f>
        <v>1.2736548254030615</v>
      </c>
      <c r="T125" s="175"/>
    </row>
    <row r="126" spans="1:27" ht="15.75" thickBot="1">
      <c r="A126" s="413"/>
      <c r="B126" s="342" t="s">
        <v>204</v>
      </c>
      <c r="C126" s="315">
        <f>C124/(C112+C115+C118)</f>
        <v>0.76895635907232129</v>
      </c>
      <c r="D126" s="329">
        <f>D124/D112</f>
        <v>0.59294841405354126</v>
      </c>
      <c r="E126" s="316">
        <f>E124/E112</f>
        <v>0.59989265313010343</v>
      </c>
      <c r="F126" s="316">
        <f t="shared" ref="F126:G126" si="122">F124/F112</f>
        <v>1.5276443352611957</v>
      </c>
      <c r="G126" s="316">
        <f t="shared" si="122"/>
        <v>0.76643452773454623</v>
      </c>
      <c r="H126" s="291">
        <f>H124/(H112+H115+H118)</f>
        <v>1.1611580309424216</v>
      </c>
      <c r="I126" s="329">
        <f>I124/I112</f>
        <v>1.6578822056542473</v>
      </c>
      <c r="J126" s="330">
        <f>J124/J112</f>
        <v>6.3138404929253086E-2</v>
      </c>
      <c r="K126" s="315">
        <f>K124/K112</f>
        <v>1.4676066736777758</v>
      </c>
      <c r="L126" s="291">
        <f>L124/(L112+L115+L118)</f>
        <v>0.85049765459842941</v>
      </c>
      <c r="M126" s="291">
        <f>M124/M112</f>
        <v>1.5976716473479413</v>
      </c>
      <c r="N126" s="329">
        <f>N124/N112</f>
        <v>1.3915949993965415</v>
      </c>
      <c r="O126" s="329">
        <f>O124/O112</f>
        <v>0.32807588723370951</v>
      </c>
      <c r="P126" s="315">
        <f t="shared" ref="P126:Q126" si="123">P124/P112</f>
        <v>0.45178947435223299</v>
      </c>
      <c r="Q126" s="329">
        <f t="shared" si="123"/>
        <v>0.38820999078285312</v>
      </c>
      <c r="T126" s="175"/>
    </row>
    <row r="127" spans="1:27" ht="15.75" thickBot="1">
      <c r="A127" s="406">
        <v>41361</v>
      </c>
      <c r="B127" s="419"/>
      <c r="C127" s="282">
        <f>C131+C134+C137</f>
        <v>120972.9</v>
      </c>
      <c r="H127" s="282">
        <f>H131+H134+H137</f>
        <v>146105.20000000001</v>
      </c>
      <c r="K127" s="282"/>
      <c r="L127" s="282">
        <f>L131+L134+L137</f>
        <v>141673.70000000001</v>
      </c>
      <c r="N127" s="15"/>
    </row>
    <row r="128" spans="1:27">
      <c r="A128" s="407" t="s">
        <v>1</v>
      </c>
      <c r="B128" s="420"/>
      <c r="C128" s="300" t="s">
        <v>12</v>
      </c>
      <c r="D128" s="80" t="s">
        <v>12</v>
      </c>
      <c r="E128" s="300" t="s">
        <v>13</v>
      </c>
      <c r="F128" s="290" t="s">
        <v>13</v>
      </c>
      <c r="G128" s="290" t="s">
        <v>13</v>
      </c>
      <c r="H128" s="290" t="s">
        <v>13</v>
      </c>
      <c r="I128" s="290" t="s">
        <v>13</v>
      </c>
      <c r="J128" s="80" t="s">
        <v>13</v>
      </c>
      <c r="K128" s="300" t="s">
        <v>2</v>
      </c>
      <c r="L128" s="290" t="s">
        <v>2</v>
      </c>
      <c r="M128" s="295" t="s">
        <v>2</v>
      </c>
      <c r="N128" s="290" t="s">
        <v>2</v>
      </c>
      <c r="O128" s="80" t="s">
        <v>2</v>
      </c>
      <c r="P128" s="301" t="s">
        <v>199</v>
      </c>
      <c r="Q128" s="302" t="s">
        <v>199</v>
      </c>
    </row>
    <row r="129" spans="1:27" ht="15.75" thickBot="1">
      <c r="A129" s="409" t="s">
        <v>0</v>
      </c>
      <c r="B129" s="414"/>
      <c r="C129" s="303" t="s">
        <v>102</v>
      </c>
      <c r="D129" s="304" t="s">
        <v>103</v>
      </c>
      <c r="E129" s="303" t="s">
        <v>104</v>
      </c>
      <c r="F129" s="305" t="s">
        <v>105</v>
      </c>
      <c r="G129" s="305" t="s">
        <v>100</v>
      </c>
      <c r="H129" s="305" t="s">
        <v>107</v>
      </c>
      <c r="I129" s="305" t="s">
        <v>106</v>
      </c>
      <c r="J129" s="306" t="s">
        <v>200</v>
      </c>
      <c r="K129" s="303" t="s">
        <v>108</v>
      </c>
      <c r="L129" s="305" t="s">
        <v>110</v>
      </c>
      <c r="M129" s="307" t="s">
        <v>101</v>
      </c>
      <c r="N129" s="308" t="s">
        <v>109</v>
      </c>
      <c r="O129" s="304" t="s">
        <v>201</v>
      </c>
      <c r="P129" s="309" t="s">
        <v>111</v>
      </c>
      <c r="Q129" s="304" t="s">
        <v>202</v>
      </c>
      <c r="R129" s="14"/>
      <c r="S129" s="14"/>
      <c r="T129" s="14"/>
      <c r="U129" s="14"/>
      <c r="V129" s="14"/>
      <c r="W129" s="14"/>
      <c r="X129" s="14"/>
      <c r="Y129" s="175"/>
      <c r="Z129" s="174"/>
      <c r="AA129" s="175"/>
    </row>
    <row r="130" spans="1:27" ht="15" customHeight="1">
      <c r="A130" s="411" t="s">
        <v>195</v>
      </c>
      <c r="B130" s="2" t="s">
        <v>4</v>
      </c>
      <c r="C130" s="310">
        <v>143392.20000000001</v>
      </c>
      <c r="D130" s="100">
        <v>150515.79999999999</v>
      </c>
      <c r="E130" s="310">
        <v>150515.79999999999</v>
      </c>
      <c r="F130" s="285">
        <v>181997.8</v>
      </c>
      <c r="G130" s="285">
        <v>165452.5</v>
      </c>
      <c r="H130" s="285">
        <v>132132</v>
      </c>
      <c r="I130" s="285">
        <v>121331.8</v>
      </c>
      <c r="J130" s="100">
        <v>166077.9</v>
      </c>
      <c r="K130" s="310">
        <v>193027</v>
      </c>
      <c r="L130" s="285">
        <v>132132.20000000001</v>
      </c>
      <c r="M130" s="285">
        <v>82726.3</v>
      </c>
      <c r="N130" s="285">
        <v>176482.7</v>
      </c>
      <c r="O130" s="100">
        <v>83039</v>
      </c>
      <c r="P130" s="311">
        <v>55151</v>
      </c>
      <c r="Q130" s="100">
        <v>33090.5</v>
      </c>
      <c r="Y130" s="104"/>
      <c r="Z130" s="104"/>
      <c r="AA130" s="104"/>
    </row>
    <row r="131" spans="1:27">
      <c r="A131" s="412"/>
      <c r="B131" s="63" t="s">
        <v>5</v>
      </c>
      <c r="C131" s="312">
        <v>47009.8</v>
      </c>
      <c r="D131" s="102">
        <v>77448.399999999994</v>
      </c>
      <c r="E131" s="312">
        <v>78860.2</v>
      </c>
      <c r="F131" s="286">
        <v>157453.1</v>
      </c>
      <c r="G131" s="286">
        <v>88188.3</v>
      </c>
      <c r="H131" s="286">
        <v>48946.8</v>
      </c>
      <c r="I131" s="286">
        <v>68097.3</v>
      </c>
      <c r="J131" s="102">
        <v>8107.9</v>
      </c>
      <c r="K131" s="312">
        <v>155764.9</v>
      </c>
      <c r="L131" s="286">
        <v>65005.4</v>
      </c>
      <c r="M131" s="286">
        <v>45754.2</v>
      </c>
      <c r="N131" s="286">
        <v>132376.79999999999</v>
      </c>
      <c r="O131" s="102">
        <v>4146.8999999999996</v>
      </c>
      <c r="P131" s="313">
        <v>4404.6000000000004</v>
      </c>
      <c r="Q131" s="102">
        <v>2379.1999999999998</v>
      </c>
      <c r="Y131" s="104"/>
      <c r="Z131" s="104"/>
      <c r="AA131" s="104"/>
    </row>
    <row r="132" spans="1:27" ht="15.75" thickBot="1">
      <c r="A132" s="412"/>
      <c r="B132" s="271" t="s">
        <v>3</v>
      </c>
      <c r="C132" s="314">
        <f>C131/C130</f>
        <v>0.32784070542191274</v>
      </c>
      <c r="D132" s="83">
        <f t="shared" ref="D132:E132" si="124">D131/D130</f>
        <v>0.51455328942210721</v>
      </c>
      <c r="E132" s="315">
        <f t="shared" si="124"/>
        <v>0.52393303560157811</v>
      </c>
      <c r="F132" s="291">
        <f>F131/F130</f>
        <v>0.86513738078152602</v>
      </c>
      <c r="G132" s="291">
        <f>G131/G130</f>
        <v>0.53301279823514303</v>
      </c>
      <c r="H132" s="291">
        <f t="shared" ref="H132" si="125">H131/H130</f>
        <v>0.37043865225683409</v>
      </c>
      <c r="I132" s="291">
        <f>I131/I130</f>
        <v>0.56124857621827096</v>
      </c>
      <c r="J132" s="83">
        <f>J131/J130</f>
        <v>4.8819861041113841E-2</v>
      </c>
      <c r="K132" s="315">
        <f t="shared" ref="K132" si="126">K131/K130</f>
        <v>0.80695913006988662</v>
      </c>
      <c r="L132" s="291">
        <f>L131/L130</f>
        <v>0.49197243366870447</v>
      </c>
      <c r="M132" s="296">
        <f>M131/M130</f>
        <v>0.5530792504922859</v>
      </c>
      <c r="N132" s="291">
        <f>N131/N130</f>
        <v>0.75008371925406836</v>
      </c>
      <c r="O132" s="83">
        <f t="shared" ref="O132:Q132" si="127">O131/O130</f>
        <v>4.9939185202133932E-2</v>
      </c>
      <c r="P132" s="316">
        <f t="shared" si="127"/>
        <v>7.986437235952204E-2</v>
      </c>
      <c r="Q132" s="83">
        <f t="shared" si="127"/>
        <v>7.1899789969930947E-2</v>
      </c>
      <c r="Y132" s="104"/>
      <c r="Z132" s="104"/>
      <c r="AA132" s="104"/>
    </row>
    <row r="133" spans="1:27" ht="15" customHeight="1">
      <c r="A133" s="415" t="s">
        <v>196</v>
      </c>
      <c r="B133" s="27" t="s">
        <v>4</v>
      </c>
      <c r="C133" s="310">
        <v>9191.7999999999993</v>
      </c>
      <c r="D133" s="343" t="s">
        <v>198</v>
      </c>
      <c r="E133" s="344" t="s">
        <v>198</v>
      </c>
      <c r="F133" s="345" t="s">
        <v>198</v>
      </c>
      <c r="G133" s="345" t="s">
        <v>198</v>
      </c>
      <c r="H133" s="285">
        <v>13787.7</v>
      </c>
      <c r="I133" s="345" t="s">
        <v>198</v>
      </c>
      <c r="J133" s="343" t="s">
        <v>198</v>
      </c>
      <c r="K133" s="344" t="s">
        <v>198</v>
      </c>
      <c r="L133" s="285">
        <v>13787.7</v>
      </c>
      <c r="M133" s="345" t="s">
        <v>198</v>
      </c>
      <c r="N133" s="345" t="s">
        <v>198</v>
      </c>
      <c r="O133" s="343" t="s">
        <v>198</v>
      </c>
      <c r="P133" s="344" t="s">
        <v>198</v>
      </c>
      <c r="Q133" s="343" t="s">
        <v>198</v>
      </c>
      <c r="Y133" s="104"/>
      <c r="Z133" s="104"/>
      <c r="AA133" s="104"/>
    </row>
    <row r="134" spans="1:27">
      <c r="A134" s="416"/>
      <c r="B134" s="66" t="s">
        <v>5</v>
      </c>
      <c r="C134" s="312">
        <v>8719.4</v>
      </c>
      <c r="D134" s="346" t="s">
        <v>198</v>
      </c>
      <c r="E134" s="347" t="s">
        <v>198</v>
      </c>
      <c r="F134" s="348" t="s">
        <v>198</v>
      </c>
      <c r="G134" s="348" t="s">
        <v>198</v>
      </c>
      <c r="H134" s="286">
        <v>13626.4</v>
      </c>
      <c r="I134" s="348" t="s">
        <v>198</v>
      </c>
      <c r="J134" s="346" t="s">
        <v>198</v>
      </c>
      <c r="K134" s="347" t="s">
        <v>198</v>
      </c>
      <c r="L134" s="286">
        <v>13647.9</v>
      </c>
      <c r="M134" s="348" t="s">
        <v>198</v>
      </c>
      <c r="N134" s="348" t="s">
        <v>198</v>
      </c>
      <c r="O134" s="346" t="s">
        <v>198</v>
      </c>
      <c r="P134" s="356" t="s">
        <v>198</v>
      </c>
      <c r="Q134" s="346" t="s">
        <v>198</v>
      </c>
      <c r="Y134" s="104"/>
      <c r="Z134" s="104"/>
      <c r="AA134" s="104"/>
    </row>
    <row r="135" spans="1:27" ht="15.75" thickBot="1">
      <c r="A135" s="417"/>
      <c r="B135" s="340" t="s">
        <v>3</v>
      </c>
      <c r="C135" s="314">
        <f>C134/C133</f>
        <v>0.94860636654409369</v>
      </c>
      <c r="D135" s="349" t="s">
        <v>198</v>
      </c>
      <c r="E135" s="350" t="s">
        <v>198</v>
      </c>
      <c r="F135" s="351" t="s">
        <v>198</v>
      </c>
      <c r="G135" s="351" t="s">
        <v>198</v>
      </c>
      <c r="H135" s="283">
        <f t="shared" ref="H135" si="128">H134/H133</f>
        <v>0.98830116698216519</v>
      </c>
      <c r="I135" s="351" t="s">
        <v>198</v>
      </c>
      <c r="J135" s="349" t="s">
        <v>198</v>
      </c>
      <c r="K135" s="350" t="s">
        <v>198</v>
      </c>
      <c r="L135" s="335">
        <f t="shared" ref="L135" si="129">L134/L133</f>
        <v>0.9898605278617898</v>
      </c>
      <c r="M135" s="351" t="s">
        <v>198</v>
      </c>
      <c r="N135" s="351" t="s">
        <v>198</v>
      </c>
      <c r="O135" s="349" t="s">
        <v>198</v>
      </c>
      <c r="P135" s="357" t="s">
        <v>198</v>
      </c>
      <c r="Q135" s="349" t="s">
        <v>198</v>
      </c>
      <c r="Y135" s="104"/>
      <c r="Z135" s="104"/>
      <c r="AA135" s="104"/>
    </row>
    <row r="136" spans="1:27" ht="15" customHeight="1">
      <c r="A136" s="415" t="s">
        <v>197</v>
      </c>
      <c r="B136" s="27" t="s">
        <v>4</v>
      </c>
      <c r="C136" s="310">
        <v>97433.600000000006</v>
      </c>
      <c r="D136" s="343" t="s">
        <v>198</v>
      </c>
      <c r="E136" s="352" t="s">
        <v>198</v>
      </c>
      <c r="F136" s="345" t="s">
        <v>198</v>
      </c>
      <c r="G136" s="345" t="s">
        <v>198</v>
      </c>
      <c r="H136" s="285">
        <v>243584.4</v>
      </c>
      <c r="I136" s="345" t="s">
        <v>198</v>
      </c>
      <c r="J136" s="343" t="s">
        <v>198</v>
      </c>
      <c r="K136" s="352" t="s">
        <v>198</v>
      </c>
      <c r="L136" s="285">
        <v>292299.3</v>
      </c>
      <c r="M136" s="345" t="s">
        <v>198</v>
      </c>
      <c r="N136" s="345" t="s">
        <v>198</v>
      </c>
      <c r="O136" s="343" t="s">
        <v>198</v>
      </c>
      <c r="P136" s="344" t="s">
        <v>198</v>
      </c>
      <c r="Q136" s="343" t="s">
        <v>198</v>
      </c>
      <c r="Y136" s="104"/>
      <c r="Z136" s="104"/>
      <c r="AA136" s="104"/>
    </row>
    <row r="137" spans="1:27">
      <c r="A137" s="416"/>
      <c r="B137" s="66" t="s">
        <v>5</v>
      </c>
      <c r="C137" s="312">
        <v>65243.7</v>
      </c>
      <c r="D137" s="346" t="s">
        <v>198</v>
      </c>
      <c r="E137" s="347" t="s">
        <v>198</v>
      </c>
      <c r="F137" s="348" t="s">
        <v>198</v>
      </c>
      <c r="G137" s="348" t="s">
        <v>198</v>
      </c>
      <c r="H137" s="286">
        <v>83532</v>
      </c>
      <c r="I137" s="348" t="s">
        <v>198</v>
      </c>
      <c r="J137" s="346" t="s">
        <v>198</v>
      </c>
      <c r="K137" s="347" t="s">
        <v>198</v>
      </c>
      <c r="L137" s="286">
        <v>63020.4</v>
      </c>
      <c r="M137" s="348" t="s">
        <v>198</v>
      </c>
      <c r="N137" s="348" t="s">
        <v>198</v>
      </c>
      <c r="O137" s="346" t="s">
        <v>198</v>
      </c>
      <c r="P137" s="356" t="s">
        <v>198</v>
      </c>
      <c r="Q137" s="346" t="s">
        <v>198</v>
      </c>
      <c r="Y137" s="104"/>
      <c r="Z137" s="104"/>
      <c r="AA137" s="104"/>
    </row>
    <row r="138" spans="1:27" ht="15.75" thickBot="1">
      <c r="A138" s="418"/>
      <c r="B138" s="256" t="s">
        <v>3</v>
      </c>
      <c r="C138" s="315">
        <f>C137/C136</f>
        <v>0.66962218372306881</v>
      </c>
      <c r="D138" s="353" t="s">
        <v>198</v>
      </c>
      <c r="E138" s="354" t="s">
        <v>198</v>
      </c>
      <c r="F138" s="355" t="s">
        <v>198</v>
      </c>
      <c r="G138" s="355" t="s">
        <v>198</v>
      </c>
      <c r="H138" s="291">
        <f t="shared" ref="H138" si="130">H137/H136</f>
        <v>0.34292836487065675</v>
      </c>
      <c r="I138" s="355" t="s">
        <v>198</v>
      </c>
      <c r="J138" s="353" t="s">
        <v>198</v>
      </c>
      <c r="K138" s="354" t="s">
        <v>198</v>
      </c>
      <c r="L138" s="329">
        <f t="shared" ref="L138" si="131">L137/L136</f>
        <v>0.2156022953185314</v>
      </c>
      <c r="M138" s="355" t="s">
        <v>198</v>
      </c>
      <c r="N138" s="355" t="s">
        <v>198</v>
      </c>
      <c r="O138" s="353" t="s">
        <v>198</v>
      </c>
      <c r="P138" s="358" t="s">
        <v>198</v>
      </c>
      <c r="Q138" s="353" t="s">
        <v>198</v>
      </c>
      <c r="Y138" s="104"/>
      <c r="Z138" s="104"/>
      <c r="AA138" s="104"/>
    </row>
    <row r="139" spans="1:27" ht="15" customHeight="1">
      <c r="A139" s="412" t="s">
        <v>6</v>
      </c>
      <c r="B139" s="279" t="s">
        <v>7</v>
      </c>
      <c r="C139" s="300">
        <v>5870</v>
      </c>
      <c r="D139" s="80">
        <v>3333</v>
      </c>
      <c r="E139" s="300">
        <v>3330</v>
      </c>
      <c r="F139" s="290">
        <v>9457</v>
      </c>
      <c r="G139" s="290">
        <v>7853</v>
      </c>
      <c r="H139" s="290">
        <v>15543</v>
      </c>
      <c r="I139" s="290">
        <v>7386</v>
      </c>
      <c r="J139" s="80">
        <v>9599</v>
      </c>
      <c r="K139" s="300">
        <v>9289</v>
      </c>
      <c r="L139" s="290">
        <v>12263</v>
      </c>
      <c r="M139" s="290">
        <v>4133</v>
      </c>
      <c r="N139" s="290">
        <v>9900</v>
      </c>
      <c r="O139" s="80">
        <v>4799</v>
      </c>
      <c r="P139" s="317">
        <v>2000</v>
      </c>
      <c r="Q139" s="80">
        <v>1250</v>
      </c>
      <c r="Y139" s="104"/>
      <c r="Z139" s="104"/>
      <c r="AA139" s="104"/>
    </row>
    <row r="140" spans="1:27">
      <c r="A140" s="412"/>
      <c r="B140" s="28" t="s">
        <v>11</v>
      </c>
      <c r="C140" s="318">
        <f t="shared" ref="C140:Q140" si="132">C139*33.717</f>
        <v>197918.78999999998</v>
      </c>
      <c r="D140" s="84">
        <f t="shared" si="132"/>
        <v>112378.761</v>
      </c>
      <c r="E140" s="318">
        <f t="shared" si="132"/>
        <v>112277.61</v>
      </c>
      <c r="F140" s="360">
        <f t="shared" si="132"/>
        <v>318861.66899999999</v>
      </c>
      <c r="G140" s="292">
        <f t="shared" si="132"/>
        <v>264779.60099999997</v>
      </c>
      <c r="H140" s="341">
        <f t="shared" si="132"/>
        <v>524063.33100000001</v>
      </c>
      <c r="I140" s="341">
        <f t="shared" si="132"/>
        <v>249033.76199999999</v>
      </c>
      <c r="J140" s="341">
        <f t="shared" si="132"/>
        <v>323649.48300000001</v>
      </c>
      <c r="K140" s="319">
        <f t="shared" si="132"/>
        <v>313197.21299999999</v>
      </c>
      <c r="L140" s="292">
        <f t="shared" si="132"/>
        <v>413471.571</v>
      </c>
      <c r="M140" s="292">
        <f t="shared" si="132"/>
        <v>139352.361</v>
      </c>
      <c r="N140" s="341">
        <f t="shared" si="132"/>
        <v>333798.3</v>
      </c>
      <c r="O140" s="341">
        <f t="shared" si="132"/>
        <v>161807.883</v>
      </c>
      <c r="P140" s="318">
        <f t="shared" si="132"/>
        <v>67434</v>
      </c>
      <c r="Q140" s="341">
        <f t="shared" si="132"/>
        <v>42146.25</v>
      </c>
      <c r="Y140" s="104"/>
      <c r="Z140" s="104"/>
      <c r="AA140" s="104"/>
    </row>
    <row r="141" spans="1:27">
      <c r="A141" s="412"/>
      <c r="B141" s="66" t="s">
        <v>8</v>
      </c>
      <c r="C141" s="326">
        <f>SUM(C139-168)</f>
        <v>5702</v>
      </c>
      <c r="D141" s="361">
        <f t="shared" ref="D141:Q141" si="133">SUM(D139-168)</f>
        <v>3165</v>
      </c>
      <c r="E141" s="327">
        <f t="shared" si="133"/>
        <v>3162</v>
      </c>
      <c r="F141" s="294">
        <f t="shared" si="133"/>
        <v>9289</v>
      </c>
      <c r="G141" s="362">
        <f t="shared" si="133"/>
        <v>7685</v>
      </c>
      <c r="H141" s="294">
        <f t="shared" si="133"/>
        <v>15375</v>
      </c>
      <c r="I141" s="362">
        <f t="shared" si="133"/>
        <v>7218</v>
      </c>
      <c r="J141" s="103">
        <f t="shared" si="133"/>
        <v>9431</v>
      </c>
      <c r="K141" s="327">
        <f t="shared" si="133"/>
        <v>9121</v>
      </c>
      <c r="L141" s="294">
        <f t="shared" si="133"/>
        <v>12095</v>
      </c>
      <c r="M141" s="362">
        <f t="shared" si="133"/>
        <v>3965</v>
      </c>
      <c r="N141" s="294">
        <f t="shared" si="133"/>
        <v>9732</v>
      </c>
      <c r="O141" s="361">
        <f t="shared" si="133"/>
        <v>4631</v>
      </c>
      <c r="P141" s="326">
        <f t="shared" si="133"/>
        <v>1832</v>
      </c>
      <c r="Q141" s="361">
        <f t="shared" si="133"/>
        <v>1082</v>
      </c>
      <c r="T141" s="14" t="s">
        <v>192</v>
      </c>
    </row>
    <row r="142" spans="1:27">
      <c r="A142" s="412"/>
      <c r="B142" s="29" t="s">
        <v>77</v>
      </c>
      <c r="C142" s="318">
        <f>(C141*33.717)</f>
        <v>192254.334</v>
      </c>
      <c r="D142" s="320">
        <f>(D141*33.717)</f>
        <v>106714.30499999999</v>
      </c>
      <c r="E142" s="318">
        <f>(E141*33.717)</f>
        <v>106613.15399999999</v>
      </c>
      <c r="F142" s="320">
        <f>(F141*33.717)</f>
        <v>313197.21299999999</v>
      </c>
      <c r="G142" s="321">
        <f>(G141*33.717)*2</f>
        <v>518230.29</v>
      </c>
      <c r="H142" s="321">
        <f>(H141*33.717)</f>
        <v>518398.875</v>
      </c>
      <c r="I142" s="321">
        <f>(I141*33.717)-(2000*33.717)</f>
        <v>175935.30599999998</v>
      </c>
      <c r="J142" s="322">
        <f>J141*33.717</f>
        <v>317985.027</v>
      </c>
      <c r="K142" s="323">
        <f>K141*33.717</f>
        <v>307532.75699999998</v>
      </c>
      <c r="L142" s="321">
        <f>L141*33.717</f>
        <v>407807.11499999999</v>
      </c>
      <c r="M142" s="321">
        <f>(M141*33.717)</f>
        <v>133687.905</v>
      </c>
      <c r="N142" s="321">
        <f>N141*33.717</f>
        <v>328133.84399999998</v>
      </c>
      <c r="O142" s="322">
        <f>O141*33.717</f>
        <v>156143.427</v>
      </c>
      <c r="P142" s="324">
        <f>P141*33.717</f>
        <v>61769.543999999994</v>
      </c>
      <c r="Q142" s="325">
        <f>Q141*33.717</f>
        <v>36481.794000000002</v>
      </c>
      <c r="T142" s="89">
        <f>344240-H142</f>
        <v>-174158.875</v>
      </c>
      <c r="U142" s="104" t="s">
        <v>193</v>
      </c>
    </row>
    <row r="143" spans="1:27" ht="15.75" thickBot="1">
      <c r="A143" s="412"/>
      <c r="B143" s="342" t="s">
        <v>203</v>
      </c>
      <c r="C143" s="315">
        <f>C140/(C130+C133+C136)</f>
        <v>0.79161942999212842</v>
      </c>
      <c r="D143" s="329">
        <f>D140/D130</f>
        <v>0.74662434774289477</v>
      </c>
      <c r="E143" s="316">
        <f>E140/E130</f>
        <v>0.74595231862701461</v>
      </c>
      <c r="F143" s="316">
        <f t="shared" ref="F143:G143" si="134">F140/F130</f>
        <v>1.7520083704308513</v>
      </c>
      <c r="G143" s="316">
        <f t="shared" si="134"/>
        <v>1.6003360541545155</v>
      </c>
      <c r="H143" s="291">
        <f>H140/(H130+H133+H136)</f>
        <v>1.3454629386442916</v>
      </c>
      <c r="I143" s="329">
        <f>I140/I130</f>
        <v>2.0525019986516311</v>
      </c>
      <c r="J143" s="330">
        <f>J140/J130</f>
        <v>1.9487811623340614</v>
      </c>
      <c r="K143" s="315">
        <f>K140/K130</f>
        <v>1.6225564972775828</v>
      </c>
      <c r="L143" s="291">
        <f>L140/(L130+L133+L136)</f>
        <v>0.94352682630062756</v>
      </c>
      <c r="M143" s="291">
        <f>M140/M130</f>
        <v>1.6844988957562468</v>
      </c>
      <c r="N143" s="329">
        <f>N140/N130</f>
        <v>1.891393887332866</v>
      </c>
      <c r="O143" s="329">
        <f>O140/O130</f>
        <v>1.9485769698575368</v>
      </c>
      <c r="P143" s="315">
        <f>P140/P130</f>
        <v>1.2227158165763088</v>
      </c>
      <c r="Q143" s="329">
        <f>Q140/Q130</f>
        <v>1.273666157960744</v>
      </c>
      <c r="T143" s="175"/>
    </row>
    <row r="144" spans="1:27" ht="15.75" thickBot="1">
      <c r="A144" s="413"/>
      <c r="B144" s="342" t="s">
        <v>204</v>
      </c>
      <c r="C144" s="315">
        <f>C142/(C130+C133+C136)</f>
        <v>0.7689632009906503</v>
      </c>
      <c r="D144" s="329">
        <f>D142/D130</f>
        <v>0.70899071725360396</v>
      </c>
      <c r="E144" s="316">
        <f>E142/E130</f>
        <v>0.70831868813772381</v>
      </c>
      <c r="F144" s="316">
        <f t="shared" ref="F144:G144" si="135">F142/F130</f>
        <v>1.7208846095941819</v>
      </c>
      <c r="G144" s="316">
        <f t="shared" si="135"/>
        <v>3.1321998156570614</v>
      </c>
      <c r="H144" s="291">
        <f>H142/(H130+H133+H136)</f>
        <v>1.3309202008399912</v>
      </c>
      <c r="I144" s="329">
        <f>I142/I130</f>
        <v>1.4500345828546184</v>
      </c>
      <c r="J144" s="330">
        <f>J142/J130</f>
        <v>1.9146739391574676</v>
      </c>
      <c r="K144" s="315">
        <f>K142/K130</f>
        <v>1.5932110896403093</v>
      </c>
      <c r="L144" s="291">
        <f>L142/(L130+L133+L136)</f>
        <v>0.93060074729724296</v>
      </c>
      <c r="M144" s="291">
        <f>M142/M130</f>
        <v>1.6160266444891165</v>
      </c>
      <c r="N144" s="329">
        <f>N142/N130</f>
        <v>1.8592975062144899</v>
      </c>
      <c r="O144" s="329">
        <f>O142/O130</f>
        <v>1.8803625645780897</v>
      </c>
      <c r="P144" s="315">
        <f t="shared" ref="P144:Q144" si="136">P142/P130</f>
        <v>1.1200076879838987</v>
      </c>
      <c r="Q144" s="329">
        <f t="shared" si="136"/>
        <v>1.1024854263308201</v>
      </c>
      <c r="T144" s="175"/>
    </row>
    <row r="145" spans="1:27" ht="15.75" thickBot="1">
      <c r="A145" s="406">
        <v>41355</v>
      </c>
      <c r="B145" s="419"/>
      <c r="C145" s="282">
        <f>C149+C152+C155</f>
        <v>120689.7</v>
      </c>
      <c r="H145" s="282">
        <f>H149+H152+H155</f>
        <v>142564.6</v>
      </c>
      <c r="K145" s="282"/>
      <c r="L145" s="282">
        <f>L149+L152+L155</f>
        <v>133054.70000000001</v>
      </c>
      <c r="N145" s="15"/>
    </row>
    <row r="146" spans="1:27">
      <c r="A146" s="407" t="s">
        <v>1</v>
      </c>
      <c r="B146" s="420"/>
      <c r="C146" s="300" t="s">
        <v>12</v>
      </c>
      <c r="D146" s="80" t="s">
        <v>12</v>
      </c>
      <c r="E146" s="300" t="s">
        <v>13</v>
      </c>
      <c r="F146" s="290" t="s">
        <v>13</v>
      </c>
      <c r="G146" s="290" t="s">
        <v>13</v>
      </c>
      <c r="H146" s="290" t="s">
        <v>13</v>
      </c>
      <c r="I146" s="290" t="s">
        <v>13</v>
      </c>
      <c r="J146" s="80" t="s">
        <v>13</v>
      </c>
      <c r="K146" s="300" t="s">
        <v>2</v>
      </c>
      <c r="L146" s="290" t="s">
        <v>2</v>
      </c>
      <c r="M146" s="295" t="s">
        <v>2</v>
      </c>
      <c r="N146" s="290" t="s">
        <v>2</v>
      </c>
      <c r="O146" s="80" t="s">
        <v>2</v>
      </c>
      <c r="P146" s="301" t="s">
        <v>199</v>
      </c>
      <c r="Q146" s="302" t="s">
        <v>199</v>
      </c>
    </row>
    <row r="147" spans="1:27" ht="15.75" thickBot="1">
      <c r="A147" s="409" t="s">
        <v>0</v>
      </c>
      <c r="B147" s="414"/>
      <c r="C147" s="303" t="s">
        <v>102</v>
      </c>
      <c r="D147" s="304" t="s">
        <v>103</v>
      </c>
      <c r="E147" s="303" t="s">
        <v>104</v>
      </c>
      <c r="F147" s="305" t="s">
        <v>105</v>
      </c>
      <c r="G147" s="305" t="s">
        <v>100</v>
      </c>
      <c r="H147" s="305" t="s">
        <v>107</v>
      </c>
      <c r="I147" s="305" t="s">
        <v>106</v>
      </c>
      <c r="J147" s="306" t="s">
        <v>200</v>
      </c>
      <c r="K147" s="303" t="s">
        <v>108</v>
      </c>
      <c r="L147" s="305" t="s">
        <v>110</v>
      </c>
      <c r="M147" s="307" t="s">
        <v>101</v>
      </c>
      <c r="N147" s="308" t="s">
        <v>109</v>
      </c>
      <c r="O147" s="304" t="s">
        <v>201</v>
      </c>
      <c r="P147" s="309" t="s">
        <v>111</v>
      </c>
      <c r="Q147" s="304" t="s">
        <v>202</v>
      </c>
      <c r="R147" s="14"/>
      <c r="S147" s="14"/>
      <c r="T147" s="14"/>
      <c r="U147" s="14"/>
      <c r="V147" s="14"/>
      <c r="W147" s="14"/>
      <c r="X147" s="14"/>
      <c r="Y147" s="175"/>
      <c r="Z147" s="174"/>
      <c r="AA147" s="175"/>
    </row>
    <row r="148" spans="1:27" ht="15" customHeight="1">
      <c r="A148" s="411" t="s">
        <v>195</v>
      </c>
      <c r="B148" s="2" t="s">
        <v>4</v>
      </c>
      <c r="C148" s="310">
        <v>143392.20000000001</v>
      </c>
      <c r="D148" s="100">
        <v>150515.79999999999</v>
      </c>
      <c r="E148" s="310">
        <v>150515.79999999999</v>
      </c>
      <c r="F148" s="285">
        <v>181997.8</v>
      </c>
      <c r="G148" s="285">
        <v>165452.5</v>
      </c>
      <c r="H148" s="285">
        <v>132132</v>
      </c>
      <c r="I148" s="285">
        <v>121331.8</v>
      </c>
      <c r="J148" s="100">
        <v>166077.9</v>
      </c>
      <c r="K148" s="310">
        <v>193027</v>
      </c>
      <c r="L148" s="285">
        <v>132132.20000000001</v>
      </c>
      <c r="M148" s="285">
        <v>82726.3</v>
      </c>
      <c r="N148" s="285">
        <v>176482.7</v>
      </c>
      <c r="O148" s="100">
        <v>83039</v>
      </c>
      <c r="P148" s="311">
        <v>55151</v>
      </c>
      <c r="Q148" s="100">
        <v>33090.5</v>
      </c>
      <c r="Y148" s="104"/>
      <c r="Z148" s="104"/>
      <c r="AA148" s="104"/>
    </row>
    <row r="149" spans="1:27">
      <c r="A149" s="412"/>
      <c r="B149" s="63" t="s">
        <v>5</v>
      </c>
      <c r="C149" s="312">
        <v>38702.5</v>
      </c>
      <c r="D149" s="102">
        <v>77448.399999999994</v>
      </c>
      <c r="E149" s="312">
        <v>78860.2</v>
      </c>
      <c r="F149" s="286">
        <v>157453.1</v>
      </c>
      <c r="G149" s="286">
        <v>88188.3</v>
      </c>
      <c r="H149" s="286">
        <v>45786.400000000001</v>
      </c>
      <c r="I149" s="286">
        <v>68097.3</v>
      </c>
      <c r="J149" s="102">
        <v>8107.9</v>
      </c>
      <c r="K149" s="312">
        <v>155764.9</v>
      </c>
      <c r="L149" s="286">
        <v>56205.7</v>
      </c>
      <c r="M149" s="286">
        <v>45754.2</v>
      </c>
      <c r="N149" s="286">
        <v>132376.79999999999</v>
      </c>
      <c r="O149" s="102">
        <v>4146.8999999999996</v>
      </c>
      <c r="P149" s="313">
        <v>4404.6000000000004</v>
      </c>
      <c r="Q149" s="102">
        <v>2379.1999999999998</v>
      </c>
      <c r="Y149" s="104"/>
      <c r="Z149" s="104"/>
      <c r="AA149" s="104"/>
    </row>
    <row r="150" spans="1:27" ht="15.75" thickBot="1">
      <c r="A150" s="412"/>
      <c r="B150" s="271" t="s">
        <v>3</v>
      </c>
      <c r="C150" s="314">
        <f>C149/C148</f>
        <v>0.26990659185088167</v>
      </c>
      <c r="D150" s="83">
        <f t="shared" ref="D150:E150" si="137">D149/D148</f>
        <v>0.51455328942210721</v>
      </c>
      <c r="E150" s="315">
        <f t="shared" si="137"/>
        <v>0.52393303560157811</v>
      </c>
      <c r="F150" s="291">
        <f>F149/F148</f>
        <v>0.86513738078152602</v>
      </c>
      <c r="G150" s="291">
        <f>G149/G148</f>
        <v>0.53301279823514303</v>
      </c>
      <c r="H150" s="291">
        <f t="shared" ref="H150" si="138">H149/H148</f>
        <v>0.34652014652014651</v>
      </c>
      <c r="I150" s="291">
        <f>I149/I148</f>
        <v>0.56124857621827096</v>
      </c>
      <c r="J150" s="83">
        <f>J149/J148</f>
        <v>4.8819861041113841E-2</v>
      </c>
      <c r="K150" s="315">
        <f t="shared" ref="K150" si="139">K149/K148</f>
        <v>0.80695913006988662</v>
      </c>
      <c r="L150" s="291">
        <f>L149/L148</f>
        <v>0.42537473833024797</v>
      </c>
      <c r="M150" s="296">
        <f>M149/M148</f>
        <v>0.5530792504922859</v>
      </c>
      <c r="N150" s="291">
        <f>N149/N148</f>
        <v>0.75008371925406836</v>
      </c>
      <c r="O150" s="83">
        <f t="shared" ref="O150:Q150" si="140">O149/O148</f>
        <v>4.9939185202133932E-2</v>
      </c>
      <c r="P150" s="316">
        <f t="shared" si="140"/>
        <v>7.986437235952204E-2</v>
      </c>
      <c r="Q150" s="83">
        <f t="shared" si="140"/>
        <v>7.1899789969930947E-2</v>
      </c>
      <c r="Y150" s="104"/>
      <c r="Z150" s="104"/>
      <c r="AA150" s="104"/>
    </row>
    <row r="151" spans="1:27" ht="15" customHeight="1">
      <c r="A151" s="415" t="s">
        <v>196</v>
      </c>
      <c r="B151" s="27" t="s">
        <v>4</v>
      </c>
      <c r="C151" s="310">
        <v>9191.7999999999993</v>
      </c>
      <c r="D151" s="343" t="s">
        <v>198</v>
      </c>
      <c r="E151" s="344" t="s">
        <v>198</v>
      </c>
      <c r="F151" s="345" t="s">
        <v>198</v>
      </c>
      <c r="G151" s="345" t="s">
        <v>198</v>
      </c>
      <c r="H151" s="285">
        <v>13787.7</v>
      </c>
      <c r="I151" s="345" t="s">
        <v>198</v>
      </c>
      <c r="J151" s="343" t="s">
        <v>198</v>
      </c>
      <c r="K151" s="344" t="s">
        <v>198</v>
      </c>
      <c r="L151" s="285">
        <v>13787.7</v>
      </c>
      <c r="M151" s="345" t="s">
        <v>198</v>
      </c>
      <c r="N151" s="345" t="s">
        <v>198</v>
      </c>
      <c r="O151" s="343" t="s">
        <v>198</v>
      </c>
      <c r="P151" s="344" t="s">
        <v>198</v>
      </c>
      <c r="Q151" s="343" t="s">
        <v>198</v>
      </c>
      <c r="Y151" s="104"/>
      <c r="Z151" s="104"/>
      <c r="AA151" s="104"/>
    </row>
    <row r="152" spans="1:27">
      <c r="A152" s="416"/>
      <c r="B152" s="66" t="s">
        <v>5</v>
      </c>
      <c r="C152" s="312">
        <v>8724.7000000000007</v>
      </c>
      <c r="D152" s="346" t="s">
        <v>198</v>
      </c>
      <c r="E152" s="347" t="s">
        <v>198</v>
      </c>
      <c r="F152" s="348" t="s">
        <v>198</v>
      </c>
      <c r="G152" s="348" t="s">
        <v>198</v>
      </c>
      <c r="H152" s="286">
        <v>13645.4</v>
      </c>
      <c r="I152" s="348" t="s">
        <v>198</v>
      </c>
      <c r="J152" s="346" t="s">
        <v>198</v>
      </c>
      <c r="K152" s="347" t="s">
        <v>198</v>
      </c>
      <c r="L152" s="286">
        <v>13648.7</v>
      </c>
      <c r="M152" s="348" t="s">
        <v>198</v>
      </c>
      <c r="N152" s="348" t="s">
        <v>198</v>
      </c>
      <c r="O152" s="346" t="s">
        <v>198</v>
      </c>
      <c r="P152" s="356" t="s">
        <v>198</v>
      </c>
      <c r="Q152" s="346" t="s">
        <v>198</v>
      </c>
      <c r="Y152" s="104"/>
      <c r="Z152" s="104"/>
      <c r="AA152" s="104"/>
    </row>
    <row r="153" spans="1:27" ht="15.75" thickBot="1">
      <c r="A153" s="417"/>
      <c r="B153" s="340" t="s">
        <v>3</v>
      </c>
      <c r="C153" s="314">
        <f>C152/C151</f>
        <v>0.94918296742748987</v>
      </c>
      <c r="D153" s="349" t="s">
        <v>198</v>
      </c>
      <c r="E153" s="350" t="s">
        <v>198</v>
      </c>
      <c r="F153" s="351" t="s">
        <v>198</v>
      </c>
      <c r="G153" s="351" t="s">
        <v>198</v>
      </c>
      <c r="H153" s="283">
        <f t="shared" ref="H153" si="141">H152/H151</f>
        <v>0.98967920682927524</v>
      </c>
      <c r="I153" s="351" t="s">
        <v>198</v>
      </c>
      <c r="J153" s="349" t="s">
        <v>198</v>
      </c>
      <c r="K153" s="350" t="s">
        <v>198</v>
      </c>
      <c r="L153" s="335">
        <f t="shared" ref="L153" si="142">L152/L151</f>
        <v>0.98991855059219447</v>
      </c>
      <c r="M153" s="351" t="s">
        <v>198</v>
      </c>
      <c r="N153" s="351" t="s">
        <v>198</v>
      </c>
      <c r="O153" s="349" t="s">
        <v>198</v>
      </c>
      <c r="P153" s="357" t="s">
        <v>198</v>
      </c>
      <c r="Q153" s="349" t="s">
        <v>198</v>
      </c>
      <c r="Y153" s="104"/>
      <c r="Z153" s="104"/>
      <c r="AA153" s="104"/>
    </row>
    <row r="154" spans="1:27" ht="15" customHeight="1">
      <c r="A154" s="415" t="s">
        <v>197</v>
      </c>
      <c r="B154" s="27" t="s">
        <v>4</v>
      </c>
      <c r="C154" s="310">
        <v>97433.600000000006</v>
      </c>
      <c r="D154" s="343" t="s">
        <v>198</v>
      </c>
      <c r="E154" s="352" t="s">
        <v>198</v>
      </c>
      <c r="F154" s="345" t="s">
        <v>198</v>
      </c>
      <c r="G154" s="345" t="s">
        <v>198</v>
      </c>
      <c r="H154" s="285">
        <v>243584.4</v>
      </c>
      <c r="I154" s="345" t="s">
        <v>198</v>
      </c>
      <c r="J154" s="343" t="s">
        <v>198</v>
      </c>
      <c r="K154" s="352" t="s">
        <v>198</v>
      </c>
      <c r="L154" s="285">
        <v>292299.3</v>
      </c>
      <c r="M154" s="345" t="s">
        <v>198</v>
      </c>
      <c r="N154" s="345" t="s">
        <v>198</v>
      </c>
      <c r="O154" s="343" t="s">
        <v>198</v>
      </c>
      <c r="P154" s="344" t="s">
        <v>198</v>
      </c>
      <c r="Q154" s="343" t="s">
        <v>198</v>
      </c>
      <c r="Y154" s="104"/>
      <c r="Z154" s="104"/>
      <c r="AA154" s="104"/>
    </row>
    <row r="155" spans="1:27">
      <c r="A155" s="416"/>
      <c r="B155" s="66" t="s">
        <v>5</v>
      </c>
      <c r="C155" s="312">
        <v>73262.5</v>
      </c>
      <c r="D155" s="346" t="s">
        <v>198</v>
      </c>
      <c r="E155" s="347" t="s">
        <v>198</v>
      </c>
      <c r="F155" s="348" t="s">
        <v>198</v>
      </c>
      <c r="G155" s="348" t="s">
        <v>198</v>
      </c>
      <c r="H155" s="286">
        <v>83132.800000000003</v>
      </c>
      <c r="I155" s="348" t="s">
        <v>198</v>
      </c>
      <c r="J155" s="346" t="s">
        <v>198</v>
      </c>
      <c r="K155" s="347" t="s">
        <v>198</v>
      </c>
      <c r="L155" s="286">
        <v>63200.3</v>
      </c>
      <c r="M155" s="348" t="s">
        <v>198</v>
      </c>
      <c r="N155" s="348" t="s">
        <v>198</v>
      </c>
      <c r="O155" s="346" t="s">
        <v>198</v>
      </c>
      <c r="P155" s="356" t="s">
        <v>198</v>
      </c>
      <c r="Q155" s="346" t="s">
        <v>198</v>
      </c>
      <c r="Y155" s="104"/>
      <c r="Z155" s="104"/>
      <c r="AA155" s="104"/>
    </row>
    <row r="156" spans="1:27" ht="15.75" thickBot="1">
      <c r="A156" s="418"/>
      <c r="B156" s="256" t="s">
        <v>3</v>
      </c>
      <c r="C156" s="315">
        <f>C155/C154</f>
        <v>0.75192233480031523</v>
      </c>
      <c r="D156" s="353" t="s">
        <v>198</v>
      </c>
      <c r="E156" s="354" t="s">
        <v>198</v>
      </c>
      <c r="F156" s="355" t="s">
        <v>198</v>
      </c>
      <c r="G156" s="355" t="s">
        <v>198</v>
      </c>
      <c r="H156" s="291">
        <f t="shared" ref="H156" si="143">H155/H154</f>
        <v>0.34128950786667783</v>
      </c>
      <c r="I156" s="355" t="s">
        <v>198</v>
      </c>
      <c r="J156" s="353" t="s">
        <v>198</v>
      </c>
      <c r="K156" s="354" t="s">
        <v>198</v>
      </c>
      <c r="L156" s="329">
        <f t="shared" ref="L156" si="144">L155/L154</f>
        <v>0.21621776035727763</v>
      </c>
      <c r="M156" s="355" t="s">
        <v>198</v>
      </c>
      <c r="N156" s="355" t="s">
        <v>198</v>
      </c>
      <c r="O156" s="353" t="s">
        <v>198</v>
      </c>
      <c r="P156" s="358" t="s">
        <v>198</v>
      </c>
      <c r="Q156" s="353" t="s">
        <v>198</v>
      </c>
      <c r="Y156" s="104"/>
      <c r="Z156" s="104"/>
      <c r="AA156" s="104"/>
    </row>
    <row r="157" spans="1:27" ht="15" customHeight="1">
      <c r="A157" s="412" t="s">
        <v>6</v>
      </c>
      <c r="B157" s="279" t="s">
        <v>7</v>
      </c>
      <c r="C157" s="300">
        <v>5870</v>
      </c>
      <c r="D157" s="80">
        <v>3333</v>
      </c>
      <c r="E157" s="300">
        <v>3330</v>
      </c>
      <c r="F157" s="290">
        <v>9457</v>
      </c>
      <c r="G157" s="290">
        <v>7853</v>
      </c>
      <c r="H157" s="290">
        <v>15543</v>
      </c>
      <c r="I157" s="290">
        <v>7386</v>
      </c>
      <c r="J157" s="80">
        <v>9599</v>
      </c>
      <c r="K157" s="300">
        <v>9289</v>
      </c>
      <c r="L157" s="290">
        <v>12263</v>
      </c>
      <c r="M157" s="290">
        <v>4133</v>
      </c>
      <c r="N157" s="290">
        <v>9900</v>
      </c>
      <c r="O157" s="80">
        <v>4799</v>
      </c>
      <c r="P157" s="317">
        <v>2000</v>
      </c>
      <c r="Q157" s="80">
        <v>1250</v>
      </c>
      <c r="Y157" s="104"/>
      <c r="Z157" s="104"/>
      <c r="AA157" s="104"/>
    </row>
    <row r="158" spans="1:27">
      <c r="A158" s="412"/>
      <c r="B158" s="28" t="s">
        <v>11</v>
      </c>
      <c r="C158" s="318">
        <f>C157*33.717</f>
        <v>197918.78999999998</v>
      </c>
      <c r="D158" s="84">
        <f>D157*33.717</f>
        <v>112378.761</v>
      </c>
      <c r="E158" s="318">
        <f>E157*33.717</f>
        <v>112277.61</v>
      </c>
      <c r="F158" s="292">
        <f>F157*33.717</f>
        <v>318861.66899999999</v>
      </c>
      <c r="G158" s="292">
        <f t="shared" ref="G158:I158" si="145">G157*33.717</f>
        <v>264779.60099999997</v>
      </c>
      <c r="H158" s="292">
        <f t="shared" si="145"/>
        <v>524063.33100000001</v>
      </c>
      <c r="I158" s="292">
        <f t="shared" si="145"/>
        <v>249033.76199999999</v>
      </c>
      <c r="J158" s="84">
        <f>J157*33.717</f>
        <v>323649.48300000001</v>
      </c>
      <c r="K158" s="318">
        <f>K157*33.717</f>
        <v>313197.21299999999</v>
      </c>
      <c r="L158" s="292">
        <f t="shared" ref="L158:O158" si="146">L157*33.717</f>
        <v>413471.571</v>
      </c>
      <c r="M158" s="341">
        <f t="shared" si="146"/>
        <v>139352.361</v>
      </c>
      <c r="N158" s="292">
        <f t="shared" si="146"/>
        <v>333798.3</v>
      </c>
      <c r="O158" s="341">
        <f t="shared" si="146"/>
        <v>161807.883</v>
      </c>
      <c r="P158" s="319">
        <f>P157*33.717</f>
        <v>67434</v>
      </c>
      <c r="Q158" s="84">
        <f>Q157*33.717</f>
        <v>42146.25</v>
      </c>
      <c r="Y158" s="104"/>
      <c r="Z158" s="104"/>
      <c r="AA158" s="104"/>
    </row>
    <row r="159" spans="1:27">
      <c r="A159" s="412"/>
      <c r="B159" s="66" t="s">
        <v>8</v>
      </c>
      <c r="C159" s="326">
        <f>SUM(C157-168)</f>
        <v>5702</v>
      </c>
      <c r="D159" s="103">
        <f>SUM(D157-686)</f>
        <v>2647</v>
      </c>
      <c r="E159" s="326">
        <f>SUM(E157-652)</f>
        <v>2678</v>
      </c>
      <c r="F159" s="359">
        <f>SUM(F157-1211)</f>
        <v>8246</v>
      </c>
      <c r="G159" s="294">
        <f>SUM(G157-4200)</f>
        <v>3653</v>
      </c>
      <c r="H159" s="294">
        <f>SUM(H157-2129)</f>
        <v>13414</v>
      </c>
      <c r="I159" s="294">
        <f>SUM(I157-(3578-2000))</f>
        <v>5808</v>
      </c>
      <c r="J159" s="103">
        <f>SUM(J157-9313)</f>
        <v>286</v>
      </c>
      <c r="K159" s="326">
        <f>SUM(K157-887)</f>
        <v>8402</v>
      </c>
      <c r="L159" s="294">
        <f>SUM(L157-1721)</f>
        <v>10542</v>
      </c>
      <c r="M159" s="298">
        <f>SUM(M157-321)</f>
        <v>3812</v>
      </c>
      <c r="N159" s="294">
        <f>SUM(N157-(5408-2614))</f>
        <v>7106</v>
      </c>
      <c r="O159" s="103">
        <f>SUM(O157-4074)</f>
        <v>725</v>
      </c>
      <c r="P159" s="327">
        <f>SUM(P157-1261)</f>
        <v>739</v>
      </c>
      <c r="Q159" s="103">
        <f>SUM(Q157-869)</f>
        <v>381</v>
      </c>
      <c r="T159" s="14" t="s">
        <v>192</v>
      </c>
    </row>
    <row r="160" spans="1:27">
      <c r="A160" s="412"/>
      <c r="B160" s="29" t="s">
        <v>77</v>
      </c>
      <c r="C160" s="318">
        <f>(C159*33.717)</f>
        <v>192254.334</v>
      </c>
      <c r="D160" s="320">
        <f>(D159*33.717)</f>
        <v>89248.89899999999</v>
      </c>
      <c r="E160" s="318">
        <f>(E159*33.717)</f>
        <v>90294.126000000004</v>
      </c>
      <c r="F160" s="320">
        <f>(F159*33.717)</f>
        <v>278030.38199999998</v>
      </c>
      <c r="G160" s="321">
        <f>(G159*33.717)*2</f>
        <v>246336.402</v>
      </c>
      <c r="H160" s="321">
        <f>(H159*33.717)</f>
        <v>452279.83799999999</v>
      </c>
      <c r="I160" s="321">
        <f>(I159*33.717)-(2000*33.717)</f>
        <v>128394.33599999998</v>
      </c>
      <c r="J160" s="322">
        <f>J159*33.717</f>
        <v>9643.0619999999999</v>
      </c>
      <c r="K160" s="323">
        <f>K159*33.717</f>
        <v>283290.234</v>
      </c>
      <c r="L160" s="321">
        <f>L159*33.717</f>
        <v>355444.614</v>
      </c>
      <c r="M160" s="321">
        <f>(M159*33.717)</f>
        <v>128529.204</v>
      </c>
      <c r="N160" s="321">
        <f>N159*33.717</f>
        <v>239593.00199999998</v>
      </c>
      <c r="O160" s="322">
        <f>O159*33.717</f>
        <v>24444.825000000001</v>
      </c>
      <c r="P160" s="324">
        <f>P159*33.717</f>
        <v>24916.862999999998</v>
      </c>
      <c r="Q160" s="325">
        <f>Q159*33.717</f>
        <v>12846.177</v>
      </c>
      <c r="T160" s="89">
        <f>344240-H160</f>
        <v>-108039.83799999999</v>
      </c>
      <c r="U160" s="104" t="s">
        <v>193</v>
      </c>
    </row>
    <row r="161" spans="1:27" ht="15.75" thickBot="1">
      <c r="A161" s="412"/>
      <c r="B161" s="342" t="s">
        <v>203</v>
      </c>
      <c r="C161" s="315">
        <f>C158/(C148+C151+C154)</f>
        <v>0.79161942999212842</v>
      </c>
      <c r="D161" s="329">
        <f>D158/D148</f>
        <v>0.74662434774289477</v>
      </c>
      <c r="E161" s="316">
        <f>E158/E148</f>
        <v>0.74595231862701461</v>
      </c>
      <c r="F161" s="316">
        <f t="shared" ref="F161:G161" si="147">F158/F148</f>
        <v>1.7520083704308513</v>
      </c>
      <c r="G161" s="316">
        <f t="shared" si="147"/>
        <v>1.6003360541545155</v>
      </c>
      <c r="H161" s="291">
        <f>H158/(H148+H151+H154)</f>
        <v>1.3454629386442916</v>
      </c>
      <c r="I161" s="329">
        <f>I158/I148</f>
        <v>2.0525019986516311</v>
      </c>
      <c r="J161" s="330">
        <f>J158/J148</f>
        <v>1.9487811623340614</v>
      </c>
      <c r="K161" s="315">
        <f>K158/K148</f>
        <v>1.6225564972775828</v>
      </c>
      <c r="L161" s="291">
        <f>L158/(L148+L151+L154)</f>
        <v>0.94352682630062756</v>
      </c>
      <c r="M161" s="291">
        <f>M158/M148</f>
        <v>1.6844988957562468</v>
      </c>
      <c r="N161" s="329">
        <f>N158/N148</f>
        <v>1.891393887332866</v>
      </c>
      <c r="O161" s="329">
        <f>O158/O148</f>
        <v>1.9485769698575368</v>
      </c>
      <c r="P161" s="315">
        <f>P158/P148</f>
        <v>1.2227158165763088</v>
      </c>
      <c r="Q161" s="329">
        <f>Q158/Q148</f>
        <v>1.273666157960744</v>
      </c>
      <c r="T161" s="175"/>
    </row>
    <row r="162" spans="1:27" ht="15.75" thickBot="1">
      <c r="A162" s="413"/>
      <c r="B162" s="342" t="s">
        <v>204</v>
      </c>
      <c r="C162" s="315">
        <f>C160/(C148+C151+C154)</f>
        <v>0.7689632009906503</v>
      </c>
      <c r="D162" s="329">
        <f>D160/D148</f>
        <v>0.59295368991162389</v>
      </c>
      <c r="E162" s="316">
        <f>E160/E148</f>
        <v>0.59989799077571926</v>
      </c>
      <c r="F162" s="316">
        <f t="shared" ref="F162:G162" si="148">F160/F148</f>
        <v>1.5276579277331923</v>
      </c>
      <c r="G162" s="316">
        <f t="shared" si="148"/>
        <v>1.4888647920097913</v>
      </c>
      <c r="H162" s="291">
        <f>H160/(H148+H151+H154)</f>
        <v>1.1611683625409848</v>
      </c>
      <c r="I162" s="329">
        <f>I160/I148</f>
        <v>1.0582084498870039</v>
      </c>
      <c r="J162" s="330">
        <f>J160/J148</f>
        <v>5.8063487074439167E-2</v>
      </c>
      <c r="K162" s="315">
        <f>K160/K148</f>
        <v>1.4676197319545969</v>
      </c>
      <c r="L162" s="291">
        <f>L160/(L148+L151+L154)</f>
        <v>0.81111145746238411</v>
      </c>
      <c r="M162" s="291">
        <f>M160/M148</f>
        <v>1.5536679870851229</v>
      </c>
      <c r="N162" s="329">
        <f>N160/N148</f>
        <v>1.357600501352257</v>
      </c>
      <c r="O162" s="329">
        <f>O160/O148</f>
        <v>0.29437764183094689</v>
      </c>
      <c r="P162" s="315">
        <f t="shared" ref="P162:Q162" si="149">P160/P148</f>
        <v>0.45179349422494602</v>
      </c>
      <c r="Q162" s="329">
        <f t="shared" si="149"/>
        <v>0.38821344494643478</v>
      </c>
      <c r="T162" s="175"/>
    </row>
    <row r="163" spans="1:27" ht="15.75" thickBot="1">
      <c r="A163" s="406">
        <v>41351</v>
      </c>
      <c r="B163" s="419"/>
      <c r="C163" s="282">
        <f>C167+C170+C173</f>
        <v>120609.59999999999</v>
      </c>
      <c r="H163" s="282">
        <f>H167+H170+H173</f>
        <v>141229.70000000001</v>
      </c>
      <c r="K163" s="282"/>
      <c r="L163" s="282">
        <f>L167+L170+L173</f>
        <v>134894</v>
      </c>
      <c r="N163" s="15"/>
    </row>
    <row r="164" spans="1:27">
      <c r="A164" s="407" t="s">
        <v>1</v>
      </c>
      <c r="B164" s="420"/>
      <c r="C164" s="300" t="s">
        <v>12</v>
      </c>
      <c r="D164" s="80" t="s">
        <v>12</v>
      </c>
      <c r="E164" s="300" t="s">
        <v>13</v>
      </c>
      <c r="F164" s="290" t="s">
        <v>13</v>
      </c>
      <c r="G164" s="290" t="s">
        <v>13</v>
      </c>
      <c r="H164" s="290" t="s">
        <v>13</v>
      </c>
      <c r="I164" s="290" t="s">
        <v>13</v>
      </c>
      <c r="J164" s="80" t="s">
        <v>13</v>
      </c>
      <c r="K164" s="300" t="s">
        <v>2</v>
      </c>
      <c r="L164" s="290" t="s">
        <v>2</v>
      </c>
      <c r="M164" s="295" t="s">
        <v>2</v>
      </c>
      <c r="N164" s="290" t="s">
        <v>2</v>
      </c>
      <c r="O164" s="80" t="s">
        <v>2</v>
      </c>
      <c r="P164" s="301" t="s">
        <v>199</v>
      </c>
      <c r="Q164" s="302" t="s">
        <v>199</v>
      </c>
    </row>
    <row r="165" spans="1:27" ht="15.75" thickBot="1">
      <c r="A165" s="409" t="s">
        <v>0</v>
      </c>
      <c r="B165" s="414"/>
      <c r="C165" s="303" t="s">
        <v>102</v>
      </c>
      <c r="D165" s="304" t="s">
        <v>103</v>
      </c>
      <c r="E165" s="303" t="s">
        <v>104</v>
      </c>
      <c r="F165" s="305" t="s">
        <v>105</v>
      </c>
      <c r="G165" s="305" t="s">
        <v>100</v>
      </c>
      <c r="H165" s="305" t="s">
        <v>107</v>
      </c>
      <c r="I165" s="305" t="s">
        <v>106</v>
      </c>
      <c r="J165" s="306" t="s">
        <v>200</v>
      </c>
      <c r="K165" s="303" t="s">
        <v>108</v>
      </c>
      <c r="L165" s="305" t="s">
        <v>110</v>
      </c>
      <c r="M165" s="307" t="s">
        <v>101</v>
      </c>
      <c r="N165" s="308" t="s">
        <v>109</v>
      </c>
      <c r="O165" s="304" t="s">
        <v>201</v>
      </c>
      <c r="P165" s="309" t="s">
        <v>111</v>
      </c>
      <c r="Q165" s="304" t="s">
        <v>202</v>
      </c>
      <c r="R165" s="14"/>
      <c r="S165" s="14"/>
      <c r="T165" s="14"/>
      <c r="U165" s="14"/>
      <c r="V165" s="14"/>
      <c r="W165" s="14"/>
      <c r="X165" s="14"/>
      <c r="Y165" s="175"/>
      <c r="Z165" s="174"/>
      <c r="AA165" s="175"/>
    </row>
    <row r="166" spans="1:27" ht="15" customHeight="1">
      <c r="A166" s="411" t="s">
        <v>195</v>
      </c>
      <c r="B166" s="2" t="s">
        <v>4</v>
      </c>
      <c r="C166" s="310">
        <v>143392.20000000001</v>
      </c>
      <c r="D166" s="100">
        <v>150515.79999999999</v>
      </c>
      <c r="E166" s="310">
        <v>150515.79999999999</v>
      </c>
      <c r="F166" s="285">
        <v>181997.8</v>
      </c>
      <c r="G166" s="285">
        <v>165452.5</v>
      </c>
      <c r="H166" s="285">
        <v>132132</v>
      </c>
      <c r="I166" s="285">
        <v>121331.8</v>
      </c>
      <c r="J166" s="100">
        <v>166077.9</v>
      </c>
      <c r="K166" s="310">
        <v>193027</v>
      </c>
      <c r="L166" s="285">
        <v>132132.20000000001</v>
      </c>
      <c r="M166" s="285">
        <v>82726.3</v>
      </c>
      <c r="N166" s="285">
        <v>176482.7</v>
      </c>
      <c r="O166" s="100">
        <v>83039</v>
      </c>
      <c r="P166" s="311">
        <v>55151</v>
      </c>
      <c r="Q166" s="100">
        <v>33090.5</v>
      </c>
      <c r="Y166" s="104"/>
      <c r="Z166" s="104"/>
      <c r="AA166" s="104"/>
    </row>
    <row r="167" spans="1:27">
      <c r="A167" s="412"/>
      <c r="B167" s="63" t="s">
        <v>5</v>
      </c>
      <c r="C167" s="312">
        <v>39658.400000000001</v>
      </c>
      <c r="D167" s="102">
        <v>77413</v>
      </c>
      <c r="E167" s="312">
        <v>78824.899999999994</v>
      </c>
      <c r="F167" s="286">
        <v>156673.70000000001</v>
      </c>
      <c r="G167" s="286">
        <v>87785.600000000006</v>
      </c>
      <c r="H167" s="286">
        <v>46817</v>
      </c>
      <c r="I167" s="286">
        <v>68045.399999999994</v>
      </c>
      <c r="J167" s="102">
        <v>8102.6</v>
      </c>
      <c r="K167" s="312">
        <v>155696.20000000001</v>
      </c>
      <c r="L167" s="286">
        <v>58263.6</v>
      </c>
      <c r="M167" s="286">
        <v>44761.599999999999</v>
      </c>
      <c r="N167" s="286">
        <v>132266.29999999999</v>
      </c>
      <c r="O167" s="102">
        <v>4143.5</v>
      </c>
      <c r="P167" s="313">
        <v>4329.7</v>
      </c>
      <c r="Q167" s="102">
        <v>2353.6</v>
      </c>
      <c r="Y167" s="104"/>
      <c r="Z167" s="104"/>
      <c r="AA167" s="104"/>
    </row>
    <row r="168" spans="1:27" ht="15.75" thickBot="1">
      <c r="A168" s="412"/>
      <c r="B168" s="271" t="s">
        <v>3</v>
      </c>
      <c r="C168" s="314">
        <f>C167/C166</f>
        <v>0.27657292377130693</v>
      </c>
      <c r="D168" s="83">
        <f t="shared" ref="D168:E168" si="150">D167/D166</f>
        <v>0.51431809816643836</v>
      </c>
      <c r="E168" s="315">
        <f t="shared" si="150"/>
        <v>0.5236985087279874</v>
      </c>
      <c r="F168" s="291">
        <f>F167/F166</f>
        <v>0.86085491143299542</v>
      </c>
      <c r="G168" s="291">
        <f>G167/G166</f>
        <v>0.53057886704643331</v>
      </c>
      <c r="H168" s="291">
        <f t="shared" ref="H168" si="151">H167/H166</f>
        <v>0.35431992250174066</v>
      </c>
      <c r="I168" s="291">
        <f>I167/I166</f>
        <v>0.56082082355985807</v>
      </c>
      <c r="J168" s="83">
        <f>J167/J166</f>
        <v>4.8787948306186435E-2</v>
      </c>
      <c r="K168" s="315">
        <f t="shared" ref="K168" si="152">K167/K166</f>
        <v>0.80660322131100837</v>
      </c>
      <c r="L168" s="291">
        <f>L167/L166</f>
        <v>0.44094929169422742</v>
      </c>
      <c r="M168" s="296">
        <f>M167/M166</f>
        <v>0.54108064787135401</v>
      </c>
      <c r="N168" s="291">
        <f>N167/N166</f>
        <v>0.74945759556035796</v>
      </c>
      <c r="O168" s="83">
        <f t="shared" ref="O168:Q168" si="153">O167/O166</f>
        <v>4.9898240585748863E-2</v>
      </c>
      <c r="P168" s="316">
        <f t="shared" si="153"/>
        <v>7.8506282750992723E-2</v>
      </c>
      <c r="Q168" s="83">
        <f t="shared" si="153"/>
        <v>7.1126154032124023E-2</v>
      </c>
      <c r="Y168" s="104"/>
      <c r="Z168" s="104"/>
      <c r="AA168" s="104"/>
    </row>
    <row r="169" spans="1:27" ht="15" customHeight="1">
      <c r="A169" s="415" t="s">
        <v>196</v>
      </c>
      <c r="B169" s="27" t="s">
        <v>4</v>
      </c>
      <c r="C169" s="310">
        <v>9191.7999999999993</v>
      </c>
      <c r="D169" s="343" t="s">
        <v>198</v>
      </c>
      <c r="E169" s="344" t="s">
        <v>198</v>
      </c>
      <c r="F169" s="345" t="s">
        <v>198</v>
      </c>
      <c r="G169" s="345" t="s">
        <v>198</v>
      </c>
      <c r="H169" s="285">
        <v>13787.7</v>
      </c>
      <c r="I169" s="345" t="s">
        <v>198</v>
      </c>
      <c r="J169" s="343" t="s">
        <v>198</v>
      </c>
      <c r="K169" s="344" t="s">
        <v>198</v>
      </c>
      <c r="L169" s="285">
        <v>13787.7</v>
      </c>
      <c r="M169" s="345" t="s">
        <v>198</v>
      </c>
      <c r="N169" s="345" t="s">
        <v>198</v>
      </c>
      <c r="O169" s="343" t="s">
        <v>198</v>
      </c>
      <c r="P169" s="344" t="s">
        <v>198</v>
      </c>
      <c r="Q169" s="343" t="s">
        <v>198</v>
      </c>
      <c r="Y169" s="104"/>
      <c r="Z169" s="104"/>
      <c r="AA169" s="104"/>
    </row>
    <row r="170" spans="1:27">
      <c r="A170" s="416"/>
      <c r="B170" s="66" t="s">
        <v>5</v>
      </c>
      <c r="C170" s="312">
        <v>8675.7999999999993</v>
      </c>
      <c r="D170" s="346" t="s">
        <v>198</v>
      </c>
      <c r="E170" s="347" t="s">
        <v>198</v>
      </c>
      <c r="F170" s="348" t="s">
        <v>198</v>
      </c>
      <c r="G170" s="348" t="s">
        <v>198</v>
      </c>
      <c r="H170" s="286">
        <v>13611.7</v>
      </c>
      <c r="I170" s="348" t="s">
        <v>198</v>
      </c>
      <c r="J170" s="346" t="s">
        <v>198</v>
      </c>
      <c r="K170" s="347" t="s">
        <v>198</v>
      </c>
      <c r="L170" s="286">
        <v>13649.8</v>
      </c>
      <c r="M170" s="348" t="s">
        <v>198</v>
      </c>
      <c r="N170" s="348" t="s">
        <v>198</v>
      </c>
      <c r="O170" s="346" t="s">
        <v>198</v>
      </c>
      <c r="P170" s="356" t="s">
        <v>198</v>
      </c>
      <c r="Q170" s="346" t="s">
        <v>198</v>
      </c>
      <c r="Y170" s="104"/>
      <c r="Z170" s="104"/>
      <c r="AA170" s="104"/>
    </row>
    <row r="171" spans="1:27" ht="15.75" thickBot="1">
      <c r="A171" s="417"/>
      <c r="B171" s="340" t="s">
        <v>3</v>
      </c>
      <c r="C171" s="314">
        <f>C170/C169</f>
        <v>0.94386300833351466</v>
      </c>
      <c r="D171" s="349" t="s">
        <v>198</v>
      </c>
      <c r="E171" s="350" t="s">
        <v>198</v>
      </c>
      <c r="F171" s="351" t="s">
        <v>198</v>
      </c>
      <c r="G171" s="351" t="s">
        <v>198</v>
      </c>
      <c r="H171" s="283">
        <f t="shared" ref="H171" si="154">H170/H169</f>
        <v>0.98723499931098013</v>
      </c>
      <c r="I171" s="351" t="s">
        <v>198</v>
      </c>
      <c r="J171" s="349" t="s">
        <v>198</v>
      </c>
      <c r="K171" s="350" t="s">
        <v>198</v>
      </c>
      <c r="L171" s="335">
        <f t="shared" ref="L171" si="155">L170/L169</f>
        <v>0.98999833184650077</v>
      </c>
      <c r="M171" s="351" t="s">
        <v>198</v>
      </c>
      <c r="N171" s="351" t="s">
        <v>198</v>
      </c>
      <c r="O171" s="349" t="s">
        <v>198</v>
      </c>
      <c r="P171" s="357" t="s">
        <v>198</v>
      </c>
      <c r="Q171" s="349" t="s">
        <v>198</v>
      </c>
      <c r="Y171" s="104"/>
      <c r="Z171" s="104"/>
      <c r="AA171" s="104"/>
    </row>
    <row r="172" spans="1:27" ht="15" customHeight="1">
      <c r="A172" s="415" t="s">
        <v>197</v>
      </c>
      <c r="B172" s="27" t="s">
        <v>4</v>
      </c>
      <c r="C172" s="310">
        <v>97433.600000000006</v>
      </c>
      <c r="D172" s="343" t="s">
        <v>198</v>
      </c>
      <c r="E172" s="352" t="s">
        <v>198</v>
      </c>
      <c r="F172" s="345" t="s">
        <v>198</v>
      </c>
      <c r="G172" s="345" t="s">
        <v>198</v>
      </c>
      <c r="H172" s="285">
        <v>243584.4</v>
      </c>
      <c r="I172" s="345" t="s">
        <v>198</v>
      </c>
      <c r="J172" s="343" t="s">
        <v>198</v>
      </c>
      <c r="K172" s="352" t="s">
        <v>198</v>
      </c>
      <c r="L172" s="285">
        <v>292299.3</v>
      </c>
      <c r="M172" s="345" t="s">
        <v>198</v>
      </c>
      <c r="N172" s="345" t="s">
        <v>198</v>
      </c>
      <c r="O172" s="343" t="s">
        <v>198</v>
      </c>
      <c r="P172" s="344" t="s">
        <v>198</v>
      </c>
      <c r="Q172" s="343" t="s">
        <v>198</v>
      </c>
      <c r="Y172" s="104"/>
      <c r="Z172" s="104"/>
      <c r="AA172" s="104"/>
    </row>
    <row r="173" spans="1:27">
      <c r="A173" s="416"/>
      <c r="B173" s="66" t="s">
        <v>5</v>
      </c>
      <c r="C173" s="312">
        <v>72275.399999999994</v>
      </c>
      <c r="D173" s="346" t="s">
        <v>198</v>
      </c>
      <c r="E173" s="347" t="s">
        <v>198</v>
      </c>
      <c r="F173" s="348" t="s">
        <v>198</v>
      </c>
      <c r="G173" s="348" t="s">
        <v>198</v>
      </c>
      <c r="H173" s="286">
        <v>80801</v>
      </c>
      <c r="I173" s="348" t="s">
        <v>198</v>
      </c>
      <c r="J173" s="346" t="s">
        <v>198</v>
      </c>
      <c r="K173" s="347" t="s">
        <v>198</v>
      </c>
      <c r="L173" s="286">
        <v>62980.6</v>
      </c>
      <c r="M173" s="348" t="s">
        <v>198</v>
      </c>
      <c r="N173" s="348" t="s">
        <v>198</v>
      </c>
      <c r="O173" s="346" t="s">
        <v>198</v>
      </c>
      <c r="P173" s="356" t="s">
        <v>198</v>
      </c>
      <c r="Q173" s="346" t="s">
        <v>198</v>
      </c>
      <c r="Y173" s="104"/>
      <c r="Z173" s="104"/>
      <c r="AA173" s="104"/>
    </row>
    <row r="174" spans="1:27" ht="15.75" thickBot="1">
      <c r="A174" s="418"/>
      <c r="B174" s="256" t="s">
        <v>3</v>
      </c>
      <c r="C174" s="315">
        <f>C173/C172</f>
        <v>0.74179133276405662</v>
      </c>
      <c r="D174" s="353" t="s">
        <v>198</v>
      </c>
      <c r="E174" s="354" t="s">
        <v>198</v>
      </c>
      <c r="F174" s="355" t="s">
        <v>198</v>
      </c>
      <c r="G174" s="355" t="s">
        <v>198</v>
      </c>
      <c r="H174" s="291">
        <f t="shared" ref="H174" si="156">H173/H172</f>
        <v>0.3317166452367229</v>
      </c>
      <c r="I174" s="355" t="s">
        <v>198</v>
      </c>
      <c r="J174" s="353" t="s">
        <v>198</v>
      </c>
      <c r="K174" s="354" t="s">
        <v>198</v>
      </c>
      <c r="L174" s="329">
        <f t="shared" ref="L174" si="157">L173/L172</f>
        <v>0.21546613351451749</v>
      </c>
      <c r="M174" s="355" t="s">
        <v>198</v>
      </c>
      <c r="N174" s="355" t="s">
        <v>198</v>
      </c>
      <c r="O174" s="353" t="s">
        <v>198</v>
      </c>
      <c r="P174" s="358" t="s">
        <v>198</v>
      </c>
      <c r="Q174" s="353" t="s">
        <v>198</v>
      </c>
      <c r="Y174" s="104"/>
      <c r="Z174" s="104"/>
      <c r="AA174" s="104"/>
    </row>
    <row r="175" spans="1:27" ht="15" customHeight="1">
      <c r="A175" s="412" t="s">
        <v>6</v>
      </c>
      <c r="B175" s="279" t="s">
        <v>7</v>
      </c>
      <c r="C175" s="300">
        <v>5870</v>
      </c>
      <c r="D175" s="80">
        <v>3333</v>
      </c>
      <c r="E175" s="300">
        <v>3330</v>
      </c>
      <c r="F175" s="290">
        <v>9457</v>
      </c>
      <c r="G175" s="290">
        <v>7753</v>
      </c>
      <c r="H175" s="290">
        <v>15543</v>
      </c>
      <c r="I175" s="290">
        <v>7183</v>
      </c>
      <c r="J175" s="80">
        <v>9599</v>
      </c>
      <c r="K175" s="300">
        <v>9289</v>
      </c>
      <c r="L175" s="290">
        <v>12263</v>
      </c>
      <c r="M175" s="290">
        <v>4133</v>
      </c>
      <c r="N175" s="290">
        <v>9508</v>
      </c>
      <c r="O175" s="80">
        <v>4799</v>
      </c>
      <c r="P175" s="317">
        <v>1400</v>
      </c>
      <c r="Q175" s="80">
        <v>1000</v>
      </c>
      <c r="Y175" s="104"/>
      <c r="Z175" s="104"/>
      <c r="AA175" s="104"/>
    </row>
    <row r="176" spans="1:27">
      <c r="A176" s="412"/>
      <c r="B176" s="28" t="s">
        <v>11</v>
      </c>
      <c r="C176" s="318">
        <f>C175*33.717</f>
        <v>197918.78999999998</v>
      </c>
      <c r="D176" s="84">
        <f>D175*33.717</f>
        <v>112378.761</v>
      </c>
      <c r="E176" s="318">
        <f>E175*33.717</f>
        <v>112277.61</v>
      </c>
      <c r="F176" s="292">
        <f>F175*33.717</f>
        <v>318861.66899999999</v>
      </c>
      <c r="G176" s="292">
        <f t="shared" ref="G176:I176" si="158">G175*33.717</f>
        <v>261407.90099999998</v>
      </c>
      <c r="H176" s="292">
        <f t="shared" si="158"/>
        <v>524063.33100000001</v>
      </c>
      <c r="I176" s="292">
        <f t="shared" si="158"/>
        <v>242189.21099999998</v>
      </c>
      <c r="J176" s="84">
        <f>J175*33.717</f>
        <v>323649.48300000001</v>
      </c>
      <c r="K176" s="318">
        <f>K175*33.717</f>
        <v>313197.21299999999</v>
      </c>
      <c r="L176" s="292">
        <f t="shared" ref="L176:O176" si="159">L175*33.717</f>
        <v>413471.571</v>
      </c>
      <c r="M176" s="341">
        <f t="shared" si="159"/>
        <v>139352.361</v>
      </c>
      <c r="N176" s="292">
        <f t="shared" si="159"/>
        <v>320581.23599999998</v>
      </c>
      <c r="O176" s="341">
        <f t="shared" si="159"/>
        <v>161807.883</v>
      </c>
      <c r="P176" s="319">
        <f>P175*33.717</f>
        <v>47203.799999999996</v>
      </c>
      <c r="Q176" s="84">
        <f>Q175*33.717</f>
        <v>33717</v>
      </c>
      <c r="Y176" s="104"/>
      <c r="Z176" s="104"/>
      <c r="AA176" s="104"/>
    </row>
    <row r="177" spans="1:27">
      <c r="A177" s="412"/>
      <c r="B177" s="66" t="s">
        <v>8</v>
      </c>
      <c r="C177" s="326">
        <v>5702</v>
      </c>
      <c r="D177" s="103">
        <v>2647</v>
      </c>
      <c r="E177" s="326">
        <v>2678</v>
      </c>
      <c r="F177" s="294">
        <v>8246</v>
      </c>
      <c r="G177" s="294">
        <v>3539</v>
      </c>
      <c r="H177" s="294">
        <v>13414</v>
      </c>
      <c r="I177" s="294">
        <v>5503</v>
      </c>
      <c r="J177" s="103">
        <v>286</v>
      </c>
      <c r="K177" s="326">
        <v>8327</v>
      </c>
      <c r="L177" s="294">
        <v>10477</v>
      </c>
      <c r="M177" s="298">
        <v>3725</v>
      </c>
      <c r="N177" s="294">
        <v>6612</v>
      </c>
      <c r="O177" s="103">
        <v>725</v>
      </c>
      <c r="P177" s="327">
        <v>539</v>
      </c>
      <c r="Q177" s="103">
        <v>345</v>
      </c>
      <c r="T177" s="14" t="s">
        <v>192</v>
      </c>
    </row>
    <row r="178" spans="1:27">
      <c r="A178" s="412"/>
      <c r="B178" s="29" t="s">
        <v>77</v>
      </c>
      <c r="C178" s="318">
        <f>(C177*33.717)</f>
        <v>192254.334</v>
      </c>
      <c r="D178" s="320">
        <f>(D177*33.717)</f>
        <v>89248.89899999999</v>
      </c>
      <c r="E178" s="318">
        <f>(E177*33.717)</f>
        <v>90294.126000000004</v>
      </c>
      <c r="F178" s="320">
        <f>(F177*33.717)</f>
        <v>278030.38199999998</v>
      </c>
      <c r="G178" s="321">
        <f>(G177*33.717)*2</f>
        <v>238648.92599999998</v>
      </c>
      <c r="H178" s="321">
        <f>(H177*33.717)</f>
        <v>452279.83799999999</v>
      </c>
      <c r="I178" s="321">
        <f>(I177*33.717)-(2000*33.717)</f>
        <v>118110.65099999998</v>
      </c>
      <c r="J178" s="322">
        <f>J177*33.717</f>
        <v>9643.0619999999999</v>
      </c>
      <c r="K178" s="323">
        <f>K177*33.717</f>
        <v>280761.45899999997</v>
      </c>
      <c r="L178" s="321">
        <f>L177*33.717</f>
        <v>353253.00899999996</v>
      </c>
      <c r="M178" s="321">
        <f>(M177*33.717)</f>
        <v>125595.825</v>
      </c>
      <c r="N178" s="321">
        <f>N177*33.717</f>
        <v>222936.804</v>
      </c>
      <c r="O178" s="322">
        <f>O177*33.717</f>
        <v>24444.825000000001</v>
      </c>
      <c r="P178" s="324">
        <f>P177*33.717</f>
        <v>18173.463</v>
      </c>
      <c r="Q178" s="325">
        <f>Q177*33.717</f>
        <v>11632.365</v>
      </c>
      <c r="T178" s="89">
        <f>344240-H178</f>
        <v>-108039.83799999999</v>
      </c>
      <c r="U178" s="104" t="s">
        <v>193</v>
      </c>
    </row>
    <row r="179" spans="1:27" ht="15.75" thickBot="1">
      <c r="A179" s="412"/>
      <c r="B179" s="342" t="s">
        <v>203</v>
      </c>
      <c r="C179" s="315">
        <f>C176/(C166+C169+C172)</f>
        <v>0.79161942999212842</v>
      </c>
      <c r="D179" s="329">
        <f>D176/D166</f>
        <v>0.74662434774289477</v>
      </c>
      <c r="E179" s="316">
        <f>E176/E166</f>
        <v>0.74595231862701461</v>
      </c>
      <c r="F179" s="316">
        <f t="shared" ref="F179:G179" si="160">F176/F166</f>
        <v>1.7520083704308513</v>
      </c>
      <c r="G179" s="316">
        <f t="shared" si="160"/>
        <v>1.5799573956271435</v>
      </c>
      <c r="H179" s="291">
        <f>H176/(H166+H169+H172)</f>
        <v>1.3454629386442916</v>
      </c>
      <c r="I179" s="329">
        <f>I176/I166</f>
        <v>1.9960901511392724</v>
      </c>
      <c r="J179" s="330">
        <f>J176/J166</f>
        <v>1.9487811623340614</v>
      </c>
      <c r="K179" s="315">
        <f>K176/K166</f>
        <v>1.6225564972775828</v>
      </c>
      <c r="L179" s="291">
        <f>L176/(L166+L169+L172)</f>
        <v>0.94352682630062756</v>
      </c>
      <c r="M179" s="291">
        <f>M176/M166</f>
        <v>1.6844988957562468</v>
      </c>
      <c r="N179" s="329">
        <f>N176/N166</f>
        <v>1.8165023313899886</v>
      </c>
      <c r="O179" s="329">
        <f>O176/O166</f>
        <v>1.9485769698575368</v>
      </c>
      <c r="P179" s="315">
        <f>P176/P166</f>
        <v>0.855901071603416</v>
      </c>
      <c r="Q179" s="329">
        <f>Q176/Q166</f>
        <v>1.0189329263685951</v>
      </c>
      <c r="T179" s="175"/>
    </row>
    <row r="180" spans="1:27" ht="15.75" thickBot="1">
      <c r="A180" s="413"/>
      <c r="B180" s="342" t="s">
        <v>204</v>
      </c>
      <c r="C180" s="315">
        <f>C178/(C166+C169+C172)</f>
        <v>0.7689632009906503</v>
      </c>
      <c r="D180" s="329">
        <f>D178/D166</f>
        <v>0.59295368991162389</v>
      </c>
      <c r="E180" s="316">
        <f>E178/E166</f>
        <v>0.59989799077571926</v>
      </c>
      <c r="F180" s="316">
        <f t="shared" ref="F180:G180" si="161">F178/F166</f>
        <v>1.5276579277331923</v>
      </c>
      <c r="G180" s="316">
        <f t="shared" si="161"/>
        <v>1.4424014505673832</v>
      </c>
      <c r="H180" s="291">
        <f>H178/(H166+H169+H172)</f>
        <v>1.1611683625409848</v>
      </c>
      <c r="I180" s="329">
        <f>I178/I166</f>
        <v>0.97345173318124334</v>
      </c>
      <c r="J180" s="330">
        <f>J178/J166</f>
        <v>5.8063487074439167E-2</v>
      </c>
      <c r="K180" s="315">
        <f>K178/K166</f>
        <v>1.4545191035450997</v>
      </c>
      <c r="L180" s="291">
        <f>L178/(L166+L169+L172)</f>
        <v>0.80611029594321737</v>
      </c>
      <c r="M180" s="291">
        <f>M178/M166</f>
        <v>1.5182091426789304</v>
      </c>
      <c r="N180" s="329">
        <f>N178/N166</f>
        <v>1.2632218568732232</v>
      </c>
      <c r="O180" s="329">
        <f>O178/O166</f>
        <v>0.29437764183094689</v>
      </c>
      <c r="P180" s="315">
        <f t="shared" ref="P180:Q180" si="162">P178/P166</f>
        <v>0.32952191256731517</v>
      </c>
      <c r="Q180" s="329">
        <f t="shared" si="162"/>
        <v>0.35153185959716532</v>
      </c>
      <c r="T180" s="175"/>
    </row>
    <row r="181" spans="1:27" ht="15.75" thickBot="1">
      <c r="A181" s="406">
        <v>41345</v>
      </c>
      <c r="B181" s="419"/>
      <c r="C181" s="282">
        <f>C185+C188+C191</f>
        <v>115414.20000000001</v>
      </c>
      <c r="H181" s="282">
        <f>H185+H188+H191</f>
        <v>140470.6</v>
      </c>
      <c r="K181" s="282"/>
      <c r="L181" s="282">
        <f>L185+L188+L191</f>
        <v>131182.9</v>
      </c>
      <c r="N181" s="15"/>
    </row>
    <row r="182" spans="1:27">
      <c r="A182" s="407" t="s">
        <v>1</v>
      </c>
      <c r="B182" s="420"/>
      <c r="C182" s="300" t="s">
        <v>12</v>
      </c>
      <c r="D182" s="80" t="s">
        <v>12</v>
      </c>
      <c r="E182" s="300" t="s">
        <v>13</v>
      </c>
      <c r="F182" s="290" t="s">
        <v>13</v>
      </c>
      <c r="G182" s="290" t="s">
        <v>13</v>
      </c>
      <c r="H182" s="290" t="s">
        <v>13</v>
      </c>
      <c r="I182" s="290" t="s">
        <v>13</v>
      </c>
      <c r="J182" s="80" t="s">
        <v>13</v>
      </c>
      <c r="K182" s="300" t="s">
        <v>2</v>
      </c>
      <c r="L182" s="290" t="s">
        <v>2</v>
      </c>
      <c r="M182" s="295" t="s">
        <v>2</v>
      </c>
      <c r="N182" s="290" t="s">
        <v>2</v>
      </c>
      <c r="O182" s="80" t="s">
        <v>2</v>
      </c>
      <c r="P182" s="301" t="s">
        <v>199</v>
      </c>
      <c r="Q182" s="302" t="s">
        <v>199</v>
      </c>
    </row>
    <row r="183" spans="1:27" ht="15.75" thickBot="1">
      <c r="A183" s="409" t="s">
        <v>0</v>
      </c>
      <c r="B183" s="414"/>
      <c r="C183" s="303" t="s">
        <v>102</v>
      </c>
      <c r="D183" s="304" t="s">
        <v>103</v>
      </c>
      <c r="E183" s="303" t="s">
        <v>104</v>
      </c>
      <c r="F183" s="305" t="s">
        <v>105</v>
      </c>
      <c r="G183" s="305" t="s">
        <v>100</v>
      </c>
      <c r="H183" s="305" t="s">
        <v>107</v>
      </c>
      <c r="I183" s="305" t="s">
        <v>106</v>
      </c>
      <c r="J183" s="306" t="s">
        <v>200</v>
      </c>
      <c r="K183" s="303" t="s">
        <v>108</v>
      </c>
      <c r="L183" s="305" t="s">
        <v>110</v>
      </c>
      <c r="M183" s="307" t="s">
        <v>101</v>
      </c>
      <c r="N183" s="308" t="s">
        <v>109</v>
      </c>
      <c r="O183" s="304" t="s">
        <v>201</v>
      </c>
      <c r="P183" s="309" t="s">
        <v>111</v>
      </c>
      <c r="Q183" s="304" t="s">
        <v>202</v>
      </c>
      <c r="R183" s="14"/>
      <c r="S183" s="14"/>
      <c r="T183" s="14"/>
      <c r="U183" s="14"/>
      <c r="V183" s="14"/>
      <c r="W183" s="14"/>
      <c r="X183" s="14"/>
      <c r="Y183" s="175"/>
      <c r="Z183" s="174"/>
      <c r="AA183" s="175"/>
    </row>
    <row r="184" spans="1:27" ht="15" customHeight="1">
      <c r="A184" s="411" t="s">
        <v>195</v>
      </c>
      <c r="B184" s="2" t="s">
        <v>4</v>
      </c>
      <c r="C184" s="310">
        <v>143392.20000000001</v>
      </c>
      <c r="D184" s="100">
        <v>150515.79999999999</v>
      </c>
      <c r="E184" s="310">
        <v>150515.79999999999</v>
      </c>
      <c r="F184" s="285">
        <v>181997.8</v>
      </c>
      <c r="G184" s="285">
        <v>165452.5</v>
      </c>
      <c r="H184" s="285">
        <v>132132</v>
      </c>
      <c r="I184" s="285">
        <v>121331.8</v>
      </c>
      <c r="J184" s="100">
        <v>166077.9</v>
      </c>
      <c r="K184" s="310">
        <v>193027</v>
      </c>
      <c r="L184" s="285">
        <v>132132.20000000001</v>
      </c>
      <c r="M184" s="285">
        <v>82726.3</v>
      </c>
      <c r="N184" s="285">
        <v>176482.7</v>
      </c>
      <c r="O184" s="100">
        <v>83039</v>
      </c>
      <c r="P184" s="311">
        <v>55151</v>
      </c>
      <c r="Q184" s="100">
        <v>33090.5</v>
      </c>
      <c r="Y184" s="104"/>
      <c r="Z184" s="104"/>
      <c r="AA184" s="104"/>
    </row>
    <row r="185" spans="1:27">
      <c r="A185" s="412"/>
      <c r="B185" s="63" t="s">
        <v>5</v>
      </c>
      <c r="C185" s="312">
        <v>42041.3</v>
      </c>
      <c r="D185" s="102">
        <v>77208.800000000003</v>
      </c>
      <c r="E185" s="312">
        <v>78613.8</v>
      </c>
      <c r="F185" s="286">
        <v>156441.29999999999</v>
      </c>
      <c r="G185" s="286">
        <v>85582.7</v>
      </c>
      <c r="H185" s="286">
        <v>46836.6</v>
      </c>
      <c r="I185" s="286">
        <v>67734.7</v>
      </c>
      <c r="J185" s="102">
        <v>7622</v>
      </c>
      <c r="K185" s="312">
        <v>155295</v>
      </c>
      <c r="L185" s="286">
        <v>54552.5</v>
      </c>
      <c r="M185" s="286">
        <v>44431.4</v>
      </c>
      <c r="N185" s="286">
        <v>132073.5</v>
      </c>
      <c r="O185" s="102">
        <v>3902.7</v>
      </c>
      <c r="P185" s="313">
        <v>4319.5</v>
      </c>
      <c r="Q185" s="102">
        <v>2201.5</v>
      </c>
      <c r="Y185" s="104"/>
      <c r="Z185" s="104"/>
      <c r="AA185" s="104"/>
    </row>
    <row r="186" spans="1:27" ht="15.75" thickBot="1">
      <c r="A186" s="412"/>
      <c r="B186" s="271" t="s">
        <v>3</v>
      </c>
      <c r="C186" s="314">
        <f>C185/C184</f>
        <v>0.29319098249416636</v>
      </c>
      <c r="D186" s="83">
        <f t="shared" ref="D186:E186" si="163">D185/D184</f>
        <v>0.51296142996283456</v>
      </c>
      <c r="E186" s="315">
        <f t="shared" si="163"/>
        <v>0.52229599816099048</v>
      </c>
      <c r="F186" s="291">
        <f>F185/F184</f>
        <v>0.85957797292055182</v>
      </c>
      <c r="G186" s="291">
        <f>G185/G184</f>
        <v>0.51726447167616085</v>
      </c>
      <c r="H186" s="291">
        <f t="shared" ref="H186" si="164">H185/H184</f>
        <v>0.35446825901371354</v>
      </c>
      <c r="I186" s="291">
        <f>I185/I184</f>
        <v>0.5582600769130599</v>
      </c>
      <c r="J186" s="83">
        <f>J185/J184</f>
        <v>4.5894125588052358E-2</v>
      </c>
      <c r="K186" s="315">
        <f t="shared" ref="K186" si="165">K185/K184</f>
        <v>0.80452475560413828</v>
      </c>
      <c r="L186" s="291">
        <f>L185/L184</f>
        <v>0.41286302657489993</v>
      </c>
      <c r="M186" s="296">
        <f>M185/M184</f>
        <v>0.53708917236719156</v>
      </c>
      <c r="N186" s="291">
        <f>N185/N184</f>
        <v>0.748365137206083</v>
      </c>
      <c r="O186" s="83">
        <f t="shared" ref="O186:Q186" si="166">O185/O184</f>
        <v>4.6998398342947285E-2</v>
      </c>
      <c r="P186" s="316">
        <f t="shared" si="166"/>
        <v>7.8321335968522782E-2</v>
      </c>
      <c r="Q186" s="83">
        <f t="shared" si="166"/>
        <v>6.6529668636013353E-2</v>
      </c>
      <c r="Y186" s="104"/>
      <c r="Z186" s="104"/>
      <c r="AA186" s="104"/>
    </row>
    <row r="187" spans="1:27" ht="15" customHeight="1">
      <c r="A187" s="415" t="s">
        <v>196</v>
      </c>
      <c r="B187" s="27" t="s">
        <v>4</v>
      </c>
      <c r="C187" s="310">
        <v>9191.7999999999993</v>
      </c>
      <c r="D187" s="100" t="s">
        <v>198</v>
      </c>
      <c r="E187" s="331" t="s">
        <v>198</v>
      </c>
      <c r="F187" s="285" t="s">
        <v>198</v>
      </c>
      <c r="G187" s="285" t="s">
        <v>198</v>
      </c>
      <c r="H187" s="285">
        <v>13787.7</v>
      </c>
      <c r="I187" s="285" t="s">
        <v>198</v>
      </c>
      <c r="J187" s="100" t="s">
        <v>198</v>
      </c>
      <c r="K187" s="331" t="s">
        <v>198</v>
      </c>
      <c r="L187" s="285">
        <v>13787.7</v>
      </c>
      <c r="M187" s="285" t="s">
        <v>198</v>
      </c>
      <c r="N187" s="285" t="s">
        <v>198</v>
      </c>
      <c r="O187" s="100" t="s">
        <v>198</v>
      </c>
      <c r="P187" s="331" t="s">
        <v>198</v>
      </c>
      <c r="Q187" s="100" t="s">
        <v>198</v>
      </c>
      <c r="Y187" s="104"/>
      <c r="Z187" s="104"/>
      <c r="AA187" s="104"/>
    </row>
    <row r="188" spans="1:27">
      <c r="A188" s="416"/>
      <c r="B188" s="66" t="s">
        <v>5</v>
      </c>
      <c r="C188" s="312">
        <v>8882</v>
      </c>
      <c r="D188" s="274" t="s">
        <v>198</v>
      </c>
      <c r="E188" s="336" t="s">
        <v>198</v>
      </c>
      <c r="F188" s="273" t="s">
        <v>198</v>
      </c>
      <c r="G188" s="273" t="s">
        <v>198</v>
      </c>
      <c r="H188" s="286">
        <v>13644.7</v>
      </c>
      <c r="I188" s="273" t="s">
        <v>198</v>
      </c>
      <c r="J188" s="274" t="s">
        <v>198</v>
      </c>
      <c r="K188" s="336" t="s">
        <v>198</v>
      </c>
      <c r="L188" s="286">
        <v>13649.8</v>
      </c>
      <c r="M188" s="273" t="s">
        <v>198</v>
      </c>
      <c r="N188" s="273" t="s">
        <v>198</v>
      </c>
      <c r="O188" s="274" t="s">
        <v>198</v>
      </c>
      <c r="P188" s="332" t="s">
        <v>198</v>
      </c>
      <c r="Q188" s="274" t="s">
        <v>198</v>
      </c>
      <c r="Y188" s="104"/>
      <c r="Z188" s="104"/>
      <c r="AA188" s="104"/>
    </row>
    <row r="189" spans="1:27" ht="15.75" thickBot="1">
      <c r="A189" s="417"/>
      <c r="B189" s="340" t="s">
        <v>3</v>
      </c>
      <c r="C189" s="314">
        <f>C188/C187</f>
        <v>0.96629604647620715</v>
      </c>
      <c r="D189" s="328" t="s">
        <v>198</v>
      </c>
      <c r="E189" s="337" t="s">
        <v>198</v>
      </c>
      <c r="F189" s="277" t="s">
        <v>198</v>
      </c>
      <c r="G189" s="277" t="s">
        <v>198</v>
      </c>
      <c r="H189" s="283">
        <f t="shared" ref="H189" si="167">H188/H187</f>
        <v>0.98962843694017133</v>
      </c>
      <c r="I189" s="277" t="s">
        <v>198</v>
      </c>
      <c r="J189" s="328" t="s">
        <v>198</v>
      </c>
      <c r="K189" s="337" t="s">
        <v>198</v>
      </c>
      <c r="L189" s="335">
        <f t="shared" ref="L189" si="168">L188/L187</f>
        <v>0.98999833184650077</v>
      </c>
      <c r="M189" s="277" t="s">
        <v>198</v>
      </c>
      <c r="N189" s="277" t="s">
        <v>198</v>
      </c>
      <c r="O189" s="328" t="s">
        <v>198</v>
      </c>
      <c r="P189" s="333" t="s">
        <v>198</v>
      </c>
      <c r="Q189" s="328" t="s">
        <v>198</v>
      </c>
      <c r="Y189" s="104"/>
      <c r="Z189" s="104"/>
      <c r="AA189" s="104"/>
    </row>
    <row r="190" spans="1:27" ht="15" customHeight="1">
      <c r="A190" s="415" t="s">
        <v>197</v>
      </c>
      <c r="B190" s="27" t="s">
        <v>4</v>
      </c>
      <c r="C190" s="310">
        <v>97433.600000000006</v>
      </c>
      <c r="D190" s="100" t="s">
        <v>198</v>
      </c>
      <c r="E190" s="338" t="s">
        <v>198</v>
      </c>
      <c r="F190" s="285" t="s">
        <v>198</v>
      </c>
      <c r="G190" s="285" t="s">
        <v>198</v>
      </c>
      <c r="H190" s="285">
        <v>243584.4</v>
      </c>
      <c r="I190" s="285" t="s">
        <v>198</v>
      </c>
      <c r="J190" s="100" t="s">
        <v>198</v>
      </c>
      <c r="K190" s="338" t="s">
        <v>198</v>
      </c>
      <c r="L190" s="285">
        <v>292299.3</v>
      </c>
      <c r="M190" s="285" t="s">
        <v>198</v>
      </c>
      <c r="N190" s="285" t="s">
        <v>198</v>
      </c>
      <c r="O190" s="100" t="s">
        <v>198</v>
      </c>
      <c r="P190" s="331" t="s">
        <v>198</v>
      </c>
      <c r="Q190" s="100" t="s">
        <v>198</v>
      </c>
      <c r="Y190" s="104"/>
      <c r="Z190" s="104"/>
      <c r="AA190" s="104"/>
    </row>
    <row r="191" spans="1:27">
      <c r="A191" s="416"/>
      <c r="B191" s="66" t="s">
        <v>5</v>
      </c>
      <c r="C191" s="312">
        <v>64490.9</v>
      </c>
      <c r="D191" s="274" t="s">
        <v>198</v>
      </c>
      <c r="E191" s="336" t="s">
        <v>198</v>
      </c>
      <c r="F191" s="273" t="s">
        <v>198</v>
      </c>
      <c r="G191" s="273" t="s">
        <v>198</v>
      </c>
      <c r="H191" s="286">
        <v>79989.3</v>
      </c>
      <c r="I191" s="273" t="s">
        <v>198</v>
      </c>
      <c r="J191" s="274" t="s">
        <v>198</v>
      </c>
      <c r="K191" s="336" t="s">
        <v>198</v>
      </c>
      <c r="L191" s="286">
        <v>62980.6</v>
      </c>
      <c r="M191" s="273" t="s">
        <v>198</v>
      </c>
      <c r="N191" s="273" t="s">
        <v>198</v>
      </c>
      <c r="O191" s="274" t="s">
        <v>198</v>
      </c>
      <c r="P191" s="332" t="s">
        <v>198</v>
      </c>
      <c r="Q191" s="274" t="s">
        <v>198</v>
      </c>
      <c r="Y191" s="104"/>
      <c r="Z191" s="104"/>
      <c r="AA191" s="104"/>
    </row>
    <row r="192" spans="1:27" ht="15.75" thickBot="1">
      <c r="A192" s="418"/>
      <c r="B192" s="256" t="s">
        <v>3</v>
      </c>
      <c r="C192" s="315">
        <f>C191/C190</f>
        <v>0.66189589628218604</v>
      </c>
      <c r="D192" s="276" t="s">
        <v>198</v>
      </c>
      <c r="E192" s="339" t="s">
        <v>198</v>
      </c>
      <c r="F192" s="275" t="s">
        <v>198</v>
      </c>
      <c r="G192" s="275" t="s">
        <v>198</v>
      </c>
      <c r="H192" s="291">
        <f t="shared" ref="H192" si="169">H191/H190</f>
        <v>0.32838433003098721</v>
      </c>
      <c r="I192" s="275" t="s">
        <v>198</v>
      </c>
      <c r="J192" s="276" t="s">
        <v>198</v>
      </c>
      <c r="K192" s="339" t="s">
        <v>198</v>
      </c>
      <c r="L192" s="329">
        <f t="shared" ref="L192" si="170">L191/L190</f>
        <v>0.21546613351451749</v>
      </c>
      <c r="M192" s="275" t="s">
        <v>198</v>
      </c>
      <c r="N192" s="275" t="s">
        <v>198</v>
      </c>
      <c r="O192" s="276" t="s">
        <v>198</v>
      </c>
      <c r="P192" s="334" t="s">
        <v>198</v>
      </c>
      <c r="Q192" s="276" t="s">
        <v>198</v>
      </c>
      <c r="Y192" s="104"/>
      <c r="Z192" s="104"/>
      <c r="AA192" s="104"/>
    </row>
    <row r="193" spans="1:27" ht="15" customHeight="1">
      <c r="A193" s="412" t="s">
        <v>6</v>
      </c>
      <c r="B193" s="279" t="s">
        <v>7</v>
      </c>
      <c r="C193" s="300">
        <v>5870</v>
      </c>
      <c r="D193" s="80">
        <v>3333</v>
      </c>
      <c r="E193" s="300">
        <v>3330</v>
      </c>
      <c r="F193" s="290">
        <v>9457</v>
      </c>
      <c r="G193" s="290">
        <v>7753</v>
      </c>
      <c r="H193" s="290">
        <v>15543</v>
      </c>
      <c r="I193" s="290">
        <v>7183</v>
      </c>
      <c r="J193" s="80">
        <v>9599</v>
      </c>
      <c r="K193" s="300">
        <v>9289</v>
      </c>
      <c r="L193" s="290">
        <v>12263</v>
      </c>
      <c r="M193" s="290">
        <v>4133</v>
      </c>
      <c r="N193" s="290">
        <v>9494</v>
      </c>
      <c r="O193" s="80">
        <v>4799</v>
      </c>
      <c r="P193" s="317">
        <v>1400</v>
      </c>
      <c r="Q193" s="80">
        <v>1000</v>
      </c>
      <c r="Y193" s="104"/>
      <c r="Z193" s="104"/>
      <c r="AA193" s="104"/>
    </row>
    <row r="194" spans="1:27">
      <c r="A194" s="412"/>
      <c r="B194" s="28" t="s">
        <v>11</v>
      </c>
      <c r="C194" s="318">
        <f>C193*33.717</f>
        <v>197918.78999999998</v>
      </c>
      <c r="D194" s="84">
        <f>D193*33.717</f>
        <v>112378.761</v>
      </c>
      <c r="E194" s="318">
        <f>E193*33.717</f>
        <v>112277.61</v>
      </c>
      <c r="F194" s="292">
        <f>F193*33.717</f>
        <v>318861.66899999999</v>
      </c>
      <c r="G194" s="292">
        <f t="shared" ref="G194:I194" si="171">G193*33.717</f>
        <v>261407.90099999998</v>
      </c>
      <c r="H194" s="292">
        <f t="shared" si="171"/>
        <v>524063.33100000001</v>
      </c>
      <c r="I194" s="292">
        <f t="shared" si="171"/>
        <v>242189.21099999998</v>
      </c>
      <c r="J194" s="84">
        <f>J193*33.717</f>
        <v>323649.48300000001</v>
      </c>
      <c r="K194" s="318">
        <f>K193*33.717</f>
        <v>313197.21299999999</v>
      </c>
      <c r="L194" s="292">
        <f t="shared" ref="L194:O194" si="172">L193*33.717</f>
        <v>413471.571</v>
      </c>
      <c r="M194" s="341">
        <f t="shared" si="172"/>
        <v>139352.361</v>
      </c>
      <c r="N194" s="292">
        <f t="shared" si="172"/>
        <v>320109.19799999997</v>
      </c>
      <c r="O194" s="341">
        <f t="shared" si="172"/>
        <v>161807.883</v>
      </c>
      <c r="P194" s="319">
        <f>P193*33.717</f>
        <v>47203.799999999996</v>
      </c>
      <c r="Q194" s="84">
        <f>Q193*33.717</f>
        <v>33717</v>
      </c>
      <c r="Y194" s="104"/>
      <c r="Z194" s="104"/>
      <c r="AA194" s="104"/>
    </row>
    <row r="195" spans="1:27">
      <c r="A195" s="412"/>
      <c r="B195" s="66" t="s">
        <v>8</v>
      </c>
      <c r="C195" s="326">
        <v>5702</v>
      </c>
      <c r="D195" s="103">
        <v>2647</v>
      </c>
      <c r="E195" s="326">
        <v>2678</v>
      </c>
      <c r="F195" s="294">
        <v>8246</v>
      </c>
      <c r="G195" s="294">
        <v>3539</v>
      </c>
      <c r="H195" s="294">
        <v>13391</v>
      </c>
      <c r="I195" s="294">
        <v>5393</v>
      </c>
      <c r="J195" s="103">
        <v>286</v>
      </c>
      <c r="K195" s="326">
        <v>8327</v>
      </c>
      <c r="L195" s="294">
        <v>10203</v>
      </c>
      <c r="M195" s="298">
        <v>3725</v>
      </c>
      <c r="N195" s="294">
        <v>6473</v>
      </c>
      <c r="O195" s="103">
        <v>725</v>
      </c>
      <c r="P195" s="327">
        <v>539</v>
      </c>
      <c r="Q195" s="103">
        <v>345</v>
      </c>
      <c r="T195" s="14" t="s">
        <v>192</v>
      </c>
    </row>
    <row r="196" spans="1:27">
      <c r="A196" s="412"/>
      <c r="B196" s="29" t="s">
        <v>77</v>
      </c>
      <c r="C196" s="318">
        <f>(C195*33.717)</f>
        <v>192254.334</v>
      </c>
      <c r="D196" s="320">
        <f>(D195*33.717)</f>
        <v>89248.89899999999</v>
      </c>
      <c r="E196" s="318">
        <f>(E195*33.717)</f>
        <v>90294.126000000004</v>
      </c>
      <c r="F196" s="320">
        <f>(F195*33.717)</f>
        <v>278030.38199999998</v>
      </c>
      <c r="G196" s="321">
        <f>(G195*33.717)*2</f>
        <v>238648.92599999998</v>
      </c>
      <c r="H196" s="321">
        <f>(H195*33.717)</f>
        <v>451504.34700000001</v>
      </c>
      <c r="I196" s="321">
        <f>(I195*33.717)-(2000*33.717)</f>
        <v>114401.78099999999</v>
      </c>
      <c r="J196" s="322">
        <f>J195*33.717</f>
        <v>9643.0619999999999</v>
      </c>
      <c r="K196" s="323">
        <f>K195*33.717</f>
        <v>280761.45899999997</v>
      </c>
      <c r="L196" s="321">
        <f>L195*33.717</f>
        <v>344014.55099999998</v>
      </c>
      <c r="M196" s="321">
        <f>(M195*33.717)</f>
        <v>125595.825</v>
      </c>
      <c r="N196" s="321">
        <f>N195*33.717</f>
        <v>218250.141</v>
      </c>
      <c r="O196" s="322">
        <f>O195*33.717</f>
        <v>24444.825000000001</v>
      </c>
      <c r="P196" s="324">
        <f>P195*33.717</f>
        <v>18173.463</v>
      </c>
      <c r="Q196" s="325">
        <f>Q195*33.717</f>
        <v>11632.365</v>
      </c>
      <c r="T196" s="89">
        <f>344240-H196</f>
        <v>-107264.34700000001</v>
      </c>
      <c r="U196" s="104" t="s">
        <v>193</v>
      </c>
    </row>
    <row r="197" spans="1:27" ht="15.75" thickBot="1">
      <c r="A197" s="412"/>
      <c r="B197" s="342" t="s">
        <v>203</v>
      </c>
      <c r="C197" s="315">
        <f>C194/(C184+C187+C190)</f>
        <v>0.79161942999212842</v>
      </c>
      <c r="D197" s="329">
        <f>D194/D184</f>
        <v>0.74662434774289477</v>
      </c>
      <c r="E197" s="316">
        <f>E194/E184</f>
        <v>0.74595231862701461</v>
      </c>
      <c r="F197" s="316">
        <f t="shared" ref="F197:G197" si="173">F194/F184</f>
        <v>1.7520083704308513</v>
      </c>
      <c r="G197" s="316">
        <f t="shared" si="173"/>
        <v>1.5799573956271435</v>
      </c>
      <c r="H197" s="291">
        <f>H194/(H184+H187+H190)</f>
        <v>1.3454629386442916</v>
      </c>
      <c r="I197" s="329">
        <f>I194/I184</f>
        <v>1.9960901511392724</v>
      </c>
      <c r="J197" s="330">
        <f>J194/J184</f>
        <v>1.9487811623340614</v>
      </c>
      <c r="K197" s="315">
        <f>K194/K184</f>
        <v>1.6225564972775828</v>
      </c>
      <c r="L197" s="291">
        <f>L194/(L184+L187+L190)</f>
        <v>0.94352682630062756</v>
      </c>
      <c r="M197" s="291">
        <f>M194/M184</f>
        <v>1.6844988957562468</v>
      </c>
      <c r="N197" s="329">
        <f>N194/N184</f>
        <v>1.8138276329634573</v>
      </c>
      <c r="O197" s="329">
        <f>O194/O184</f>
        <v>1.9485769698575368</v>
      </c>
      <c r="P197" s="315">
        <f>P194/P184</f>
        <v>0.855901071603416</v>
      </c>
      <c r="Q197" s="329">
        <f>Q194/Q184</f>
        <v>1.0189329263685951</v>
      </c>
      <c r="T197" s="175"/>
    </row>
    <row r="198" spans="1:27" ht="15.75" thickBot="1">
      <c r="A198" s="413"/>
      <c r="B198" s="342" t="s">
        <v>204</v>
      </c>
      <c r="C198" s="315">
        <f>C196/(C184+C187+C190)</f>
        <v>0.7689632009906503</v>
      </c>
      <c r="D198" s="329">
        <f>D196/D184</f>
        <v>0.59295368991162389</v>
      </c>
      <c r="E198" s="316">
        <f>E196/E184</f>
        <v>0.59989799077571926</v>
      </c>
      <c r="F198" s="316">
        <f t="shared" ref="F198:G198" si="174">F196/F184</f>
        <v>1.5276579277331923</v>
      </c>
      <c r="G198" s="316">
        <f t="shared" si="174"/>
        <v>1.4424014505673832</v>
      </c>
      <c r="H198" s="291">
        <f>H196/(H184+H187+H190)</f>
        <v>1.1591773924844437</v>
      </c>
      <c r="I198" s="329">
        <f>I196/I184</f>
        <v>0.94288373699228056</v>
      </c>
      <c r="J198" s="330">
        <f>J196/J184</f>
        <v>5.8063487074439167E-2</v>
      </c>
      <c r="K198" s="315">
        <f>K196/K184</f>
        <v>1.4545191035450997</v>
      </c>
      <c r="L198" s="291">
        <f>L196/(L184+L187+L190)</f>
        <v>0.78502847661626873</v>
      </c>
      <c r="M198" s="291">
        <f>M196/M184</f>
        <v>1.5182091426789304</v>
      </c>
      <c r="N198" s="329">
        <f>N196/N184</f>
        <v>1.2366659224955194</v>
      </c>
      <c r="O198" s="329">
        <f>O196/O184</f>
        <v>0.29437764183094689</v>
      </c>
      <c r="P198" s="315">
        <f t="shared" ref="P198" si="175">P196/P184</f>
        <v>0.32952191256731517</v>
      </c>
      <c r="Q198" s="329">
        <f t="shared" ref="Q198" si="176">Q196/Q184</f>
        <v>0.35153185959716532</v>
      </c>
      <c r="T198" s="175"/>
    </row>
    <row r="199" spans="1:27" ht="15.75" thickBot="1">
      <c r="A199" s="368">
        <v>41289</v>
      </c>
      <c r="B199" s="368"/>
      <c r="C199" s="368"/>
      <c r="H199" s="282">
        <f>H203+H206+H209</f>
        <v>125370.2</v>
      </c>
      <c r="K199" s="282">
        <f>K203+K206+K209</f>
        <v>108323.5</v>
      </c>
      <c r="N199" s="15"/>
      <c r="T199" s="14"/>
    </row>
    <row r="200" spans="1:27">
      <c r="A200" s="407" t="s">
        <v>1</v>
      </c>
      <c r="B200" s="420"/>
      <c r="C200" s="68" t="s">
        <v>12</v>
      </c>
      <c r="D200" s="68" t="s">
        <v>12</v>
      </c>
      <c r="E200" s="68" t="s">
        <v>13</v>
      </c>
      <c r="F200" s="68" t="s">
        <v>13</v>
      </c>
      <c r="G200" s="68" t="s">
        <v>13</v>
      </c>
      <c r="H200" s="68" t="s">
        <v>13</v>
      </c>
      <c r="I200" s="68" t="s">
        <v>13</v>
      </c>
      <c r="J200" s="68" t="s">
        <v>2</v>
      </c>
      <c r="K200" s="68" t="s">
        <v>2</v>
      </c>
      <c r="L200" s="68" t="s">
        <v>2</v>
      </c>
      <c r="M200" s="68" t="s">
        <v>2</v>
      </c>
      <c r="N200" s="4"/>
    </row>
    <row r="201" spans="1:27" ht="15.75" thickBot="1">
      <c r="A201" s="409" t="s">
        <v>0</v>
      </c>
      <c r="B201" s="414"/>
      <c r="C201" s="99" t="s">
        <v>102</v>
      </c>
      <c r="D201" s="99" t="s">
        <v>103</v>
      </c>
      <c r="E201" s="99" t="s">
        <v>104</v>
      </c>
      <c r="F201" s="99" t="s">
        <v>105</v>
      </c>
      <c r="G201" s="99" t="s">
        <v>100</v>
      </c>
      <c r="H201" s="99" t="s">
        <v>107</v>
      </c>
      <c r="I201" s="99" t="s">
        <v>106</v>
      </c>
      <c r="J201" s="99" t="s">
        <v>108</v>
      </c>
      <c r="K201" s="99" t="s">
        <v>110</v>
      </c>
      <c r="L201" s="99" t="s">
        <v>101</v>
      </c>
      <c r="M201" s="99" t="s">
        <v>109</v>
      </c>
      <c r="N201" s="101"/>
      <c r="Q201" s="14"/>
      <c r="R201" s="14"/>
      <c r="S201" s="14"/>
      <c r="T201" s="14"/>
      <c r="U201" s="14"/>
      <c r="V201" s="14"/>
      <c r="W201" s="14"/>
      <c r="X201" s="14"/>
      <c r="Y201" s="175"/>
      <c r="Z201" s="174"/>
      <c r="AA201" s="175"/>
    </row>
    <row r="202" spans="1:27" ht="15" customHeight="1">
      <c r="A202" s="411" t="s">
        <v>195</v>
      </c>
      <c r="B202" s="2" t="s">
        <v>4</v>
      </c>
      <c r="C202" s="285">
        <v>143392.20000000001</v>
      </c>
      <c r="D202" s="285">
        <v>150515.79999999999</v>
      </c>
      <c r="E202" s="285">
        <v>150515.79999999999</v>
      </c>
      <c r="F202" s="285">
        <v>181997.8</v>
      </c>
      <c r="G202" s="285">
        <v>165452.5</v>
      </c>
      <c r="H202" s="285">
        <v>132132</v>
      </c>
      <c r="I202" s="285">
        <v>121331.8</v>
      </c>
      <c r="J202" s="285">
        <v>193027</v>
      </c>
      <c r="K202" s="285">
        <v>132132.20000000001</v>
      </c>
      <c r="L202" s="285">
        <v>82726.3</v>
      </c>
      <c r="M202" s="287">
        <v>176482.7</v>
      </c>
      <c r="N202" s="100"/>
      <c r="P202" s="104"/>
      <c r="Y202" s="104"/>
      <c r="Z202" s="104"/>
      <c r="AA202" s="104"/>
    </row>
    <row r="203" spans="1:27">
      <c r="A203" s="412"/>
      <c r="B203" s="63" t="s">
        <v>5</v>
      </c>
      <c r="C203" s="286">
        <v>43368.6</v>
      </c>
      <c r="D203" s="286">
        <v>76180.600000000006</v>
      </c>
      <c r="E203" s="286">
        <v>77594.899999999994</v>
      </c>
      <c r="F203" s="286">
        <v>162345.60000000001</v>
      </c>
      <c r="G203" s="286">
        <v>75622.100000000006</v>
      </c>
      <c r="H203" s="286">
        <v>34514.199999999997</v>
      </c>
      <c r="I203" s="286">
        <v>53695.3</v>
      </c>
      <c r="J203" s="286">
        <v>150894.39999999999</v>
      </c>
      <c r="K203" s="286">
        <v>41547.4</v>
      </c>
      <c r="L203" s="286">
        <v>39017.9</v>
      </c>
      <c r="M203" s="288">
        <v>108002.1</v>
      </c>
      <c r="N203" s="102"/>
      <c r="P203" s="104"/>
      <c r="Y203" s="104"/>
      <c r="Z203" s="104"/>
      <c r="AA203" s="104"/>
    </row>
    <row r="204" spans="1:27" ht="15.75" thickBot="1">
      <c r="A204" s="412"/>
      <c r="B204" s="271" t="s">
        <v>3</v>
      </c>
      <c r="C204" s="283">
        <v>0.30244741345763576</v>
      </c>
      <c r="D204" s="284">
        <v>0.50613025343518758</v>
      </c>
      <c r="E204" s="284">
        <v>0.51552660916661242</v>
      </c>
      <c r="F204" s="284">
        <v>0.89201957386298081</v>
      </c>
      <c r="G204" s="284">
        <v>0.45706229884710114</v>
      </c>
      <c r="H204" s="284">
        <v>0.26121000211909301</v>
      </c>
      <c r="I204" s="284">
        <v>0.44254927397434146</v>
      </c>
      <c r="J204" s="284">
        <v>0.78172690867080763</v>
      </c>
      <c r="K204" s="284">
        <v>0.31443811576587688</v>
      </c>
      <c r="L204" s="284">
        <v>0.47165049083544169</v>
      </c>
      <c r="M204" s="289">
        <v>0.61196989846596861</v>
      </c>
      <c r="N204" s="272"/>
      <c r="P204" s="104"/>
      <c r="Y204" s="104"/>
      <c r="Z204" s="104"/>
      <c r="AA204" s="104"/>
    </row>
    <row r="205" spans="1:27" ht="15" customHeight="1">
      <c r="A205" s="415" t="s">
        <v>196</v>
      </c>
      <c r="B205" s="2" t="s">
        <v>4</v>
      </c>
      <c r="C205" s="96">
        <v>9191.7999999999993</v>
      </c>
      <c r="D205" s="96" t="s">
        <v>198</v>
      </c>
      <c r="E205" s="96" t="s">
        <v>198</v>
      </c>
      <c r="F205" s="96" t="s">
        <v>198</v>
      </c>
      <c r="G205" s="96" t="s">
        <v>198</v>
      </c>
      <c r="H205" s="96">
        <v>13787.7</v>
      </c>
      <c r="I205" s="96" t="s">
        <v>198</v>
      </c>
      <c r="J205" s="96" t="s">
        <v>198</v>
      </c>
      <c r="K205" s="96">
        <v>13787.7</v>
      </c>
      <c r="L205" s="96" t="s">
        <v>198</v>
      </c>
      <c r="M205" s="96" t="s">
        <v>198</v>
      </c>
      <c r="N205" s="100"/>
      <c r="P205" s="104"/>
      <c r="Y205" s="104"/>
      <c r="Z205" s="104"/>
      <c r="AA205" s="104"/>
    </row>
    <row r="206" spans="1:27">
      <c r="A206" s="416"/>
      <c r="B206" s="63" t="s">
        <v>5</v>
      </c>
      <c r="C206" s="97">
        <v>8882</v>
      </c>
      <c r="D206" s="273" t="s">
        <v>198</v>
      </c>
      <c r="E206" s="273" t="s">
        <v>198</v>
      </c>
      <c r="F206" s="273" t="s">
        <v>198</v>
      </c>
      <c r="G206" s="273" t="s">
        <v>198</v>
      </c>
      <c r="H206" s="97">
        <v>13643</v>
      </c>
      <c r="I206" s="273" t="s">
        <v>198</v>
      </c>
      <c r="J206" s="273" t="s">
        <v>198</v>
      </c>
      <c r="K206" s="97">
        <v>13647.2</v>
      </c>
      <c r="L206" s="273" t="s">
        <v>198</v>
      </c>
      <c r="M206" s="273" t="s">
        <v>198</v>
      </c>
      <c r="N206" s="274"/>
      <c r="P206" s="104"/>
      <c r="Y206" s="104"/>
      <c r="Z206" s="104"/>
      <c r="AA206" s="104"/>
    </row>
    <row r="207" spans="1:27" ht="15.75" thickBot="1">
      <c r="A207" s="417"/>
      <c r="B207" s="271" t="s">
        <v>3</v>
      </c>
      <c r="C207" s="71">
        <f>C206/C205</f>
        <v>0.96629604647620715</v>
      </c>
      <c r="D207" s="277" t="s">
        <v>198</v>
      </c>
      <c r="E207" s="277" t="s">
        <v>198</v>
      </c>
      <c r="F207" s="277" t="s">
        <v>198</v>
      </c>
      <c r="G207" s="277" t="s">
        <v>198</v>
      </c>
      <c r="H207" s="71">
        <f t="shared" ref="H207" si="177">H206/H205</f>
        <v>0.98950513863806144</v>
      </c>
      <c r="I207" s="277" t="s">
        <v>198</v>
      </c>
      <c r="J207" s="277" t="s">
        <v>198</v>
      </c>
      <c r="K207" s="71">
        <f t="shared" ref="K207" si="178">K206/K205</f>
        <v>0.98980975797268578</v>
      </c>
      <c r="L207" s="277" t="s">
        <v>198</v>
      </c>
      <c r="M207" s="277" t="s">
        <v>198</v>
      </c>
      <c r="N207" s="278"/>
      <c r="P207" s="104"/>
      <c r="Y207" s="104"/>
      <c r="Z207" s="104"/>
      <c r="AA207" s="104"/>
    </row>
    <row r="208" spans="1:27" ht="15" customHeight="1">
      <c r="A208" s="415" t="s">
        <v>197</v>
      </c>
      <c r="B208" s="2" t="s">
        <v>4</v>
      </c>
      <c r="C208" s="96">
        <v>97433.600000000006</v>
      </c>
      <c r="D208" s="96" t="s">
        <v>198</v>
      </c>
      <c r="E208" s="96" t="s">
        <v>198</v>
      </c>
      <c r="F208" s="96" t="s">
        <v>198</v>
      </c>
      <c r="G208" s="96" t="s">
        <v>198</v>
      </c>
      <c r="H208" s="96">
        <v>243584.4</v>
      </c>
      <c r="I208" s="96" t="s">
        <v>198</v>
      </c>
      <c r="J208" s="96" t="s">
        <v>198</v>
      </c>
      <c r="K208" s="96">
        <v>292299.3</v>
      </c>
      <c r="L208" s="96" t="s">
        <v>198</v>
      </c>
      <c r="M208" s="96" t="s">
        <v>198</v>
      </c>
      <c r="N208" s="100"/>
      <c r="P208" s="104"/>
      <c r="Y208" s="104"/>
      <c r="Z208" s="104"/>
      <c r="AA208" s="104"/>
    </row>
    <row r="209" spans="1:27">
      <c r="A209" s="416"/>
      <c r="B209" s="63" t="s">
        <v>5</v>
      </c>
      <c r="C209" s="97">
        <v>64490.9</v>
      </c>
      <c r="D209" s="273" t="s">
        <v>198</v>
      </c>
      <c r="E209" s="273" t="s">
        <v>198</v>
      </c>
      <c r="F209" s="273" t="s">
        <v>198</v>
      </c>
      <c r="G209" s="273" t="s">
        <v>198</v>
      </c>
      <c r="H209" s="97">
        <v>77213</v>
      </c>
      <c r="I209" s="273" t="s">
        <v>198</v>
      </c>
      <c r="J209" s="273" t="s">
        <v>198</v>
      </c>
      <c r="K209" s="97">
        <v>53128.9</v>
      </c>
      <c r="L209" s="273" t="s">
        <v>198</v>
      </c>
      <c r="M209" s="273" t="s">
        <v>198</v>
      </c>
      <c r="N209" s="274"/>
      <c r="P209" s="104"/>
      <c r="Y209" s="104"/>
      <c r="Z209" s="104"/>
      <c r="AA209" s="104"/>
    </row>
    <row r="210" spans="1:27" ht="15.75" thickBot="1">
      <c r="A210" s="418"/>
      <c r="B210" s="3" t="s">
        <v>3</v>
      </c>
      <c r="C210" s="72">
        <f>C209/C208</f>
        <v>0.66189589628218604</v>
      </c>
      <c r="D210" s="275" t="s">
        <v>198</v>
      </c>
      <c r="E210" s="275" t="s">
        <v>198</v>
      </c>
      <c r="F210" s="275" t="s">
        <v>198</v>
      </c>
      <c r="G210" s="275" t="s">
        <v>198</v>
      </c>
      <c r="H210" s="72">
        <f t="shared" ref="H210" si="179">H209/H208</f>
        <v>0.31698663789635134</v>
      </c>
      <c r="I210" s="275" t="s">
        <v>198</v>
      </c>
      <c r="J210" s="275" t="s">
        <v>198</v>
      </c>
      <c r="K210" s="72">
        <f t="shared" ref="K210" si="180">K209/K208</f>
        <v>0.18176198164005183</v>
      </c>
      <c r="L210" s="275" t="s">
        <v>198</v>
      </c>
      <c r="M210" s="275" t="s">
        <v>198</v>
      </c>
      <c r="N210" s="276"/>
      <c r="P210" s="104"/>
      <c r="Y210" s="104"/>
      <c r="Z210" s="104"/>
      <c r="AA210" s="104"/>
    </row>
    <row r="211" spans="1:27" ht="15" customHeight="1">
      <c r="A211" s="412" t="s">
        <v>6</v>
      </c>
      <c r="B211" s="279" t="s">
        <v>7</v>
      </c>
      <c r="C211" s="290">
        <v>5806</v>
      </c>
      <c r="D211" s="290">
        <v>3333</v>
      </c>
      <c r="E211" s="290">
        <v>3330</v>
      </c>
      <c r="F211" s="290">
        <v>9457</v>
      </c>
      <c r="G211" s="290">
        <v>7653</v>
      </c>
      <c r="H211" s="290">
        <v>15133</v>
      </c>
      <c r="I211" s="290">
        <v>6961</v>
      </c>
      <c r="J211" s="290">
        <v>9193</v>
      </c>
      <c r="K211" s="290">
        <v>11010</v>
      </c>
      <c r="L211" s="290">
        <v>4133</v>
      </c>
      <c r="M211" s="295">
        <v>9050</v>
      </c>
      <c r="N211" s="281"/>
      <c r="P211" s="104"/>
      <c r="Y211" s="104"/>
      <c r="Z211" s="104"/>
      <c r="AA211" s="104"/>
    </row>
    <row r="212" spans="1:27">
      <c r="A212" s="412"/>
      <c r="B212" s="28" t="s">
        <v>11</v>
      </c>
      <c r="C212" s="292">
        <v>195778.32</v>
      </c>
      <c r="D212" s="292">
        <v>112388.76</v>
      </c>
      <c r="E212" s="292">
        <v>112287.59999999999</v>
      </c>
      <c r="F212" s="292">
        <v>318890.03999999998</v>
      </c>
      <c r="G212" s="292">
        <v>258059.16</v>
      </c>
      <c r="H212" s="292">
        <v>510284.76</v>
      </c>
      <c r="I212" s="292">
        <v>234724.91999999998</v>
      </c>
      <c r="J212" s="292">
        <v>309987.95999999996</v>
      </c>
      <c r="K212" s="292">
        <v>371257.2</v>
      </c>
      <c r="L212" s="292">
        <v>139364.76</v>
      </c>
      <c r="M212" s="297">
        <v>305166</v>
      </c>
      <c r="N212" s="84"/>
      <c r="P212" s="104"/>
      <c r="Y212" s="104"/>
      <c r="Z212" s="104"/>
      <c r="AA212" s="104"/>
    </row>
    <row r="213" spans="1:27">
      <c r="A213" s="412"/>
      <c r="B213" s="66" t="s">
        <v>8</v>
      </c>
      <c r="C213" s="294">
        <v>5620</v>
      </c>
      <c r="D213" s="294">
        <v>2681</v>
      </c>
      <c r="E213" s="294">
        <v>2700</v>
      </c>
      <c r="F213" s="294">
        <v>8199</v>
      </c>
      <c r="G213" s="294">
        <v>3507</v>
      </c>
      <c r="H213" s="294">
        <v>13264</v>
      </c>
      <c r="I213" s="294">
        <v>5040</v>
      </c>
      <c r="J213" s="294">
        <v>7936</v>
      </c>
      <c r="K213" s="294">
        <v>9556</v>
      </c>
      <c r="L213" s="294">
        <v>3686</v>
      </c>
      <c r="M213" s="298">
        <v>5973</v>
      </c>
      <c r="N213" s="103"/>
      <c r="P213" s="14" t="s">
        <v>192</v>
      </c>
    </row>
    <row r="214" spans="1:27">
      <c r="A214" s="412"/>
      <c r="B214" s="29" t="s">
        <v>77</v>
      </c>
      <c r="C214" s="293">
        <v>189506.4</v>
      </c>
      <c r="D214" s="293">
        <v>90403.319999999992</v>
      </c>
      <c r="E214" s="293">
        <v>91044</v>
      </c>
      <c r="F214" s="293">
        <v>276470.27999999997</v>
      </c>
      <c r="G214" s="293">
        <v>236512.08</v>
      </c>
      <c r="H214" s="293">
        <v>447262.07999999996</v>
      </c>
      <c r="I214" s="293">
        <v>102508.79999999999</v>
      </c>
      <c r="J214" s="293">
        <v>267601.91999999998</v>
      </c>
      <c r="K214" s="293">
        <v>322228.32</v>
      </c>
      <c r="L214" s="293">
        <v>124291.92</v>
      </c>
      <c r="M214" s="299">
        <v>226530.96</v>
      </c>
      <c r="N214" s="11"/>
      <c r="P214" s="89">
        <f>344240-H214</f>
        <v>-103022.07999999996</v>
      </c>
      <c r="Q214" s="104" t="s">
        <v>193</v>
      </c>
    </row>
    <row r="215" spans="1:27" ht="15.75" thickBot="1">
      <c r="A215" s="413"/>
      <c r="B215" s="256" t="s">
        <v>10</v>
      </c>
      <c r="C215" s="291">
        <v>1.3215948984672805</v>
      </c>
      <c r="D215" s="291">
        <v>0.60062345614214585</v>
      </c>
      <c r="E215" s="291">
        <v>0.60488001924050505</v>
      </c>
      <c r="F215" s="291">
        <v>1.5190858351035013</v>
      </c>
      <c r="G215" s="291">
        <v>1.4294862876052039</v>
      </c>
      <c r="H215" s="291">
        <v>3.3849641267823083</v>
      </c>
      <c r="I215" s="291">
        <v>0.84486342409821646</v>
      </c>
      <c r="J215" s="291">
        <v>1.3863445010283535</v>
      </c>
      <c r="K215" s="291">
        <v>2.4386812601318981</v>
      </c>
      <c r="L215" s="291">
        <v>1.502447468338364</v>
      </c>
      <c r="M215" s="296">
        <v>1.2835873431220168</v>
      </c>
      <c r="N215" s="72"/>
      <c r="P215" s="175"/>
    </row>
    <row r="216" spans="1:27" ht="15.75" thickBot="1">
      <c r="A216" s="368">
        <v>41242</v>
      </c>
      <c r="B216" s="368"/>
      <c r="C216" s="368"/>
      <c r="N216" s="15"/>
    </row>
    <row r="217" spans="1:27">
      <c r="A217" s="407" t="s">
        <v>1</v>
      </c>
      <c r="B217" s="420"/>
      <c r="C217" s="68" t="s">
        <v>12</v>
      </c>
      <c r="D217" s="68" t="s">
        <v>12</v>
      </c>
      <c r="E217" s="68" t="s">
        <v>13</v>
      </c>
      <c r="F217" s="68" t="s">
        <v>13</v>
      </c>
      <c r="G217" s="68" t="s">
        <v>13</v>
      </c>
      <c r="H217" s="68" t="s">
        <v>13</v>
      </c>
      <c r="I217" s="68" t="s">
        <v>13</v>
      </c>
      <c r="J217" s="68" t="s">
        <v>2</v>
      </c>
      <c r="K217" s="68" t="s">
        <v>2</v>
      </c>
      <c r="L217" s="68" t="s">
        <v>2</v>
      </c>
      <c r="M217" s="68" t="s">
        <v>2</v>
      </c>
      <c r="N217" s="4" t="s">
        <v>84</v>
      </c>
    </row>
    <row r="218" spans="1:27" ht="15.75" thickBot="1">
      <c r="A218" s="409" t="s">
        <v>0</v>
      </c>
      <c r="B218" s="414"/>
      <c r="C218" s="99" t="s">
        <v>102</v>
      </c>
      <c r="D218" s="99" t="s">
        <v>103</v>
      </c>
      <c r="E218" s="99" t="s">
        <v>104</v>
      </c>
      <c r="F218" s="99" t="s">
        <v>105</v>
      </c>
      <c r="G218" s="99" t="s">
        <v>100</v>
      </c>
      <c r="H218" s="99" t="s">
        <v>107</v>
      </c>
      <c r="I218" s="99" t="s">
        <v>106</v>
      </c>
      <c r="J218" s="99" t="s">
        <v>108</v>
      </c>
      <c r="K218" s="99" t="s">
        <v>110</v>
      </c>
      <c r="L218" s="99" t="s">
        <v>101</v>
      </c>
      <c r="M218" s="99" t="s">
        <v>109</v>
      </c>
      <c r="N218" s="101" t="s">
        <v>111</v>
      </c>
      <c r="Q218" s="14"/>
      <c r="R218" s="14"/>
      <c r="S218" s="14"/>
      <c r="T218" s="14"/>
      <c r="U218" s="14"/>
      <c r="V218" s="14"/>
      <c r="W218" s="14"/>
      <c r="X218" s="14"/>
      <c r="Y218" s="175"/>
      <c r="Z218" s="174"/>
      <c r="AA218" s="175"/>
    </row>
    <row r="219" spans="1:27" ht="15" customHeight="1">
      <c r="A219" s="411" t="s">
        <v>195</v>
      </c>
      <c r="B219" s="2" t="s">
        <v>4</v>
      </c>
      <c r="C219" s="96">
        <v>143392.20000000001</v>
      </c>
      <c r="D219" s="96">
        <v>150515.79999999999</v>
      </c>
      <c r="E219" s="96">
        <v>150515.79999999999</v>
      </c>
      <c r="F219" s="96">
        <v>181997.8</v>
      </c>
      <c r="G219" s="96">
        <v>165452.5</v>
      </c>
      <c r="H219" s="96">
        <v>132132</v>
      </c>
      <c r="I219" s="96">
        <v>121331.8</v>
      </c>
      <c r="J219" s="96">
        <v>193027</v>
      </c>
      <c r="K219" s="96">
        <v>132132.20000000001</v>
      </c>
      <c r="L219" s="96">
        <v>82726.3</v>
      </c>
      <c r="M219" s="96">
        <v>176482.7</v>
      </c>
      <c r="N219" s="100">
        <v>54921</v>
      </c>
      <c r="P219" s="104"/>
      <c r="Y219" s="104"/>
      <c r="Z219" s="104"/>
      <c r="AA219" s="104"/>
    </row>
    <row r="220" spans="1:27">
      <c r="A220" s="412"/>
      <c r="B220" s="63" t="s">
        <v>5</v>
      </c>
      <c r="C220" s="97">
        <v>45320.6</v>
      </c>
      <c r="D220" s="97">
        <v>74987.100000000006</v>
      </c>
      <c r="E220" s="97">
        <v>76403</v>
      </c>
      <c r="F220" s="97">
        <v>159714.6</v>
      </c>
      <c r="G220" s="97">
        <v>63470.400000000001</v>
      </c>
      <c r="H220" s="97">
        <v>27289.1</v>
      </c>
      <c r="I220" s="97">
        <v>49132.6</v>
      </c>
      <c r="J220" s="97">
        <v>147978.6</v>
      </c>
      <c r="K220" s="97">
        <v>37457</v>
      </c>
      <c r="L220" s="97">
        <v>33279.199999999997</v>
      </c>
      <c r="M220" s="97">
        <v>99567.1</v>
      </c>
      <c r="N220" s="102">
        <v>20795</v>
      </c>
      <c r="P220" s="104"/>
      <c r="Y220" s="104"/>
      <c r="Z220" s="104"/>
      <c r="AA220" s="104"/>
    </row>
    <row r="221" spans="1:27" ht="15.75" thickBot="1">
      <c r="A221" s="412"/>
      <c r="B221" s="271" t="s">
        <v>3</v>
      </c>
      <c r="C221" s="71">
        <f>C220/C219</f>
        <v>0.31606042727568162</v>
      </c>
      <c r="D221" s="71">
        <f t="shared" ref="D221:E221" si="181">D220/D219</f>
        <v>0.49820085333234126</v>
      </c>
      <c r="E221" s="71">
        <f t="shared" si="181"/>
        <v>0.50760783917701668</v>
      </c>
      <c r="F221" s="71">
        <f>F220/F219</f>
        <v>0.87756335516143613</v>
      </c>
      <c r="G221" s="71">
        <f>G220/G219</f>
        <v>0.38361705021078557</v>
      </c>
      <c r="H221" s="71">
        <f t="shared" ref="H221" si="182">H220/H219</f>
        <v>0.20652907698362244</v>
      </c>
      <c r="I221" s="71">
        <f>I220/I219</f>
        <v>0.40494412841480959</v>
      </c>
      <c r="J221" s="71">
        <f t="shared" ref="J221:K221" si="183">J220/J219</f>
        <v>0.76662124987696023</v>
      </c>
      <c r="K221" s="71">
        <f t="shared" si="183"/>
        <v>0.2834812407573627</v>
      </c>
      <c r="L221" s="71">
        <f>L220/L219</f>
        <v>0.40228077407064011</v>
      </c>
      <c r="M221" s="71">
        <f t="shared" ref="M221:N221" si="184">M220/M219</f>
        <v>0.56417484546643948</v>
      </c>
      <c r="N221" s="272">
        <f t="shared" si="184"/>
        <v>0.37863476630068643</v>
      </c>
      <c r="P221" s="104"/>
      <c r="Y221" s="104"/>
      <c r="Z221" s="104"/>
      <c r="AA221" s="104"/>
    </row>
    <row r="222" spans="1:27" ht="15" customHeight="1">
      <c r="A222" s="415" t="s">
        <v>196</v>
      </c>
      <c r="B222" s="2" t="s">
        <v>4</v>
      </c>
      <c r="C222" s="96">
        <v>9191.7999999999993</v>
      </c>
      <c r="D222" s="96" t="s">
        <v>198</v>
      </c>
      <c r="E222" s="96" t="s">
        <v>198</v>
      </c>
      <c r="F222" s="96" t="s">
        <v>198</v>
      </c>
      <c r="G222" s="96" t="s">
        <v>198</v>
      </c>
      <c r="H222" s="96">
        <v>13787.7</v>
      </c>
      <c r="I222" s="96" t="s">
        <v>198</v>
      </c>
      <c r="J222" s="96" t="s">
        <v>198</v>
      </c>
      <c r="K222" s="96">
        <v>13787.7</v>
      </c>
      <c r="L222" s="96" t="s">
        <v>198</v>
      </c>
      <c r="M222" s="96" t="s">
        <v>198</v>
      </c>
      <c r="N222" s="100" t="s">
        <v>198</v>
      </c>
      <c r="P222" s="104"/>
      <c r="Y222" s="104"/>
      <c r="Z222" s="104"/>
      <c r="AA222" s="104"/>
    </row>
    <row r="223" spans="1:27">
      <c r="A223" s="416"/>
      <c r="B223" s="63" t="s">
        <v>5</v>
      </c>
      <c r="C223" s="97">
        <v>8744.1</v>
      </c>
      <c r="D223" s="273" t="s">
        <v>198</v>
      </c>
      <c r="E223" s="273" t="s">
        <v>198</v>
      </c>
      <c r="F223" s="273" t="s">
        <v>198</v>
      </c>
      <c r="G223" s="273" t="s">
        <v>198</v>
      </c>
      <c r="H223" s="97">
        <v>13515.8</v>
      </c>
      <c r="I223" s="273" t="s">
        <v>198</v>
      </c>
      <c r="J223" s="273" t="s">
        <v>198</v>
      </c>
      <c r="K223" s="97">
        <v>12979.6</v>
      </c>
      <c r="L223" s="273" t="s">
        <v>198</v>
      </c>
      <c r="M223" s="273" t="s">
        <v>198</v>
      </c>
      <c r="N223" s="274" t="s">
        <v>198</v>
      </c>
      <c r="P223" s="104"/>
      <c r="Y223" s="104"/>
      <c r="Z223" s="104"/>
      <c r="AA223" s="104"/>
    </row>
    <row r="224" spans="1:27" ht="15.75" thickBot="1">
      <c r="A224" s="417"/>
      <c r="B224" s="271" t="s">
        <v>3</v>
      </c>
      <c r="C224" s="71">
        <f>C223/C222</f>
        <v>0.95129354424595847</v>
      </c>
      <c r="D224" s="277" t="s">
        <v>198</v>
      </c>
      <c r="E224" s="277" t="s">
        <v>198</v>
      </c>
      <c r="F224" s="277" t="s">
        <v>198</v>
      </c>
      <c r="G224" s="277" t="s">
        <v>198</v>
      </c>
      <c r="H224" s="71">
        <f t="shared" ref="H224" si="185">H223/H222</f>
        <v>0.98027952450372424</v>
      </c>
      <c r="I224" s="277" t="s">
        <v>198</v>
      </c>
      <c r="J224" s="277" t="s">
        <v>198</v>
      </c>
      <c r="K224" s="71">
        <f t="shared" ref="K224" si="186">K223/K222</f>
        <v>0.94138978945001706</v>
      </c>
      <c r="L224" s="277" t="s">
        <v>198</v>
      </c>
      <c r="M224" s="277" t="s">
        <v>198</v>
      </c>
      <c r="N224" s="278" t="s">
        <v>198</v>
      </c>
      <c r="P224" s="104"/>
      <c r="Y224" s="104"/>
      <c r="Z224" s="104"/>
      <c r="AA224" s="104"/>
    </row>
    <row r="225" spans="1:27" ht="15" customHeight="1">
      <c r="A225" s="415" t="s">
        <v>197</v>
      </c>
      <c r="B225" s="2" t="s">
        <v>4</v>
      </c>
      <c r="C225" s="96">
        <v>97433.600000000006</v>
      </c>
      <c r="D225" s="96" t="s">
        <v>198</v>
      </c>
      <c r="E225" s="96" t="s">
        <v>198</v>
      </c>
      <c r="F225" s="96" t="s">
        <v>198</v>
      </c>
      <c r="G225" s="96" t="s">
        <v>198</v>
      </c>
      <c r="H225" s="96">
        <v>243584.4</v>
      </c>
      <c r="I225" s="96" t="s">
        <v>198</v>
      </c>
      <c r="J225" s="96" t="s">
        <v>198</v>
      </c>
      <c r="K225" s="96">
        <v>292299.3</v>
      </c>
      <c r="L225" s="96" t="s">
        <v>198</v>
      </c>
      <c r="M225" s="96" t="s">
        <v>198</v>
      </c>
      <c r="N225" s="100" t="s">
        <v>198</v>
      </c>
      <c r="P225" s="104"/>
      <c r="Y225" s="104"/>
      <c r="Z225" s="104"/>
      <c r="AA225" s="104"/>
    </row>
    <row r="226" spans="1:27">
      <c r="A226" s="416"/>
      <c r="B226" s="63" t="s">
        <v>5</v>
      </c>
      <c r="C226" s="97">
        <v>61349.599999999999</v>
      </c>
      <c r="D226" s="273" t="s">
        <v>198</v>
      </c>
      <c r="E226" s="273" t="s">
        <v>198</v>
      </c>
      <c r="F226" s="273" t="s">
        <v>198</v>
      </c>
      <c r="G226" s="273" t="s">
        <v>198</v>
      </c>
      <c r="H226" s="97">
        <v>67230.600000000006</v>
      </c>
      <c r="I226" s="273" t="s">
        <v>198</v>
      </c>
      <c r="J226" s="273" t="s">
        <v>198</v>
      </c>
      <c r="K226" s="97">
        <v>44592.7</v>
      </c>
      <c r="L226" s="273" t="s">
        <v>198</v>
      </c>
      <c r="M226" s="273" t="s">
        <v>198</v>
      </c>
      <c r="N226" s="274" t="s">
        <v>198</v>
      </c>
      <c r="P226" s="104"/>
      <c r="Y226" s="104"/>
      <c r="Z226" s="104"/>
      <c r="AA226" s="104"/>
    </row>
    <row r="227" spans="1:27" ht="15.75" thickBot="1">
      <c r="A227" s="418"/>
      <c r="B227" s="3" t="s">
        <v>3</v>
      </c>
      <c r="C227" s="72">
        <f>C226/C225</f>
        <v>0.62965547819232781</v>
      </c>
      <c r="D227" s="275" t="s">
        <v>198</v>
      </c>
      <c r="E227" s="275" t="s">
        <v>198</v>
      </c>
      <c r="F227" s="275" t="s">
        <v>198</v>
      </c>
      <c r="G227" s="275" t="s">
        <v>198</v>
      </c>
      <c r="H227" s="72">
        <f t="shared" ref="H227" si="187">H226/H225</f>
        <v>0.27600535994915931</v>
      </c>
      <c r="I227" s="275" t="s">
        <v>198</v>
      </c>
      <c r="J227" s="275" t="s">
        <v>198</v>
      </c>
      <c r="K227" s="72">
        <f t="shared" ref="K227" si="188">K226/K225</f>
        <v>0.15255835371483956</v>
      </c>
      <c r="L227" s="275" t="s">
        <v>198</v>
      </c>
      <c r="M227" s="275" t="s">
        <v>198</v>
      </c>
      <c r="N227" s="276" t="s">
        <v>198</v>
      </c>
      <c r="P227" s="104"/>
      <c r="Y227" s="104"/>
      <c r="Z227" s="104"/>
      <c r="AA227" s="104"/>
    </row>
    <row r="228" spans="1:27" ht="15" customHeight="1">
      <c r="A228" s="412" t="s">
        <v>6</v>
      </c>
      <c r="B228" s="279" t="s">
        <v>7</v>
      </c>
      <c r="C228" s="280">
        <v>5806</v>
      </c>
      <c r="D228" s="280">
        <v>3333</v>
      </c>
      <c r="E228" s="280">
        <v>3330</v>
      </c>
      <c r="F228" s="280">
        <v>9457</v>
      </c>
      <c r="G228" s="280">
        <v>7653</v>
      </c>
      <c r="H228" s="280">
        <v>14803</v>
      </c>
      <c r="I228" s="280">
        <v>6961</v>
      </c>
      <c r="J228" s="280">
        <v>9193</v>
      </c>
      <c r="K228" s="280">
        <v>11010</v>
      </c>
      <c r="L228" s="280">
        <v>4133</v>
      </c>
      <c r="M228" s="280">
        <v>9050</v>
      </c>
      <c r="N228" s="281">
        <v>780</v>
      </c>
      <c r="P228" s="104"/>
      <c r="Y228" s="104"/>
      <c r="Z228" s="104"/>
      <c r="AA228" s="104"/>
    </row>
    <row r="229" spans="1:27">
      <c r="A229" s="412"/>
      <c r="B229" s="28" t="s">
        <v>11</v>
      </c>
      <c r="C229" s="73">
        <f t="shared" ref="C229:I229" si="189">C228*33.72</f>
        <v>195778.32</v>
      </c>
      <c r="D229" s="73">
        <f t="shared" si="189"/>
        <v>112388.76</v>
      </c>
      <c r="E229" s="73">
        <f t="shared" si="189"/>
        <v>112287.59999999999</v>
      </c>
      <c r="F229" s="73">
        <f t="shared" si="189"/>
        <v>318890.03999999998</v>
      </c>
      <c r="G229" s="73">
        <f t="shared" si="189"/>
        <v>258059.16</v>
      </c>
      <c r="H229" s="73">
        <f t="shared" si="189"/>
        <v>499157.16</v>
      </c>
      <c r="I229" s="73">
        <f t="shared" si="189"/>
        <v>234724.91999999998</v>
      </c>
      <c r="J229" s="73">
        <f>J228*33.72</f>
        <v>309987.95999999996</v>
      </c>
      <c r="K229" s="73">
        <f t="shared" ref="K229:L229" si="190">K228*33.72</f>
        <v>371257.2</v>
      </c>
      <c r="L229" s="73">
        <f t="shared" si="190"/>
        <v>139364.76</v>
      </c>
      <c r="M229" s="73">
        <f>M228*33.72</f>
        <v>305166</v>
      </c>
      <c r="N229" s="84">
        <f t="shared" ref="N229" si="191">N228*33.72</f>
        <v>26301.599999999999</v>
      </c>
      <c r="P229" s="104"/>
      <c r="Y229" s="104"/>
      <c r="Z229" s="104"/>
      <c r="AA229" s="104"/>
    </row>
    <row r="230" spans="1:27">
      <c r="A230" s="412"/>
      <c r="B230" s="66" t="s">
        <v>8</v>
      </c>
      <c r="C230" s="98">
        <f>SUM(C228-286)</f>
        <v>5520</v>
      </c>
      <c r="D230" s="98">
        <f>SUM(D228-580)</f>
        <v>2753</v>
      </c>
      <c r="E230" s="98">
        <f>SUM(E228-583)</f>
        <v>2747</v>
      </c>
      <c r="F230" s="98">
        <f>SUM(F228-1219)</f>
        <v>8238</v>
      </c>
      <c r="G230" s="98">
        <f>SUM(G228-4204)</f>
        <v>3449</v>
      </c>
      <c r="H230" s="98">
        <f>SUM(H228-1939)</f>
        <v>12864</v>
      </c>
      <c r="I230" s="98">
        <f>SUM(I228-(4020-2000))</f>
        <v>4941</v>
      </c>
      <c r="J230" s="98">
        <f>SUM(J228-1251)</f>
        <v>7942</v>
      </c>
      <c r="K230" s="98">
        <f>SUM(K228-1469)</f>
        <v>9541</v>
      </c>
      <c r="L230" s="98">
        <f>SUM(L228-447)</f>
        <v>3686</v>
      </c>
      <c r="M230" s="98">
        <f>SUM(M228-(5790-2614))</f>
        <v>5874</v>
      </c>
      <c r="N230" s="103">
        <f>SUM(N228-151)</f>
        <v>629</v>
      </c>
      <c r="P230" s="14" t="s">
        <v>192</v>
      </c>
    </row>
    <row r="231" spans="1:27">
      <c r="A231" s="412"/>
      <c r="B231" s="29" t="s">
        <v>77</v>
      </c>
      <c r="C231" s="75">
        <f>C230*33.72</f>
        <v>186134.39999999999</v>
      </c>
      <c r="D231" s="75">
        <f>D230*33.72</f>
        <v>92831.16</v>
      </c>
      <c r="E231" s="75">
        <f>E230*33.72</f>
        <v>92628.84</v>
      </c>
      <c r="F231" s="75">
        <f>F230*33.72</f>
        <v>277785.36</v>
      </c>
      <c r="G231" s="75">
        <f>G230*33.72*2</f>
        <v>232600.56</v>
      </c>
      <c r="H231" s="75">
        <f>H230*33.72</f>
        <v>433774.07999999996</v>
      </c>
      <c r="I231" s="75">
        <f>(I230*33.72)-(2000*33.72)</f>
        <v>99170.51999999999</v>
      </c>
      <c r="J231" s="75">
        <f>J230*33.72</f>
        <v>267804.24</v>
      </c>
      <c r="K231" s="75">
        <f>K230*33.72</f>
        <v>321722.51999999996</v>
      </c>
      <c r="L231" s="75">
        <f>L230*33.72</f>
        <v>124291.92</v>
      </c>
      <c r="M231" s="75">
        <f>((M230*33.72)-(2614*33.72))*2</f>
        <v>219854.4</v>
      </c>
      <c r="N231" s="11">
        <f>N230*33.72</f>
        <v>21209.88</v>
      </c>
      <c r="P231" s="89">
        <f>344240-H231</f>
        <v>-89534.079999999958</v>
      </c>
      <c r="Q231" s="104" t="s">
        <v>193</v>
      </c>
    </row>
    <row r="232" spans="1:27" ht="15.75" thickBot="1">
      <c r="A232" s="413"/>
      <c r="B232" s="256" t="s">
        <v>10</v>
      </c>
      <c r="C232" s="72">
        <f t="shared" ref="C232:N232" si="192">C231/C219</f>
        <v>1.2980789750070085</v>
      </c>
      <c r="D232" s="72">
        <f t="shared" si="192"/>
        <v>0.61675358998855945</v>
      </c>
      <c r="E232" s="72">
        <f t="shared" si="192"/>
        <v>0.61540941216802492</v>
      </c>
      <c r="F232" s="72">
        <f t="shared" si="192"/>
        <v>1.5263116367340703</v>
      </c>
      <c r="G232" s="72">
        <f t="shared" si="192"/>
        <v>1.4058449403907465</v>
      </c>
      <c r="H232" s="72">
        <f t="shared" si="192"/>
        <v>3.2828843883389336</v>
      </c>
      <c r="I232" s="72">
        <f t="shared" si="192"/>
        <v>0.81734977969501799</v>
      </c>
      <c r="J232" s="72">
        <f t="shared" si="192"/>
        <v>1.3873926445523164</v>
      </c>
      <c r="K232" s="72">
        <f t="shared" si="192"/>
        <v>2.4348532757344534</v>
      </c>
      <c r="L232" s="72">
        <f t="shared" si="192"/>
        <v>1.502447468338364</v>
      </c>
      <c r="M232" s="72">
        <f t="shared" si="192"/>
        <v>1.2457560996063635</v>
      </c>
      <c r="N232" s="72">
        <f t="shared" si="192"/>
        <v>0.38618888949582131</v>
      </c>
      <c r="P232" s="175"/>
    </row>
    <row r="233" spans="1:27" ht="15.75" thickBot="1">
      <c r="A233" s="368">
        <v>41241</v>
      </c>
      <c r="B233" s="368"/>
      <c r="C233" s="368"/>
      <c r="N233" s="15"/>
    </row>
    <row r="234" spans="1:27">
      <c r="A234" s="407" t="s">
        <v>1</v>
      </c>
      <c r="B234" s="420"/>
      <c r="C234" s="68" t="s">
        <v>12</v>
      </c>
      <c r="D234" s="68" t="s">
        <v>12</v>
      </c>
      <c r="E234" s="68" t="s">
        <v>13</v>
      </c>
      <c r="F234" s="68" t="s">
        <v>13</v>
      </c>
      <c r="G234" s="68" t="s">
        <v>13</v>
      </c>
      <c r="H234" s="68" t="s">
        <v>13</v>
      </c>
      <c r="I234" s="68" t="s">
        <v>13</v>
      </c>
      <c r="J234" s="68" t="s">
        <v>2</v>
      </c>
      <c r="K234" s="68" t="s">
        <v>2</v>
      </c>
      <c r="L234" s="68" t="s">
        <v>2</v>
      </c>
      <c r="M234" s="68" t="s">
        <v>2</v>
      </c>
      <c r="N234" s="4" t="s">
        <v>84</v>
      </c>
    </row>
    <row r="235" spans="1:27" ht="15.75" thickBot="1">
      <c r="A235" s="409" t="s">
        <v>0</v>
      </c>
      <c r="B235" s="414"/>
      <c r="C235" s="99" t="s">
        <v>102</v>
      </c>
      <c r="D235" s="99" t="s">
        <v>103</v>
      </c>
      <c r="E235" s="99" t="s">
        <v>104</v>
      </c>
      <c r="F235" s="99" t="s">
        <v>105</v>
      </c>
      <c r="G235" s="99" t="s">
        <v>100</v>
      </c>
      <c r="H235" s="99" t="s">
        <v>107</v>
      </c>
      <c r="I235" s="99" t="s">
        <v>106</v>
      </c>
      <c r="J235" s="99" t="s">
        <v>108</v>
      </c>
      <c r="K235" s="99" t="s">
        <v>110</v>
      </c>
      <c r="L235" s="99" t="s">
        <v>101</v>
      </c>
      <c r="M235" s="99" t="s">
        <v>109</v>
      </c>
      <c r="N235" s="101" t="s">
        <v>111</v>
      </c>
      <c r="Q235" s="14"/>
      <c r="R235" s="14"/>
      <c r="S235" s="14"/>
      <c r="T235" s="14"/>
      <c r="U235" s="14"/>
      <c r="V235" s="14"/>
      <c r="W235" s="14"/>
      <c r="X235" s="14"/>
      <c r="Y235" s="175"/>
      <c r="Z235" s="174"/>
      <c r="AA235" s="175"/>
    </row>
    <row r="236" spans="1:27" ht="15" customHeight="1">
      <c r="A236" s="421" t="s">
        <v>9</v>
      </c>
      <c r="B236" s="2" t="s">
        <v>4</v>
      </c>
      <c r="C236" s="96">
        <v>143392.20000000001</v>
      </c>
      <c r="D236" s="96">
        <v>150515.79999999999</v>
      </c>
      <c r="E236" s="96">
        <v>150515.79999999999</v>
      </c>
      <c r="F236" s="96">
        <v>181997.8</v>
      </c>
      <c r="G236" s="96">
        <v>165452.5</v>
      </c>
      <c r="H236" s="96">
        <v>132132</v>
      </c>
      <c r="I236" s="96">
        <v>121331.8</v>
      </c>
      <c r="J236" s="96">
        <v>193027</v>
      </c>
      <c r="K236" s="96">
        <v>132132.20000000001</v>
      </c>
      <c r="L236" s="96">
        <v>82726.3</v>
      </c>
      <c r="M236" s="96">
        <v>176482.7</v>
      </c>
      <c r="N236" s="100">
        <v>54921</v>
      </c>
      <c r="P236" s="104"/>
      <c r="Y236" s="104"/>
      <c r="Z236" s="104"/>
      <c r="AA236" s="104"/>
    </row>
    <row r="237" spans="1:27">
      <c r="A237" s="422"/>
      <c r="B237" s="63" t="s">
        <v>5</v>
      </c>
      <c r="C237" s="97">
        <v>46680.5</v>
      </c>
      <c r="D237" s="97">
        <v>74972.600000000006</v>
      </c>
      <c r="E237" s="97">
        <v>76388.600000000006</v>
      </c>
      <c r="F237" s="97">
        <v>159662.79999999999</v>
      </c>
      <c r="G237" s="97">
        <v>63381</v>
      </c>
      <c r="H237" s="97">
        <v>28317.4</v>
      </c>
      <c r="I237" s="97">
        <v>49098.3</v>
      </c>
      <c r="J237" s="97">
        <v>147912.70000000001</v>
      </c>
      <c r="K237" s="97">
        <v>37797.5</v>
      </c>
      <c r="L237" s="97">
        <v>33220.1</v>
      </c>
      <c r="M237" s="97">
        <v>99501.1</v>
      </c>
      <c r="N237" s="102">
        <v>20795</v>
      </c>
      <c r="P237" s="104"/>
      <c r="Y237" s="104"/>
      <c r="Z237" s="104"/>
      <c r="AA237" s="104"/>
    </row>
    <row r="238" spans="1:27" ht="15.75" thickBot="1">
      <c r="A238" s="423"/>
      <c r="B238" s="3" t="s">
        <v>3</v>
      </c>
      <c r="C238" s="71">
        <f>C237/C236</f>
        <v>0.32554420672812046</v>
      </c>
      <c r="D238" s="72">
        <f t="shared" ref="D238:E238" si="193">D237/D236</f>
        <v>0.49810451793100796</v>
      </c>
      <c r="E238" s="72">
        <f t="shared" si="193"/>
        <v>0.50751216815776157</v>
      </c>
      <c r="F238" s="72">
        <f>F237/F236</f>
        <v>0.87727873633637332</v>
      </c>
      <c r="G238" s="72">
        <f>G237/G236</f>
        <v>0.38307671386047354</v>
      </c>
      <c r="H238" s="72">
        <f t="shared" ref="H238" si="194">H237/H236</f>
        <v>0.21431144612962796</v>
      </c>
      <c r="I238" s="72">
        <f>I237/I236</f>
        <v>0.40466143253458697</v>
      </c>
      <c r="J238" s="72">
        <f t="shared" ref="J238:K238" si="195">J237/J236</f>
        <v>0.76627984686080197</v>
      </c>
      <c r="K238" s="72">
        <f t="shared" si="195"/>
        <v>0.28605820534283088</v>
      </c>
      <c r="L238" s="72">
        <f>L237/L236</f>
        <v>0.40156637006610951</v>
      </c>
      <c r="M238" s="72">
        <f t="shared" ref="M238:N238" si="196">M237/M236</f>
        <v>0.56380087113354449</v>
      </c>
      <c r="N238" s="83">
        <f t="shared" si="196"/>
        <v>0.37863476630068643</v>
      </c>
      <c r="P238" s="104"/>
      <c r="Y238" s="104"/>
      <c r="Z238" s="104"/>
      <c r="AA238" s="104"/>
    </row>
    <row r="239" spans="1:27" ht="15" customHeight="1">
      <c r="A239" s="411" t="s">
        <v>6</v>
      </c>
      <c r="B239" s="27" t="s">
        <v>7</v>
      </c>
      <c r="C239" s="68">
        <v>5806</v>
      </c>
      <c r="D239" s="68">
        <v>3333</v>
      </c>
      <c r="E239" s="68">
        <v>3330</v>
      </c>
      <c r="F239" s="68">
        <v>9457</v>
      </c>
      <c r="G239" s="68">
        <v>7653</v>
      </c>
      <c r="H239" s="68">
        <v>14803</v>
      </c>
      <c r="I239" s="68">
        <v>6961</v>
      </c>
      <c r="J239" s="68">
        <v>9193</v>
      </c>
      <c r="K239" s="68">
        <v>11010</v>
      </c>
      <c r="L239" s="68">
        <v>4133</v>
      </c>
      <c r="M239" s="68">
        <v>9050</v>
      </c>
      <c r="N239" s="80">
        <v>780</v>
      </c>
      <c r="P239" s="104"/>
      <c r="Y239" s="104"/>
      <c r="Z239" s="104"/>
      <c r="AA239" s="104"/>
    </row>
    <row r="240" spans="1:27">
      <c r="A240" s="412"/>
      <c r="B240" s="28" t="s">
        <v>11</v>
      </c>
      <c r="C240" s="73">
        <f t="shared" ref="C240:I240" si="197">C239*33.72</f>
        <v>195778.32</v>
      </c>
      <c r="D240" s="73">
        <f t="shared" si="197"/>
        <v>112388.76</v>
      </c>
      <c r="E240" s="73">
        <f t="shared" si="197"/>
        <v>112287.59999999999</v>
      </c>
      <c r="F240" s="73">
        <f t="shared" si="197"/>
        <v>318890.03999999998</v>
      </c>
      <c r="G240" s="73">
        <f t="shared" si="197"/>
        <v>258059.16</v>
      </c>
      <c r="H240" s="73">
        <f t="shared" si="197"/>
        <v>499157.16</v>
      </c>
      <c r="I240" s="73">
        <f t="shared" si="197"/>
        <v>234724.91999999998</v>
      </c>
      <c r="J240" s="73">
        <f>J239*33.72</f>
        <v>309987.95999999996</v>
      </c>
      <c r="K240" s="73">
        <f t="shared" ref="K240:L240" si="198">K239*33.72</f>
        <v>371257.2</v>
      </c>
      <c r="L240" s="73">
        <f t="shared" si="198"/>
        <v>139364.76</v>
      </c>
      <c r="M240" s="73">
        <f>M239*33.72</f>
        <v>305166</v>
      </c>
      <c r="N240" s="84">
        <f t="shared" ref="N240" si="199">N239*33.72</f>
        <v>26301.599999999999</v>
      </c>
      <c r="P240" s="104"/>
      <c r="Y240" s="104"/>
      <c r="Z240" s="104"/>
      <c r="AA240" s="104"/>
    </row>
    <row r="241" spans="1:27">
      <c r="A241" s="412"/>
      <c r="B241" s="28" t="s">
        <v>79</v>
      </c>
      <c r="C241" s="73">
        <v>164000</v>
      </c>
      <c r="D241" s="73">
        <v>109880</v>
      </c>
      <c r="E241" s="73">
        <v>109880</v>
      </c>
      <c r="F241" s="73">
        <v>328000</v>
      </c>
      <c r="G241" s="73">
        <f>G236*2</f>
        <v>330905</v>
      </c>
      <c r="H241" s="73">
        <f>H236*2</f>
        <v>264264</v>
      </c>
      <c r="I241" s="73">
        <f>I236*2</f>
        <v>242663.6</v>
      </c>
      <c r="J241" s="73">
        <v>328000</v>
      </c>
      <c r="K241" s="73">
        <f>K236*2</f>
        <v>264264.40000000002</v>
      </c>
      <c r="L241" s="73">
        <v>328000</v>
      </c>
      <c r="M241" s="73">
        <f>2*M236</f>
        <v>352965.4</v>
      </c>
      <c r="N241" s="84">
        <f>2*N236</f>
        <v>109842</v>
      </c>
      <c r="P241" s="104"/>
      <c r="Y241" s="104"/>
      <c r="Z241" s="104"/>
      <c r="AA241" s="104"/>
    </row>
    <row r="242" spans="1:27">
      <c r="A242" s="412"/>
      <c r="B242" s="66" t="s">
        <v>8</v>
      </c>
      <c r="C242" s="98">
        <f>SUM(C239-286)</f>
        <v>5520</v>
      </c>
      <c r="D242" s="98">
        <f>SUM(D239-580)</f>
        <v>2753</v>
      </c>
      <c r="E242" s="98">
        <f>SUM(E239-583)</f>
        <v>2747</v>
      </c>
      <c r="F242" s="98">
        <f>SUM(F239-1219)</f>
        <v>8238</v>
      </c>
      <c r="G242" s="98">
        <f>SUM(G239-4204)</f>
        <v>3449</v>
      </c>
      <c r="H242" s="98">
        <f>SUM(H239-1976)</f>
        <v>12827</v>
      </c>
      <c r="I242" s="98">
        <f>SUM(I239-(4020-2000))</f>
        <v>4941</v>
      </c>
      <c r="J242" s="98">
        <f>SUM(J239-1251)</f>
        <v>7942</v>
      </c>
      <c r="K242" s="98">
        <f>SUM(K239-1469)</f>
        <v>9541</v>
      </c>
      <c r="L242" s="98">
        <f>SUM(L239-447)</f>
        <v>3686</v>
      </c>
      <c r="M242" s="98">
        <f>SUM(M239-(5790-2614))</f>
        <v>5874</v>
      </c>
      <c r="N242" s="103">
        <f>SUM(N239-139)</f>
        <v>641</v>
      </c>
      <c r="P242" s="14" t="s">
        <v>192</v>
      </c>
    </row>
    <row r="243" spans="1:27">
      <c r="A243" s="412"/>
      <c r="B243" s="29" t="s">
        <v>77</v>
      </c>
      <c r="C243" s="75">
        <f>C242*33.72</f>
        <v>186134.39999999999</v>
      </c>
      <c r="D243" s="75">
        <f>D242*33.72</f>
        <v>92831.16</v>
      </c>
      <c r="E243" s="75">
        <f>E242*33.72</f>
        <v>92628.84</v>
      </c>
      <c r="F243" s="75">
        <f>F242*33.72</f>
        <v>277785.36</v>
      </c>
      <c r="G243" s="75">
        <f>G242*33.72*2</f>
        <v>232600.56</v>
      </c>
      <c r="H243" s="75">
        <f>H242*33.72</f>
        <v>432526.44</v>
      </c>
      <c r="I243" s="75">
        <f>(I242*33.72)-(2000*33.72)</f>
        <v>99170.51999999999</v>
      </c>
      <c r="J243" s="75">
        <f>J242*33.72</f>
        <v>267804.24</v>
      </c>
      <c r="K243" s="75">
        <f>K242*33.72</f>
        <v>321722.51999999996</v>
      </c>
      <c r="L243" s="75">
        <f>L242*33.72</f>
        <v>124291.92</v>
      </c>
      <c r="M243" s="75">
        <f>((M242*33.72)-(2614*33.72))*2</f>
        <v>219854.4</v>
      </c>
      <c r="N243" s="11">
        <f>N242*33.72</f>
        <v>21614.52</v>
      </c>
      <c r="P243" s="89">
        <f>344240-H243</f>
        <v>-88286.44</v>
      </c>
      <c r="Q243" s="104" t="s">
        <v>193</v>
      </c>
    </row>
    <row r="244" spans="1:27" ht="15.75" thickBot="1">
      <c r="A244" s="413"/>
      <c r="B244" s="256" t="s">
        <v>10</v>
      </c>
      <c r="C244" s="72">
        <f>C243/C236</f>
        <v>1.2980789750070085</v>
      </c>
      <c r="D244" s="72">
        <f t="shared" ref="D244:N244" si="200">D243/D236</f>
        <v>0.61675358998855945</v>
      </c>
      <c r="E244" s="72">
        <f t="shared" si="200"/>
        <v>0.61540941216802492</v>
      </c>
      <c r="F244" s="72">
        <f t="shared" si="200"/>
        <v>1.5263116367340703</v>
      </c>
      <c r="G244" s="72">
        <f t="shared" si="200"/>
        <v>1.4058449403907465</v>
      </c>
      <c r="H244" s="72">
        <f t="shared" si="200"/>
        <v>3.2734420125329216</v>
      </c>
      <c r="I244" s="72">
        <f t="shared" si="200"/>
        <v>0.81734977969501799</v>
      </c>
      <c r="J244" s="72">
        <f t="shared" si="200"/>
        <v>1.3873926445523164</v>
      </c>
      <c r="K244" s="72">
        <f t="shared" si="200"/>
        <v>2.4348532757344534</v>
      </c>
      <c r="L244" s="72">
        <f t="shared" si="200"/>
        <v>1.502447468338364</v>
      </c>
      <c r="M244" s="72">
        <f t="shared" si="200"/>
        <v>1.2457560996063635</v>
      </c>
      <c r="N244" s="72">
        <f t="shared" si="200"/>
        <v>0.39355656306330911</v>
      </c>
      <c r="P244" s="175"/>
    </row>
    <row r="245" spans="1:27" ht="15.75" thickBot="1">
      <c r="A245" s="368">
        <v>41239</v>
      </c>
      <c r="B245" s="368"/>
      <c r="C245" s="368"/>
      <c r="N245" s="15"/>
    </row>
    <row r="246" spans="1:27">
      <c r="A246" s="407" t="s">
        <v>1</v>
      </c>
      <c r="B246" s="420"/>
      <c r="C246" s="68" t="s">
        <v>12</v>
      </c>
      <c r="D246" s="68" t="s">
        <v>12</v>
      </c>
      <c r="E246" s="68" t="s">
        <v>13</v>
      </c>
      <c r="F246" s="68" t="s">
        <v>13</v>
      </c>
      <c r="G246" s="68" t="s">
        <v>13</v>
      </c>
      <c r="H246" s="68" t="s">
        <v>13</v>
      </c>
      <c r="I246" s="68" t="s">
        <v>13</v>
      </c>
      <c r="J246" s="68" t="s">
        <v>2</v>
      </c>
      <c r="K246" s="68" t="s">
        <v>2</v>
      </c>
      <c r="L246" s="68" t="s">
        <v>2</v>
      </c>
      <c r="M246" s="68" t="s">
        <v>2</v>
      </c>
      <c r="N246" s="4" t="s">
        <v>84</v>
      </c>
    </row>
    <row r="247" spans="1:27" ht="15.75" thickBot="1">
      <c r="A247" s="409" t="s">
        <v>0</v>
      </c>
      <c r="B247" s="414"/>
      <c r="C247" s="99" t="s">
        <v>102</v>
      </c>
      <c r="D247" s="99" t="s">
        <v>103</v>
      </c>
      <c r="E247" s="99" t="s">
        <v>104</v>
      </c>
      <c r="F247" s="99" t="s">
        <v>105</v>
      </c>
      <c r="G247" s="99" t="s">
        <v>100</v>
      </c>
      <c r="H247" s="99" t="s">
        <v>107</v>
      </c>
      <c r="I247" s="99" t="s">
        <v>106</v>
      </c>
      <c r="J247" s="99" t="s">
        <v>108</v>
      </c>
      <c r="K247" s="99" t="s">
        <v>110</v>
      </c>
      <c r="L247" s="99" t="s">
        <v>101</v>
      </c>
      <c r="M247" s="99" t="s">
        <v>109</v>
      </c>
      <c r="N247" s="101" t="s">
        <v>111</v>
      </c>
      <c r="Q247" s="14"/>
      <c r="R247" s="14"/>
      <c r="S247" s="14"/>
      <c r="T247" s="14"/>
      <c r="U247" s="14"/>
      <c r="V247" s="14"/>
      <c r="W247" s="14"/>
      <c r="X247" s="14"/>
      <c r="Y247" s="175"/>
      <c r="Z247" s="174"/>
      <c r="AA247" s="175"/>
    </row>
    <row r="248" spans="1:27" ht="15" customHeight="1">
      <c r="A248" s="421" t="s">
        <v>9</v>
      </c>
      <c r="B248" s="2" t="s">
        <v>4</v>
      </c>
      <c r="C248" s="96">
        <v>143392.20000000001</v>
      </c>
      <c r="D248" s="96">
        <v>150515.79999999999</v>
      </c>
      <c r="E248" s="96">
        <v>150515.79999999999</v>
      </c>
      <c r="F248" s="96">
        <v>181997.8</v>
      </c>
      <c r="G248" s="96">
        <v>165452.5</v>
      </c>
      <c r="H248" s="96">
        <v>132132</v>
      </c>
      <c r="I248" s="96">
        <v>121331.8</v>
      </c>
      <c r="J248" s="96">
        <v>193027</v>
      </c>
      <c r="K248" s="96">
        <v>132132.20000000001</v>
      </c>
      <c r="L248" s="96">
        <v>82726.3</v>
      </c>
      <c r="M248" s="96">
        <v>176482.7</v>
      </c>
      <c r="N248" s="100">
        <v>54921</v>
      </c>
      <c r="P248" s="104"/>
      <c r="Y248" s="104"/>
      <c r="Z248" s="104"/>
      <c r="AA248" s="104"/>
    </row>
    <row r="249" spans="1:27">
      <c r="A249" s="422"/>
      <c r="B249" s="63" t="s">
        <v>5</v>
      </c>
      <c r="C249" s="97">
        <v>48923.7</v>
      </c>
      <c r="D249" s="97">
        <v>74934.2</v>
      </c>
      <c r="E249" s="97">
        <v>76350.2</v>
      </c>
      <c r="F249" s="97">
        <v>159588.6</v>
      </c>
      <c r="G249" s="97">
        <v>63182.8</v>
      </c>
      <c r="H249" s="97">
        <v>29434.7</v>
      </c>
      <c r="I249" s="97">
        <v>48608</v>
      </c>
      <c r="J249" s="97">
        <v>147764.9</v>
      </c>
      <c r="K249" s="97">
        <v>36995.800000000003</v>
      </c>
      <c r="L249" s="97">
        <v>32880</v>
      </c>
      <c r="M249" s="97">
        <v>98561.5</v>
      </c>
      <c r="N249" s="102">
        <v>20795</v>
      </c>
      <c r="P249" s="104"/>
      <c r="Y249" s="104"/>
      <c r="Z249" s="104"/>
      <c r="AA249" s="104"/>
    </row>
    <row r="250" spans="1:27" ht="15.75" thickBot="1">
      <c r="A250" s="423"/>
      <c r="B250" s="3" t="s">
        <v>3</v>
      </c>
      <c r="C250" s="71">
        <f>C249/C248</f>
        <v>0.34118801441082564</v>
      </c>
      <c r="D250" s="72">
        <f t="shared" ref="D250:E250" si="201">D249/D248</f>
        <v>0.49784939521299426</v>
      </c>
      <c r="E250" s="72">
        <f t="shared" si="201"/>
        <v>0.50725704543974792</v>
      </c>
      <c r="F250" s="72">
        <f>F249/F248</f>
        <v>0.8768710391004727</v>
      </c>
      <c r="G250" s="72">
        <f>G249/G248</f>
        <v>0.38187878696302568</v>
      </c>
      <c r="H250" s="72">
        <f t="shared" ref="H250" si="202">H249/H248</f>
        <v>0.22276738413102051</v>
      </c>
      <c r="I250" s="72">
        <f>I249/I248</f>
        <v>0.40062044740125835</v>
      </c>
      <c r="J250" s="72">
        <f t="shared" ref="J250:K250" si="203">J249/J248</f>
        <v>0.76551415087008545</v>
      </c>
      <c r="K250" s="72">
        <f t="shared" si="203"/>
        <v>0.27999079709563601</v>
      </c>
      <c r="L250" s="72">
        <f>L249/L248</f>
        <v>0.3974552228251475</v>
      </c>
      <c r="M250" s="72">
        <f t="shared" ref="M250:N250" si="204">M249/M248</f>
        <v>0.55847683653978542</v>
      </c>
      <c r="N250" s="83">
        <f t="shared" si="204"/>
        <v>0.37863476630068643</v>
      </c>
      <c r="P250" s="104"/>
      <c r="Y250" s="104"/>
      <c r="Z250" s="104"/>
      <c r="AA250" s="104"/>
    </row>
    <row r="251" spans="1:27" ht="15" customHeight="1">
      <c r="A251" s="411" t="s">
        <v>6</v>
      </c>
      <c r="B251" s="27" t="s">
        <v>7</v>
      </c>
      <c r="C251" s="68">
        <v>5806</v>
      </c>
      <c r="D251" s="68">
        <v>3333</v>
      </c>
      <c r="E251" s="68">
        <v>3330</v>
      </c>
      <c r="F251" s="68">
        <v>9457</v>
      </c>
      <c r="G251" s="68">
        <v>7653</v>
      </c>
      <c r="H251" s="68">
        <v>14803</v>
      </c>
      <c r="I251" s="68">
        <v>6961</v>
      </c>
      <c r="J251" s="68">
        <v>9193</v>
      </c>
      <c r="K251" s="68">
        <v>11010</v>
      </c>
      <c r="L251" s="68">
        <v>4133</v>
      </c>
      <c r="M251" s="68">
        <v>9050</v>
      </c>
      <c r="N251" s="80">
        <v>780</v>
      </c>
      <c r="P251" s="104"/>
      <c r="Y251" s="104"/>
      <c r="Z251" s="104"/>
      <c r="AA251" s="104"/>
    </row>
    <row r="252" spans="1:27">
      <c r="A252" s="412"/>
      <c r="B252" s="28" t="s">
        <v>11</v>
      </c>
      <c r="C252" s="73">
        <f t="shared" ref="C252:I252" si="205">C251*33.72</f>
        <v>195778.32</v>
      </c>
      <c r="D252" s="73">
        <f t="shared" si="205"/>
        <v>112388.76</v>
      </c>
      <c r="E252" s="73">
        <f t="shared" si="205"/>
        <v>112287.59999999999</v>
      </c>
      <c r="F252" s="73">
        <f t="shared" si="205"/>
        <v>318890.03999999998</v>
      </c>
      <c r="G252" s="73">
        <f t="shared" si="205"/>
        <v>258059.16</v>
      </c>
      <c r="H252" s="73">
        <f t="shared" si="205"/>
        <v>499157.16</v>
      </c>
      <c r="I252" s="73">
        <f t="shared" si="205"/>
        <v>234724.91999999998</v>
      </c>
      <c r="J252" s="73">
        <f>J251*33.72</f>
        <v>309987.95999999996</v>
      </c>
      <c r="K252" s="73">
        <f t="shared" ref="K252:L252" si="206">K251*33.72</f>
        <v>371257.2</v>
      </c>
      <c r="L252" s="73">
        <f t="shared" si="206"/>
        <v>139364.76</v>
      </c>
      <c r="M252" s="73">
        <f>M251*33.72</f>
        <v>305166</v>
      </c>
      <c r="N252" s="84">
        <f t="shared" ref="N252" si="207">N251*33.72</f>
        <v>26301.599999999999</v>
      </c>
      <c r="P252" s="104"/>
      <c r="Y252" s="104"/>
      <c r="Z252" s="104"/>
      <c r="AA252" s="104"/>
    </row>
    <row r="253" spans="1:27">
      <c r="A253" s="412"/>
      <c r="B253" s="28" t="s">
        <v>79</v>
      </c>
      <c r="C253" s="73">
        <v>164000</v>
      </c>
      <c r="D253" s="73">
        <v>109880</v>
      </c>
      <c r="E253" s="73">
        <v>109880</v>
      </c>
      <c r="F253" s="73">
        <v>328000</v>
      </c>
      <c r="G253" s="73">
        <f>G248*2</f>
        <v>330905</v>
      </c>
      <c r="H253" s="73">
        <f>H248*2</f>
        <v>264264</v>
      </c>
      <c r="I253" s="73">
        <f>I248*2</f>
        <v>242663.6</v>
      </c>
      <c r="J253" s="73">
        <v>328000</v>
      </c>
      <c r="K253" s="73">
        <f>K248*2</f>
        <v>264264.40000000002</v>
      </c>
      <c r="L253" s="73">
        <v>328000</v>
      </c>
      <c r="M253" s="73">
        <f>2*M248</f>
        <v>352965.4</v>
      </c>
      <c r="N253" s="84">
        <f>2*N248</f>
        <v>109842</v>
      </c>
      <c r="P253" s="104"/>
      <c r="Y253" s="104"/>
      <c r="Z253" s="104"/>
      <c r="AA253" s="104"/>
    </row>
    <row r="254" spans="1:27">
      <c r="A254" s="412"/>
      <c r="B254" s="66" t="s">
        <v>8</v>
      </c>
      <c r="C254" s="98">
        <f>SUM(C251-289)</f>
        <v>5517</v>
      </c>
      <c r="D254" s="98">
        <f>SUM(D251-580)</f>
        <v>2753</v>
      </c>
      <c r="E254" s="98">
        <f>SUM(E251-583)</f>
        <v>2747</v>
      </c>
      <c r="F254" s="98">
        <f>SUM(F251-1219)</f>
        <v>8238</v>
      </c>
      <c r="G254" s="98">
        <f>SUM(G251-4204)</f>
        <v>3449</v>
      </c>
      <c r="H254" s="98">
        <f>SUM(H251-2005)</f>
        <v>12798</v>
      </c>
      <c r="I254" s="98">
        <f>SUM(I251-(4038-2000))</f>
        <v>4923</v>
      </c>
      <c r="J254" s="98">
        <f>SUM(J251-1281)</f>
        <v>7912</v>
      </c>
      <c r="K254" s="98">
        <f>SUM(K251-1512)</f>
        <v>9498</v>
      </c>
      <c r="L254" s="98">
        <f>SUM(L251-447)</f>
        <v>3686</v>
      </c>
      <c r="M254" s="98">
        <f>SUM(M251-(5808-2614))</f>
        <v>5856</v>
      </c>
      <c r="N254" s="103">
        <f>SUM(N251-117)</f>
        <v>663</v>
      </c>
      <c r="P254" s="14" t="s">
        <v>192</v>
      </c>
    </row>
    <row r="255" spans="1:27">
      <c r="A255" s="412"/>
      <c r="B255" s="29" t="s">
        <v>77</v>
      </c>
      <c r="C255" s="75">
        <f>C254*33.72</f>
        <v>186033.24</v>
      </c>
      <c r="D255" s="75">
        <f>D254*33.72</f>
        <v>92831.16</v>
      </c>
      <c r="E255" s="75">
        <f>E254*33.72</f>
        <v>92628.84</v>
      </c>
      <c r="F255" s="75">
        <f>F254*33.72</f>
        <v>277785.36</v>
      </c>
      <c r="G255" s="75">
        <f>G254*33.72*2</f>
        <v>232600.56</v>
      </c>
      <c r="H255" s="75">
        <f>H254*33.72</f>
        <v>431548.56</v>
      </c>
      <c r="I255" s="75">
        <f>(I254*33.72)-(2000*33.72)</f>
        <v>98563.56</v>
      </c>
      <c r="J255" s="75">
        <f>J254*33.72</f>
        <v>266792.64</v>
      </c>
      <c r="K255" s="75">
        <f>K254*33.72</f>
        <v>320272.56</v>
      </c>
      <c r="L255" s="75">
        <f>L254*33.72</f>
        <v>124291.92</v>
      </c>
      <c r="M255" s="75">
        <f>((M254*33.72)-(2614*33.72))*2</f>
        <v>218640.48</v>
      </c>
      <c r="N255" s="11">
        <f>N254*33.72</f>
        <v>22356.36</v>
      </c>
      <c r="P255" s="89">
        <f>344240-H255</f>
        <v>-87308.56</v>
      </c>
      <c r="Q255" s="104" t="s">
        <v>193</v>
      </c>
    </row>
    <row r="256" spans="1:27" ht="15.75" thickBot="1">
      <c r="A256" s="413"/>
      <c r="B256" s="256" t="s">
        <v>10</v>
      </c>
      <c r="C256" s="72">
        <f>C255/C248</f>
        <v>1.2973734973032005</v>
      </c>
      <c r="D256" s="72">
        <f t="shared" ref="D256:N256" si="208">D255/D248</f>
        <v>0.61675358998855945</v>
      </c>
      <c r="E256" s="72">
        <f t="shared" si="208"/>
        <v>0.61540941216802492</v>
      </c>
      <c r="F256" s="72">
        <f t="shared" si="208"/>
        <v>1.5263116367340703</v>
      </c>
      <c r="G256" s="72">
        <f t="shared" si="208"/>
        <v>1.4058449403907465</v>
      </c>
      <c r="H256" s="72">
        <f t="shared" si="208"/>
        <v>3.2660412314957767</v>
      </c>
      <c r="I256" s="72">
        <f t="shared" si="208"/>
        <v>0.81234729889443658</v>
      </c>
      <c r="J256" s="72">
        <f t="shared" si="208"/>
        <v>1.3821519269325018</v>
      </c>
      <c r="K256" s="72">
        <f t="shared" si="208"/>
        <v>2.4238797204617799</v>
      </c>
      <c r="L256" s="72">
        <f t="shared" si="208"/>
        <v>1.502447468338364</v>
      </c>
      <c r="M256" s="72">
        <f t="shared" si="208"/>
        <v>1.2388776916944266</v>
      </c>
      <c r="N256" s="72">
        <f t="shared" si="208"/>
        <v>0.40706396460370353</v>
      </c>
      <c r="P256" s="175"/>
    </row>
    <row r="257" spans="1:27" ht="15.75" thickBot="1">
      <c r="A257" s="368">
        <v>41234</v>
      </c>
      <c r="B257" s="368"/>
      <c r="C257" s="368"/>
      <c r="N257" s="15"/>
    </row>
    <row r="258" spans="1:27">
      <c r="A258" s="407" t="s">
        <v>1</v>
      </c>
      <c r="B258" s="420"/>
      <c r="C258" s="68" t="s">
        <v>12</v>
      </c>
      <c r="D258" s="68" t="s">
        <v>12</v>
      </c>
      <c r="E258" s="68" t="s">
        <v>13</v>
      </c>
      <c r="F258" s="68" t="s">
        <v>13</v>
      </c>
      <c r="G258" s="68" t="s">
        <v>13</v>
      </c>
      <c r="H258" s="68" t="s">
        <v>13</v>
      </c>
      <c r="I258" s="68" t="s">
        <v>13</v>
      </c>
      <c r="J258" s="68" t="s">
        <v>2</v>
      </c>
      <c r="K258" s="68" t="s">
        <v>2</v>
      </c>
      <c r="L258" s="68" t="s">
        <v>2</v>
      </c>
      <c r="M258" s="68" t="s">
        <v>2</v>
      </c>
      <c r="N258" s="4" t="s">
        <v>84</v>
      </c>
    </row>
    <row r="259" spans="1:27" ht="15.75" thickBot="1">
      <c r="A259" s="409" t="s">
        <v>0</v>
      </c>
      <c r="B259" s="414"/>
      <c r="C259" s="99" t="s">
        <v>102</v>
      </c>
      <c r="D259" s="99" t="s">
        <v>103</v>
      </c>
      <c r="E259" s="99" t="s">
        <v>104</v>
      </c>
      <c r="F259" s="99" t="s">
        <v>105</v>
      </c>
      <c r="G259" s="99" t="s">
        <v>100</v>
      </c>
      <c r="H259" s="99" t="s">
        <v>107</v>
      </c>
      <c r="I259" s="99" t="s">
        <v>106</v>
      </c>
      <c r="J259" s="99" t="s">
        <v>108</v>
      </c>
      <c r="K259" s="99" t="s">
        <v>110</v>
      </c>
      <c r="L259" s="99" t="s">
        <v>101</v>
      </c>
      <c r="M259" s="99" t="s">
        <v>109</v>
      </c>
      <c r="N259" s="101" t="s">
        <v>111</v>
      </c>
      <c r="Q259" s="14"/>
      <c r="R259" s="14"/>
      <c r="S259" s="14"/>
      <c r="T259" s="14"/>
      <c r="U259" s="14"/>
      <c r="V259" s="14"/>
      <c r="W259" s="14"/>
      <c r="X259" s="14"/>
      <c r="Y259" s="175"/>
      <c r="Z259" s="174"/>
      <c r="AA259" s="175"/>
    </row>
    <row r="260" spans="1:27">
      <c r="A260" s="421" t="s">
        <v>9</v>
      </c>
      <c r="B260" s="2" t="s">
        <v>4</v>
      </c>
      <c r="C260" s="96">
        <v>143392.20000000001</v>
      </c>
      <c r="D260" s="96">
        <v>150515.79999999999</v>
      </c>
      <c r="E260" s="96">
        <v>150515.79999999999</v>
      </c>
      <c r="F260" s="96">
        <v>181997.8</v>
      </c>
      <c r="G260" s="96">
        <v>165452.5</v>
      </c>
      <c r="H260" s="96">
        <v>132132</v>
      </c>
      <c r="I260" s="96">
        <v>121331.8</v>
      </c>
      <c r="J260" s="96">
        <v>193027</v>
      </c>
      <c r="K260" s="96">
        <v>132132.20000000001</v>
      </c>
      <c r="L260" s="96">
        <v>82726.3</v>
      </c>
      <c r="M260" s="96">
        <v>176482.7</v>
      </c>
      <c r="N260" s="100">
        <v>54921</v>
      </c>
      <c r="P260" s="104"/>
      <c r="Y260" s="104"/>
      <c r="Z260" s="104"/>
      <c r="AA260" s="104"/>
    </row>
    <row r="261" spans="1:27">
      <c r="A261" s="422"/>
      <c r="B261" s="63" t="s">
        <v>5</v>
      </c>
      <c r="C261" s="97">
        <v>50060.2</v>
      </c>
      <c r="D261" s="97">
        <v>74664.899999999994</v>
      </c>
      <c r="E261" s="97">
        <v>76090.7</v>
      </c>
      <c r="F261" s="97">
        <v>159178.6</v>
      </c>
      <c r="G261" s="97">
        <v>62179.3</v>
      </c>
      <c r="H261" s="97">
        <v>29760.5</v>
      </c>
      <c r="I261" s="97">
        <v>48355.8</v>
      </c>
      <c r="J261" s="97">
        <v>147365.29999999999</v>
      </c>
      <c r="K261" s="97">
        <v>38439.800000000003</v>
      </c>
      <c r="L261" s="97">
        <v>32075.599999999999</v>
      </c>
      <c r="M261" s="97">
        <v>98473.2</v>
      </c>
      <c r="N261" s="102">
        <v>20795</v>
      </c>
      <c r="P261" s="104"/>
      <c r="Y261" s="104"/>
      <c r="Z261" s="104"/>
      <c r="AA261" s="104"/>
    </row>
    <row r="262" spans="1:27" ht="15.75" thickBot="1">
      <c r="A262" s="423"/>
      <c r="B262" s="3" t="s">
        <v>3</v>
      </c>
      <c r="C262" s="71">
        <f>C261/C260</f>
        <v>0.34911382906462129</v>
      </c>
      <c r="D262" s="72">
        <f t="shared" ref="D262:E262" si="209">D261/D260</f>
        <v>0.49606021427650787</v>
      </c>
      <c r="E262" s="72">
        <f t="shared" si="209"/>
        <v>0.5055329739469212</v>
      </c>
      <c r="F262" s="72">
        <f>F261/F260</f>
        <v>0.87461826461638559</v>
      </c>
      <c r="G262" s="72">
        <f>G261/G260</f>
        <v>0.37581360209123466</v>
      </c>
      <c r="H262" s="72">
        <f t="shared" ref="H262" si="210">H261/H260</f>
        <v>0.22523310023310023</v>
      </c>
      <c r="I262" s="72">
        <f>I261/I260</f>
        <v>0.39854184970469408</v>
      </c>
      <c r="J262" s="72">
        <f t="shared" ref="J262:K262" si="211">J261/J260</f>
        <v>0.76344397415905541</v>
      </c>
      <c r="K262" s="72">
        <f t="shared" si="211"/>
        <v>0.2909192460278418</v>
      </c>
      <c r="L262" s="72">
        <f>L261/L260</f>
        <v>0.38773159200882906</v>
      </c>
      <c r="M262" s="72">
        <f t="shared" ref="M262:N262" si="212">M261/M260</f>
        <v>0.55797650421259415</v>
      </c>
      <c r="N262" s="83">
        <f t="shared" si="212"/>
        <v>0.37863476630068643</v>
      </c>
      <c r="P262" s="104"/>
      <c r="Y262" s="104"/>
      <c r="Z262" s="104"/>
      <c r="AA262" s="104"/>
    </row>
    <row r="263" spans="1:27">
      <c r="A263" s="411" t="s">
        <v>6</v>
      </c>
      <c r="B263" s="27" t="s">
        <v>7</v>
      </c>
      <c r="C263" s="68">
        <v>5770</v>
      </c>
      <c r="D263" s="68">
        <v>3333</v>
      </c>
      <c r="E263" s="68">
        <v>3330</v>
      </c>
      <c r="F263" s="68">
        <v>9457</v>
      </c>
      <c r="G263" s="68">
        <v>7653</v>
      </c>
      <c r="H263" s="68">
        <v>14803</v>
      </c>
      <c r="I263" s="68">
        <v>6961</v>
      </c>
      <c r="J263" s="68">
        <v>9193</v>
      </c>
      <c r="K263" s="68">
        <v>11010</v>
      </c>
      <c r="L263" s="68">
        <v>4133</v>
      </c>
      <c r="M263" s="68">
        <v>9050</v>
      </c>
      <c r="N263" s="80">
        <v>780</v>
      </c>
      <c r="P263" s="104"/>
      <c r="Y263" s="104"/>
      <c r="Z263" s="104"/>
      <c r="AA263" s="104"/>
    </row>
    <row r="264" spans="1:27">
      <c r="A264" s="412"/>
      <c r="B264" s="28" t="s">
        <v>11</v>
      </c>
      <c r="C264" s="73">
        <f t="shared" ref="C264:I264" si="213">C263*33.72</f>
        <v>194564.4</v>
      </c>
      <c r="D264" s="73">
        <f t="shared" si="213"/>
        <v>112388.76</v>
      </c>
      <c r="E264" s="73">
        <f t="shared" si="213"/>
        <v>112287.59999999999</v>
      </c>
      <c r="F264" s="73">
        <f t="shared" si="213"/>
        <v>318890.03999999998</v>
      </c>
      <c r="G264" s="73">
        <f t="shared" si="213"/>
        <v>258059.16</v>
      </c>
      <c r="H264" s="73">
        <f t="shared" si="213"/>
        <v>499157.16</v>
      </c>
      <c r="I264" s="73">
        <f t="shared" si="213"/>
        <v>234724.91999999998</v>
      </c>
      <c r="J264" s="73">
        <f>J263*33.72</f>
        <v>309987.95999999996</v>
      </c>
      <c r="K264" s="73">
        <f t="shared" ref="K264:L264" si="214">K263*33.72</f>
        <v>371257.2</v>
      </c>
      <c r="L264" s="73">
        <f t="shared" si="214"/>
        <v>139364.76</v>
      </c>
      <c r="M264" s="73">
        <f>M263*33.72</f>
        <v>305166</v>
      </c>
      <c r="N264" s="84">
        <f t="shared" ref="N264" si="215">N263*33.72</f>
        <v>26301.599999999999</v>
      </c>
      <c r="P264" s="104"/>
      <c r="Y264" s="104"/>
      <c r="Z264" s="104"/>
      <c r="AA264" s="104"/>
    </row>
    <row r="265" spans="1:27">
      <c r="A265" s="412"/>
      <c r="B265" s="28" t="s">
        <v>79</v>
      </c>
      <c r="C265" s="73">
        <v>164000</v>
      </c>
      <c r="D265" s="73">
        <v>109880</v>
      </c>
      <c r="E265" s="73">
        <v>109880</v>
      </c>
      <c r="F265" s="73">
        <v>328000</v>
      </c>
      <c r="G265" s="73">
        <f>G260*2</f>
        <v>330905</v>
      </c>
      <c r="H265" s="73">
        <f>H260*2</f>
        <v>264264</v>
      </c>
      <c r="I265" s="73">
        <f>I260*2</f>
        <v>242663.6</v>
      </c>
      <c r="J265" s="73">
        <v>328000</v>
      </c>
      <c r="K265" s="73">
        <f>K260*2</f>
        <v>264264.40000000002</v>
      </c>
      <c r="L265" s="73">
        <v>328000</v>
      </c>
      <c r="M265" s="73">
        <f>2*M260</f>
        <v>352965.4</v>
      </c>
      <c r="N265" s="84">
        <f>2*N260</f>
        <v>109842</v>
      </c>
      <c r="P265" s="104"/>
      <c r="Y265" s="104"/>
      <c r="Z265" s="104"/>
      <c r="AA265" s="104"/>
    </row>
    <row r="266" spans="1:27">
      <c r="A266" s="412"/>
      <c r="B266" s="66" t="s">
        <v>8</v>
      </c>
      <c r="C266" s="98">
        <f>SUM(C263-289)</f>
        <v>5481</v>
      </c>
      <c r="D266" s="98">
        <f>SUM(D263-580)</f>
        <v>2753</v>
      </c>
      <c r="E266" s="98">
        <f>SUM(E263-583)</f>
        <v>2747</v>
      </c>
      <c r="F266" s="98">
        <f>SUM(F263-1219)</f>
        <v>8238</v>
      </c>
      <c r="G266" s="98">
        <f>SUM(G263-4204)</f>
        <v>3449</v>
      </c>
      <c r="H266" s="98">
        <f>SUM(H263-2097)</f>
        <v>12706</v>
      </c>
      <c r="I266" s="98">
        <f>SUM(I263-(4038-2000))</f>
        <v>4923</v>
      </c>
      <c r="J266" s="98">
        <f>SUM(J263-1281)</f>
        <v>7912</v>
      </c>
      <c r="K266" s="98">
        <f>SUM(K263-1529)</f>
        <v>9481</v>
      </c>
      <c r="L266" s="98">
        <f>SUM(L263-447)</f>
        <v>3686</v>
      </c>
      <c r="M266" s="98">
        <f>SUM(M263-(5808-2614))</f>
        <v>5856</v>
      </c>
      <c r="N266" s="103">
        <f>SUM(N263-117)</f>
        <v>663</v>
      </c>
      <c r="P266" s="14" t="s">
        <v>192</v>
      </c>
    </row>
    <row r="267" spans="1:27">
      <c r="A267" s="412"/>
      <c r="B267" s="29" t="s">
        <v>77</v>
      </c>
      <c r="C267" s="75">
        <f>C266*33.72</f>
        <v>184819.32</v>
      </c>
      <c r="D267" s="75">
        <f>D266*33.72</f>
        <v>92831.16</v>
      </c>
      <c r="E267" s="75">
        <f>E266*33.72</f>
        <v>92628.84</v>
      </c>
      <c r="F267" s="75">
        <f>F266*33.72</f>
        <v>277785.36</v>
      </c>
      <c r="G267" s="75">
        <f>G266*33.72*2</f>
        <v>232600.56</v>
      </c>
      <c r="H267" s="75">
        <f>H266*33.72</f>
        <v>428446.32</v>
      </c>
      <c r="I267" s="75">
        <f>(I266*33.72)-(2000*33.72)</f>
        <v>98563.56</v>
      </c>
      <c r="J267" s="75">
        <f>J266*33.72</f>
        <v>266792.64</v>
      </c>
      <c r="K267" s="75">
        <f>K266*33.72</f>
        <v>319699.32</v>
      </c>
      <c r="L267" s="75">
        <f>L266*33.72</f>
        <v>124291.92</v>
      </c>
      <c r="M267" s="75">
        <f>((M266*33.72)-(2614*33.72))*2</f>
        <v>218640.48</v>
      </c>
      <c r="N267" s="11">
        <f>N266*33.72</f>
        <v>22356.36</v>
      </c>
      <c r="P267" s="89">
        <f>344240-H267</f>
        <v>-84206.32</v>
      </c>
      <c r="Q267" s="104" t="s">
        <v>193</v>
      </c>
    </row>
    <row r="268" spans="1:27" ht="15.75" thickBot="1">
      <c r="A268" s="413"/>
      <c r="B268" s="256" t="s">
        <v>10</v>
      </c>
      <c r="C268" s="72">
        <f>C267/C260</f>
        <v>1.2889077648575027</v>
      </c>
      <c r="D268" s="72">
        <f t="shared" ref="D268:N268" si="216">D267/D260</f>
        <v>0.61675358998855945</v>
      </c>
      <c r="E268" s="72">
        <f t="shared" si="216"/>
        <v>0.61540941216802492</v>
      </c>
      <c r="F268" s="72">
        <f t="shared" si="216"/>
        <v>1.5263116367340703</v>
      </c>
      <c r="G268" s="72">
        <f t="shared" si="216"/>
        <v>1.4058449403907465</v>
      </c>
      <c r="H268" s="72">
        <f t="shared" si="216"/>
        <v>3.242562891653801</v>
      </c>
      <c r="I268" s="72">
        <f t="shared" si="216"/>
        <v>0.81234729889443658</v>
      </c>
      <c r="J268" s="72">
        <f t="shared" si="216"/>
        <v>1.3821519269325018</v>
      </c>
      <c r="K268" s="72">
        <f t="shared" si="216"/>
        <v>2.419541338144676</v>
      </c>
      <c r="L268" s="72">
        <f t="shared" si="216"/>
        <v>1.502447468338364</v>
      </c>
      <c r="M268" s="72">
        <f t="shared" si="216"/>
        <v>1.2388776916944266</v>
      </c>
      <c r="N268" s="72">
        <f t="shared" si="216"/>
        <v>0.40706396460370353</v>
      </c>
      <c r="P268" s="175"/>
    </row>
    <row r="269" spans="1:27" ht="15.75" thickBot="1">
      <c r="A269" s="368">
        <v>41232</v>
      </c>
      <c r="B269" s="368"/>
      <c r="C269" s="368"/>
      <c r="N269" s="15"/>
    </row>
    <row r="270" spans="1:27">
      <c r="A270" s="407" t="s">
        <v>1</v>
      </c>
      <c r="B270" s="420"/>
      <c r="C270" s="68" t="s">
        <v>12</v>
      </c>
      <c r="D270" s="68" t="s">
        <v>12</v>
      </c>
      <c r="E270" s="68" t="s">
        <v>13</v>
      </c>
      <c r="F270" s="68" t="s">
        <v>13</v>
      </c>
      <c r="G270" s="68" t="s">
        <v>13</v>
      </c>
      <c r="H270" s="68" t="s">
        <v>13</v>
      </c>
      <c r="I270" s="68" t="s">
        <v>13</v>
      </c>
      <c r="J270" s="68" t="s">
        <v>2</v>
      </c>
      <c r="K270" s="68" t="s">
        <v>2</v>
      </c>
      <c r="L270" s="68" t="s">
        <v>2</v>
      </c>
      <c r="M270" s="68" t="s">
        <v>2</v>
      </c>
      <c r="N270" s="4" t="s">
        <v>84</v>
      </c>
    </row>
    <row r="271" spans="1:27" ht="15.75" thickBot="1">
      <c r="A271" s="409" t="s">
        <v>0</v>
      </c>
      <c r="B271" s="414"/>
      <c r="C271" s="99" t="s">
        <v>102</v>
      </c>
      <c r="D271" s="99" t="s">
        <v>103</v>
      </c>
      <c r="E271" s="99" t="s">
        <v>104</v>
      </c>
      <c r="F271" s="99" t="s">
        <v>105</v>
      </c>
      <c r="G271" s="99" t="s">
        <v>100</v>
      </c>
      <c r="H271" s="99" t="s">
        <v>107</v>
      </c>
      <c r="I271" s="99" t="s">
        <v>106</v>
      </c>
      <c r="J271" s="99" t="s">
        <v>108</v>
      </c>
      <c r="K271" s="99" t="s">
        <v>110</v>
      </c>
      <c r="L271" s="99" t="s">
        <v>101</v>
      </c>
      <c r="M271" s="99" t="s">
        <v>109</v>
      </c>
      <c r="N271" s="101" t="s">
        <v>111</v>
      </c>
      <c r="Q271" s="14"/>
      <c r="R271" s="14"/>
      <c r="S271" s="14"/>
      <c r="T271" s="14"/>
      <c r="U271" s="14"/>
      <c r="V271" s="14"/>
      <c r="W271" s="14"/>
      <c r="X271" s="14"/>
      <c r="Y271" s="175"/>
      <c r="Z271" s="174"/>
      <c r="AA271" s="175"/>
    </row>
    <row r="272" spans="1:27">
      <c r="A272" s="421" t="s">
        <v>9</v>
      </c>
      <c r="B272" s="2" t="s">
        <v>4</v>
      </c>
      <c r="C272" s="96">
        <v>143392.20000000001</v>
      </c>
      <c r="D272" s="96">
        <v>150515.79999999999</v>
      </c>
      <c r="E272" s="96">
        <v>150515.79999999999</v>
      </c>
      <c r="F272" s="96">
        <v>181997.8</v>
      </c>
      <c r="G272" s="96">
        <v>165452.5</v>
      </c>
      <c r="H272" s="96">
        <v>132132</v>
      </c>
      <c r="I272" s="96">
        <v>121331.8</v>
      </c>
      <c r="J272" s="96">
        <v>193027</v>
      </c>
      <c r="K272" s="96">
        <v>132132.20000000001</v>
      </c>
      <c r="L272" s="96">
        <v>82726.3</v>
      </c>
      <c r="M272" s="96">
        <v>176482.7</v>
      </c>
      <c r="N272" s="100">
        <v>54921</v>
      </c>
      <c r="P272" s="104"/>
      <c r="Y272" s="104"/>
      <c r="Z272" s="104"/>
      <c r="AA272" s="104"/>
    </row>
    <row r="273" spans="1:27">
      <c r="A273" s="422"/>
      <c r="B273" s="63" t="s">
        <v>5</v>
      </c>
      <c r="C273" s="97">
        <v>54116.9</v>
      </c>
      <c r="D273" s="97">
        <v>74607.399999999994</v>
      </c>
      <c r="E273" s="97">
        <v>76034.399999999994</v>
      </c>
      <c r="F273" s="97">
        <v>158852.5</v>
      </c>
      <c r="G273" s="97">
        <v>60905.599999999999</v>
      </c>
      <c r="H273" s="97">
        <v>30629.1</v>
      </c>
      <c r="I273" s="97">
        <v>48141.8</v>
      </c>
      <c r="J273" s="97">
        <v>147226.1</v>
      </c>
      <c r="K273" s="97">
        <v>37466.199999999997</v>
      </c>
      <c r="L273" s="97">
        <v>32009.200000000001</v>
      </c>
      <c r="M273" s="97">
        <v>98436.7</v>
      </c>
      <c r="N273" s="102">
        <v>20795</v>
      </c>
      <c r="P273" s="104"/>
      <c r="Y273" s="104"/>
      <c r="Z273" s="104"/>
      <c r="AA273" s="104"/>
    </row>
    <row r="274" spans="1:27" ht="15.75" thickBot="1">
      <c r="A274" s="423"/>
      <c r="B274" s="3" t="s">
        <v>3</v>
      </c>
      <c r="C274" s="71">
        <f>C273/C272</f>
        <v>0.3774047681812539</v>
      </c>
      <c r="D274" s="72">
        <f t="shared" ref="D274:E274" si="217">D273/D272</f>
        <v>0.49567819458156553</v>
      </c>
      <c r="E274" s="72">
        <f t="shared" si="217"/>
        <v>0.50515892683691677</v>
      </c>
      <c r="F274" s="72">
        <f>F273/F272</f>
        <v>0.87282648471574942</v>
      </c>
      <c r="G274" s="72">
        <f>G273/G272</f>
        <v>0.36811532010697934</v>
      </c>
      <c r="H274" s="72">
        <f t="shared" ref="H274:K274" si="218">H273/H272</f>
        <v>0.23180682953410225</v>
      </c>
      <c r="I274" s="72">
        <f>I273/I272</f>
        <v>0.39677809115170137</v>
      </c>
      <c r="J274" s="72">
        <f t="shared" si="218"/>
        <v>0.76272283152097897</v>
      </c>
      <c r="K274" s="72">
        <f t="shared" si="218"/>
        <v>0.28355086799432683</v>
      </c>
      <c r="L274" s="72">
        <f>L273/L272</f>
        <v>0.38692894520847665</v>
      </c>
      <c r="M274" s="72">
        <f t="shared" ref="M274:N274" si="219">M273/M272</f>
        <v>0.55776968507394775</v>
      </c>
      <c r="N274" s="83">
        <f t="shared" si="219"/>
        <v>0.37863476630068643</v>
      </c>
      <c r="P274" s="104"/>
      <c r="Y274" s="104"/>
      <c r="Z274" s="104"/>
      <c r="AA274" s="104"/>
    </row>
    <row r="275" spans="1:27">
      <c r="A275" s="411" t="s">
        <v>6</v>
      </c>
      <c r="B275" s="27" t="s">
        <v>7</v>
      </c>
      <c r="C275" s="68">
        <v>5770</v>
      </c>
      <c r="D275" s="68">
        <v>3333</v>
      </c>
      <c r="E275" s="68">
        <v>3330</v>
      </c>
      <c r="F275" s="68">
        <v>9457</v>
      </c>
      <c r="G275" s="68">
        <v>7653</v>
      </c>
      <c r="H275" s="68">
        <v>14387</v>
      </c>
      <c r="I275" s="68">
        <v>6961</v>
      </c>
      <c r="J275" s="68">
        <v>9193</v>
      </c>
      <c r="K275" s="68">
        <v>11010</v>
      </c>
      <c r="L275" s="68">
        <v>4133</v>
      </c>
      <c r="M275" s="68">
        <v>9050</v>
      </c>
      <c r="N275" s="80">
        <v>780</v>
      </c>
      <c r="P275" s="104"/>
      <c r="Y275" s="104"/>
      <c r="Z275" s="104"/>
      <c r="AA275" s="104"/>
    </row>
    <row r="276" spans="1:27">
      <c r="A276" s="412"/>
      <c r="B276" s="28" t="s">
        <v>11</v>
      </c>
      <c r="C276" s="73">
        <f t="shared" ref="C276:I276" si="220">C275*33.72</f>
        <v>194564.4</v>
      </c>
      <c r="D276" s="73">
        <f t="shared" si="220"/>
        <v>112388.76</v>
      </c>
      <c r="E276" s="73">
        <f t="shared" si="220"/>
        <v>112287.59999999999</v>
      </c>
      <c r="F276" s="73">
        <f t="shared" si="220"/>
        <v>318890.03999999998</v>
      </c>
      <c r="G276" s="73">
        <f t="shared" si="220"/>
        <v>258059.16</v>
      </c>
      <c r="H276" s="73">
        <f t="shared" si="220"/>
        <v>485129.63999999996</v>
      </c>
      <c r="I276" s="73">
        <f t="shared" si="220"/>
        <v>234724.91999999998</v>
      </c>
      <c r="J276" s="73">
        <f>J275*33.72</f>
        <v>309987.95999999996</v>
      </c>
      <c r="K276" s="73">
        <f t="shared" ref="K276:L276" si="221">K275*33.72</f>
        <v>371257.2</v>
      </c>
      <c r="L276" s="73">
        <f t="shared" si="221"/>
        <v>139364.76</v>
      </c>
      <c r="M276" s="73">
        <f>M275*33.72</f>
        <v>305166</v>
      </c>
      <c r="N276" s="84">
        <f t="shared" ref="N276" si="222">N275*33.72</f>
        <v>26301.599999999999</v>
      </c>
      <c r="P276" s="104"/>
      <c r="Y276" s="104"/>
      <c r="Z276" s="104"/>
      <c r="AA276" s="104"/>
    </row>
    <row r="277" spans="1:27">
      <c r="A277" s="412"/>
      <c r="B277" s="28" t="s">
        <v>79</v>
      </c>
      <c r="C277" s="73">
        <v>164000</v>
      </c>
      <c r="D277" s="73">
        <v>109880</v>
      </c>
      <c r="E277" s="73">
        <v>109880</v>
      </c>
      <c r="F277" s="73">
        <v>328000</v>
      </c>
      <c r="G277" s="73">
        <f>G272*2</f>
        <v>330905</v>
      </c>
      <c r="H277" s="73">
        <f>H272*2</f>
        <v>264264</v>
      </c>
      <c r="I277" s="73">
        <f>I272*2</f>
        <v>242663.6</v>
      </c>
      <c r="J277" s="73">
        <v>328000</v>
      </c>
      <c r="K277" s="73">
        <f>K272*2</f>
        <v>264264.40000000002</v>
      </c>
      <c r="L277" s="73">
        <v>328000</v>
      </c>
      <c r="M277" s="73">
        <f>2*M272</f>
        <v>352965.4</v>
      </c>
      <c r="N277" s="84">
        <f>2*N272</f>
        <v>109842</v>
      </c>
      <c r="P277" s="104"/>
      <c r="Y277" s="104"/>
      <c r="Z277" s="104"/>
      <c r="AA277" s="104"/>
    </row>
    <row r="278" spans="1:27">
      <c r="A278" s="412"/>
      <c r="B278" s="66" t="s">
        <v>8</v>
      </c>
      <c r="C278" s="98">
        <f>SUM(C275-289)</f>
        <v>5481</v>
      </c>
      <c r="D278" s="98">
        <f>SUM(D275-580)</f>
        <v>2753</v>
      </c>
      <c r="E278" s="98">
        <f>SUM(E275-583)</f>
        <v>2747</v>
      </c>
      <c r="F278" s="98">
        <f>SUM(F275-1219)</f>
        <v>8238</v>
      </c>
      <c r="G278" s="98">
        <f>SUM(G275-4204)</f>
        <v>3449</v>
      </c>
      <c r="H278" s="98">
        <f>SUM(H275-2114)</f>
        <v>12273</v>
      </c>
      <c r="I278" s="98">
        <f>SUM(I275-(4040-2000))</f>
        <v>4921</v>
      </c>
      <c r="J278" s="98">
        <f>SUM(J275-1281)</f>
        <v>7912</v>
      </c>
      <c r="K278" s="98">
        <f>SUM(K275-1553)</f>
        <v>9457</v>
      </c>
      <c r="L278" s="98">
        <f>SUM(L275-447)</f>
        <v>3686</v>
      </c>
      <c r="M278" s="98">
        <f>SUM(M275-(5810-2614))</f>
        <v>5854</v>
      </c>
      <c r="N278" s="103">
        <f>SUM(N275-117)</f>
        <v>663</v>
      </c>
      <c r="P278" s="14" t="s">
        <v>192</v>
      </c>
    </row>
    <row r="279" spans="1:27">
      <c r="A279" s="412"/>
      <c r="B279" s="29" t="s">
        <v>77</v>
      </c>
      <c r="C279" s="75">
        <f>C278*33.72</f>
        <v>184819.32</v>
      </c>
      <c r="D279" s="75">
        <f>D278*33.72</f>
        <v>92831.16</v>
      </c>
      <c r="E279" s="75">
        <f>E278*33.72</f>
        <v>92628.84</v>
      </c>
      <c r="F279" s="75">
        <f>F278*33.72</f>
        <v>277785.36</v>
      </c>
      <c r="G279" s="75">
        <f>G278*33.72*2</f>
        <v>232600.56</v>
      </c>
      <c r="H279" s="75">
        <f>H278*33.72</f>
        <v>413845.56</v>
      </c>
      <c r="I279" s="75">
        <f>(I278*33.72)-(2000*33.72)</f>
        <v>98496.12</v>
      </c>
      <c r="J279" s="75">
        <f>J278*33.72</f>
        <v>266792.64</v>
      </c>
      <c r="K279" s="75">
        <f>K278*33.72</f>
        <v>318890.03999999998</v>
      </c>
      <c r="L279" s="75">
        <f>L278*33.72</f>
        <v>124291.92</v>
      </c>
      <c r="M279" s="75">
        <f>((M278*33.72)-(2614*33.72))*2</f>
        <v>218505.60000000001</v>
      </c>
      <c r="N279" s="11">
        <f>N278*33.72</f>
        <v>22356.36</v>
      </c>
      <c r="P279" s="89">
        <f>344240-H279</f>
        <v>-69605.56</v>
      </c>
      <c r="Q279" s="104" t="s">
        <v>193</v>
      </c>
    </row>
    <row r="280" spans="1:27" ht="15.75" thickBot="1">
      <c r="A280" s="413"/>
      <c r="B280" s="256" t="s">
        <v>10</v>
      </c>
      <c r="C280" s="72">
        <f>C279/C272</f>
        <v>1.2889077648575027</v>
      </c>
      <c r="D280" s="72">
        <f t="shared" ref="D280:N280" si="223">D279/D272</f>
        <v>0.61675358998855945</v>
      </c>
      <c r="E280" s="72">
        <f t="shared" si="223"/>
        <v>0.61540941216802492</v>
      </c>
      <c r="F280" s="72">
        <f t="shared" si="223"/>
        <v>1.5263116367340703</v>
      </c>
      <c r="G280" s="72">
        <f t="shared" si="223"/>
        <v>1.4058449403907465</v>
      </c>
      <c r="H280" s="72">
        <f t="shared" si="223"/>
        <v>3.1320615747888474</v>
      </c>
      <c r="I280" s="72">
        <f t="shared" si="223"/>
        <v>0.81179146769437194</v>
      </c>
      <c r="J280" s="72">
        <f t="shared" si="223"/>
        <v>1.3821519269325018</v>
      </c>
      <c r="K280" s="72">
        <f t="shared" si="223"/>
        <v>2.4134165631087647</v>
      </c>
      <c r="L280" s="72">
        <f t="shared" si="223"/>
        <v>1.502447468338364</v>
      </c>
      <c r="M280" s="72">
        <f t="shared" si="223"/>
        <v>1.2381134241486558</v>
      </c>
      <c r="N280" s="72">
        <f t="shared" si="223"/>
        <v>0.40706396460370353</v>
      </c>
      <c r="P280" s="175"/>
    </row>
    <row r="281" spans="1:27" ht="15.75" thickBot="1">
      <c r="A281" s="368">
        <v>41227</v>
      </c>
      <c r="B281" s="368"/>
      <c r="C281" s="368"/>
      <c r="N281" s="15"/>
    </row>
    <row r="282" spans="1:27">
      <c r="A282" s="407" t="s">
        <v>1</v>
      </c>
      <c r="B282" s="420"/>
      <c r="C282" s="68" t="s">
        <v>12</v>
      </c>
      <c r="D282" s="68" t="s">
        <v>12</v>
      </c>
      <c r="E282" s="68" t="s">
        <v>13</v>
      </c>
      <c r="F282" s="68" t="s">
        <v>13</v>
      </c>
      <c r="G282" s="68" t="s">
        <v>13</v>
      </c>
      <c r="H282" s="68" t="s">
        <v>13</v>
      </c>
      <c r="I282" s="68" t="s">
        <v>13</v>
      </c>
      <c r="J282" s="68" t="s">
        <v>2</v>
      </c>
      <c r="K282" s="68" t="s">
        <v>2</v>
      </c>
      <c r="L282" s="68" t="s">
        <v>2</v>
      </c>
      <c r="M282" s="68" t="s">
        <v>2</v>
      </c>
      <c r="N282" s="4" t="s">
        <v>84</v>
      </c>
    </row>
    <row r="283" spans="1:27" ht="15.75" thickBot="1">
      <c r="A283" s="409" t="s">
        <v>0</v>
      </c>
      <c r="B283" s="414"/>
      <c r="C283" s="99" t="s">
        <v>102</v>
      </c>
      <c r="D283" s="99" t="s">
        <v>103</v>
      </c>
      <c r="E283" s="99" t="s">
        <v>104</v>
      </c>
      <c r="F283" s="99" t="s">
        <v>105</v>
      </c>
      <c r="G283" s="99" t="s">
        <v>100</v>
      </c>
      <c r="H283" s="99" t="s">
        <v>107</v>
      </c>
      <c r="I283" s="99" t="s">
        <v>106</v>
      </c>
      <c r="J283" s="99" t="s">
        <v>108</v>
      </c>
      <c r="K283" s="99" t="s">
        <v>110</v>
      </c>
      <c r="L283" s="99" t="s">
        <v>101</v>
      </c>
      <c r="M283" s="99" t="s">
        <v>109</v>
      </c>
      <c r="N283" s="101" t="s">
        <v>111</v>
      </c>
      <c r="Q283" s="14"/>
      <c r="R283" s="14"/>
      <c r="S283" s="14"/>
      <c r="T283" s="14"/>
      <c r="U283" s="14"/>
      <c r="V283" s="14"/>
      <c r="W283" s="14"/>
      <c r="X283" s="14"/>
      <c r="Y283" s="175"/>
      <c r="Z283" s="174"/>
      <c r="AA283" s="175"/>
    </row>
    <row r="284" spans="1:27">
      <c r="A284" s="421" t="s">
        <v>9</v>
      </c>
      <c r="B284" s="2" t="s">
        <v>4</v>
      </c>
      <c r="C284" s="96">
        <v>143392.20000000001</v>
      </c>
      <c r="D284" s="96">
        <v>150515.79999999999</v>
      </c>
      <c r="E284" s="96">
        <v>150515.79999999999</v>
      </c>
      <c r="F284" s="96">
        <v>181997.8</v>
      </c>
      <c r="G284" s="96">
        <v>165452.5</v>
      </c>
      <c r="H284" s="96">
        <v>132132</v>
      </c>
      <c r="I284" s="96">
        <v>121331.8</v>
      </c>
      <c r="J284" s="96">
        <v>193027</v>
      </c>
      <c r="K284" s="96">
        <v>132132.20000000001</v>
      </c>
      <c r="L284" s="96">
        <v>82726.3</v>
      </c>
      <c r="M284" s="96">
        <v>176482.7</v>
      </c>
      <c r="N284" s="100">
        <v>54921</v>
      </c>
      <c r="P284" s="104"/>
      <c r="Y284" s="104"/>
      <c r="Z284" s="104"/>
      <c r="AA284" s="104"/>
    </row>
    <row r="285" spans="1:27">
      <c r="A285" s="422"/>
      <c r="B285" s="63" t="s">
        <v>5</v>
      </c>
      <c r="C285" s="97">
        <v>55627.7</v>
      </c>
      <c r="D285" s="97">
        <v>73841</v>
      </c>
      <c r="E285" s="97">
        <v>75268</v>
      </c>
      <c r="F285" s="97">
        <v>158586.5</v>
      </c>
      <c r="G285" s="97">
        <v>60477.4</v>
      </c>
      <c r="H285" s="97">
        <v>34199.199999999997</v>
      </c>
      <c r="I285" s="97">
        <v>48045.9</v>
      </c>
      <c r="J285" s="97">
        <v>147015.4</v>
      </c>
      <c r="K285" s="97">
        <v>37379</v>
      </c>
      <c r="L285" s="97">
        <v>31465</v>
      </c>
      <c r="M285" s="97">
        <v>98245.3</v>
      </c>
      <c r="N285" s="102">
        <v>20795</v>
      </c>
      <c r="P285" s="104"/>
      <c r="Y285" s="104"/>
      <c r="Z285" s="104"/>
      <c r="AA285" s="104"/>
    </row>
    <row r="286" spans="1:27" ht="15.75" thickBot="1">
      <c r="A286" s="423"/>
      <c r="B286" s="3" t="s">
        <v>3</v>
      </c>
      <c r="C286" s="71">
        <f>C285/C284</f>
        <v>0.38794090613017995</v>
      </c>
      <c r="D286" s="72">
        <f t="shared" ref="D286:E286" si="224">D285/D284</f>
        <v>0.490586370334543</v>
      </c>
      <c r="E286" s="72">
        <f t="shared" si="224"/>
        <v>0.50006710258989429</v>
      </c>
      <c r="F286" s="72">
        <f>F285/F284</f>
        <v>0.87136492858704895</v>
      </c>
      <c r="G286" s="72">
        <f>G285/G284</f>
        <v>0.36552726613378461</v>
      </c>
      <c r="H286" s="72">
        <f t="shared" ref="H286:K286" si="225">H285/H284</f>
        <v>0.25882602246238606</v>
      </c>
      <c r="I286" s="72">
        <f t="shared" si="225"/>
        <v>0.39598769654781352</v>
      </c>
      <c r="J286" s="72">
        <f t="shared" si="225"/>
        <v>0.76163127438130418</v>
      </c>
      <c r="K286" s="72">
        <f t="shared" si="225"/>
        <v>0.28289092287875323</v>
      </c>
      <c r="L286" s="72">
        <f>L285/L284</f>
        <v>0.38035062610076842</v>
      </c>
      <c r="M286" s="72">
        <f t="shared" ref="M286:N286" si="226">M285/M284</f>
        <v>0.55668515950855235</v>
      </c>
      <c r="N286" s="83">
        <f t="shared" si="226"/>
        <v>0.37863476630068643</v>
      </c>
      <c r="P286" s="104"/>
      <c r="Y286" s="104"/>
      <c r="Z286" s="104"/>
      <c r="AA286" s="104"/>
    </row>
    <row r="287" spans="1:27">
      <c r="A287" s="411" t="s">
        <v>6</v>
      </c>
      <c r="B287" s="27" t="s">
        <v>7</v>
      </c>
      <c r="C287" s="68">
        <v>5646</v>
      </c>
      <c r="D287" s="68">
        <v>3306</v>
      </c>
      <c r="E287" s="68">
        <v>3303</v>
      </c>
      <c r="F287" s="68">
        <v>9457</v>
      </c>
      <c r="G287" s="68">
        <v>7653</v>
      </c>
      <c r="H287" s="68">
        <v>14387</v>
      </c>
      <c r="I287" s="68">
        <v>6961</v>
      </c>
      <c r="J287" s="68">
        <v>9193</v>
      </c>
      <c r="K287" s="68">
        <v>11010</v>
      </c>
      <c r="L287" s="68">
        <v>4133</v>
      </c>
      <c r="M287" s="68">
        <v>9050</v>
      </c>
      <c r="N287" s="80">
        <v>792</v>
      </c>
      <c r="P287" s="104"/>
      <c r="Y287" s="104"/>
      <c r="Z287" s="104"/>
      <c r="AA287" s="104"/>
    </row>
    <row r="288" spans="1:27">
      <c r="A288" s="412"/>
      <c r="B288" s="28" t="s">
        <v>11</v>
      </c>
      <c r="C288" s="73">
        <f t="shared" ref="C288:I288" si="227">C287*33.72</f>
        <v>190383.12</v>
      </c>
      <c r="D288" s="73">
        <f t="shared" si="227"/>
        <v>111478.31999999999</v>
      </c>
      <c r="E288" s="73">
        <f t="shared" si="227"/>
        <v>111377.16</v>
      </c>
      <c r="F288" s="73">
        <f t="shared" si="227"/>
        <v>318890.03999999998</v>
      </c>
      <c r="G288" s="73">
        <f t="shared" si="227"/>
        <v>258059.16</v>
      </c>
      <c r="H288" s="73">
        <f t="shared" si="227"/>
        <v>485129.63999999996</v>
      </c>
      <c r="I288" s="73">
        <f t="shared" si="227"/>
        <v>234724.91999999998</v>
      </c>
      <c r="J288" s="73">
        <f>J287*33.72</f>
        <v>309987.95999999996</v>
      </c>
      <c r="K288" s="73">
        <f t="shared" ref="K288:L288" si="228">K287*33.72</f>
        <v>371257.2</v>
      </c>
      <c r="L288" s="73">
        <f t="shared" si="228"/>
        <v>139364.76</v>
      </c>
      <c r="M288" s="73">
        <f>M287*33.72</f>
        <v>305166</v>
      </c>
      <c r="N288" s="84">
        <f t="shared" ref="N288" si="229">N287*33.72</f>
        <v>26706.239999999998</v>
      </c>
      <c r="P288" s="104"/>
      <c r="Y288" s="104"/>
      <c r="Z288" s="104"/>
      <c r="AA288" s="104"/>
    </row>
    <row r="289" spans="1:27">
      <c r="A289" s="412"/>
      <c r="B289" s="28" t="s">
        <v>79</v>
      </c>
      <c r="C289" s="73">
        <v>164000</v>
      </c>
      <c r="D289" s="73">
        <v>109880</v>
      </c>
      <c r="E289" s="73">
        <v>109880</v>
      </c>
      <c r="F289" s="73">
        <v>328000</v>
      </c>
      <c r="G289" s="73">
        <f>G284*2</f>
        <v>330905</v>
      </c>
      <c r="H289" s="73">
        <f>H284*2</f>
        <v>264264</v>
      </c>
      <c r="I289" s="73">
        <f>I284*2</f>
        <v>242663.6</v>
      </c>
      <c r="J289" s="73">
        <v>328000</v>
      </c>
      <c r="K289" s="73">
        <f>K284*2</f>
        <v>264264.40000000002</v>
      </c>
      <c r="L289" s="73">
        <v>328000</v>
      </c>
      <c r="M289" s="73">
        <f>2*M284</f>
        <v>352965.4</v>
      </c>
      <c r="N289" s="84">
        <f>2*N284</f>
        <v>109842</v>
      </c>
      <c r="P289" s="104"/>
      <c r="Y289" s="104"/>
      <c r="Z289" s="104"/>
      <c r="AA289" s="104"/>
    </row>
    <row r="290" spans="1:27">
      <c r="A290" s="412"/>
      <c r="B290" s="66" t="s">
        <v>8</v>
      </c>
      <c r="C290" s="98">
        <f>SUM(C287-289)</f>
        <v>5357</v>
      </c>
      <c r="D290" s="98">
        <f>SUM(D287-580)</f>
        <v>2726</v>
      </c>
      <c r="E290" s="98">
        <f>SUM(E287-583)</f>
        <v>2720</v>
      </c>
      <c r="F290" s="98">
        <f>SUM(F287-1219)</f>
        <v>8238</v>
      </c>
      <c r="G290" s="98">
        <f>SUM(G287-4308)</f>
        <v>3345</v>
      </c>
      <c r="H290" s="98">
        <f>SUM(H287-2114)</f>
        <v>12273</v>
      </c>
      <c r="I290" s="98">
        <f>SUM(I287-(4040-2000))</f>
        <v>4921</v>
      </c>
      <c r="J290" s="98">
        <f>SUM(J287-1281)</f>
        <v>7912</v>
      </c>
      <c r="K290" s="98">
        <f>SUM(K287-1602)</f>
        <v>9408</v>
      </c>
      <c r="L290" s="98">
        <f>SUM(L287-582)</f>
        <v>3551</v>
      </c>
      <c r="M290" s="98">
        <f>SUM(M287-(5810-2614))</f>
        <v>5854</v>
      </c>
      <c r="N290" s="103">
        <f>SUM(N287-117)</f>
        <v>675</v>
      </c>
      <c r="P290" s="14" t="s">
        <v>192</v>
      </c>
    </row>
    <row r="291" spans="1:27">
      <c r="A291" s="412"/>
      <c r="B291" s="29" t="s">
        <v>77</v>
      </c>
      <c r="C291" s="75">
        <f>C290*33.72</f>
        <v>180638.04</v>
      </c>
      <c r="D291" s="75">
        <f>D290*33.72</f>
        <v>91920.72</v>
      </c>
      <c r="E291" s="75">
        <f>E290*33.72</f>
        <v>91718.399999999994</v>
      </c>
      <c r="F291" s="75">
        <f>F290*33.72</f>
        <v>277785.36</v>
      </c>
      <c r="G291" s="75">
        <f>G290*33.72*2</f>
        <v>225586.8</v>
      </c>
      <c r="H291" s="75">
        <f>H290*33.72</f>
        <v>413845.56</v>
      </c>
      <c r="I291" s="75">
        <f>(I290*33.72)-(2000*33.72)</f>
        <v>98496.12</v>
      </c>
      <c r="J291" s="75">
        <f>J290*33.72</f>
        <v>266792.64</v>
      </c>
      <c r="K291" s="75">
        <f>K290*33.72</f>
        <v>317237.76000000001</v>
      </c>
      <c r="L291" s="75">
        <f>L290*33.72</f>
        <v>119739.72</v>
      </c>
      <c r="M291" s="75">
        <f>((M290*33.72)-(2614*33.72))*2</f>
        <v>218505.60000000001</v>
      </c>
      <c r="N291" s="11">
        <f>N290*33.72</f>
        <v>22761</v>
      </c>
      <c r="P291" s="89">
        <f>344240-H291</f>
        <v>-69605.56</v>
      </c>
      <c r="Q291" s="104" t="s">
        <v>193</v>
      </c>
    </row>
    <row r="292" spans="1:27" ht="15.75" thickBot="1">
      <c r="A292" s="413"/>
      <c r="B292" s="256" t="s">
        <v>10</v>
      </c>
      <c r="C292" s="72">
        <f>C291/C284</f>
        <v>1.2597480197667654</v>
      </c>
      <c r="D292" s="72">
        <f t="shared" ref="D292:N292" si="230">D291/D284</f>
        <v>0.61070478979615439</v>
      </c>
      <c r="E292" s="72">
        <f t="shared" si="230"/>
        <v>0.60936061197561986</v>
      </c>
      <c r="F292" s="72">
        <f t="shared" si="230"/>
        <v>1.5263116367340703</v>
      </c>
      <c r="G292" s="72">
        <f t="shared" si="230"/>
        <v>1.3634535591786161</v>
      </c>
      <c r="H292" s="72">
        <f t="shared" si="230"/>
        <v>3.1320615747888474</v>
      </c>
      <c r="I292" s="72">
        <f t="shared" si="230"/>
        <v>0.81179146769437194</v>
      </c>
      <c r="J292" s="72">
        <f t="shared" si="230"/>
        <v>1.3821519269325018</v>
      </c>
      <c r="K292" s="72">
        <f t="shared" si="230"/>
        <v>2.4009118140771135</v>
      </c>
      <c r="L292" s="72">
        <f t="shared" si="230"/>
        <v>1.4474202279081743</v>
      </c>
      <c r="M292" s="72">
        <f t="shared" si="230"/>
        <v>1.2381134241486558</v>
      </c>
      <c r="N292" s="72">
        <f t="shared" si="230"/>
        <v>0.41443163817119133</v>
      </c>
      <c r="P292" s="175"/>
    </row>
    <row r="293" spans="1:27" ht="15.75" thickBot="1">
      <c r="A293" s="368">
        <v>41225</v>
      </c>
      <c r="B293" s="368"/>
      <c r="C293" s="368"/>
      <c r="N293" s="15"/>
    </row>
    <row r="294" spans="1:27">
      <c r="A294" s="407" t="s">
        <v>1</v>
      </c>
      <c r="B294" s="420"/>
      <c r="C294" s="68" t="s">
        <v>12</v>
      </c>
      <c r="D294" s="68" t="s">
        <v>12</v>
      </c>
      <c r="E294" s="68" t="s">
        <v>13</v>
      </c>
      <c r="F294" s="68" t="s">
        <v>13</v>
      </c>
      <c r="G294" s="68" t="s">
        <v>13</v>
      </c>
      <c r="H294" s="68" t="s">
        <v>13</v>
      </c>
      <c r="I294" s="68" t="s">
        <v>13</v>
      </c>
      <c r="J294" s="68" t="s">
        <v>2</v>
      </c>
      <c r="K294" s="68" t="s">
        <v>2</v>
      </c>
      <c r="L294" s="68" t="s">
        <v>2</v>
      </c>
      <c r="M294" s="68" t="s">
        <v>2</v>
      </c>
      <c r="N294" s="4" t="s">
        <v>84</v>
      </c>
    </row>
    <row r="295" spans="1:27" ht="15.75" thickBot="1">
      <c r="A295" s="409" t="s">
        <v>0</v>
      </c>
      <c r="B295" s="414"/>
      <c r="C295" s="99" t="s">
        <v>102</v>
      </c>
      <c r="D295" s="99" t="s">
        <v>103</v>
      </c>
      <c r="E295" s="99" t="s">
        <v>104</v>
      </c>
      <c r="F295" s="99" t="s">
        <v>105</v>
      </c>
      <c r="G295" s="99" t="s">
        <v>100</v>
      </c>
      <c r="H295" s="99" t="s">
        <v>107</v>
      </c>
      <c r="I295" s="99" t="s">
        <v>106</v>
      </c>
      <c r="J295" s="99" t="s">
        <v>108</v>
      </c>
      <c r="K295" s="99" t="s">
        <v>110</v>
      </c>
      <c r="L295" s="99" t="s">
        <v>101</v>
      </c>
      <c r="M295" s="99" t="s">
        <v>109</v>
      </c>
      <c r="N295" s="101" t="s">
        <v>111</v>
      </c>
      <c r="Q295" s="14"/>
      <c r="R295" s="14"/>
      <c r="S295" s="14"/>
      <c r="T295" s="14"/>
      <c r="U295" s="14"/>
      <c r="V295" s="14"/>
      <c r="W295" s="14"/>
      <c r="X295" s="14"/>
      <c r="Y295" s="175"/>
      <c r="Z295" s="174"/>
      <c r="AA295" s="175"/>
    </row>
    <row r="296" spans="1:27">
      <c r="A296" s="421" t="s">
        <v>9</v>
      </c>
      <c r="B296" s="2" t="s">
        <v>4</v>
      </c>
      <c r="C296" s="96">
        <v>143392.20000000001</v>
      </c>
      <c r="D296" s="96">
        <v>150515.79999999999</v>
      </c>
      <c r="E296" s="96">
        <v>150515.79999999999</v>
      </c>
      <c r="F296" s="96">
        <v>181997.8</v>
      </c>
      <c r="G296" s="96">
        <v>165452.5</v>
      </c>
      <c r="H296" s="96">
        <v>132132</v>
      </c>
      <c r="I296" s="96">
        <v>121331.8</v>
      </c>
      <c r="J296" s="96">
        <v>193027</v>
      </c>
      <c r="K296" s="96">
        <v>132132.20000000001</v>
      </c>
      <c r="L296" s="96">
        <v>82726.3</v>
      </c>
      <c r="M296" s="96">
        <v>176482.7</v>
      </c>
      <c r="N296" s="100">
        <v>54921</v>
      </c>
      <c r="P296" s="104"/>
      <c r="Y296" s="104"/>
      <c r="Z296" s="104"/>
      <c r="AA296" s="104"/>
    </row>
    <row r="297" spans="1:27">
      <c r="A297" s="422"/>
      <c r="B297" s="63" t="s">
        <v>5</v>
      </c>
      <c r="C297" s="97">
        <v>55783.7</v>
      </c>
      <c r="D297" s="97">
        <v>73738.7</v>
      </c>
      <c r="E297" s="97">
        <v>75165.7</v>
      </c>
      <c r="F297" s="97">
        <v>158449.60000000001</v>
      </c>
      <c r="G297" s="97">
        <v>60313.9</v>
      </c>
      <c r="H297" s="97">
        <v>36558</v>
      </c>
      <c r="I297" s="97">
        <v>47977.7</v>
      </c>
      <c r="J297" s="97">
        <v>146922.29999999999</v>
      </c>
      <c r="K297" s="97">
        <v>37088.9</v>
      </c>
      <c r="L297" s="97">
        <v>31381.8</v>
      </c>
      <c r="M297" s="97">
        <v>98115.5</v>
      </c>
      <c r="N297" s="102">
        <v>20795</v>
      </c>
      <c r="P297" s="104"/>
      <c r="Y297" s="104"/>
      <c r="Z297" s="104"/>
      <c r="AA297" s="104"/>
    </row>
    <row r="298" spans="1:27" ht="15.75" thickBot="1">
      <c r="A298" s="423"/>
      <c r="B298" s="3" t="s">
        <v>3</v>
      </c>
      <c r="C298" s="71">
        <f>C297/C296</f>
        <v>0.38902883141481887</v>
      </c>
      <c r="D298" s="72">
        <f t="shared" ref="D298:E298" si="231">D297/D296</f>
        <v>0.48990670746858472</v>
      </c>
      <c r="E298" s="72">
        <f t="shared" si="231"/>
        <v>0.49938743972393596</v>
      </c>
      <c r="F298" s="72">
        <f>F297/F296</f>
        <v>0.87061272169224035</v>
      </c>
      <c r="G298" s="72">
        <f>G297/G296</f>
        <v>0.36453906710385159</v>
      </c>
      <c r="H298" s="72">
        <f t="shared" ref="H298:N298" si="232">H297/H296</f>
        <v>0.2766778675869585</v>
      </c>
      <c r="I298" s="72">
        <f t="shared" si="232"/>
        <v>0.39542560153232703</v>
      </c>
      <c r="J298" s="72">
        <f t="shared" si="232"/>
        <v>0.76114895843586639</v>
      </c>
      <c r="K298" s="72">
        <f t="shared" si="232"/>
        <v>0.28069539446100195</v>
      </c>
      <c r="L298" s="72">
        <f>L297/L296</f>
        <v>0.3793448999894834</v>
      </c>
      <c r="M298" s="72">
        <f t="shared" si="232"/>
        <v>0.55594967665385897</v>
      </c>
      <c r="N298" s="83">
        <f t="shared" si="232"/>
        <v>0.37863476630068643</v>
      </c>
      <c r="P298" s="104"/>
      <c r="Y298" s="104"/>
      <c r="Z298" s="104"/>
      <c r="AA298" s="104"/>
    </row>
    <row r="299" spans="1:27">
      <c r="A299" s="411" t="s">
        <v>6</v>
      </c>
      <c r="B299" s="27" t="s">
        <v>7</v>
      </c>
      <c r="C299" s="68">
        <v>5646</v>
      </c>
      <c r="D299" s="68">
        <v>3306</v>
      </c>
      <c r="E299" s="68">
        <v>3303</v>
      </c>
      <c r="F299" s="68">
        <v>9457</v>
      </c>
      <c r="G299" s="68">
        <v>7653</v>
      </c>
      <c r="H299" s="68">
        <v>14387</v>
      </c>
      <c r="I299" s="68">
        <v>6852</v>
      </c>
      <c r="J299" s="68">
        <v>9193</v>
      </c>
      <c r="K299" s="68">
        <v>11010</v>
      </c>
      <c r="L299" s="68">
        <v>4133</v>
      </c>
      <c r="M299" s="68">
        <v>9050</v>
      </c>
      <c r="N299" s="80">
        <v>792</v>
      </c>
      <c r="P299" s="104"/>
      <c r="Y299" s="104"/>
      <c r="Z299" s="104"/>
      <c r="AA299" s="104"/>
    </row>
    <row r="300" spans="1:27">
      <c r="A300" s="412"/>
      <c r="B300" s="28" t="s">
        <v>11</v>
      </c>
      <c r="C300" s="73">
        <f t="shared" ref="C300:I300" si="233">C299*33.72</f>
        <v>190383.12</v>
      </c>
      <c r="D300" s="73">
        <f t="shared" si="233"/>
        <v>111478.31999999999</v>
      </c>
      <c r="E300" s="73">
        <f t="shared" si="233"/>
        <v>111377.16</v>
      </c>
      <c r="F300" s="73">
        <f t="shared" si="233"/>
        <v>318890.03999999998</v>
      </c>
      <c r="G300" s="73">
        <f t="shared" si="233"/>
        <v>258059.16</v>
      </c>
      <c r="H300" s="73">
        <f t="shared" si="233"/>
        <v>485129.63999999996</v>
      </c>
      <c r="I300" s="73">
        <f t="shared" si="233"/>
        <v>231049.44</v>
      </c>
      <c r="J300" s="73">
        <f>J299*33.72</f>
        <v>309987.95999999996</v>
      </c>
      <c r="K300" s="73">
        <f t="shared" ref="K300:L300" si="234">K299*33.72</f>
        <v>371257.2</v>
      </c>
      <c r="L300" s="73">
        <f t="shared" si="234"/>
        <v>139364.76</v>
      </c>
      <c r="M300" s="73">
        <f>M299*33.72</f>
        <v>305166</v>
      </c>
      <c r="N300" s="84">
        <f t="shared" ref="N300" si="235">N299*33.72</f>
        <v>26706.239999999998</v>
      </c>
      <c r="P300" s="104"/>
      <c r="Y300" s="104"/>
      <c r="Z300" s="104"/>
      <c r="AA300" s="104"/>
    </row>
    <row r="301" spans="1:27">
      <c r="A301" s="412"/>
      <c r="B301" s="28" t="s">
        <v>79</v>
      </c>
      <c r="C301" s="73">
        <v>164000</v>
      </c>
      <c r="D301" s="73">
        <v>109880</v>
      </c>
      <c r="E301" s="73">
        <v>109880</v>
      </c>
      <c r="F301" s="73">
        <v>328000</v>
      </c>
      <c r="G301" s="73">
        <f>G296*2</f>
        <v>330905</v>
      </c>
      <c r="H301" s="73">
        <f>H296*2</f>
        <v>264264</v>
      </c>
      <c r="I301" s="73">
        <f>I296*2</f>
        <v>242663.6</v>
      </c>
      <c r="J301" s="73">
        <v>328000</v>
      </c>
      <c r="K301" s="73">
        <f>K296*2</f>
        <v>264264.40000000002</v>
      </c>
      <c r="L301" s="73">
        <v>328000</v>
      </c>
      <c r="M301" s="73">
        <f>2*M296</f>
        <v>352965.4</v>
      </c>
      <c r="N301" s="84">
        <f>2*N296</f>
        <v>109842</v>
      </c>
      <c r="P301" s="104"/>
      <c r="Y301" s="104"/>
      <c r="Z301" s="104"/>
      <c r="AA301" s="104"/>
    </row>
    <row r="302" spans="1:27">
      <c r="A302" s="412"/>
      <c r="B302" s="66" t="s">
        <v>8</v>
      </c>
      <c r="C302" s="98">
        <f>SUM(C299-289)</f>
        <v>5357</v>
      </c>
      <c r="D302" s="98">
        <f>SUM(D299-580)</f>
        <v>2726</v>
      </c>
      <c r="E302" s="98">
        <f>SUM(E299-583)</f>
        <v>2720</v>
      </c>
      <c r="F302" s="98">
        <f>SUM(F299-1219)</f>
        <v>8238</v>
      </c>
      <c r="G302" s="98">
        <f>SUM(G299-4339)</f>
        <v>3314</v>
      </c>
      <c r="H302" s="98">
        <f>SUM(H299-2254)</f>
        <v>12133</v>
      </c>
      <c r="I302" s="98">
        <f>SUM(I299-(4040-2000))</f>
        <v>4812</v>
      </c>
      <c r="J302" s="98">
        <f>SUM(J299-1293)</f>
        <v>7900</v>
      </c>
      <c r="K302" s="98">
        <f>SUM(K299-1606)</f>
        <v>9404</v>
      </c>
      <c r="L302" s="98">
        <f>SUM(L299-582)</f>
        <v>3551</v>
      </c>
      <c r="M302" s="98">
        <f>SUM(M299-(5810-2614))</f>
        <v>5854</v>
      </c>
      <c r="N302" s="103">
        <f>SUM(N299-117)</f>
        <v>675</v>
      </c>
      <c r="P302" s="14" t="s">
        <v>192</v>
      </c>
    </row>
    <row r="303" spans="1:27">
      <c r="A303" s="412"/>
      <c r="B303" s="29" t="s">
        <v>77</v>
      </c>
      <c r="C303" s="75">
        <f>C302*33.72</f>
        <v>180638.04</v>
      </c>
      <c r="D303" s="75">
        <f>D302*33.72</f>
        <v>91920.72</v>
      </c>
      <c r="E303" s="75">
        <f>E302*33.72</f>
        <v>91718.399999999994</v>
      </c>
      <c r="F303" s="75">
        <f>F302*33.72</f>
        <v>277785.36</v>
      </c>
      <c r="G303" s="75">
        <f>G302*33.72*2</f>
        <v>223496.16</v>
      </c>
      <c r="H303" s="75">
        <f>H302*33.72</f>
        <v>409124.76</v>
      </c>
      <c r="I303" s="75">
        <f>(I302*33.72)-(2000*33.72)</f>
        <v>94820.639999999985</v>
      </c>
      <c r="J303" s="75">
        <f>J302*33.72</f>
        <v>266388</v>
      </c>
      <c r="K303" s="75">
        <f>K302*33.72</f>
        <v>317102.88</v>
      </c>
      <c r="L303" s="75">
        <f>L302*33.72</f>
        <v>119739.72</v>
      </c>
      <c r="M303" s="75">
        <f>((M302*33.72)-(2614*33.72))*2</f>
        <v>218505.60000000001</v>
      </c>
      <c r="N303" s="11">
        <f>N302*33.72</f>
        <v>22761</v>
      </c>
      <c r="P303" s="89">
        <f>344240-H303</f>
        <v>-64884.760000000009</v>
      </c>
      <c r="Q303" s="104" t="s">
        <v>193</v>
      </c>
    </row>
    <row r="304" spans="1:27" ht="15.75" thickBot="1">
      <c r="A304" s="413"/>
      <c r="B304" s="256" t="s">
        <v>10</v>
      </c>
      <c r="C304" s="72">
        <f>C303/C296</f>
        <v>1.2597480197667654</v>
      </c>
      <c r="D304" s="72">
        <f t="shared" ref="D304:N304" si="236">D303/D296</f>
        <v>0.61070478979615439</v>
      </c>
      <c r="E304" s="72">
        <f t="shared" si="236"/>
        <v>0.60936061197561986</v>
      </c>
      <c r="F304" s="72">
        <f t="shared" si="236"/>
        <v>1.5263116367340703</v>
      </c>
      <c r="G304" s="72">
        <f t="shared" si="236"/>
        <v>1.3508176667019236</v>
      </c>
      <c r="H304" s="72">
        <f t="shared" si="236"/>
        <v>3.0963336663336665</v>
      </c>
      <c r="I304" s="72">
        <f t="shared" si="236"/>
        <v>0.78149866729085027</v>
      </c>
      <c r="J304" s="72">
        <f t="shared" si="236"/>
        <v>1.3800556398845758</v>
      </c>
      <c r="K304" s="72">
        <f t="shared" si="236"/>
        <v>2.399891018237795</v>
      </c>
      <c r="L304" s="72">
        <f t="shared" si="236"/>
        <v>1.4474202279081743</v>
      </c>
      <c r="M304" s="72">
        <f t="shared" si="236"/>
        <v>1.2381134241486558</v>
      </c>
      <c r="N304" s="72">
        <f t="shared" si="236"/>
        <v>0.41443163817119133</v>
      </c>
      <c r="P304" s="175"/>
    </row>
    <row r="305" spans="1:27" ht="15.75" thickBot="1">
      <c r="A305" s="368">
        <v>41221</v>
      </c>
      <c r="B305" s="368"/>
      <c r="C305" s="368"/>
      <c r="N305" s="15"/>
    </row>
    <row r="306" spans="1:27">
      <c r="A306" s="407" t="s">
        <v>1</v>
      </c>
      <c r="B306" s="420"/>
      <c r="C306" s="68" t="s">
        <v>12</v>
      </c>
      <c r="D306" s="68" t="s">
        <v>12</v>
      </c>
      <c r="E306" s="68" t="s">
        <v>13</v>
      </c>
      <c r="F306" s="68" t="s">
        <v>13</v>
      </c>
      <c r="G306" s="68" t="s">
        <v>13</v>
      </c>
      <c r="H306" s="68" t="s">
        <v>13</v>
      </c>
      <c r="I306" s="68" t="s">
        <v>13</v>
      </c>
      <c r="J306" s="68" t="s">
        <v>2</v>
      </c>
      <c r="K306" s="68" t="s">
        <v>2</v>
      </c>
      <c r="L306" s="68" t="s">
        <v>2</v>
      </c>
      <c r="M306" s="68" t="s">
        <v>2</v>
      </c>
      <c r="N306" s="4" t="s">
        <v>84</v>
      </c>
    </row>
    <row r="307" spans="1:27" ht="15.75" thickBot="1">
      <c r="A307" s="409" t="s">
        <v>0</v>
      </c>
      <c r="B307" s="414"/>
      <c r="C307" s="99" t="s">
        <v>102</v>
      </c>
      <c r="D307" s="99" t="s">
        <v>103</v>
      </c>
      <c r="E307" s="99" t="s">
        <v>104</v>
      </c>
      <c r="F307" s="99" t="s">
        <v>105</v>
      </c>
      <c r="G307" s="99" t="s">
        <v>100</v>
      </c>
      <c r="H307" s="99" t="s">
        <v>107</v>
      </c>
      <c r="I307" s="99" t="s">
        <v>106</v>
      </c>
      <c r="J307" s="99" t="s">
        <v>108</v>
      </c>
      <c r="K307" s="99" t="s">
        <v>110</v>
      </c>
      <c r="L307" s="99" t="s">
        <v>101</v>
      </c>
      <c r="M307" s="99" t="s">
        <v>109</v>
      </c>
      <c r="N307" s="101" t="s">
        <v>111</v>
      </c>
      <c r="Q307" s="14"/>
      <c r="R307" s="14"/>
      <c r="S307" s="14"/>
      <c r="T307" s="14"/>
      <c r="U307" s="14"/>
      <c r="V307" s="14"/>
      <c r="W307" s="14"/>
      <c r="X307" s="14"/>
      <c r="Y307" s="175"/>
      <c r="Z307" s="174"/>
      <c r="AA307" s="175"/>
    </row>
    <row r="308" spans="1:27">
      <c r="A308" s="421" t="s">
        <v>9</v>
      </c>
      <c r="B308" s="2" t="s">
        <v>4</v>
      </c>
      <c r="C308" s="96">
        <v>143392.20000000001</v>
      </c>
      <c r="D308" s="96">
        <v>150515.79999999999</v>
      </c>
      <c r="E308" s="96">
        <v>150515.79999999999</v>
      </c>
      <c r="F308" s="96">
        <v>181997.8</v>
      </c>
      <c r="G308" s="96">
        <v>165452.5</v>
      </c>
      <c r="H308" s="96">
        <v>132132</v>
      </c>
      <c r="I308" s="96">
        <v>121331.8</v>
      </c>
      <c r="J308" s="96">
        <v>170967.6</v>
      </c>
      <c r="K308" s="96">
        <v>132132.20000000001</v>
      </c>
      <c r="L308" s="96">
        <v>82726.3</v>
      </c>
      <c r="M308" s="96">
        <v>176482.7</v>
      </c>
      <c r="N308" s="100">
        <v>54921</v>
      </c>
      <c r="P308" s="104"/>
      <c r="Y308" s="104"/>
      <c r="Z308" s="104"/>
      <c r="AA308" s="104"/>
    </row>
    <row r="309" spans="1:27">
      <c r="A309" s="422"/>
      <c r="B309" s="63" t="s">
        <v>5</v>
      </c>
      <c r="C309" s="97">
        <v>62457.1</v>
      </c>
      <c r="D309" s="97">
        <v>73564.2</v>
      </c>
      <c r="E309" s="97">
        <v>74991.3</v>
      </c>
      <c r="F309" s="97">
        <v>158263.79999999999</v>
      </c>
      <c r="G309" s="97">
        <v>60005</v>
      </c>
      <c r="H309" s="97">
        <v>38091.1</v>
      </c>
      <c r="I309" s="97">
        <v>47809.4</v>
      </c>
      <c r="J309" s="97">
        <v>146582.29999999999</v>
      </c>
      <c r="K309" s="97">
        <v>41645.800000000003</v>
      </c>
      <c r="L309" s="97">
        <v>31223.3</v>
      </c>
      <c r="M309" s="97">
        <v>97855.1</v>
      </c>
      <c r="N309" s="102">
        <v>20795</v>
      </c>
      <c r="P309" s="104"/>
      <c r="Y309" s="104"/>
      <c r="Z309" s="104"/>
      <c r="AA309" s="104"/>
    </row>
    <row r="310" spans="1:27" ht="15.75" thickBot="1">
      <c r="A310" s="423"/>
      <c r="B310" s="3" t="s">
        <v>3</v>
      </c>
      <c r="C310" s="71">
        <f>C309/C308</f>
        <v>0.43556832240526328</v>
      </c>
      <c r="D310" s="72">
        <f t="shared" ref="D310:E310" si="237">D309/D308</f>
        <v>0.48874736074219455</v>
      </c>
      <c r="E310" s="72">
        <f t="shared" si="237"/>
        <v>0.49822875737962397</v>
      </c>
      <c r="F310" s="72">
        <f>F309/F308</f>
        <v>0.86959183023091491</v>
      </c>
      <c r="G310" s="72">
        <f>G309/G308</f>
        <v>0.36267206600081592</v>
      </c>
      <c r="H310" s="72">
        <f t="shared" ref="H310:N310" si="238">H309/H308</f>
        <v>0.2882806587352042</v>
      </c>
      <c r="I310" s="72">
        <f t="shared" si="238"/>
        <v>0.39403849609088465</v>
      </c>
      <c r="J310" s="72">
        <f t="shared" si="238"/>
        <v>0.85736888158926006</v>
      </c>
      <c r="K310" s="72">
        <f t="shared" si="238"/>
        <v>0.31518282447427654</v>
      </c>
      <c r="L310" s="72">
        <f t="shared" si="238"/>
        <v>0.37742894339526845</v>
      </c>
      <c r="M310" s="72">
        <f t="shared" si="238"/>
        <v>0.55447417792225528</v>
      </c>
      <c r="N310" s="83">
        <f t="shared" si="238"/>
        <v>0.37863476630068643</v>
      </c>
      <c r="P310" s="104"/>
      <c r="Y310" s="104"/>
      <c r="Z310" s="104"/>
      <c r="AA310" s="104"/>
    </row>
    <row r="311" spans="1:27">
      <c r="A311" s="411" t="s">
        <v>6</v>
      </c>
      <c r="B311" s="27" t="s">
        <v>7</v>
      </c>
      <c r="C311" s="68">
        <v>5646</v>
      </c>
      <c r="D311" s="68">
        <v>3302</v>
      </c>
      <c r="E311" s="68">
        <v>3299</v>
      </c>
      <c r="F311" s="68">
        <v>9451</v>
      </c>
      <c r="G311" s="68">
        <v>7653</v>
      </c>
      <c r="H311" s="68">
        <v>14355</v>
      </c>
      <c r="I311" s="68">
        <v>6852</v>
      </c>
      <c r="J311" s="68">
        <v>9193</v>
      </c>
      <c r="K311" s="68">
        <v>11010</v>
      </c>
      <c r="L311" s="68">
        <v>4133</v>
      </c>
      <c r="M311" s="68">
        <v>9050</v>
      </c>
      <c r="N311" s="80">
        <v>792</v>
      </c>
      <c r="P311" s="104"/>
      <c r="Y311" s="104"/>
      <c r="Z311" s="104"/>
      <c r="AA311" s="104"/>
    </row>
    <row r="312" spans="1:27">
      <c r="A312" s="412"/>
      <c r="B312" s="28" t="s">
        <v>11</v>
      </c>
      <c r="C312" s="73">
        <f t="shared" ref="C312:I312" si="239">C311*33.72</f>
        <v>190383.12</v>
      </c>
      <c r="D312" s="73">
        <f t="shared" si="239"/>
        <v>111343.44</v>
      </c>
      <c r="E312" s="73">
        <f t="shared" si="239"/>
        <v>111242.28</v>
      </c>
      <c r="F312" s="73">
        <f t="shared" si="239"/>
        <v>318687.71999999997</v>
      </c>
      <c r="G312" s="73">
        <f t="shared" si="239"/>
        <v>258059.16</v>
      </c>
      <c r="H312" s="73">
        <f t="shared" si="239"/>
        <v>484050.6</v>
      </c>
      <c r="I312" s="73">
        <f t="shared" si="239"/>
        <v>231049.44</v>
      </c>
      <c r="J312" s="73">
        <f>J311*33.72</f>
        <v>309987.95999999996</v>
      </c>
      <c r="K312" s="73">
        <f t="shared" ref="K312:L312" si="240">K311*33.72</f>
        <v>371257.2</v>
      </c>
      <c r="L312" s="73">
        <f t="shared" si="240"/>
        <v>139364.76</v>
      </c>
      <c r="M312" s="73">
        <f>M311*33.72</f>
        <v>305166</v>
      </c>
      <c r="N312" s="84">
        <f t="shared" ref="N312" si="241">N311*33.72</f>
        <v>26706.239999999998</v>
      </c>
      <c r="P312" s="104"/>
      <c r="Y312" s="104"/>
      <c r="Z312" s="104"/>
      <c r="AA312" s="104"/>
    </row>
    <row r="313" spans="1:27">
      <c r="A313" s="412"/>
      <c r="B313" s="28" t="s">
        <v>79</v>
      </c>
      <c r="C313" s="73">
        <v>164000</v>
      </c>
      <c r="D313" s="73">
        <v>109880</v>
      </c>
      <c r="E313" s="73">
        <v>109880</v>
      </c>
      <c r="F313" s="73">
        <v>328000</v>
      </c>
      <c r="G313" s="73">
        <f>G308*2</f>
        <v>330905</v>
      </c>
      <c r="H313" s="73">
        <f>H308*2</f>
        <v>264264</v>
      </c>
      <c r="I313" s="73">
        <f>I308*2</f>
        <v>242663.6</v>
      </c>
      <c r="J313" s="73">
        <v>328000</v>
      </c>
      <c r="K313" s="73">
        <f>K308*2</f>
        <v>264264.40000000002</v>
      </c>
      <c r="L313" s="73">
        <v>328000</v>
      </c>
      <c r="M313" s="73">
        <f>2*M308</f>
        <v>352965.4</v>
      </c>
      <c r="N313" s="84">
        <f>2*N308</f>
        <v>109842</v>
      </c>
      <c r="P313" s="104"/>
      <c r="Y313" s="104"/>
      <c r="Z313" s="104"/>
      <c r="AA313" s="104"/>
    </row>
    <row r="314" spans="1:27">
      <c r="A314" s="412"/>
      <c r="B314" s="66" t="s">
        <v>8</v>
      </c>
      <c r="C314" s="98">
        <f>SUM(C311-289)</f>
        <v>5357</v>
      </c>
      <c r="D314" s="98">
        <f>SUM(D311-580)</f>
        <v>2722</v>
      </c>
      <c r="E314" s="98">
        <f>SUM(E311-583)</f>
        <v>2716</v>
      </c>
      <c r="F314" s="98">
        <f>SUM(F311-1219)</f>
        <v>8232</v>
      </c>
      <c r="G314" s="98">
        <f>SUM(G311-4339)</f>
        <v>3314</v>
      </c>
      <c r="H314" s="98">
        <f>SUM(H311-2254)</f>
        <v>12101</v>
      </c>
      <c r="I314" s="98">
        <f>SUM(I311-(4040-2000))</f>
        <v>4812</v>
      </c>
      <c r="J314" s="98">
        <f>SUM(J311-1293)</f>
        <v>7900</v>
      </c>
      <c r="K314" s="98">
        <f>SUM(K311-1606)</f>
        <v>9404</v>
      </c>
      <c r="L314" s="98">
        <f>SUM(L311-582)</f>
        <v>3551</v>
      </c>
      <c r="M314" s="98">
        <f>SUM(M311-(5810-2614))</f>
        <v>5854</v>
      </c>
      <c r="N314" s="103">
        <f>SUM(N311-117)</f>
        <v>675</v>
      </c>
      <c r="P314" s="14" t="s">
        <v>192</v>
      </c>
    </row>
    <row r="315" spans="1:27">
      <c r="A315" s="412"/>
      <c r="B315" s="29" t="s">
        <v>77</v>
      </c>
      <c r="C315" s="75">
        <f>C314*33.72</f>
        <v>180638.04</v>
      </c>
      <c r="D315" s="75">
        <f>D314*33.72</f>
        <v>91785.84</v>
      </c>
      <c r="E315" s="75">
        <f>E314*33.72</f>
        <v>91583.52</v>
      </c>
      <c r="F315" s="75">
        <f>F314*33.72</f>
        <v>277583.03999999998</v>
      </c>
      <c r="G315" s="75">
        <f>G314*33.72*2</f>
        <v>223496.16</v>
      </c>
      <c r="H315" s="75">
        <f>H314*33.72</f>
        <v>408045.72</v>
      </c>
      <c r="I315" s="75">
        <f>(I314*33.72)-(2000*33.72)</f>
        <v>94820.639999999985</v>
      </c>
      <c r="J315" s="75">
        <f>J314*33.72</f>
        <v>266388</v>
      </c>
      <c r="K315" s="75">
        <f>K314*33.72</f>
        <v>317102.88</v>
      </c>
      <c r="L315" s="75">
        <f>L314*33.72</f>
        <v>119739.72</v>
      </c>
      <c r="M315" s="75">
        <f>((M314*33.72)-(2614*33.72))*2</f>
        <v>218505.60000000001</v>
      </c>
      <c r="N315" s="11">
        <f>N314*33.72</f>
        <v>22761</v>
      </c>
      <c r="P315" s="89">
        <f>344240-H315</f>
        <v>-63805.719999999972</v>
      </c>
      <c r="Q315" s="104" t="s">
        <v>193</v>
      </c>
    </row>
    <row r="316" spans="1:27" ht="15.75" thickBot="1">
      <c r="A316" s="413"/>
      <c r="B316" s="256" t="s">
        <v>10</v>
      </c>
      <c r="C316" s="72">
        <f>C315/C308</f>
        <v>1.2597480197667654</v>
      </c>
      <c r="D316" s="72">
        <f t="shared" ref="D316:N316" si="242">D315/D308</f>
        <v>0.6098086712491313</v>
      </c>
      <c r="E316" s="72">
        <f t="shared" si="242"/>
        <v>0.60846449342859699</v>
      </c>
      <c r="F316" s="72">
        <f t="shared" si="242"/>
        <v>1.525199974944752</v>
      </c>
      <c r="G316" s="72">
        <f t="shared" si="242"/>
        <v>1.3508176667019236</v>
      </c>
      <c r="H316" s="72">
        <f t="shared" si="242"/>
        <v>3.0881672872581962</v>
      </c>
      <c r="I316" s="72">
        <f t="shared" si="242"/>
        <v>0.78149866729085027</v>
      </c>
      <c r="J316" s="72">
        <f t="shared" si="242"/>
        <v>1.5581197840994434</v>
      </c>
      <c r="K316" s="72">
        <f t="shared" si="242"/>
        <v>2.399891018237795</v>
      </c>
      <c r="L316" s="72">
        <f t="shared" si="242"/>
        <v>1.4474202279081743</v>
      </c>
      <c r="M316" s="72">
        <f t="shared" si="242"/>
        <v>1.2381134241486558</v>
      </c>
      <c r="N316" s="72">
        <f t="shared" si="242"/>
        <v>0.41443163817119133</v>
      </c>
      <c r="P316" s="175"/>
    </row>
    <row r="317" spans="1:27" ht="15.75" thickBot="1">
      <c r="A317" s="368">
        <v>41220</v>
      </c>
      <c r="B317" s="368"/>
      <c r="C317" s="368"/>
      <c r="N317" s="15"/>
    </row>
    <row r="318" spans="1:27">
      <c r="A318" s="407" t="s">
        <v>1</v>
      </c>
      <c r="B318" s="420"/>
      <c r="C318" s="68" t="s">
        <v>12</v>
      </c>
      <c r="D318" s="68" t="s">
        <v>12</v>
      </c>
      <c r="E318" s="68" t="s">
        <v>13</v>
      </c>
      <c r="F318" s="68" t="s">
        <v>13</v>
      </c>
      <c r="G318" s="68" t="s">
        <v>13</v>
      </c>
      <c r="H318" s="68" t="s">
        <v>13</v>
      </c>
      <c r="I318" s="68" t="s">
        <v>13</v>
      </c>
      <c r="J318" s="68" t="s">
        <v>2</v>
      </c>
      <c r="K318" s="68" t="s">
        <v>2</v>
      </c>
      <c r="L318" s="68" t="s">
        <v>2</v>
      </c>
      <c r="M318" s="68" t="s">
        <v>2</v>
      </c>
      <c r="N318" s="4" t="s">
        <v>84</v>
      </c>
    </row>
    <row r="319" spans="1:27" ht="15.75" thickBot="1">
      <c r="A319" s="409" t="s">
        <v>0</v>
      </c>
      <c r="B319" s="414"/>
      <c r="C319" s="99" t="s">
        <v>102</v>
      </c>
      <c r="D319" s="99" t="s">
        <v>103</v>
      </c>
      <c r="E319" s="99" t="s">
        <v>104</v>
      </c>
      <c r="F319" s="99" t="s">
        <v>105</v>
      </c>
      <c r="G319" s="99" t="s">
        <v>100</v>
      </c>
      <c r="H319" s="99" t="s">
        <v>107</v>
      </c>
      <c r="I319" s="99" t="s">
        <v>106</v>
      </c>
      <c r="J319" s="99" t="s">
        <v>108</v>
      </c>
      <c r="K319" s="99" t="s">
        <v>110</v>
      </c>
      <c r="L319" s="99" t="s">
        <v>101</v>
      </c>
      <c r="M319" s="99" t="s">
        <v>109</v>
      </c>
      <c r="N319" s="101" t="s">
        <v>111</v>
      </c>
      <c r="Q319" s="14"/>
      <c r="R319" s="14"/>
      <c r="S319" s="14"/>
      <c r="T319" s="14"/>
      <c r="U319" s="14"/>
      <c r="V319" s="14"/>
      <c r="W319" s="14"/>
      <c r="X319" s="14"/>
      <c r="Y319" s="175"/>
      <c r="Z319" s="174"/>
      <c r="AA319" s="175"/>
    </row>
    <row r="320" spans="1:27">
      <c r="A320" s="421" t="s">
        <v>9</v>
      </c>
      <c r="B320" s="2" t="s">
        <v>4</v>
      </c>
      <c r="C320" s="96">
        <v>143392.20000000001</v>
      </c>
      <c r="D320" s="96">
        <v>150515.79999999999</v>
      </c>
      <c r="E320" s="96">
        <v>150515.79999999999</v>
      </c>
      <c r="F320" s="96">
        <v>181997.8</v>
      </c>
      <c r="G320" s="96">
        <v>165452.5</v>
      </c>
      <c r="H320" s="96">
        <v>132132</v>
      </c>
      <c r="I320" s="96">
        <v>121331.8</v>
      </c>
      <c r="J320" s="96">
        <v>170967.6</v>
      </c>
      <c r="K320" s="96">
        <v>132132.20000000001</v>
      </c>
      <c r="L320" s="96">
        <v>82726.3</v>
      </c>
      <c r="M320" s="96">
        <v>176482.7</v>
      </c>
      <c r="N320" s="100">
        <v>54921</v>
      </c>
      <c r="P320" s="104"/>
      <c r="Y320" s="104"/>
      <c r="Z320" s="104"/>
      <c r="AA320" s="104"/>
    </row>
    <row r="321" spans="1:27">
      <c r="A321" s="422"/>
      <c r="B321" s="63" t="s">
        <v>5</v>
      </c>
      <c r="C321" s="97">
        <v>63919.6</v>
      </c>
      <c r="D321" s="97">
        <v>73539.399999999994</v>
      </c>
      <c r="E321" s="97">
        <v>74966.7</v>
      </c>
      <c r="F321" s="97">
        <v>158054.20000000001</v>
      </c>
      <c r="G321" s="97">
        <v>59708.1</v>
      </c>
      <c r="H321" s="97">
        <v>39024.199999999997</v>
      </c>
      <c r="I321" s="97">
        <v>47764.2</v>
      </c>
      <c r="J321" s="97">
        <v>146504.20000000001</v>
      </c>
      <c r="K321" s="97">
        <v>38574.699999999997</v>
      </c>
      <c r="L321" s="97">
        <v>31068.400000000001</v>
      </c>
      <c r="M321" s="97">
        <v>97775.9</v>
      </c>
      <c r="N321" s="102">
        <v>20795</v>
      </c>
      <c r="P321" s="104"/>
      <c r="Y321" s="104"/>
      <c r="Z321" s="104"/>
      <c r="AA321" s="104"/>
    </row>
    <row r="322" spans="1:27" ht="15.75" thickBot="1">
      <c r="A322" s="423"/>
      <c r="B322" s="3" t="s">
        <v>3</v>
      </c>
      <c r="C322" s="71">
        <f>C321/C320</f>
        <v>0.44576762194875308</v>
      </c>
      <c r="D322" s="72">
        <f t="shared" ref="D322:E322" si="243">D321/D320</f>
        <v>0.4885825939868107</v>
      </c>
      <c r="E322" s="72">
        <f t="shared" si="243"/>
        <v>0.49806531938839643</v>
      </c>
      <c r="F322" s="72">
        <f>F321/F320</f>
        <v>0.86844016795807433</v>
      </c>
      <c r="G322" s="72">
        <f>G321/G320</f>
        <v>0.36087759326694974</v>
      </c>
      <c r="H322" s="72">
        <f t="shared" ref="H322:N322" si="244">H321/H320</f>
        <v>0.29534253625162715</v>
      </c>
      <c r="I322" s="72">
        <f t="shared" si="244"/>
        <v>0.39366596391053288</v>
      </c>
      <c r="J322" s="72">
        <f t="shared" si="244"/>
        <v>0.8569120698892656</v>
      </c>
      <c r="K322" s="72">
        <f t="shared" si="244"/>
        <v>0.2919401932307189</v>
      </c>
      <c r="L322" s="72">
        <f t="shared" si="244"/>
        <v>0.37555650379625344</v>
      </c>
      <c r="M322" s="72">
        <f t="shared" si="244"/>
        <v>0.55402540872278128</v>
      </c>
      <c r="N322" s="83">
        <f t="shared" si="244"/>
        <v>0.37863476630068643</v>
      </c>
      <c r="P322" s="104"/>
      <c r="Y322" s="104"/>
      <c r="Z322" s="104"/>
      <c r="AA322" s="104"/>
    </row>
    <row r="323" spans="1:27">
      <c r="A323" s="411" t="s">
        <v>6</v>
      </c>
      <c r="B323" s="27" t="s">
        <v>7</v>
      </c>
      <c r="C323" s="68">
        <v>5646</v>
      </c>
      <c r="D323" s="68">
        <v>3302</v>
      </c>
      <c r="E323" s="68">
        <v>3299</v>
      </c>
      <c r="F323" s="68">
        <v>9451</v>
      </c>
      <c r="G323" s="68">
        <v>7653</v>
      </c>
      <c r="H323" s="68">
        <v>14355</v>
      </c>
      <c r="I323" s="68">
        <v>6852</v>
      </c>
      <c r="J323" s="68">
        <v>9193</v>
      </c>
      <c r="K323" s="68">
        <v>11010</v>
      </c>
      <c r="L323" s="68">
        <v>4133</v>
      </c>
      <c r="M323" s="68">
        <v>9050</v>
      </c>
      <c r="N323" s="80">
        <v>792</v>
      </c>
      <c r="P323" s="104"/>
      <c r="Y323" s="104"/>
      <c r="Z323" s="104"/>
      <c r="AA323" s="104"/>
    </row>
    <row r="324" spans="1:27">
      <c r="A324" s="412"/>
      <c r="B324" s="28" t="s">
        <v>11</v>
      </c>
      <c r="C324" s="73">
        <f t="shared" ref="C324:I324" si="245">C323*33.72</f>
        <v>190383.12</v>
      </c>
      <c r="D324" s="73">
        <f t="shared" si="245"/>
        <v>111343.44</v>
      </c>
      <c r="E324" s="73">
        <f t="shared" si="245"/>
        <v>111242.28</v>
      </c>
      <c r="F324" s="73">
        <f t="shared" si="245"/>
        <v>318687.71999999997</v>
      </c>
      <c r="G324" s="73">
        <f t="shared" si="245"/>
        <v>258059.16</v>
      </c>
      <c r="H324" s="73">
        <f t="shared" si="245"/>
        <v>484050.6</v>
      </c>
      <c r="I324" s="73">
        <f t="shared" si="245"/>
        <v>231049.44</v>
      </c>
      <c r="J324" s="73">
        <f>J323*33.72</f>
        <v>309987.95999999996</v>
      </c>
      <c r="K324" s="73">
        <f t="shared" ref="K324:L324" si="246">K323*33.72</f>
        <v>371257.2</v>
      </c>
      <c r="L324" s="73">
        <f t="shared" si="246"/>
        <v>139364.76</v>
      </c>
      <c r="M324" s="73">
        <f>M323*33.72</f>
        <v>305166</v>
      </c>
      <c r="N324" s="84">
        <f t="shared" ref="N324" si="247">N323*33.72</f>
        <v>26706.239999999998</v>
      </c>
      <c r="P324" s="104"/>
      <c r="Y324" s="104"/>
      <c r="Z324" s="104"/>
      <c r="AA324" s="104"/>
    </row>
    <row r="325" spans="1:27">
      <c r="A325" s="412"/>
      <c r="B325" s="28" t="s">
        <v>79</v>
      </c>
      <c r="C325" s="73">
        <v>164000</v>
      </c>
      <c r="D325" s="73">
        <v>109880</v>
      </c>
      <c r="E325" s="73">
        <v>109880</v>
      </c>
      <c r="F325" s="73">
        <v>328000</v>
      </c>
      <c r="G325" s="73">
        <f>G320*2</f>
        <v>330905</v>
      </c>
      <c r="H325" s="73">
        <f>H320*2</f>
        <v>264264</v>
      </c>
      <c r="I325" s="73">
        <f>I320*2</f>
        <v>242663.6</v>
      </c>
      <c r="J325" s="73">
        <v>328000</v>
      </c>
      <c r="K325" s="73">
        <f>K320*2</f>
        <v>264264.40000000002</v>
      </c>
      <c r="L325" s="73">
        <v>328000</v>
      </c>
      <c r="M325" s="73">
        <f>2*M320</f>
        <v>352965.4</v>
      </c>
      <c r="N325" s="84">
        <f>2*N320</f>
        <v>109842</v>
      </c>
      <c r="P325" s="104"/>
      <c r="Y325" s="104"/>
      <c r="Z325" s="104"/>
      <c r="AA325" s="104"/>
    </row>
    <row r="326" spans="1:27">
      <c r="A326" s="412"/>
      <c r="B326" s="66" t="s">
        <v>8</v>
      </c>
      <c r="C326" s="98">
        <f>SUM(C323-289)</f>
        <v>5357</v>
      </c>
      <c r="D326" s="98">
        <f>SUM(D323-580)</f>
        <v>2722</v>
      </c>
      <c r="E326" s="98">
        <f>SUM(E323-583)</f>
        <v>2716</v>
      </c>
      <c r="F326" s="98">
        <f>SUM(F323-1219)</f>
        <v>8232</v>
      </c>
      <c r="G326" s="98">
        <f>SUM(G323-4339)</f>
        <v>3314</v>
      </c>
      <c r="H326" s="98">
        <f>SUM(H323-2294)</f>
        <v>12061</v>
      </c>
      <c r="I326" s="98">
        <f>SUM(I323-(4040-2000))</f>
        <v>4812</v>
      </c>
      <c r="J326" s="98">
        <f>SUM(J323-1293)</f>
        <v>7900</v>
      </c>
      <c r="K326" s="98">
        <f>SUM(K323-1606)</f>
        <v>9404</v>
      </c>
      <c r="L326" s="98">
        <f>SUM(L323-582)</f>
        <v>3551</v>
      </c>
      <c r="M326" s="98">
        <f>SUM(M323-(5810-2614))</f>
        <v>5854</v>
      </c>
      <c r="N326" s="103">
        <f>SUM(N323-117)</f>
        <v>675</v>
      </c>
      <c r="P326" s="14" t="s">
        <v>192</v>
      </c>
    </row>
    <row r="327" spans="1:27">
      <c r="A327" s="412"/>
      <c r="B327" s="29" t="s">
        <v>77</v>
      </c>
      <c r="C327" s="75">
        <f>C326*33.72</f>
        <v>180638.04</v>
      </c>
      <c r="D327" s="75">
        <f>D326*33.72</f>
        <v>91785.84</v>
      </c>
      <c r="E327" s="75">
        <f>E326*33.72</f>
        <v>91583.52</v>
      </c>
      <c r="F327" s="75">
        <f>F326*33.72</f>
        <v>277583.03999999998</v>
      </c>
      <c r="G327" s="75">
        <f>G326*33.72*2</f>
        <v>223496.16</v>
      </c>
      <c r="H327" s="75">
        <f>H326*33.72</f>
        <v>406696.92</v>
      </c>
      <c r="I327" s="75">
        <f>(I326*33.72)-(2000*33.72)</f>
        <v>94820.639999999985</v>
      </c>
      <c r="J327" s="75">
        <f>J326*33.72</f>
        <v>266388</v>
      </c>
      <c r="K327" s="75">
        <f>K326*33.72</f>
        <v>317102.88</v>
      </c>
      <c r="L327" s="75">
        <f>L326*33.72</f>
        <v>119739.72</v>
      </c>
      <c r="M327" s="75">
        <f>((M326*33.72)-(2614*33.72))*2</f>
        <v>218505.60000000001</v>
      </c>
      <c r="N327" s="11">
        <f>N326*33.72</f>
        <v>22761</v>
      </c>
      <c r="P327" s="89">
        <f>344240-H327</f>
        <v>-62456.919999999984</v>
      </c>
      <c r="Q327" s="104" t="s">
        <v>193</v>
      </c>
    </row>
    <row r="328" spans="1:27" ht="15.75" thickBot="1">
      <c r="A328" s="413"/>
      <c r="B328" s="256" t="s">
        <v>10</v>
      </c>
      <c r="C328" s="72">
        <f>C327/C320</f>
        <v>1.2597480197667654</v>
      </c>
      <c r="D328" s="72">
        <f t="shared" ref="D328:N328" si="248">D327/D320</f>
        <v>0.6098086712491313</v>
      </c>
      <c r="E328" s="72">
        <f t="shared" si="248"/>
        <v>0.60846449342859699</v>
      </c>
      <c r="F328" s="72">
        <f t="shared" si="248"/>
        <v>1.525199974944752</v>
      </c>
      <c r="G328" s="72">
        <f t="shared" si="248"/>
        <v>1.3508176667019236</v>
      </c>
      <c r="H328" s="72">
        <f t="shared" si="248"/>
        <v>3.0779593134138588</v>
      </c>
      <c r="I328" s="72">
        <f t="shared" si="248"/>
        <v>0.78149866729085027</v>
      </c>
      <c r="J328" s="72">
        <f t="shared" si="248"/>
        <v>1.5581197840994434</v>
      </c>
      <c r="K328" s="72">
        <f t="shared" si="248"/>
        <v>2.399891018237795</v>
      </c>
      <c r="L328" s="72">
        <f t="shared" si="248"/>
        <v>1.4474202279081743</v>
      </c>
      <c r="M328" s="72">
        <f t="shared" si="248"/>
        <v>1.2381134241486558</v>
      </c>
      <c r="N328" s="72">
        <f t="shared" si="248"/>
        <v>0.41443163817119133</v>
      </c>
      <c r="P328" s="175"/>
    </row>
    <row r="329" spans="1:27" ht="15.75" thickBot="1">
      <c r="A329" s="368">
        <v>41219</v>
      </c>
      <c r="B329" s="368"/>
      <c r="C329" s="368"/>
      <c r="N329" s="15"/>
    </row>
    <row r="330" spans="1:27">
      <c r="A330" s="407" t="s">
        <v>1</v>
      </c>
      <c r="B330" s="420"/>
      <c r="C330" s="68" t="s">
        <v>12</v>
      </c>
      <c r="D330" s="68" t="s">
        <v>12</v>
      </c>
      <c r="E330" s="68" t="s">
        <v>13</v>
      </c>
      <c r="F330" s="68" t="s">
        <v>13</v>
      </c>
      <c r="G330" s="68" t="s">
        <v>13</v>
      </c>
      <c r="H330" s="68" t="s">
        <v>13</v>
      </c>
      <c r="I330" s="68" t="s">
        <v>13</v>
      </c>
      <c r="J330" s="68" t="s">
        <v>2</v>
      </c>
      <c r="K330" s="68" t="s">
        <v>2</v>
      </c>
      <c r="L330" s="68" t="s">
        <v>2</v>
      </c>
      <c r="M330" s="68" t="s">
        <v>2</v>
      </c>
      <c r="N330" s="4" t="s">
        <v>84</v>
      </c>
    </row>
    <row r="331" spans="1:27" ht="15.75" thickBot="1">
      <c r="A331" s="409" t="s">
        <v>0</v>
      </c>
      <c r="B331" s="414"/>
      <c r="C331" s="99" t="s">
        <v>102</v>
      </c>
      <c r="D331" s="99" t="s">
        <v>103</v>
      </c>
      <c r="E331" s="99" t="s">
        <v>104</v>
      </c>
      <c r="F331" s="99" t="s">
        <v>105</v>
      </c>
      <c r="G331" s="99" t="s">
        <v>100</v>
      </c>
      <c r="H331" s="99" t="s">
        <v>107</v>
      </c>
      <c r="I331" s="99" t="s">
        <v>106</v>
      </c>
      <c r="J331" s="99" t="s">
        <v>108</v>
      </c>
      <c r="K331" s="99" t="s">
        <v>110</v>
      </c>
      <c r="L331" s="99" t="s">
        <v>101</v>
      </c>
      <c r="M331" s="99" t="s">
        <v>109</v>
      </c>
      <c r="N331" s="101" t="s">
        <v>111</v>
      </c>
      <c r="Q331" s="14"/>
      <c r="R331" s="14"/>
      <c r="S331" s="14"/>
      <c r="T331" s="14"/>
      <c r="U331" s="14"/>
      <c r="V331" s="14"/>
      <c r="W331" s="14"/>
      <c r="X331" s="14"/>
      <c r="Y331" s="175"/>
      <c r="Z331" s="174"/>
      <c r="AA331" s="175"/>
    </row>
    <row r="332" spans="1:27">
      <c r="A332" s="421" t="s">
        <v>9</v>
      </c>
      <c r="B332" s="2" t="s">
        <v>4</v>
      </c>
      <c r="C332" s="96">
        <v>143392.20000000001</v>
      </c>
      <c r="D332" s="96">
        <v>150515.79999999999</v>
      </c>
      <c r="E332" s="96">
        <v>150515.79999999999</v>
      </c>
      <c r="F332" s="96">
        <v>181997.8</v>
      </c>
      <c r="G332" s="96">
        <v>165452.5</v>
      </c>
      <c r="H332" s="96">
        <v>132132</v>
      </c>
      <c r="I332" s="96">
        <v>121331.8</v>
      </c>
      <c r="J332" s="96">
        <v>170967.6</v>
      </c>
      <c r="K332" s="96">
        <v>132132.20000000001</v>
      </c>
      <c r="L332" s="96">
        <v>82726.3</v>
      </c>
      <c r="M332" s="96">
        <v>176482.7</v>
      </c>
      <c r="N332" s="100">
        <v>54921</v>
      </c>
      <c r="P332" s="104"/>
      <c r="Y332" s="104"/>
      <c r="Z332" s="104"/>
      <c r="AA332" s="104"/>
    </row>
    <row r="333" spans="1:27">
      <c r="A333" s="422"/>
      <c r="B333" s="63" t="s">
        <v>5</v>
      </c>
      <c r="C333" s="97">
        <v>65815.899999999994</v>
      </c>
      <c r="D333" s="97">
        <v>73530.5</v>
      </c>
      <c r="E333" s="97">
        <v>74962</v>
      </c>
      <c r="F333" s="97">
        <v>157992.1</v>
      </c>
      <c r="G333" s="97">
        <v>59632</v>
      </c>
      <c r="H333" s="97">
        <v>39819.9</v>
      </c>
      <c r="I333" s="97">
        <v>47754.1</v>
      </c>
      <c r="J333" s="97">
        <v>146493.20000000001</v>
      </c>
      <c r="K333" s="97">
        <v>38342.800000000003</v>
      </c>
      <c r="L333" s="97">
        <v>31030.2</v>
      </c>
      <c r="M333" s="97">
        <v>97755.6</v>
      </c>
      <c r="N333" s="102">
        <v>20795</v>
      </c>
      <c r="P333" s="104"/>
      <c r="Y333" s="104"/>
      <c r="Z333" s="104"/>
      <c r="AA333" s="104"/>
    </row>
    <row r="334" spans="1:27" ht="15.75" thickBot="1">
      <c r="A334" s="423"/>
      <c r="B334" s="3" t="s">
        <v>3</v>
      </c>
      <c r="C334" s="71">
        <f>C333/C332</f>
        <v>0.45899219064914265</v>
      </c>
      <c r="D334" s="72">
        <f t="shared" ref="D334:E334" si="249">D333/D332</f>
        <v>0.48852346398185442</v>
      </c>
      <c r="E334" s="72">
        <f t="shared" si="249"/>
        <v>0.49803409343072291</v>
      </c>
      <c r="F334" s="72">
        <f>F333/F332</f>
        <v>0.86809895504231382</v>
      </c>
      <c r="G334" s="72">
        <f>G333/G332</f>
        <v>0.36041764252580044</v>
      </c>
      <c r="H334" s="72">
        <f t="shared" ref="H334:N334" si="250">H333/H332</f>
        <v>0.30136454454636274</v>
      </c>
      <c r="I334" s="72">
        <f t="shared" si="250"/>
        <v>0.39358272110032155</v>
      </c>
      <c r="J334" s="72">
        <f t="shared" si="250"/>
        <v>0.85684773021321003</v>
      </c>
      <c r="K334" s="72">
        <f t="shared" si="250"/>
        <v>0.29018513276854546</v>
      </c>
      <c r="L334" s="72">
        <f t="shared" si="250"/>
        <v>0.3750947401249663</v>
      </c>
      <c r="M334" s="72">
        <f t="shared" si="250"/>
        <v>0.55391038328402731</v>
      </c>
      <c r="N334" s="83">
        <f t="shared" si="250"/>
        <v>0.37863476630068643</v>
      </c>
      <c r="P334" s="104"/>
      <c r="Y334" s="104"/>
      <c r="Z334" s="104"/>
      <c r="AA334" s="104"/>
    </row>
    <row r="335" spans="1:27">
      <c r="A335" s="411" t="s">
        <v>6</v>
      </c>
      <c r="B335" s="27" t="s">
        <v>7</v>
      </c>
      <c r="C335" s="68">
        <v>5646</v>
      </c>
      <c r="D335" s="68">
        <v>3302</v>
      </c>
      <c r="E335" s="68">
        <v>3299</v>
      </c>
      <c r="F335" s="68">
        <v>9565</v>
      </c>
      <c r="G335" s="68">
        <v>7653</v>
      </c>
      <c r="H335" s="68">
        <v>14355</v>
      </c>
      <c r="I335" s="68">
        <v>6852</v>
      </c>
      <c r="J335" s="68">
        <v>9193</v>
      </c>
      <c r="K335" s="68">
        <v>11010</v>
      </c>
      <c r="L335" s="68">
        <v>4133</v>
      </c>
      <c r="M335" s="68">
        <v>9050</v>
      </c>
      <c r="N335" s="80">
        <v>792</v>
      </c>
      <c r="P335" s="104"/>
      <c r="Y335" s="104"/>
      <c r="Z335" s="104"/>
      <c r="AA335" s="104"/>
    </row>
    <row r="336" spans="1:27">
      <c r="A336" s="412"/>
      <c r="B336" s="28" t="s">
        <v>11</v>
      </c>
      <c r="C336" s="73">
        <f t="shared" ref="C336:I336" si="251">C335*33.72</f>
        <v>190383.12</v>
      </c>
      <c r="D336" s="73">
        <f t="shared" si="251"/>
        <v>111343.44</v>
      </c>
      <c r="E336" s="73">
        <f t="shared" si="251"/>
        <v>111242.28</v>
      </c>
      <c r="F336" s="73">
        <f t="shared" si="251"/>
        <v>322531.8</v>
      </c>
      <c r="G336" s="73">
        <f t="shared" si="251"/>
        <v>258059.16</v>
      </c>
      <c r="H336" s="73">
        <f t="shared" si="251"/>
        <v>484050.6</v>
      </c>
      <c r="I336" s="73">
        <f t="shared" si="251"/>
        <v>231049.44</v>
      </c>
      <c r="J336" s="73">
        <f>J335*33.72</f>
        <v>309987.95999999996</v>
      </c>
      <c r="K336" s="73">
        <f t="shared" ref="K336:L336" si="252">K335*33.72</f>
        <v>371257.2</v>
      </c>
      <c r="L336" s="73">
        <f t="shared" si="252"/>
        <v>139364.76</v>
      </c>
      <c r="M336" s="73">
        <f>M335*33.72</f>
        <v>305166</v>
      </c>
      <c r="N336" s="84">
        <f t="shared" ref="N336" si="253">N335*33.72</f>
        <v>26706.239999999998</v>
      </c>
      <c r="P336" s="104"/>
      <c r="Y336" s="104"/>
      <c r="Z336" s="104"/>
      <c r="AA336" s="104"/>
    </row>
    <row r="337" spans="1:27">
      <c r="A337" s="412"/>
      <c r="B337" s="28" t="s">
        <v>79</v>
      </c>
      <c r="C337" s="73">
        <v>164000</v>
      </c>
      <c r="D337" s="73">
        <v>109880</v>
      </c>
      <c r="E337" s="73">
        <v>109880</v>
      </c>
      <c r="F337" s="73">
        <v>328000</v>
      </c>
      <c r="G337" s="73">
        <f>G332*2</f>
        <v>330905</v>
      </c>
      <c r="H337" s="73">
        <f>H332*2</f>
        <v>264264</v>
      </c>
      <c r="I337" s="73">
        <f>I332*2</f>
        <v>242663.6</v>
      </c>
      <c r="J337" s="73">
        <v>328000</v>
      </c>
      <c r="K337" s="73">
        <f>K332*2</f>
        <v>264264.40000000002</v>
      </c>
      <c r="L337" s="73">
        <v>328000</v>
      </c>
      <c r="M337" s="73">
        <f>2*M332</f>
        <v>352965.4</v>
      </c>
      <c r="N337" s="84">
        <f>2*N332</f>
        <v>109842</v>
      </c>
      <c r="P337" s="104"/>
      <c r="Y337" s="104"/>
      <c r="Z337" s="104"/>
      <c r="AA337" s="104"/>
    </row>
    <row r="338" spans="1:27">
      <c r="A338" s="412"/>
      <c r="B338" s="66" t="s">
        <v>8</v>
      </c>
      <c r="C338" s="98">
        <f>SUM(C335-289)</f>
        <v>5357</v>
      </c>
      <c r="D338" s="98">
        <f>SUM(D335-580)</f>
        <v>2722</v>
      </c>
      <c r="E338" s="98">
        <f>SUM(E335-583)</f>
        <v>2716</v>
      </c>
      <c r="F338" s="98">
        <f>SUM(F335-1219)</f>
        <v>8346</v>
      </c>
      <c r="G338" s="98">
        <f>SUM(G335-4339)</f>
        <v>3314</v>
      </c>
      <c r="H338" s="98">
        <f>SUM(H335-2294)</f>
        <v>12061</v>
      </c>
      <c r="I338" s="98">
        <f>SUM(I335-(4040-2000))</f>
        <v>4812</v>
      </c>
      <c r="J338" s="98">
        <f>SUM(J335-1293)</f>
        <v>7900</v>
      </c>
      <c r="K338" s="98">
        <f>SUM(K335-1718)</f>
        <v>9292</v>
      </c>
      <c r="L338" s="98">
        <f>SUM(L335-582)</f>
        <v>3551</v>
      </c>
      <c r="M338" s="98">
        <f>SUM(M335-(5810-2614))</f>
        <v>5854</v>
      </c>
      <c r="N338" s="103">
        <f>SUM(N335-117)</f>
        <v>675</v>
      </c>
      <c r="P338" s="14" t="s">
        <v>192</v>
      </c>
    </row>
    <row r="339" spans="1:27">
      <c r="A339" s="412"/>
      <c r="B339" s="29" t="s">
        <v>77</v>
      </c>
      <c r="C339" s="75">
        <f>C338*33.72</f>
        <v>180638.04</v>
      </c>
      <c r="D339" s="75">
        <f>D338*33.72</f>
        <v>91785.84</v>
      </c>
      <c r="E339" s="75">
        <f>E338*33.72</f>
        <v>91583.52</v>
      </c>
      <c r="F339" s="75">
        <f>F338*33.72</f>
        <v>281427.12</v>
      </c>
      <c r="G339" s="75">
        <f>G338*33.72*2</f>
        <v>223496.16</v>
      </c>
      <c r="H339" s="75">
        <f>H338*33.72</f>
        <v>406696.92</v>
      </c>
      <c r="I339" s="75">
        <f>(I338*33.72)-(2000*33.72)</f>
        <v>94820.639999999985</v>
      </c>
      <c r="J339" s="75">
        <f>J338*33.72</f>
        <v>266388</v>
      </c>
      <c r="K339" s="75">
        <f>K338*33.72</f>
        <v>313326.24</v>
      </c>
      <c r="L339" s="75">
        <f>L338*33.72</f>
        <v>119739.72</v>
      </c>
      <c r="M339" s="75">
        <f>((M338*33.72)-(2614*33.72))*2</f>
        <v>218505.60000000001</v>
      </c>
      <c r="N339" s="11">
        <f>N338*33.72</f>
        <v>22761</v>
      </c>
      <c r="P339" s="89">
        <f>344240-H339</f>
        <v>-62456.919999999984</v>
      </c>
      <c r="Q339" s="104" t="s">
        <v>193</v>
      </c>
    </row>
    <row r="340" spans="1:27" ht="15.75" thickBot="1">
      <c r="A340" s="413"/>
      <c r="B340" s="256" t="s">
        <v>10</v>
      </c>
      <c r="C340" s="72">
        <f>C339/C332</f>
        <v>1.2597480197667654</v>
      </c>
      <c r="D340" s="72">
        <f t="shared" ref="D340:N340" si="254">D339/D332</f>
        <v>0.6098086712491313</v>
      </c>
      <c r="E340" s="72">
        <f t="shared" si="254"/>
        <v>0.60846449342859699</v>
      </c>
      <c r="F340" s="72">
        <f t="shared" si="254"/>
        <v>1.5463215489418005</v>
      </c>
      <c r="G340" s="72">
        <f t="shared" si="254"/>
        <v>1.3508176667019236</v>
      </c>
      <c r="H340" s="72">
        <f t="shared" si="254"/>
        <v>3.0779593134138588</v>
      </c>
      <c r="I340" s="72">
        <f t="shared" si="254"/>
        <v>0.78149866729085027</v>
      </c>
      <c r="J340" s="72">
        <f t="shared" si="254"/>
        <v>1.5581197840994434</v>
      </c>
      <c r="K340" s="72">
        <f t="shared" si="254"/>
        <v>2.3713087347368771</v>
      </c>
      <c r="L340" s="72">
        <f t="shared" si="254"/>
        <v>1.4474202279081743</v>
      </c>
      <c r="M340" s="72">
        <f t="shared" si="254"/>
        <v>1.2381134241486558</v>
      </c>
      <c r="N340" s="72">
        <f t="shared" si="254"/>
        <v>0.41443163817119133</v>
      </c>
      <c r="P340" s="175"/>
    </row>
    <row r="341" spans="1:27" ht="15.75" thickBot="1">
      <c r="A341" s="368">
        <v>41215</v>
      </c>
      <c r="B341" s="368"/>
      <c r="C341" s="368"/>
      <c r="N341" s="15"/>
    </row>
    <row r="342" spans="1:27">
      <c r="A342" s="407" t="s">
        <v>1</v>
      </c>
      <c r="B342" s="420"/>
      <c r="C342" s="68" t="s">
        <v>12</v>
      </c>
      <c r="D342" s="68" t="s">
        <v>12</v>
      </c>
      <c r="E342" s="68" t="s">
        <v>13</v>
      </c>
      <c r="F342" s="68" t="s">
        <v>13</v>
      </c>
      <c r="G342" s="68" t="s">
        <v>13</v>
      </c>
      <c r="H342" s="68" t="s">
        <v>13</v>
      </c>
      <c r="I342" s="68" t="s">
        <v>13</v>
      </c>
      <c r="J342" s="68" t="s">
        <v>2</v>
      </c>
      <c r="K342" s="68" t="s">
        <v>2</v>
      </c>
      <c r="L342" s="68" t="s">
        <v>2</v>
      </c>
      <c r="M342" s="68" t="s">
        <v>2</v>
      </c>
      <c r="N342" s="4" t="s">
        <v>84</v>
      </c>
    </row>
    <row r="343" spans="1:27" ht="15.75" thickBot="1">
      <c r="A343" s="409" t="s">
        <v>0</v>
      </c>
      <c r="B343" s="414"/>
      <c r="C343" s="99" t="s">
        <v>102</v>
      </c>
      <c r="D343" s="99" t="s">
        <v>103</v>
      </c>
      <c r="E343" s="99" t="s">
        <v>104</v>
      </c>
      <c r="F343" s="99" t="s">
        <v>105</v>
      </c>
      <c r="G343" s="99" t="s">
        <v>100</v>
      </c>
      <c r="H343" s="99" t="s">
        <v>107</v>
      </c>
      <c r="I343" s="99" t="s">
        <v>106</v>
      </c>
      <c r="J343" s="99" t="s">
        <v>108</v>
      </c>
      <c r="K343" s="99" t="s">
        <v>110</v>
      </c>
      <c r="L343" s="99" t="s">
        <v>101</v>
      </c>
      <c r="M343" s="99" t="s">
        <v>109</v>
      </c>
      <c r="N343" s="101" t="s">
        <v>111</v>
      </c>
      <c r="Q343" s="14"/>
      <c r="R343" s="14"/>
      <c r="S343" s="14"/>
      <c r="T343" s="14"/>
      <c r="U343" s="14"/>
      <c r="V343" s="14"/>
      <c r="W343" s="14"/>
      <c r="X343" s="14"/>
      <c r="Y343" s="175"/>
      <c r="Z343" s="174"/>
      <c r="AA343" s="175"/>
    </row>
    <row r="344" spans="1:27">
      <c r="A344" s="421" t="s">
        <v>9</v>
      </c>
      <c r="B344" s="2" t="s">
        <v>4</v>
      </c>
      <c r="C344" s="96">
        <v>143392.20000000001</v>
      </c>
      <c r="D344" s="96">
        <v>150515.79999999999</v>
      </c>
      <c r="E344" s="96">
        <v>150515.79999999999</v>
      </c>
      <c r="F344" s="96">
        <v>181997.8</v>
      </c>
      <c r="G344" s="96">
        <v>165452.5</v>
      </c>
      <c r="H344" s="96">
        <v>132132</v>
      </c>
      <c r="I344" s="96">
        <v>121331.8</v>
      </c>
      <c r="J344" s="96">
        <v>170967.6</v>
      </c>
      <c r="K344" s="96">
        <v>132132.20000000001</v>
      </c>
      <c r="L344" s="96">
        <v>82726.3</v>
      </c>
      <c r="M344" s="96">
        <v>176482.7</v>
      </c>
      <c r="N344" s="100">
        <v>54921</v>
      </c>
      <c r="P344" s="104"/>
      <c r="Y344" s="104"/>
      <c r="Z344" s="104"/>
      <c r="AA344" s="104"/>
    </row>
    <row r="345" spans="1:27">
      <c r="A345" s="422"/>
      <c r="B345" s="63" t="s">
        <v>5</v>
      </c>
      <c r="C345" s="97">
        <v>67593</v>
      </c>
      <c r="D345" s="97">
        <v>73478.399999999994</v>
      </c>
      <c r="E345" s="97">
        <v>74921.399999999994</v>
      </c>
      <c r="F345" s="97">
        <v>161637.5</v>
      </c>
      <c r="G345" s="97">
        <v>59176.7</v>
      </c>
      <c r="H345" s="97">
        <v>40779.800000000003</v>
      </c>
      <c r="I345" s="97">
        <v>47374.6</v>
      </c>
      <c r="J345" s="97">
        <v>146156.79999999999</v>
      </c>
      <c r="K345" s="97">
        <v>38845.300000000003</v>
      </c>
      <c r="L345" s="97">
        <v>30785.9</v>
      </c>
      <c r="M345" s="97">
        <v>97591.4</v>
      </c>
      <c r="N345" s="102">
        <v>23055</v>
      </c>
      <c r="P345" s="104"/>
      <c r="Y345" s="104"/>
      <c r="Z345" s="104"/>
      <c r="AA345" s="104"/>
    </row>
    <row r="346" spans="1:27" ht="15.75" thickBot="1">
      <c r="A346" s="423"/>
      <c r="B346" s="3" t="s">
        <v>3</v>
      </c>
      <c r="C346" s="71">
        <f>C345/C344</f>
        <v>0.47138547284998761</v>
      </c>
      <c r="D346" s="72">
        <f t="shared" ref="D346:E346" si="255">D345/D344</f>
        <v>0.48817732091913274</v>
      </c>
      <c r="E346" s="72">
        <f t="shared" si="255"/>
        <v>0.49776435430698968</v>
      </c>
      <c r="F346" s="72">
        <f>F345/F344</f>
        <v>0.88812886749180486</v>
      </c>
      <c r="G346" s="72">
        <f>G345/G344</f>
        <v>0.35766579531889814</v>
      </c>
      <c r="H346" s="72">
        <f t="shared" ref="H346:N346" si="256">H345/H344</f>
        <v>0.30862924953834048</v>
      </c>
      <c r="I346" s="72">
        <f t="shared" si="256"/>
        <v>0.39045493432059852</v>
      </c>
      <c r="J346" s="72">
        <f t="shared" si="256"/>
        <v>0.85488010593820107</v>
      </c>
      <c r="K346" s="72">
        <f t="shared" si="256"/>
        <v>0.29398814217881786</v>
      </c>
      <c r="L346" s="72">
        <f t="shared" si="256"/>
        <v>0.3721416284784887</v>
      </c>
      <c r="M346" s="72">
        <f t="shared" si="256"/>
        <v>0.55297998047400676</v>
      </c>
      <c r="N346" s="83">
        <f t="shared" si="256"/>
        <v>0.41978478177746215</v>
      </c>
      <c r="P346" s="104"/>
      <c r="Y346" s="104"/>
      <c r="Z346" s="104"/>
      <c r="AA346" s="104"/>
    </row>
    <row r="347" spans="1:27">
      <c r="A347" s="411" t="s">
        <v>6</v>
      </c>
      <c r="B347" s="27" t="s">
        <v>7</v>
      </c>
      <c r="C347" s="68">
        <v>5646</v>
      </c>
      <c r="D347" s="68">
        <v>3302</v>
      </c>
      <c r="E347" s="68">
        <v>3299</v>
      </c>
      <c r="F347" s="68">
        <v>9565</v>
      </c>
      <c r="G347" s="68">
        <v>7653</v>
      </c>
      <c r="H347" s="68">
        <v>14355</v>
      </c>
      <c r="I347" s="68">
        <v>6852</v>
      </c>
      <c r="J347" s="68">
        <v>9193</v>
      </c>
      <c r="K347" s="68">
        <v>11010</v>
      </c>
      <c r="L347" s="68">
        <v>4133</v>
      </c>
      <c r="M347" s="68">
        <v>9050</v>
      </c>
      <c r="N347" s="80">
        <v>792</v>
      </c>
      <c r="P347" s="104"/>
      <c r="Y347" s="104"/>
      <c r="Z347" s="104"/>
      <c r="AA347" s="104"/>
    </row>
    <row r="348" spans="1:27">
      <c r="A348" s="412"/>
      <c r="B348" s="28" t="s">
        <v>11</v>
      </c>
      <c r="C348" s="73">
        <f t="shared" ref="C348:I348" si="257">C347*33.72</f>
        <v>190383.12</v>
      </c>
      <c r="D348" s="73">
        <f t="shared" si="257"/>
        <v>111343.44</v>
      </c>
      <c r="E348" s="73">
        <f t="shared" si="257"/>
        <v>111242.28</v>
      </c>
      <c r="F348" s="73">
        <f t="shared" si="257"/>
        <v>322531.8</v>
      </c>
      <c r="G348" s="73">
        <f t="shared" si="257"/>
        <v>258059.16</v>
      </c>
      <c r="H348" s="73">
        <f t="shared" si="257"/>
        <v>484050.6</v>
      </c>
      <c r="I348" s="73">
        <f t="shared" si="257"/>
        <v>231049.44</v>
      </c>
      <c r="J348" s="73">
        <f>J347*33.72</f>
        <v>309987.95999999996</v>
      </c>
      <c r="K348" s="73">
        <f t="shared" ref="K348:L348" si="258">K347*33.72</f>
        <v>371257.2</v>
      </c>
      <c r="L348" s="73">
        <f t="shared" si="258"/>
        <v>139364.76</v>
      </c>
      <c r="M348" s="73">
        <f>M347*33.72</f>
        <v>305166</v>
      </c>
      <c r="N348" s="84">
        <f t="shared" ref="N348" si="259">N347*33.72</f>
        <v>26706.239999999998</v>
      </c>
      <c r="P348" s="104"/>
      <c r="Y348" s="104"/>
      <c r="Z348" s="104"/>
      <c r="AA348" s="104"/>
    </row>
    <row r="349" spans="1:27">
      <c r="A349" s="412"/>
      <c r="B349" s="28" t="s">
        <v>79</v>
      </c>
      <c r="C349" s="73">
        <v>164000</v>
      </c>
      <c r="D349" s="73">
        <v>109880</v>
      </c>
      <c r="E349" s="73">
        <v>109880</v>
      </c>
      <c r="F349" s="73">
        <v>328000</v>
      </c>
      <c r="G349" s="73">
        <f>G344*2</f>
        <v>330905</v>
      </c>
      <c r="H349" s="73">
        <f>H344*2</f>
        <v>264264</v>
      </c>
      <c r="I349" s="73">
        <f>I344*2</f>
        <v>242663.6</v>
      </c>
      <c r="J349" s="73">
        <v>328000</v>
      </c>
      <c r="K349" s="73">
        <f>K344*2</f>
        <v>264264.40000000002</v>
      </c>
      <c r="L349" s="73">
        <v>328000</v>
      </c>
      <c r="M349" s="73">
        <f>2*M344</f>
        <v>352965.4</v>
      </c>
      <c r="N349" s="84">
        <f>2*N344</f>
        <v>109842</v>
      </c>
      <c r="P349" s="104"/>
      <c r="Y349" s="104"/>
      <c r="Z349" s="104"/>
      <c r="AA349" s="104"/>
    </row>
    <row r="350" spans="1:27">
      <c r="A350" s="412"/>
      <c r="B350" s="66" t="s">
        <v>8</v>
      </c>
      <c r="C350" s="98">
        <f>SUM(C347-289)</f>
        <v>5357</v>
      </c>
      <c r="D350" s="98">
        <f>SUM(D347-580)</f>
        <v>2722</v>
      </c>
      <c r="E350" s="98">
        <f>SUM(E347-583)</f>
        <v>2716</v>
      </c>
      <c r="F350" s="98">
        <f>SUM(F347-1148)</f>
        <v>8417</v>
      </c>
      <c r="G350" s="98">
        <f>SUM(G347-4345)</f>
        <v>3308</v>
      </c>
      <c r="H350" s="98">
        <f>SUM(H347-2340)</f>
        <v>12015</v>
      </c>
      <c r="I350" s="98">
        <f>SUM(I347-(4040-2000))</f>
        <v>4812</v>
      </c>
      <c r="J350" s="98">
        <f>SUM(J347-1293)</f>
        <v>7900</v>
      </c>
      <c r="K350" s="98">
        <f>SUM(K347-1718)</f>
        <v>9292</v>
      </c>
      <c r="L350" s="98">
        <f>SUM(L347-588)</f>
        <v>3545</v>
      </c>
      <c r="M350" s="98">
        <f>SUM(M347-(5810-2614))</f>
        <v>5854</v>
      </c>
      <c r="N350" s="103">
        <f>SUM(N347-46)</f>
        <v>746</v>
      </c>
      <c r="P350" s="14" t="s">
        <v>192</v>
      </c>
    </row>
    <row r="351" spans="1:27">
      <c r="A351" s="412"/>
      <c r="B351" s="29" t="s">
        <v>77</v>
      </c>
      <c r="C351" s="75">
        <f>C350*33.72</f>
        <v>180638.04</v>
      </c>
      <c r="D351" s="75">
        <f>D350*33.72</f>
        <v>91785.84</v>
      </c>
      <c r="E351" s="75">
        <f>E350*33.72</f>
        <v>91583.52</v>
      </c>
      <c r="F351" s="75">
        <f>F350*33.72</f>
        <v>283821.24</v>
      </c>
      <c r="G351" s="75">
        <f>G350*33.72*2</f>
        <v>223091.52</v>
      </c>
      <c r="H351" s="75">
        <f>H350*33.72</f>
        <v>405145.8</v>
      </c>
      <c r="I351" s="75">
        <f>(I350*33.72)-(2000*33.72)</f>
        <v>94820.639999999985</v>
      </c>
      <c r="J351" s="75">
        <f>J350*33.72</f>
        <v>266388</v>
      </c>
      <c r="K351" s="75">
        <f>K350*33.72</f>
        <v>313326.24</v>
      </c>
      <c r="L351" s="75">
        <f>L350*33.72</f>
        <v>119537.4</v>
      </c>
      <c r="M351" s="75">
        <f>((M350*33.72)-(2614*33.72))*2</f>
        <v>218505.60000000001</v>
      </c>
      <c r="N351" s="11">
        <f>N350*33.72</f>
        <v>25155.119999999999</v>
      </c>
      <c r="P351" s="89">
        <f>344240-H351</f>
        <v>-60905.799999999988</v>
      </c>
      <c r="Q351" s="104" t="s">
        <v>193</v>
      </c>
    </row>
    <row r="352" spans="1:27" ht="15.75" thickBot="1">
      <c r="A352" s="413"/>
      <c r="B352" s="256" t="s">
        <v>10</v>
      </c>
      <c r="C352" s="72">
        <f>C351/C344</f>
        <v>1.2597480197667654</v>
      </c>
      <c r="D352" s="72">
        <f t="shared" ref="D352:N352" si="260">D351/D344</f>
        <v>0.6098086712491313</v>
      </c>
      <c r="E352" s="72">
        <f t="shared" si="260"/>
        <v>0.60846449342859699</v>
      </c>
      <c r="F352" s="72">
        <f t="shared" si="260"/>
        <v>1.5594762134487341</v>
      </c>
      <c r="G352" s="72">
        <f t="shared" si="260"/>
        <v>1.3483720100935312</v>
      </c>
      <c r="H352" s="72">
        <f t="shared" si="260"/>
        <v>3.0662201434928709</v>
      </c>
      <c r="I352" s="72">
        <f t="shared" si="260"/>
        <v>0.78149866729085027</v>
      </c>
      <c r="J352" s="72">
        <f t="shared" si="260"/>
        <v>1.5581197840994434</v>
      </c>
      <c r="K352" s="72">
        <f t="shared" si="260"/>
        <v>2.3713087347368771</v>
      </c>
      <c r="L352" s="72">
        <f t="shared" si="260"/>
        <v>1.4449745727779435</v>
      </c>
      <c r="M352" s="72">
        <f t="shared" si="260"/>
        <v>1.2381134241486558</v>
      </c>
      <c r="N352" s="72">
        <f t="shared" si="260"/>
        <v>0.45802370677882775</v>
      </c>
      <c r="P352" s="175"/>
    </row>
    <row r="353" spans="1:27" ht="15.75" thickBot="1">
      <c r="A353" s="368">
        <v>41214</v>
      </c>
      <c r="B353" s="368"/>
      <c r="C353" s="368"/>
      <c r="N353" s="15"/>
    </row>
    <row r="354" spans="1:27">
      <c r="A354" s="407" t="s">
        <v>1</v>
      </c>
      <c r="B354" s="420"/>
      <c r="C354" s="68" t="s">
        <v>12</v>
      </c>
      <c r="D354" s="68" t="s">
        <v>12</v>
      </c>
      <c r="E354" s="68" t="s">
        <v>13</v>
      </c>
      <c r="F354" s="68" t="s">
        <v>13</v>
      </c>
      <c r="G354" s="68" t="s">
        <v>13</v>
      </c>
      <c r="H354" s="68" t="s">
        <v>13</v>
      </c>
      <c r="I354" s="68" t="s">
        <v>13</v>
      </c>
      <c r="J354" s="68" t="s">
        <v>2</v>
      </c>
      <c r="K354" s="68" t="s">
        <v>2</v>
      </c>
      <c r="L354" s="68" t="s">
        <v>2</v>
      </c>
      <c r="M354" s="68" t="s">
        <v>2</v>
      </c>
      <c r="N354" s="4" t="s">
        <v>84</v>
      </c>
    </row>
    <row r="355" spans="1:27" ht="15.75" thickBot="1">
      <c r="A355" s="409" t="s">
        <v>0</v>
      </c>
      <c r="B355" s="414"/>
      <c r="C355" s="99" t="s">
        <v>102</v>
      </c>
      <c r="D355" s="99" t="s">
        <v>103</v>
      </c>
      <c r="E355" s="99" t="s">
        <v>104</v>
      </c>
      <c r="F355" s="99" t="s">
        <v>105</v>
      </c>
      <c r="G355" s="99" t="s">
        <v>100</v>
      </c>
      <c r="H355" s="99" t="s">
        <v>107</v>
      </c>
      <c r="I355" s="99" t="s">
        <v>106</v>
      </c>
      <c r="J355" s="99" t="s">
        <v>108</v>
      </c>
      <c r="K355" s="99" t="s">
        <v>110</v>
      </c>
      <c r="L355" s="99" t="s">
        <v>101</v>
      </c>
      <c r="M355" s="99" t="s">
        <v>109</v>
      </c>
      <c r="N355" s="101" t="s">
        <v>111</v>
      </c>
      <c r="Q355" s="14"/>
      <c r="R355" s="14"/>
      <c r="S355" s="14"/>
      <c r="T355" s="14"/>
      <c r="U355" s="14"/>
      <c r="V355" s="14"/>
      <c r="W355" s="14"/>
      <c r="X355" s="14"/>
      <c r="Y355" s="175"/>
      <c r="Z355" s="174"/>
      <c r="AA355" s="175"/>
    </row>
    <row r="356" spans="1:27">
      <c r="A356" s="421" t="s">
        <v>9</v>
      </c>
      <c r="B356" s="2" t="s">
        <v>4</v>
      </c>
      <c r="C356" s="96">
        <v>143392.20000000001</v>
      </c>
      <c r="D356" s="96">
        <v>150515.79999999999</v>
      </c>
      <c r="E356" s="96">
        <v>150515.79999999999</v>
      </c>
      <c r="F356" s="96">
        <v>181997.8</v>
      </c>
      <c r="G356" s="96">
        <v>165452.5</v>
      </c>
      <c r="H356" s="96">
        <v>132132</v>
      </c>
      <c r="I356" s="96">
        <v>121331.8</v>
      </c>
      <c r="J356" s="96">
        <v>170967.6</v>
      </c>
      <c r="K356" s="96">
        <v>132132.20000000001</v>
      </c>
      <c r="L356" s="96">
        <v>82726.3</v>
      </c>
      <c r="M356" s="96">
        <v>176482.7</v>
      </c>
      <c r="N356" s="100">
        <v>54921</v>
      </c>
      <c r="P356" s="104"/>
      <c r="Y356" s="104"/>
      <c r="Z356" s="104"/>
      <c r="AA356" s="104"/>
    </row>
    <row r="357" spans="1:27">
      <c r="A357" s="422"/>
      <c r="B357" s="63" t="s">
        <v>5</v>
      </c>
      <c r="C357" s="97">
        <v>68904.5</v>
      </c>
      <c r="D357" s="97">
        <v>73467.100000000006</v>
      </c>
      <c r="E357" s="97">
        <v>74910</v>
      </c>
      <c r="F357" s="97">
        <v>161575.20000000001</v>
      </c>
      <c r="G357" s="97">
        <v>58797.9</v>
      </c>
      <c r="H357" s="97">
        <v>41472.300000000003</v>
      </c>
      <c r="I357" s="97">
        <v>47359.199999999997</v>
      </c>
      <c r="J357" s="97">
        <v>146112.5</v>
      </c>
      <c r="K357" s="97">
        <v>39254</v>
      </c>
      <c r="L357" s="97">
        <v>30595.3</v>
      </c>
      <c r="M357" s="97">
        <v>97560.3</v>
      </c>
      <c r="N357" s="102">
        <v>23055</v>
      </c>
      <c r="P357" s="104"/>
      <c r="Y357" s="104"/>
      <c r="Z357" s="104"/>
      <c r="AA357" s="104"/>
    </row>
    <row r="358" spans="1:27" ht="15.75" thickBot="1">
      <c r="A358" s="423"/>
      <c r="B358" s="3" t="s">
        <v>3</v>
      </c>
      <c r="C358" s="71">
        <f>C357/C356</f>
        <v>0.48053171650898718</v>
      </c>
      <c r="D358" s="72">
        <f t="shared" ref="D358:E358" si="261">D357/D356</f>
        <v>0.48810224574430067</v>
      </c>
      <c r="E358" s="72">
        <f t="shared" si="261"/>
        <v>0.49768861475007942</v>
      </c>
      <c r="F358" s="72">
        <f>F357/F356</f>
        <v>0.88778655566166198</v>
      </c>
      <c r="G358" s="72">
        <f>G357/G356</f>
        <v>0.35537631646545081</v>
      </c>
      <c r="H358" s="72">
        <f t="shared" ref="H358:N358" si="262">H357/H356</f>
        <v>0.31387022068840253</v>
      </c>
      <c r="I358" s="72">
        <f t="shared" si="262"/>
        <v>0.39032800963968223</v>
      </c>
      <c r="J358" s="72">
        <f t="shared" si="262"/>
        <v>0.85462099251554091</v>
      </c>
      <c r="K358" s="72">
        <f t="shared" si="262"/>
        <v>0.29708125649917277</v>
      </c>
      <c r="L358" s="72">
        <f t="shared" si="262"/>
        <v>0.36983764534374192</v>
      </c>
      <c r="M358" s="72">
        <f t="shared" si="262"/>
        <v>0.55280375923532443</v>
      </c>
      <c r="N358" s="83">
        <f t="shared" si="262"/>
        <v>0.41978478177746215</v>
      </c>
      <c r="P358" s="104"/>
      <c r="Y358" s="104"/>
      <c r="Z358" s="104"/>
      <c r="AA358" s="104"/>
    </row>
    <row r="359" spans="1:27">
      <c r="A359" s="411" t="s">
        <v>6</v>
      </c>
      <c r="B359" s="27" t="s">
        <v>7</v>
      </c>
      <c r="C359" s="68">
        <v>5646</v>
      </c>
      <c r="D359" s="68">
        <v>3302</v>
      </c>
      <c r="E359" s="68">
        <v>3299</v>
      </c>
      <c r="F359" s="68">
        <v>9565</v>
      </c>
      <c r="G359" s="68">
        <v>7653</v>
      </c>
      <c r="H359" s="68">
        <v>14355</v>
      </c>
      <c r="I359" s="68">
        <v>6852</v>
      </c>
      <c r="J359" s="68">
        <v>9193</v>
      </c>
      <c r="K359" s="68">
        <v>11010</v>
      </c>
      <c r="L359" s="68">
        <v>4133</v>
      </c>
      <c r="M359" s="68">
        <v>9050</v>
      </c>
      <c r="N359" s="80">
        <v>792</v>
      </c>
      <c r="P359" s="104"/>
      <c r="Y359" s="104"/>
      <c r="Z359" s="104"/>
      <c r="AA359" s="104"/>
    </row>
    <row r="360" spans="1:27">
      <c r="A360" s="412"/>
      <c r="B360" s="28" t="s">
        <v>11</v>
      </c>
      <c r="C360" s="73">
        <f t="shared" ref="C360:I360" si="263">C359*33.72</f>
        <v>190383.12</v>
      </c>
      <c r="D360" s="73">
        <f t="shared" si="263"/>
        <v>111343.44</v>
      </c>
      <c r="E360" s="73">
        <f t="shared" si="263"/>
        <v>111242.28</v>
      </c>
      <c r="F360" s="73">
        <f t="shared" si="263"/>
        <v>322531.8</v>
      </c>
      <c r="G360" s="73">
        <f t="shared" si="263"/>
        <v>258059.16</v>
      </c>
      <c r="H360" s="73">
        <f t="shared" si="263"/>
        <v>484050.6</v>
      </c>
      <c r="I360" s="73">
        <f t="shared" si="263"/>
        <v>231049.44</v>
      </c>
      <c r="J360" s="73">
        <f>J359*33.72</f>
        <v>309987.95999999996</v>
      </c>
      <c r="K360" s="73">
        <f t="shared" ref="K360:L360" si="264">K359*33.72</f>
        <v>371257.2</v>
      </c>
      <c r="L360" s="73">
        <f t="shared" si="264"/>
        <v>139364.76</v>
      </c>
      <c r="M360" s="73">
        <f>M359*33.72</f>
        <v>305166</v>
      </c>
      <c r="N360" s="84">
        <f t="shared" ref="N360" si="265">N359*33.72</f>
        <v>26706.239999999998</v>
      </c>
      <c r="P360" s="104"/>
      <c r="Y360" s="104"/>
      <c r="Z360" s="104"/>
      <c r="AA360" s="104"/>
    </row>
    <row r="361" spans="1:27">
      <c r="A361" s="412"/>
      <c r="B361" s="28" t="s">
        <v>79</v>
      </c>
      <c r="C361" s="73">
        <v>164000</v>
      </c>
      <c r="D361" s="73">
        <v>109880</v>
      </c>
      <c r="E361" s="73">
        <v>109880</v>
      </c>
      <c r="F361" s="73">
        <v>328000</v>
      </c>
      <c r="G361" s="73">
        <f>G356*2</f>
        <v>330905</v>
      </c>
      <c r="H361" s="73">
        <f>H356*2</f>
        <v>264264</v>
      </c>
      <c r="I361" s="73">
        <f>I356*2</f>
        <v>242663.6</v>
      </c>
      <c r="J361" s="73">
        <v>328000</v>
      </c>
      <c r="K361" s="73">
        <f>K356*2</f>
        <v>264264.40000000002</v>
      </c>
      <c r="L361" s="73">
        <v>328000</v>
      </c>
      <c r="M361" s="73">
        <f>2*M356</f>
        <v>352965.4</v>
      </c>
      <c r="N361" s="84">
        <f>2*N356</f>
        <v>109842</v>
      </c>
      <c r="P361" s="104"/>
      <c r="Y361" s="104"/>
      <c r="Z361" s="104"/>
      <c r="AA361" s="104"/>
    </row>
    <row r="362" spans="1:27">
      <c r="A362" s="412"/>
      <c r="B362" s="66" t="s">
        <v>8</v>
      </c>
      <c r="C362" s="98">
        <f>SUM(C359-289)</f>
        <v>5357</v>
      </c>
      <c r="D362" s="98">
        <f>SUM(D359-580)</f>
        <v>2722</v>
      </c>
      <c r="E362" s="98">
        <f>SUM(E359-583)</f>
        <v>2716</v>
      </c>
      <c r="F362" s="98">
        <f>SUM(F359-1148)</f>
        <v>8417</v>
      </c>
      <c r="G362" s="98">
        <f>SUM(G359-4345)</f>
        <v>3308</v>
      </c>
      <c r="H362" s="98">
        <f>SUM(H359-2344)</f>
        <v>12011</v>
      </c>
      <c r="I362" s="98">
        <f>SUM(I359-(4040-2000))</f>
        <v>4812</v>
      </c>
      <c r="J362" s="98">
        <f>SUM(J359-1293)</f>
        <v>7900</v>
      </c>
      <c r="K362" s="98">
        <f>SUM(K359-1718)</f>
        <v>9292</v>
      </c>
      <c r="L362" s="98">
        <f>SUM(L359-588)</f>
        <v>3545</v>
      </c>
      <c r="M362" s="98">
        <f>SUM(M359-(5810-2614))</f>
        <v>5854</v>
      </c>
      <c r="N362" s="103">
        <f>SUM(N359-46)</f>
        <v>746</v>
      </c>
      <c r="P362" s="14" t="s">
        <v>192</v>
      </c>
    </row>
    <row r="363" spans="1:27">
      <c r="A363" s="412"/>
      <c r="B363" s="29" t="s">
        <v>77</v>
      </c>
      <c r="C363" s="75">
        <f>C362*33.72</f>
        <v>180638.04</v>
      </c>
      <c r="D363" s="75">
        <f>D362*33.72</f>
        <v>91785.84</v>
      </c>
      <c r="E363" s="75">
        <f>E362*33.72</f>
        <v>91583.52</v>
      </c>
      <c r="F363" s="75">
        <f>F362*33.72</f>
        <v>283821.24</v>
      </c>
      <c r="G363" s="75">
        <f>G362*33.72*2</f>
        <v>223091.52</v>
      </c>
      <c r="H363" s="75">
        <f>H362*33.72</f>
        <v>405010.92</v>
      </c>
      <c r="I363" s="75">
        <f>(I362*33.72)-(2000*33.72)</f>
        <v>94820.639999999985</v>
      </c>
      <c r="J363" s="75">
        <f>J362*33.72</f>
        <v>266388</v>
      </c>
      <c r="K363" s="75">
        <f>K362*33.72</f>
        <v>313326.24</v>
      </c>
      <c r="L363" s="75">
        <f>L362*33.72</f>
        <v>119537.4</v>
      </c>
      <c r="M363" s="75">
        <f>((M362*33.72)-(2614*33.72))*2</f>
        <v>218505.60000000001</v>
      </c>
      <c r="N363" s="11">
        <f>N362*33.72</f>
        <v>25155.119999999999</v>
      </c>
      <c r="P363" s="89">
        <f>344240-H363</f>
        <v>-60770.919999999984</v>
      </c>
      <c r="Q363" s="104" t="s">
        <v>193</v>
      </c>
    </row>
    <row r="364" spans="1:27" ht="15.75" thickBot="1">
      <c r="A364" s="413"/>
      <c r="B364" s="256" t="s">
        <v>10</v>
      </c>
      <c r="C364" s="72">
        <f>C363/C356</f>
        <v>1.2597480197667654</v>
      </c>
      <c r="D364" s="72">
        <f t="shared" ref="D364:N364" si="266">D363/D356</f>
        <v>0.6098086712491313</v>
      </c>
      <c r="E364" s="72">
        <f t="shared" si="266"/>
        <v>0.60846449342859699</v>
      </c>
      <c r="F364" s="72">
        <f t="shared" si="266"/>
        <v>1.5594762134487341</v>
      </c>
      <c r="G364" s="72">
        <f t="shared" si="266"/>
        <v>1.3483720100935312</v>
      </c>
      <c r="H364" s="72">
        <f t="shared" si="266"/>
        <v>3.0651993461084368</v>
      </c>
      <c r="I364" s="72">
        <f t="shared" si="266"/>
        <v>0.78149866729085027</v>
      </c>
      <c r="J364" s="72">
        <f t="shared" si="266"/>
        <v>1.5581197840994434</v>
      </c>
      <c r="K364" s="72">
        <f t="shared" si="266"/>
        <v>2.3713087347368771</v>
      </c>
      <c r="L364" s="72">
        <f t="shared" si="266"/>
        <v>1.4449745727779435</v>
      </c>
      <c r="M364" s="72">
        <f t="shared" si="266"/>
        <v>1.2381134241486558</v>
      </c>
      <c r="N364" s="72">
        <f t="shared" si="266"/>
        <v>0.45802370677882775</v>
      </c>
      <c r="P364" s="175"/>
    </row>
    <row r="365" spans="1:27" ht="15.75" thickBot="1">
      <c r="A365" s="368">
        <v>41213</v>
      </c>
      <c r="B365" s="368"/>
      <c r="C365" s="368"/>
      <c r="D365" s="67" t="s">
        <v>194</v>
      </c>
      <c r="N365" s="15"/>
    </row>
    <row r="366" spans="1:27">
      <c r="A366" s="407" t="s">
        <v>1</v>
      </c>
      <c r="B366" s="420"/>
      <c r="C366" s="68" t="s">
        <v>12</v>
      </c>
      <c r="D366" s="68" t="s">
        <v>12</v>
      </c>
      <c r="E366" s="68" t="s">
        <v>13</v>
      </c>
      <c r="F366" s="68" t="s">
        <v>13</v>
      </c>
      <c r="G366" s="68" t="s">
        <v>13</v>
      </c>
      <c r="H366" s="68" t="s">
        <v>13</v>
      </c>
      <c r="I366" s="68" t="s">
        <v>13</v>
      </c>
      <c r="J366" s="68" t="s">
        <v>2</v>
      </c>
      <c r="K366" s="68" t="s">
        <v>2</v>
      </c>
      <c r="L366" s="68" t="s">
        <v>2</v>
      </c>
      <c r="M366" s="68" t="s">
        <v>2</v>
      </c>
      <c r="N366" s="4" t="s">
        <v>84</v>
      </c>
    </row>
    <row r="367" spans="1:27" ht="15.75" thickBot="1">
      <c r="A367" s="409" t="s">
        <v>0</v>
      </c>
      <c r="B367" s="414"/>
      <c r="C367" s="99" t="s">
        <v>102</v>
      </c>
      <c r="D367" s="99" t="s">
        <v>103</v>
      </c>
      <c r="E367" s="99" t="s">
        <v>104</v>
      </c>
      <c r="F367" s="99" t="s">
        <v>105</v>
      </c>
      <c r="G367" s="99" t="s">
        <v>100</v>
      </c>
      <c r="H367" s="99" t="s">
        <v>107</v>
      </c>
      <c r="I367" s="99" t="s">
        <v>106</v>
      </c>
      <c r="J367" s="99" t="s">
        <v>108</v>
      </c>
      <c r="K367" s="99" t="s">
        <v>110</v>
      </c>
      <c r="L367" s="99" t="s">
        <v>101</v>
      </c>
      <c r="M367" s="99" t="s">
        <v>109</v>
      </c>
      <c r="N367" s="101" t="s">
        <v>111</v>
      </c>
      <c r="Q367" s="14"/>
      <c r="R367" s="14"/>
      <c r="S367" s="14"/>
      <c r="T367" s="14"/>
      <c r="U367" s="14"/>
      <c r="V367" s="14"/>
      <c r="W367" s="14"/>
      <c r="X367" s="14"/>
      <c r="Y367" s="175"/>
      <c r="Z367" s="174"/>
      <c r="AA367" s="175"/>
    </row>
    <row r="368" spans="1:27">
      <c r="A368" s="421" t="s">
        <v>9</v>
      </c>
      <c r="B368" s="2" t="s">
        <v>4</v>
      </c>
      <c r="C368" s="96">
        <v>143392.20000000001</v>
      </c>
      <c r="D368" s="96">
        <v>150515.79999999999</v>
      </c>
      <c r="E368" s="96">
        <v>150515.79999999999</v>
      </c>
      <c r="F368" s="96">
        <v>181997.8</v>
      </c>
      <c r="G368" s="96">
        <v>165452.5</v>
      </c>
      <c r="H368" s="96">
        <v>132132</v>
      </c>
      <c r="I368" s="96">
        <v>121331.8</v>
      </c>
      <c r="J368" s="96">
        <v>170967.6</v>
      </c>
      <c r="K368" s="96">
        <v>132132.20000000001</v>
      </c>
      <c r="L368" s="96">
        <v>82726.3</v>
      </c>
      <c r="M368" s="96">
        <v>176482.7</v>
      </c>
      <c r="N368" s="100">
        <v>54921</v>
      </c>
      <c r="P368" s="104"/>
      <c r="Y368" s="104"/>
      <c r="Z368" s="104"/>
      <c r="AA368" s="104"/>
    </row>
    <row r="369" spans="1:27">
      <c r="A369" s="422"/>
      <c r="B369" s="63" t="s">
        <v>5</v>
      </c>
      <c r="C369" s="97">
        <v>70253.399999999994</v>
      </c>
      <c r="D369" s="97">
        <v>73454.899999999994</v>
      </c>
      <c r="E369" s="97">
        <v>74897.899999999994</v>
      </c>
      <c r="F369" s="97">
        <v>161535.70000000001</v>
      </c>
      <c r="G369" s="97">
        <v>58495.4</v>
      </c>
      <c r="H369" s="97">
        <v>40783.4</v>
      </c>
      <c r="I369" s="97">
        <v>47322.8</v>
      </c>
      <c r="J369" s="97">
        <v>146089</v>
      </c>
      <c r="K369" s="97">
        <v>39135.5</v>
      </c>
      <c r="L369" s="97">
        <v>30444.6</v>
      </c>
      <c r="M369" s="97">
        <v>97487.4</v>
      </c>
      <c r="N369" s="102">
        <v>23055</v>
      </c>
      <c r="P369" s="104"/>
      <c r="Y369" s="104"/>
      <c r="Z369" s="104"/>
      <c r="AA369" s="104"/>
    </row>
    <row r="370" spans="1:27" ht="15.75" thickBot="1">
      <c r="A370" s="423"/>
      <c r="B370" s="3" t="s">
        <v>3</v>
      </c>
      <c r="C370" s="71">
        <f>C369/C368</f>
        <v>0.48993878328109891</v>
      </c>
      <c r="D370" s="72">
        <f t="shared" ref="D370:E370" si="267">D369/D368</f>
        <v>0.48802119113076503</v>
      </c>
      <c r="E370" s="72">
        <f t="shared" si="267"/>
        <v>0.49760822451862197</v>
      </c>
      <c r="F370" s="72">
        <f>F369/F368</f>
        <v>0.88756952007112189</v>
      </c>
      <c r="G370" s="72">
        <f>G369/G368</f>
        <v>0.35354799715930557</v>
      </c>
      <c r="H370" s="72">
        <f t="shared" ref="H370:N370" si="268">H369/H368</f>
        <v>0.30865649502013137</v>
      </c>
      <c r="I370" s="72">
        <f t="shared" si="268"/>
        <v>0.39002800584842556</v>
      </c>
      <c r="J370" s="72">
        <f t="shared" si="268"/>
        <v>0.85448353957124035</v>
      </c>
      <c r="K370" s="72">
        <f t="shared" si="268"/>
        <v>0.29618442741436224</v>
      </c>
      <c r="L370" s="72">
        <f t="shared" si="268"/>
        <v>0.36801597557246002</v>
      </c>
      <c r="M370" s="72">
        <f t="shared" si="268"/>
        <v>0.55239068758580867</v>
      </c>
      <c r="N370" s="83">
        <f t="shared" si="268"/>
        <v>0.41978478177746215</v>
      </c>
      <c r="P370" s="104"/>
      <c r="Y370" s="104"/>
      <c r="Z370" s="104"/>
      <c r="AA370" s="104"/>
    </row>
    <row r="371" spans="1:27">
      <c r="A371" s="411" t="s">
        <v>6</v>
      </c>
      <c r="B371" s="27" t="s">
        <v>7</v>
      </c>
      <c r="C371" s="68">
        <v>5646</v>
      </c>
      <c r="D371" s="68">
        <v>3302</v>
      </c>
      <c r="E371" s="68">
        <v>3299</v>
      </c>
      <c r="F371" s="68">
        <v>9565</v>
      </c>
      <c r="G371" s="68">
        <v>7653</v>
      </c>
      <c r="H371" s="68">
        <v>14355</v>
      </c>
      <c r="I371" s="68">
        <v>6852</v>
      </c>
      <c r="J371" s="68">
        <v>9193</v>
      </c>
      <c r="K371" s="68">
        <v>10410</v>
      </c>
      <c r="L371" s="68">
        <v>4133</v>
      </c>
      <c r="M371" s="68">
        <v>9050</v>
      </c>
      <c r="N371" s="80">
        <v>792</v>
      </c>
      <c r="P371" s="104"/>
      <c r="Y371" s="104"/>
      <c r="Z371" s="104"/>
      <c r="AA371" s="104"/>
    </row>
    <row r="372" spans="1:27">
      <c r="A372" s="412"/>
      <c r="B372" s="28" t="s">
        <v>11</v>
      </c>
      <c r="C372" s="73">
        <f t="shared" ref="C372:I372" si="269">C371*33.72</f>
        <v>190383.12</v>
      </c>
      <c r="D372" s="73">
        <f t="shared" si="269"/>
        <v>111343.44</v>
      </c>
      <c r="E372" s="73">
        <f t="shared" si="269"/>
        <v>111242.28</v>
      </c>
      <c r="F372" s="73">
        <f t="shared" si="269"/>
        <v>322531.8</v>
      </c>
      <c r="G372" s="73">
        <f t="shared" si="269"/>
        <v>258059.16</v>
      </c>
      <c r="H372" s="73">
        <f t="shared" si="269"/>
        <v>484050.6</v>
      </c>
      <c r="I372" s="73">
        <f t="shared" si="269"/>
        <v>231049.44</v>
      </c>
      <c r="J372" s="73">
        <f>J371*33.72</f>
        <v>309987.95999999996</v>
      </c>
      <c r="K372" s="73">
        <f t="shared" ref="K372:L372" si="270">K371*33.72</f>
        <v>351025.2</v>
      </c>
      <c r="L372" s="73">
        <f t="shared" si="270"/>
        <v>139364.76</v>
      </c>
      <c r="M372" s="73">
        <f>M371*33.72</f>
        <v>305166</v>
      </c>
      <c r="N372" s="84">
        <f t="shared" ref="N372" si="271">N371*33.72</f>
        <v>26706.239999999998</v>
      </c>
      <c r="P372" s="104"/>
      <c r="Y372" s="104"/>
      <c r="Z372" s="104"/>
      <c r="AA372" s="104"/>
    </row>
    <row r="373" spans="1:27">
      <c r="A373" s="412"/>
      <c r="B373" s="28" t="s">
        <v>79</v>
      </c>
      <c r="C373" s="73">
        <v>164000</v>
      </c>
      <c r="D373" s="73">
        <v>109880</v>
      </c>
      <c r="E373" s="73">
        <v>109880</v>
      </c>
      <c r="F373" s="73">
        <v>328000</v>
      </c>
      <c r="G373" s="73">
        <f>G368*2</f>
        <v>330905</v>
      </c>
      <c r="H373" s="73">
        <f>H368*2</f>
        <v>264264</v>
      </c>
      <c r="I373" s="73">
        <f>I368*2</f>
        <v>242663.6</v>
      </c>
      <c r="J373" s="73">
        <v>328000</v>
      </c>
      <c r="K373" s="73">
        <f>K368*2</f>
        <v>264264.40000000002</v>
      </c>
      <c r="L373" s="73">
        <v>328000</v>
      </c>
      <c r="M373" s="73">
        <f>2*M368</f>
        <v>352965.4</v>
      </c>
      <c r="N373" s="84">
        <f>2*N368</f>
        <v>109842</v>
      </c>
      <c r="P373" s="104"/>
      <c r="Y373" s="104"/>
      <c r="Z373" s="104"/>
      <c r="AA373" s="104"/>
    </row>
    <row r="374" spans="1:27">
      <c r="A374" s="412"/>
      <c r="B374" s="66" t="s">
        <v>8</v>
      </c>
      <c r="C374" s="98">
        <f>SUM(C371-289)</f>
        <v>5357</v>
      </c>
      <c r="D374" s="98">
        <f>SUM(D371-580)</f>
        <v>2722</v>
      </c>
      <c r="E374" s="98">
        <f>SUM(E371-583)</f>
        <v>2716</v>
      </c>
      <c r="F374" s="98">
        <f>SUM(F371-1148)</f>
        <v>8417</v>
      </c>
      <c r="G374" s="98">
        <f>SUM(G371-4350)</f>
        <v>3303</v>
      </c>
      <c r="H374" s="98">
        <f>SUM(H371-2344)</f>
        <v>12011</v>
      </c>
      <c r="I374" s="98">
        <f>SUM(I371-(4121-2000))</f>
        <v>4731</v>
      </c>
      <c r="J374" s="98">
        <f>SUM(J371-1293)</f>
        <v>7900</v>
      </c>
      <c r="K374" s="98">
        <f>SUM(K371-1227)</f>
        <v>9183</v>
      </c>
      <c r="L374" s="98">
        <f>SUM(L371-588)</f>
        <v>3545</v>
      </c>
      <c r="M374" s="98">
        <f>SUM(M371-(5879-2614))</f>
        <v>5785</v>
      </c>
      <c r="N374" s="103">
        <f>SUM(N371-46)</f>
        <v>746</v>
      </c>
      <c r="P374" s="14" t="s">
        <v>192</v>
      </c>
    </row>
    <row r="375" spans="1:27">
      <c r="A375" s="412"/>
      <c r="B375" s="29" t="s">
        <v>77</v>
      </c>
      <c r="C375" s="75">
        <f>C374*33.72</f>
        <v>180638.04</v>
      </c>
      <c r="D375" s="75">
        <f>D374*33.72</f>
        <v>91785.84</v>
      </c>
      <c r="E375" s="75">
        <f>E374*33.72</f>
        <v>91583.52</v>
      </c>
      <c r="F375" s="75">
        <f>F374*33.72</f>
        <v>283821.24</v>
      </c>
      <c r="G375" s="75">
        <f>G374*33.72*2</f>
        <v>222754.32</v>
      </c>
      <c r="H375" s="75">
        <f>H374*33.72</f>
        <v>405010.92</v>
      </c>
      <c r="I375" s="75">
        <f>(I374*33.72)-(2000*33.72)</f>
        <v>92089.32</v>
      </c>
      <c r="J375" s="75">
        <f>J374*33.72</f>
        <v>266388</v>
      </c>
      <c r="K375" s="75">
        <f>K374*33.72</f>
        <v>309650.76</v>
      </c>
      <c r="L375" s="75">
        <f>L374*33.72</f>
        <v>119537.4</v>
      </c>
      <c r="M375" s="75">
        <f>((M374*33.72)-(2614*33.72))*2</f>
        <v>213852.23999999996</v>
      </c>
      <c r="N375" s="11">
        <f>N374*33.72</f>
        <v>25155.119999999999</v>
      </c>
      <c r="P375" s="89">
        <f>344240-H375</f>
        <v>-60770.919999999984</v>
      </c>
      <c r="Q375" s="104" t="s">
        <v>193</v>
      </c>
    </row>
    <row r="376" spans="1:27" ht="15.75" thickBot="1">
      <c r="A376" s="413"/>
      <c r="B376" s="256" t="s">
        <v>10</v>
      </c>
      <c r="C376" s="72">
        <f>C375/C368</f>
        <v>1.2597480197667654</v>
      </c>
      <c r="D376" s="72">
        <f t="shared" ref="D376:N376" si="272">D375/D368</f>
        <v>0.6098086712491313</v>
      </c>
      <c r="E376" s="72">
        <f t="shared" si="272"/>
        <v>0.60846449342859699</v>
      </c>
      <c r="F376" s="72">
        <f t="shared" si="272"/>
        <v>1.5594762134487341</v>
      </c>
      <c r="G376" s="72">
        <f t="shared" si="272"/>
        <v>1.3463339629198714</v>
      </c>
      <c r="H376" s="72">
        <f t="shared" si="272"/>
        <v>3.0651993461084368</v>
      </c>
      <c r="I376" s="72">
        <f t="shared" si="272"/>
        <v>0.75898750368823342</v>
      </c>
      <c r="J376" s="72">
        <f t="shared" si="272"/>
        <v>1.5581197840994434</v>
      </c>
      <c r="K376" s="72">
        <f t="shared" si="272"/>
        <v>2.343492048115448</v>
      </c>
      <c r="L376" s="72">
        <f t="shared" si="272"/>
        <v>1.4449745727779435</v>
      </c>
      <c r="M376" s="72">
        <f t="shared" si="272"/>
        <v>1.2117461938195639</v>
      </c>
      <c r="N376" s="72">
        <f t="shared" si="272"/>
        <v>0.45802370677882775</v>
      </c>
      <c r="P376" s="175"/>
    </row>
    <row r="377" spans="1:27" ht="15.75" thickBot="1">
      <c r="A377" s="368">
        <v>41211</v>
      </c>
      <c r="B377" s="368"/>
      <c r="C377" s="368"/>
      <c r="D377" s="67" t="s">
        <v>194</v>
      </c>
      <c r="N377" s="15"/>
    </row>
    <row r="378" spans="1:27">
      <c r="A378" s="407" t="s">
        <v>1</v>
      </c>
      <c r="B378" s="420"/>
      <c r="C378" s="68" t="s">
        <v>12</v>
      </c>
      <c r="D378" s="68" t="s">
        <v>12</v>
      </c>
      <c r="E378" s="68" t="s">
        <v>13</v>
      </c>
      <c r="F378" s="68" t="s">
        <v>13</v>
      </c>
      <c r="G378" s="68" t="s">
        <v>13</v>
      </c>
      <c r="H378" s="68" t="s">
        <v>13</v>
      </c>
      <c r="I378" s="68" t="s">
        <v>13</v>
      </c>
      <c r="J378" s="68" t="s">
        <v>2</v>
      </c>
      <c r="K378" s="68" t="s">
        <v>2</v>
      </c>
      <c r="L378" s="68" t="s">
        <v>2</v>
      </c>
      <c r="M378" s="68" t="s">
        <v>2</v>
      </c>
      <c r="N378" s="4" t="s">
        <v>84</v>
      </c>
    </row>
    <row r="379" spans="1:27" ht="15.75" thickBot="1">
      <c r="A379" s="409" t="s">
        <v>0</v>
      </c>
      <c r="B379" s="414"/>
      <c r="C379" s="99" t="s">
        <v>102</v>
      </c>
      <c r="D379" s="99" t="s">
        <v>103</v>
      </c>
      <c r="E379" s="99" t="s">
        <v>104</v>
      </c>
      <c r="F379" s="99" t="s">
        <v>105</v>
      </c>
      <c r="G379" s="99" t="s">
        <v>100</v>
      </c>
      <c r="H379" s="99" t="s">
        <v>107</v>
      </c>
      <c r="I379" s="99" t="s">
        <v>106</v>
      </c>
      <c r="J379" s="99" t="s">
        <v>108</v>
      </c>
      <c r="K379" s="99" t="s">
        <v>110</v>
      </c>
      <c r="L379" s="99" t="s">
        <v>101</v>
      </c>
      <c r="M379" s="99" t="s">
        <v>109</v>
      </c>
      <c r="N379" s="101" t="s">
        <v>111</v>
      </c>
      <c r="Q379" s="14"/>
      <c r="R379" s="14"/>
      <c r="S379" s="14"/>
      <c r="T379" s="14"/>
      <c r="U379" s="14"/>
      <c r="V379" s="14"/>
      <c r="W379" s="14"/>
      <c r="X379" s="14"/>
      <c r="Y379" s="175"/>
      <c r="Z379" s="174"/>
      <c r="AA379" s="175"/>
    </row>
    <row r="380" spans="1:27">
      <c r="A380" s="421" t="s">
        <v>9</v>
      </c>
      <c r="B380" s="2" t="s">
        <v>4</v>
      </c>
      <c r="C380" s="96">
        <v>143392.20000000001</v>
      </c>
      <c r="D380" s="96">
        <v>150515.79999999999</v>
      </c>
      <c r="E380" s="96">
        <v>150515.79999999999</v>
      </c>
      <c r="F380" s="96">
        <v>181997.8</v>
      </c>
      <c r="G380" s="96">
        <v>165452.5</v>
      </c>
      <c r="H380" s="96">
        <v>132132</v>
      </c>
      <c r="I380" s="96">
        <v>121331.8</v>
      </c>
      <c r="J380" s="96">
        <v>170967.6</v>
      </c>
      <c r="K380" s="96">
        <v>132132.20000000001</v>
      </c>
      <c r="L380" s="96">
        <v>82726.3</v>
      </c>
      <c r="M380" s="96">
        <v>176482.7</v>
      </c>
      <c r="N380" s="100">
        <v>54921</v>
      </c>
      <c r="P380" s="104"/>
      <c r="Y380" s="104"/>
      <c r="Z380" s="104"/>
      <c r="AA380" s="104"/>
    </row>
    <row r="381" spans="1:27">
      <c r="A381" s="422"/>
      <c r="B381" s="63" t="s">
        <v>5</v>
      </c>
      <c r="C381" s="97">
        <v>71967.199999999997</v>
      </c>
      <c r="D381" s="97">
        <v>73291.7</v>
      </c>
      <c r="E381" s="97">
        <v>74723.5</v>
      </c>
      <c r="F381" s="97">
        <v>161437.5</v>
      </c>
      <c r="G381" s="97">
        <v>58140.4</v>
      </c>
      <c r="H381" s="97">
        <v>39658.699999999997</v>
      </c>
      <c r="I381" s="97">
        <v>47274.7</v>
      </c>
      <c r="J381" s="97">
        <v>145976.1</v>
      </c>
      <c r="K381" s="97">
        <v>39607.300000000003</v>
      </c>
      <c r="L381" s="97">
        <v>30266.6</v>
      </c>
      <c r="M381" s="97">
        <v>97394.3</v>
      </c>
      <c r="N381" s="102">
        <v>23055</v>
      </c>
      <c r="P381" s="104"/>
      <c r="Y381" s="104"/>
      <c r="Z381" s="104"/>
      <c r="AA381" s="104"/>
    </row>
    <row r="382" spans="1:27" ht="15.75" thickBot="1">
      <c r="A382" s="423"/>
      <c r="B382" s="3" t="s">
        <v>3</v>
      </c>
      <c r="C382" s="71">
        <f>C381/C380</f>
        <v>0.50189061887606157</v>
      </c>
      <c r="D382" s="72">
        <f t="shared" ref="D382:E382" si="273">D381/D380</f>
        <v>0.48693691957920698</v>
      </c>
      <c r="E382" s="72">
        <f t="shared" si="273"/>
        <v>0.49644954217430998</v>
      </c>
      <c r="F382" s="72">
        <f>F381/F380</f>
        <v>0.88702995310932331</v>
      </c>
      <c r="G382" s="72">
        <f>G381/G380</f>
        <v>0.35140236623804416</v>
      </c>
      <c r="H382" s="72">
        <f t="shared" ref="H382:N382" si="274">H381/H380</f>
        <v>0.30014455241727966</v>
      </c>
      <c r="I382" s="72">
        <f t="shared" si="274"/>
        <v>0.38963157226712203</v>
      </c>
      <c r="J382" s="72">
        <f t="shared" si="274"/>
        <v>0.85382318053245176</v>
      </c>
      <c r="K382" s="72">
        <f t="shared" si="274"/>
        <v>0.29975509376215637</v>
      </c>
      <c r="L382" s="72">
        <f t="shared" si="274"/>
        <v>0.36586430192091268</v>
      </c>
      <c r="M382" s="72">
        <f t="shared" si="274"/>
        <v>0.55186315712531597</v>
      </c>
      <c r="N382" s="83">
        <f t="shared" si="274"/>
        <v>0.41978478177746215</v>
      </c>
      <c r="P382" s="104"/>
      <c r="Y382" s="104"/>
      <c r="Z382" s="104"/>
      <c r="AA382" s="104"/>
    </row>
    <row r="383" spans="1:27">
      <c r="A383" s="411" t="s">
        <v>6</v>
      </c>
      <c r="B383" s="27" t="s">
        <v>7</v>
      </c>
      <c r="C383" s="68">
        <v>5646</v>
      </c>
      <c r="D383" s="68">
        <v>3302</v>
      </c>
      <c r="E383" s="68">
        <v>3299</v>
      </c>
      <c r="F383" s="68">
        <v>9565</v>
      </c>
      <c r="G383" s="68">
        <v>7653</v>
      </c>
      <c r="H383" s="68">
        <v>14355</v>
      </c>
      <c r="I383" s="68">
        <v>6852</v>
      </c>
      <c r="J383" s="68">
        <v>9193</v>
      </c>
      <c r="K383" s="68">
        <v>10410</v>
      </c>
      <c r="L383" s="68">
        <v>4133</v>
      </c>
      <c r="M383" s="68">
        <v>9050</v>
      </c>
      <c r="N383" s="80">
        <v>792</v>
      </c>
      <c r="P383" s="104"/>
      <c r="Y383" s="104"/>
      <c r="Z383" s="104"/>
      <c r="AA383" s="104"/>
    </row>
    <row r="384" spans="1:27">
      <c r="A384" s="412"/>
      <c r="B384" s="28" t="s">
        <v>11</v>
      </c>
      <c r="C384" s="73">
        <f t="shared" ref="C384:I384" si="275">C383*33.72</f>
        <v>190383.12</v>
      </c>
      <c r="D384" s="73">
        <f t="shared" si="275"/>
        <v>111343.44</v>
      </c>
      <c r="E384" s="73">
        <f t="shared" si="275"/>
        <v>111242.28</v>
      </c>
      <c r="F384" s="73">
        <f t="shared" si="275"/>
        <v>322531.8</v>
      </c>
      <c r="G384" s="73">
        <f t="shared" si="275"/>
        <v>258059.16</v>
      </c>
      <c r="H384" s="73">
        <f t="shared" si="275"/>
        <v>484050.6</v>
      </c>
      <c r="I384" s="73">
        <f t="shared" si="275"/>
        <v>231049.44</v>
      </c>
      <c r="J384" s="73">
        <f>J383*33.72</f>
        <v>309987.95999999996</v>
      </c>
      <c r="K384" s="73">
        <f t="shared" ref="K384:L384" si="276">K383*33.72</f>
        <v>351025.2</v>
      </c>
      <c r="L384" s="73">
        <f t="shared" si="276"/>
        <v>139364.76</v>
      </c>
      <c r="M384" s="73">
        <f>M383*33.72</f>
        <v>305166</v>
      </c>
      <c r="N384" s="84">
        <f t="shared" ref="N384" si="277">N383*33.72</f>
        <v>26706.239999999998</v>
      </c>
      <c r="P384" s="104"/>
      <c r="Y384" s="104"/>
      <c r="Z384" s="104"/>
      <c r="AA384" s="104"/>
    </row>
    <row r="385" spans="1:27">
      <c r="A385" s="412"/>
      <c r="B385" s="28" t="s">
        <v>79</v>
      </c>
      <c r="C385" s="73">
        <v>164000</v>
      </c>
      <c r="D385" s="73">
        <v>109880</v>
      </c>
      <c r="E385" s="73">
        <v>109880</v>
      </c>
      <c r="F385" s="73">
        <v>328000</v>
      </c>
      <c r="G385" s="73">
        <f>G380*2</f>
        <v>330905</v>
      </c>
      <c r="H385" s="73">
        <f>H380*2</f>
        <v>264264</v>
      </c>
      <c r="I385" s="73">
        <f>I380*2</f>
        <v>242663.6</v>
      </c>
      <c r="J385" s="73">
        <v>328000</v>
      </c>
      <c r="K385" s="73">
        <f>K380*2</f>
        <v>264264.40000000002</v>
      </c>
      <c r="L385" s="73">
        <v>328000</v>
      </c>
      <c r="M385" s="73">
        <f>2*M380</f>
        <v>352965.4</v>
      </c>
      <c r="N385" s="84">
        <f>2*N380</f>
        <v>109842</v>
      </c>
      <c r="P385" s="104"/>
      <c r="Y385" s="104"/>
      <c r="Z385" s="104"/>
      <c r="AA385" s="104"/>
    </row>
    <row r="386" spans="1:27">
      <c r="A386" s="412"/>
      <c r="B386" s="66" t="s">
        <v>8</v>
      </c>
      <c r="C386" s="98">
        <f>SUM(C383-290)</f>
        <v>5356</v>
      </c>
      <c r="D386" s="98">
        <f>SUM(D383-580)</f>
        <v>2722</v>
      </c>
      <c r="E386" s="98">
        <f>SUM(E383-583)</f>
        <v>2716</v>
      </c>
      <c r="F386" s="98">
        <f>SUM(F383-1156)</f>
        <v>8409</v>
      </c>
      <c r="G386" s="98">
        <f>SUM(G383-4350)</f>
        <v>3303</v>
      </c>
      <c r="H386" s="98">
        <f>SUM(H383-2458)</f>
        <v>11897</v>
      </c>
      <c r="I386" s="98">
        <f>SUM(I383-(4121-2000))</f>
        <v>4731</v>
      </c>
      <c r="J386" s="98">
        <f>SUM(J383-1290)</f>
        <v>7903</v>
      </c>
      <c r="K386" s="98">
        <f>SUM(K383-1227)</f>
        <v>9183</v>
      </c>
      <c r="L386" s="98">
        <f>SUM(L383-588)</f>
        <v>3545</v>
      </c>
      <c r="M386" s="98">
        <f>SUM(M383-(5879-2614))</f>
        <v>5785</v>
      </c>
      <c r="N386" s="103">
        <f>SUM(N383-46)</f>
        <v>746</v>
      </c>
      <c r="P386" s="14" t="s">
        <v>192</v>
      </c>
    </row>
    <row r="387" spans="1:27">
      <c r="A387" s="412"/>
      <c r="B387" s="29" t="s">
        <v>77</v>
      </c>
      <c r="C387" s="75">
        <f>C386*33.72</f>
        <v>180604.32</v>
      </c>
      <c r="D387" s="75">
        <f>D386*33.72</f>
        <v>91785.84</v>
      </c>
      <c r="E387" s="75">
        <f>E386*33.72</f>
        <v>91583.52</v>
      </c>
      <c r="F387" s="75">
        <f>F386*33.72</f>
        <v>283551.48</v>
      </c>
      <c r="G387" s="75">
        <f>G386*33.72*2</f>
        <v>222754.32</v>
      </c>
      <c r="H387" s="75">
        <f>H386*33.72</f>
        <v>401166.83999999997</v>
      </c>
      <c r="I387" s="75">
        <f>(I386*33.72)-(2000*33.72)</f>
        <v>92089.32</v>
      </c>
      <c r="J387" s="75">
        <f>J386*33.72</f>
        <v>266489.15999999997</v>
      </c>
      <c r="K387" s="75">
        <f>K386*33.72</f>
        <v>309650.76</v>
      </c>
      <c r="L387" s="75">
        <f>L386*33.72</f>
        <v>119537.4</v>
      </c>
      <c r="M387" s="75">
        <f>((M386*33.72)-(2614*33.72))*2</f>
        <v>213852.23999999996</v>
      </c>
      <c r="N387" s="11">
        <f>N386*33.72</f>
        <v>25155.119999999999</v>
      </c>
      <c r="P387" s="89">
        <f>344240-H387</f>
        <v>-56926.839999999967</v>
      </c>
      <c r="Q387" s="104" t="s">
        <v>193</v>
      </c>
    </row>
    <row r="388" spans="1:27" ht="15.75" thickBot="1">
      <c r="A388" s="413"/>
      <c r="B388" s="256" t="s">
        <v>10</v>
      </c>
      <c r="C388" s="72">
        <f>C387/C380</f>
        <v>1.2595128605321628</v>
      </c>
      <c r="D388" s="72">
        <f t="shared" ref="D388:N388" si="278">D387/D380</f>
        <v>0.6098086712491313</v>
      </c>
      <c r="E388" s="72">
        <f t="shared" si="278"/>
        <v>0.60846449342859699</v>
      </c>
      <c r="F388" s="72">
        <f t="shared" si="278"/>
        <v>1.5579939977296429</v>
      </c>
      <c r="G388" s="72">
        <f t="shared" si="278"/>
        <v>1.3463339629198714</v>
      </c>
      <c r="H388" s="72">
        <f t="shared" si="278"/>
        <v>3.0361066206520748</v>
      </c>
      <c r="I388" s="72">
        <f t="shared" si="278"/>
        <v>0.75898750368823342</v>
      </c>
      <c r="J388" s="72">
        <f t="shared" si="278"/>
        <v>1.5587114751566962</v>
      </c>
      <c r="K388" s="72">
        <f t="shared" si="278"/>
        <v>2.343492048115448</v>
      </c>
      <c r="L388" s="72">
        <f t="shared" si="278"/>
        <v>1.4449745727779435</v>
      </c>
      <c r="M388" s="72">
        <f t="shared" si="278"/>
        <v>1.2117461938195639</v>
      </c>
      <c r="N388" s="72">
        <f t="shared" si="278"/>
        <v>0.45802370677882775</v>
      </c>
      <c r="P388" s="175"/>
    </row>
    <row r="389" spans="1:27" ht="15.75" thickBot="1">
      <c r="A389" s="368">
        <v>41208</v>
      </c>
      <c r="B389" s="368"/>
      <c r="C389" s="368"/>
      <c r="D389" s="67" t="s">
        <v>194</v>
      </c>
      <c r="N389" s="15"/>
    </row>
    <row r="390" spans="1:27">
      <c r="A390" s="407" t="s">
        <v>1</v>
      </c>
      <c r="B390" s="420"/>
      <c r="C390" s="68" t="s">
        <v>12</v>
      </c>
      <c r="D390" s="68" t="s">
        <v>12</v>
      </c>
      <c r="E390" s="68" t="s">
        <v>13</v>
      </c>
      <c r="F390" s="68" t="s">
        <v>13</v>
      </c>
      <c r="G390" s="68" t="s">
        <v>13</v>
      </c>
      <c r="H390" s="68" t="s">
        <v>13</v>
      </c>
      <c r="I390" s="68" t="s">
        <v>13</v>
      </c>
      <c r="J390" s="68" t="s">
        <v>2</v>
      </c>
      <c r="K390" s="68" t="s">
        <v>2</v>
      </c>
      <c r="L390" s="68" t="s">
        <v>2</v>
      </c>
      <c r="M390" s="68" t="s">
        <v>2</v>
      </c>
      <c r="N390" s="4" t="s">
        <v>84</v>
      </c>
    </row>
    <row r="391" spans="1:27" ht="15.75" thickBot="1">
      <c r="A391" s="409" t="s">
        <v>0</v>
      </c>
      <c r="B391" s="414"/>
      <c r="C391" s="99" t="s">
        <v>102</v>
      </c>
      <c r="D391" s="99" t="s">
        <v>103</v>
      </c>
      <c r="E391" s="99" t="s">
        <v>104</v>
      </c>
      <c r="F391" s="99" t="s">
        <v>105</v>
      </c>
      <c r="G391" s="99" t="s">
        <v>100</v>
      </c>
      <c r="H391" s="99" t="s">
        <v>107</v>
      </c>
      <c r="I391" s="99" t="s">
        <v>106</v>
      </c>
      <c r="J391" s="99" t="s">
        <v>108</v>
      </c>
      <c r="K391" s="99" t="s">
        <v>110</v>
      </c>
      <c r="L391" s="99" t="s">
        <v>101</v>
      </c>
      <c r="M391" s="99" t="s">
        <v>109</v>
      </c>
      <c r="N391" s="101" t="s">
        <v>111</v>
      </c>
      <c r="Q391" s="14"/>
      <c r="R391" s="14"/>
      <c r="S391" s="14"/>
      <c r="T391" s="14"/>
      <c r="U391" s="14"/>
      <c r="V391" s="14"/>
      <c r="W391" s="14"/>
      <c r="X391" s="14"/>
      <c r="Y391" s="175"/>
      <c r="Z391" s="174"/>
      <c r="AA391" s="175"/>
    </row>
    <row r="392" spans="1:27">
      <c r="A392" s="421" t="s">
        <v>9</v>
      </c>
      <c r="B392" s="2" t="s">
        <v>4</v>
      </c>
      <c r="C392" s="96">
        <v>143392.20000000001</v>
      </c>
      <c r="D392" s="96">
        <v>150515.79999999999</v>
      </c>
      <c r="E392" s="96">
        <v>150515.79999999999</v>
      </c>
      <c r="F392" s="96">
        <v>181997.8</v>
      </c>
      <c r="G392" s="96">
        <v>165452.5</v>
      </c>
      <c r="H392" s="96">
        <v>132132</v>
      </c>
      <c r="I392" s="96">
        <v>121331.8</v>
      </c>
      <c r="J392" s="96">
        <v>170967.6</v>
      </c>
      <c r="K392" s="96">
        <v>132132.20000000001</v>
      </c>
      <c r="L392" s="96">
        <v>82726.3</v>
      </c>
      <c r="M392" s="96">
        <v>176482.7</v>
      </c>
      <c r="N392" s="100">
        <v>54921</v>
      </c>
      <c r="P392" s="104"/>
      <c r="Y392" s="104"/>
      <c r="Z392" s="104"/>
      <c r="AA392" s="104"/>
    </row>
    <row r="393" spans="1:27">
      <c r="A393" s="422"/>
      <c r="B393" s="63" t="s">
        <v>5</v>
      </c>
      <c r="C393" s="97">
        <v>62709.3</v>
      </c>
      <c r="D393" s="97">
        <v>72056.399999999994</v>
      </c>
      <c r="E393" s="97">
        <v>73485.7</v>
      </c>
      <c r="F393" s="97">
        <v>161306.9</v>
      </c>
      <c r="G393" s="97">
        <v>57799.3</v>
      </c>
      <c r="H393" s="97">
        <v>38654.400000000001</v>
      </c>
      <c r="I393" s="97">
        <v>47150.9</v>
      </c>
      <c r="J393" s="97">
        <v>145832</v>
      </c>
      <c r="K393" s="97">
        <v>40672.9</v>
      </c>
      <c r="L393" s="97">
        <v>29817.7</v>
      </c>
      <c r="M393" s="97">
        <v>97146.2</v>
      </c>
      <c r="N393" s="102">
        <v>23054.799999999999</v>
      </c>
      <c r="P393" s="104"/>
      <c r="Y393" s="104"/>
      <c r="Z393" s="104"/>
      <c r="AA393" s="104"/>
    </row>
    <row r="394" spans="1:27" ht="15.75" thickBot="1">
      <c r="A394" s="423"/>
      <c r="B394" s="3" t="s">
        <v>3</v>
      </c>
      <c r="C394" s="71">
        <f>C393/C392</f>
        <v>0.43732713494876291</v>
      </c>
      <c r="D394" s="72">
        <f t="shared" ref="D394:E394" si="279">D393/D392</f>
        <v>0.47872980776768953</v>
      </c>
      <c r="E394" s="72">
        <f t="shared" si="279"/>
        <v>0.48822582081083848</v>
      </c>
      <c r="F394" s="72">
        <f>F393/F392</f>
        <v>0.88631236201756292</v>
      </c>
      <c r="G394" s="72">
        <f>G393/G392</f>
        <v>0.34934074734440401</v>
      </c>
      <c r="H394" s="72">
        <f t="shared" ref="H394:N394" si="280">H393/H392</f>
        <v>0.29254381981654709</v>
      </c>
      <c r="I394" s="72">
        <f t="shared" si="280"/>
        <v>0.3886112297023534</v>
      </c>
      <c r="J394" s="72">
        <f t="shared" si="280"/>
        <v>0.85298033077612367</v>
      </c>
      <c r="K394" s="72">
        <f t="shared" si="280"/>
        <v>0.30781974416531321</v>
      </c>
      <c r="L394" s="72">
        <f t="shared" si="280"/>
        <v>0.3604379743805779</v>
      </c>
      <c r="M394" s="72">
        <f t="shared" si="280"/>
        <v>0.55045735361029713</v>
      </c>
      <c r="N394" s="83">
        <f t="shared" si="280"/>
        <v>0.4197811401831722</v>
      </c>
      <c r="P394" s="104"/>
      <c r="Y394" s="104"/>
      <c r="Z394" s="104"/>
      <c r="AA394" s="104"/>
    </row>
    <row r="395" spans="1:27">
      <c r="A395" s="411" t="s">
        <v>6</v>
      </c>
      <c r="B395" s="27" t="s">
        <v>7</v>
      </c>
      <c r="C395" s="68">
        <v>5294</v>
      </c>
      <c r="D395" s="68">
        <v>3240</v>
      </c>
      <c r="E395" s="68">
        <v>3275</v>
      </c>
      <c r="F395" s="68">
        <v>9565</v>
      </c>
      <c r="G395" s="68">
        <v>7653</v>
      </c>
      <c r="H395" s="68">
        <v>14355</v>
      </c>
      <c r="I395" s="68">
        <v>6852</v>
      </c>
      <c r="J395" s="68">
        <v>9193</v>
      </c>
      <c r="K395" s="68">
        <v>10410</v>
      </c>
      <c r="L395" s="68">
        <v>4133</v>
      </c>
      <c r="M395" s="68">
        <v>9050</v>
      </c>
      <c r="N395" s="80">
        <v>792</v>
      </c>
      <c r="P395" s="104"/>
      <c r="Y395" s="104"/>
      <c r="Z395" s="104"/>
      <c r="AA395" s="104"/>
    </row>
    <row r="396" spans="1:27">
      <c r="A396" s="412"/>
      <c r="B396" s="28" t="s">
        <v>11</v>
      </c>
      <c r="C396" s="73">
        <f t="shared" ref="C396:I396" si="281">C395*33.72</f>
        <v>178513.68</v>
      </c>
      <c r="D396" s="73">
        <f t="shared" si="281"/>
        <v>109252.8</v>
      </c>
      <c r="E396" s="73">
        <f t="shared" si="281"/>
        <v>110433</v>
      </c>
      <c r="F396" s="73">
        <f t="shared" si="281"/>
        <v>322531.8</v>
      </c>
      <c r="G396" s="73">
        <f t="shared" si="281"/>
        <v>258059.16</v>
      </c>
      <c r="H396" s="73">
        <f t="shared" si="281"/>
        <v>484050.6</v>
      </c>
      <c r="I396" s="73">
        <f t="shared" si="281"/>
        <v>231049.44</v>
      </c>
      <c r="J396" s="73">
        <f>J395*33.72</f>
        <v>309987.95999999996</v>
      </c>
      <c r="K396" s="73">
        <f t="shared" ref="K396:L396" si="282">K395*33.72</f>
        <v>351025.2</v>
      </c>
      <c r="L396" s="73">
        <f t="shared" si="282"/>
        <v>139364.76</v>
      </c>
      <c r="M396" s="73">
        <f>M395*33.72</f>
        <v>305166</v>
      </c>
      <c r="N396" s="84">
        <f t="shared" ref="N396" si="283">N395*33.72</f>
        <v>26706.239999999998</v>
      </c>
      <c r="P396" s="104"/>
      <c r="Y396" s="104"/>
      <c r="Z396" s="104"/>
      <c r="AA396" s="104"/>
    </row>
    <row r="397" spans="1:27">
      <c r="A397" s="412"/>
      <c r="B397" s="28" t="s">
        <v>79</v>
      </c>
      <c r="C397" s="73">
        <v>164000</v>
      </c>
      <c r="D397" s="73">
        <v>109880</v>
      </c>
      <c r="E397" s="73">
        <v>109880</v>
      </c>
      <c r="F397" s="73">
        <v>328000</v>
      </c>
      <c r="G397" s="73">
        <f>G392*2</f>
        <v>330905</v>
      </c>
      <c r="H397" s="73">
        <f>H392*2</f>
        <v>264264</v>
      </c>
      <c r="I397" s="73">
        <f>I392*2</f>
        <v>242663.6</v>
      </c>
      <c r="J397" s="73">
        <v>328000</v>
      </c>
      <c r="K397" s="73">
        <f>K392*2</f>
        <v>264264.40000000002</v>
      </c>
      <c r="L397" s="73">
        <v>328000</v>
      </c>
      <c r="M397" s="73">
        <f>2*M392</f>
        <v>352965.4</v>
      </c>
      <c r="N397" s="84">
        <f>2*N392</f>
        <v>109842</v>
      </c>
      <c r="P397" s="104"/>
      <c r="Y397" s="104"/>
      <c r="Z397" s="104"/>
      <c r="AA397" s="104"/>
    </row>
    <row r="398" spans="1:27">
      <c r="A398" s="412"/>
      <c r="B398" s="66" t="s">
        <v>8</v>
      </c>
      <c r="C398" s="98">
        <f>SUM(C395-290)</f>
        <v>5004</v>
      </c>
      <c r="D398" s="98">
        <f>SUM(D395-580)</f>
        <v>2660</v>
      </c>
      <c r="E398" s="98">
        <f>SUM(E395-583)</f>
        <v>2692</v>
      </c>
      <c r="F398" s="98">
        <f>SUM(F395-1156)</f>
        <v>8409</v>
      </c>
      <c r="G398" s="98">
        <f>SUM(G395-4350)</f>
        <v>3303</v>
      </c>
      <c r="H398" s="98">
        <f>SUM(H395-2667)</f>
        <v>11688</v>
      </c>
      <c r="I398" s="98">
        <f>SUM(I395-(4197-2000))</f>
        <v>4655</v>
      </c>
      <c r="J398" s="98">
        <f>SUM(J395-1290)</f>
        <v>7903</v>
      </c>
      <c r="K398" s="98">
        <f>SUM(K395-1227)</f>
        <v>9183</v>
      </c>
      <c r="L398" s="98">
        <f>SUM(L395-588)</f>
        <v>3545</v>
      </c>
      <c r="M398" s="98">
        <f>SUM(M395-(5879-2614))</f>
        <v>5785</v>
      </c>
      <c r="N398" s="103">
        <f>SUM(N395-46)</f>
        <v>746</v>
      </c>
      <c r="P398" s="14" t="s">
        <v>192</v>
      </c>
    </row>
    <row r="399" spans="1:27">
      <c r="A399" s="412"/>
      <c r="B399" s="29" t="s">
        <v>77</v>
      </c>
      <c r="C399" s="75">
        <f>C398*33.72</f>
        <v>168734.88</v>
      </c>
      <c r="D399" s="75">
        <f>D398*33.72</f>
        <v>89695.2</v>
      </c>
      <c r="E399" s="75">
        <f>E398*33.72</f>
        <v>90774.239999999991</v>
      </c>
      <c r="F399" s="75">
        <f>F398*33.72</f>
        <v>283551.48</v>
      </c>
      <c r="G399" s="75">
        <f>G398*33.72*2</f>
        <v>222754.32</v>
      </c>
      <c r="H399" s="75">
        <f>H398*33.72</f>
        <v>394119.36</v>
      </c>
      <c r="I399" s="75">
        <f>(I398*33.72)-(2000*33.72)</f>
        <v>89526.6</v>
      </c>
      <c r="J399" s="75">
        <f>J398*33.72</f>
        <v>266489.15999999997</v>
      </c>
      <c r="K399" s="75">
        <f>K398*33.72</f>
        <v>309650.76</v>
      </c>
      <c r="L399" s="75">
        <f>L398*33.72</f>
        <v>119537.4</v>
      </c>
      <c r="M399" s="75">
        <f>((M398*33.72)-(2614*33.72))*2</f>
        <v>213852.23999999996</v>
      </c>
      <c r="N399" s="11">
        <f>N398*33.72</f>
        <v>25155.119999999999</v>
      </c>
      <c r="P399" s="89">
        <f>344240-H399</f>
        <v>-49879.359999999986</v>
      </c>
      <c r="Q399" s="104" t="s">
        <v>193</v>
      </c>
    </row>
    <row r="400" spans="1:27" ht="15.75" thickBot="1">
      <c r="A400" s="413"/>
      <c r="B400" s="256" t="s">
        <v>10</v>
      </c>
      <c r="C400" s="72">
        <f>C399/C392</f>
        <v>1.1767368099520057</v>
      </c>
      <c r="D400" s="72">
        <f t="shared" ref="D400:N400" si="284">D399/D392</f>
        <v>0.59591883377027532</v>
      </c>
      <c r="E400" s="72">
        <f t="shared" si="284"/>
        <v>0.60308778214645897</v>
      </c>
      <c r="F400" s="72">
        <f t="shared" si="284"/>
        <v>1.5579939977296429</v>
      </c>
      <c r="G400" s="72">
        <f t="shared" si="284"/>
        <v>1.3463339629198714</v>
      </c>
      <c r="H400" s="72">
        <f t="shared" si="284"/>
        <v>2.9827699573154116</v>
      </c>
      <c r="I400" s="72">
        <f t="shared" si="284"/>
        <v>0.73786591808577806</v>
      </c>
      <c r="J400" s="72">
        <f t="shared" si="284"/>
        <v>1.5587114751566962</v>
      </c>
      <c r="K400" s="72">
        <f t="shared" si="284"/>
        <v>2.343492048115448</v>
      </c>
      <c r="L400" s="72">
        <f t="shared" si="284"/>
        <v>1.4449745727779435</v>
      </c>
      <c r="M400" s="72">
        <f t="shared" si="284"/>
        <v>1.2117461938195639</v>
      </c>
      <c r="N400" s="72">
        <f t="shared" si="284"/>
        <v>0.45802370677882775</v>
      </c>
      <c r="P400" s="175"/>
    </row>
    <row r="401" spans="1:27" ht="15.75" thickBot="1">
      <c r="A401" s="368">
        <v>41207</v>
      </c>
      <c r="B401" s="368"/>
      <c r="C401" s="368"/>
      <c r="N401" s="15"/>
    </row>
    <row r="402" spans="1:27">
      <c r="A402" s="407" t="s">
        <v>1</v>
      </c>
      <c r="B402" s="420"/>
      <c r="C402" s="68" t="s">
        <v>12</v>
      </c>
      <c r="D402" s="68" t="s">
        <v>12</v>
      </c>
      <c r="E402" s="68" t="s">
        <v>13</v>
      </c>
      <c r="F402" s="68" t="s">
        <v>13</v>
      </c>
      <c r="G402" s="68" t="s">
        <v>13</v>
      </c>
      <c r="H402" s="68" t="s">
        <v>13</v>
      </c>
      <c r="I402" s="68" t="s">
        <v>13</v>
      </c>
      <c r="J402" s="68" t="s">
        <v>2</v>
      </c>
      <c r="K402" s="68" t="s">
        <v>2</v>
      </c>
      <c r="L402" s="68" t="s">
        <v>2</v>
      </c>
      <c r="M402" s="68" t="s">
        <v>2</v>
      </c>
      <c r="N402" s="4" t="s">
        <v>84</v>
      </c>
    </row>
    <row r="403" spans="1:27" ht="15.75" thickBot="1">
      <c r="A403" s="409" t="s">
        <v>0</v>
      </c>
      <c r="B403" s="414"/>
      <c r="C403" s="99" t="s">
        <v>102</v>
      </c>
      <c r="D403" s="99" t="s">
        <v>103</v>
      </c>
      <c r="E403" s="99" t="s">
        <v>104</v>
      </c>
      <c r="F403" s="99" t="s">
        <v>105</v>
      </c>
      <c r="G403" s="99" t="s">
        <v>100</v>
      </c>
      <c r="H403" s="99" t="s">
        <v>107</v>
      </c>
      <c r="I403" s="99" t="s">
        <v>106</v>
      </c>
      <c r="J403" s="99" t="s">
        <v>108</v>
      </c>
      <c r="K403" s="99" t="s">
        <v>110</v>
      </c>
      <c r="L403" s="99" t="s">
        <v>101</v>
      </c>
      <c r="M403" s="99" t="s">
        <v>109</v>
      </c>
      <c r="N403" s="101" t="s">
        <v>111</v>
      </c>
      <c r="Q403" s="14"/>
      <c r="R403" s="14"/>
      <c r="S403" s="14"/>
      <c r="T403" s="14"/>
      <c r="U403" s="14"/>
      <c r="V403" s="14"/>
      <c r="W403" s="14"/>
      <c r="X403" s="14"/>
      <c r="Y403" s="175"/>
      <c r="Z403" s="174"/>
      <c r="AA403" s="175"/>
    </row>
    <row r="404" spans="1:27">
      <c r="A404" s="421" t="s">
        <v>9</v>
      </c>
      <c r="B404" s="2" t="s">
        <v>4</v>
      </c>
      <c r="C404" s="96">
        <v>143392.20000000001</v>
      </c>
      <c r="D404" s="96">
        <v>150515.79999999999</v>
      </c>
      <c r="E404" s="96">
        <v>150515.79999999999</v>
      </c>
      <c r="F404" s="96">
        <v>181997.8</v>
      </c>
      <c r="G404" s="96">
        <v>165452.5</v>
      </c>
      <c r="H404" s="96">
        <v>132132</v>
      </c>
      <c r="I404" s="96">
        <v>121331.8</v>
      </c>
      <c r="J404" s="96">
        <v>170967.6</v>
      </c>
      <c r="K404" s="96">
        <v>132132.20000000001</v>
      </c>
      <c r="L404" s="96">
        <v>82726.3</v>
      </c>
      <c r="M404" s="96">
        <v>176482.7</v>
      </c>
      <c r="N404" s="100">
        <v>54921</v>
      </c>
      <c r="P404" s="104"/>
      <c r="Y404" s="104"/>
      <c r="Z404" s="104"/>
      <c r="AA404" s="104"/>
    </row>
    <row r="405" spans="1:27">
      <c r="A405" s="422"/>
      <c r="B405" s="63" t="s">
        <v>5</v>
      </c>
      <c r="C405" s="97">
        <v>64251.8</v>
      </c>
      <c r="D405" s="97">
        <v>72039.399999999994</v>
      </c>
      <c r="E405" s="97">
        <v>73460.899999999994</v>
      </c>
      <c r="F405" s="97">
        <v>161279.29999999999</v>
      </c>
      <c r="G405" s="97">
        <v>57167.5</v>
      </c>
      <c r="H405" s="97">
        <v>38501.1</v>
      </c>
      <c r="I405" s="97">
        <v>47144.1</v>
      </c>
      <c r="J405" s="97">
        <v>145803.1</v>
      </c>
      <c r="K405" s="97">
        <v>39978.699999999997</v>
      </c>
      <c r="L405" s="97">
        <v>29488.5</v>
      </c>
      <c r="M405" s="97">
        <v>97132.4</v>
      </c>
      <c r="N405" s="102">
        <v>23054.799999999999</v>
      </c>
      <c r="P405" s="104"/>
      <c r="Y405" s="104"/>
      <c r="Z405" s="104"/>
      <c r="AA405" s="104"/>
    </row>
    <row r="406" spans="1:27" ht="15.75" thickBot="1">
      <c r="A406" s="423"/>
      <c r="B406" s="3" t="s">
        <v>3</v>
      </c>
      <c r="C406" s="71">
        <f>C405/C404</f>
        <v>0.44808434489463161</v>
      </c>
      <c r="D406" s="72">
        <f t="shared" ref="D406:E406" si="285">D405/D404</f>
        <v>0.47861686281440219</v>
      </c>
      <c r="E406" s="72">
        <f t="shared" si="285"/>
        <v>0.48806105405545464</v>
      </c>
      <c r="F406" s="72">
        <f>F405/F404</f>
        <v>0.88616071183278033</v>
      </c>
      <c r="G406" s="72">
        <f>G405/G404</f>
        <v>0.3455221287076351</v>
      </c>
      <c r="H406" s="72">
        <f t="shared" ref="H406:N406" si="286">H405/H404</f>
        <v>0.29138361638361637</v>
      </c>
      <c r="I406" s="72">
        <f t="shared" si="286"/>
        <v>0.38855518503805264</v>
      </c>
      <c r="J406" s="72">
        <f t="shared" si="286"/>
        <v>0.85281129289994129</v>
      </c>
      <c r="K406" s="72">
        <f t="shared" si="286"/>
        <v>0.30256591504568903</v>
      </c>
      <c r="L406" s="72">
        <f t="shared" si="286"/>
        <v>0.35645858693063753</v>
      </c>
      <c r="M406" s="72">
        <f t="shared" si="286"/>
        <v>0.55037915897705547</v>
      </c>
      <c r="N406" s="83">
        <f t="shared" si="286"/>
        <v>0.4197811401831722</v>
      </c>
      <c r="P406" s="104"/>
      <c r="Y406" s="104"/>
      <c r="Z406" s="104"/>
      <c r="AA406" s="104"/>
    </row>
    <row r="407" spans="1:27">
      <c r="A407" s="411" t="s">
        <v>6</v>
      </c>
      <c r="B407" s="27" t="s">
        <v>7</v>
      </c>
      <c r="C407" s="68">
        <v>5294</v>
      </c>
      <c r="D407" s="68">
        <v>3240</v>
      </c>
      <c r="E407" s="68">
        <v>3275</v>
      </c>
      <c r="F407" s="68">
        <v>9565</v>
      </c>
      <c r="G407" s="68">
        <v>7653</v>
      </c>
      <c r="H407" s="68">
        <v>14355</v>
      </c>
      <c r="I407" s="68">
        <v>6852</v>
      </c>
      <c r="J407" s="68">
        <v>9193</v>
      </c>
      <c r="K407" s="68">
        <v>10410</v>
      </c>
      <c r="L407" s="68">
        <v>4133</v>
      </c>
      <c r="M407" s="68">
        <v>9050</v>
      </c>
      <c r="N407" s="80">
        <v>792</v>
      </c>
      <c r="P407" s="104"/>
      <c r="Y407" s="104"/>
      <c r="Z407" s="104"/>
      <c r="AA407" s="104"/>
    </row>
    <row r="408" spans="1:27">
      <c r="A408" s="412"/>
      <c r="B408" s="28" t="s">
        <v>11</v>
      </c>
      <c r="C408" s="73">
        <f t="shared" ref="C408:I408" si="287">C407*33.72</f>
        <v>178513.68</v>
      </c>
      <c r="D408" s="73">
        <f t="shared" si="287"/>
        <v>109252.8</v>
      </c>
      <c r="E408" s="73">
        <f t="shared" si="287"/>
        <v>110433</v>
      </c>
      <c r="F408" s="73">
        <f t="shared" si="287"/>
        <v>322531.8</v>
      </c>
      <c r="G408" s="73">
        <f t="shared" si="287"/>
        <v>258059.16</v>
      </c>
      <c r="H408" s="73">
        <f t="shared" si="287"/>
        <v>484050.6</v>
      </c>
      <c r="I408" s="73">
        <f t="shared" si="287"/>
        <v>231049.44</v>
      </c>
      <c r="J408" s="73">
        <f>J407*33.72</f>
        <v>309987.95999999996</v>
      </c>
      <c r="K408" s="73">
        <f t="shared" ref="K408:L408" si="288">K407*33.72</f>
        <v>351025.2</v>
      </c>
      <c r="L408" s="73">
        <f t="shared" si="288"/>
        <v>139364.76</v>
      </c>
      <c r="M408" s="73">
        <f>M407*33.72</f>
        <v>305166</v>
      </c>
      <c r="N408" s="84">
        <f t="shared" ref="N408" si="289">N407*33.72</f>
        <v>26706.239999999998</v>
      </c>
      <c r="P408" s="104"/>
      <c r="Y408" s="104"/>
      <c r="Z408" s="104"/>
      <c r="AA408" s="104"/>
    </row>
    <row r="409" spans="1:27">
      <c r="A409" s="412"/>
      <c r="B409" s="28" t="s">
        <v>79</v>
      </c>
      <c r="C409" s="73">
        <v>164000</v>
      </c>
      <c r="D409" s="73">
        <v>109880</v>
      </c>
      <c r="E409" s="73">
        <v>109880</v>
      </c>
      <c r="F409" s="73">
        <v>328000</v>
      </c>
      <c r="G409" s="73">
        <f>G404*2</f>
        <v>330905</v>
      </c>
      <c r="H409" s="73">
        <f>H404*2</f>
        <v>264264</v>
      </c>
      <c r="I409" s="73">
        <f>I404*2</f>
        <v>242663.6</v>
      </c>
      <c r="J409" s="73">
        <v>328000</v>
      </c>
      <c r="K409" s="73">
        <f>K404*2</f>
        <v>264264.40000000002</v>
      </c>
      <c r="L409" s="73">
        <v>328000</v>
      </c>
      <c r="M409" s="73">
        <f>2*M404</f>
        <v>352965.4</v>
      </c>
      <c r="N409" s="84">
        <f>2*N404</f>
        <v>109842</v>
      </c>
      <c r="P409" s="104"/>
      <c r="Y409" s="104"/>
      <c r="Z409" s="104"/>
      <c r="AA409" s="104"/>
    </row>
    <row r="410" spans="1:27">
      <c r="A410" s="412"/>
      <c r="B410" s="66" t="s">
        <v>8</v>
      </c>
      <c r="C410" s="98">
        <f>SUM(C407-290)</f>
        <v>5004</v>
      </c>
      <c r="D410" s="98">
        <f>SUM(D407-580)</f>
        <v>2660</v>
      </c>
      <c r="E410" s="98">
        <f>SUM(E407-583)</f>
        <v>2692</v>
      </c>
      <c r="F410" s="98">
        <f>SUM(F407-1156)</f>
        <v>8409</v>
      </c>
      <c r="G410" s="98">
        <f>SUM(G407-4350)</f>
        <v>3303</v>
      </c>
      <c r="H410" s="98">
        <f>SUM(H407-2939)</f>
        <v>11416</v>
      </c>
      <c r="I410" s="98">
        <f>SUM(I407-(4197-2000))</f>
        <v>4655</v>
      </c>
      <c r="J410" s="98">
        <f>SUM(J407-1290)</f>
        <v>7903</v>
      </c>
      <c r="K410" s="98">
        <f>SUM(K407-1210)</f>
        <v>9200</v>
      </c>
      <c r="L410" s="98">
        <f>SUM(L407-588)</f>
        <v>3545</v>
      </c>
      <c r="M410" s="98">
        <f>SUM(M407-(5955-2614))</f>
        <v>5709</v>
      </c>
      <c r="N410" s="103">
        <f>SUM(N407-46)</f>
        <v>746</v>
      </c>
      <c r="P410" s="14" t="s">
        <v>192</v>
      </c>
    </row>
    <row r="411" spans="1:27">
      <c r="A411" s="412"/>
      <c r="B411" s="29" t="s">
        <v>77</v>
      </c>
      <c r="C411" s="75">
        <f>C410*33.72</f>
        <v>168734.88</v>
      </c>
      <c r="D411" s="75">
        <f>D410*33.72</f>
        <v>89695.2</v>
      </c>
      <c r="E411" s="75">
        <f>E410*33.72</f>
        <v>90774.239999999991</v>
      </c>
      <c r="F411" s="75">
        <f>F410*33.72</f>
        <v>283551.48</v>
      </c>
      <c r="G411" s="75">
        <f>G410*33.72*2</f>
        <v>222754.32</v>
      </c>
      <c r="H411" s="75">
        <f>H410*33.72</f>
        <v>384947.51999999996</v>
      </c>
      <c r="I411" s="75">
        <f>(I410*33.72)+33000</f>
        <v>189966.6</v>
      </c>
      <c r="J411" s="75">
        <f>J410*33.72</f>
        <v>266489.15999999997</v>
      </c>
      <c r="K411" s="75">
        <f>K410*33.72</f>
        <v>310224</v>
      </c>
      <c r="L411" s="75">
        <f>L410*33.72</f>
        <v>119537.4</v>
      </c>
      <c r="M411" s="75">
        <f>M410*33.72*2</f>
        <v>385014.95999999996</v>
      </c>
      <c r="N411" s="11">
        <f>N410*33.72</f>
        <v>25155.119999999999</v>
      </c>
      <c r="P411" s="89">
        <f>344240-H411</f>
        <v>-40707.51999999996</v>
      </c>
      <c r="Q411" s="104" t="s">
        <v>193</v>
      </c>
    </row>
    <row r="412" spans="1:27" ht="15.75" thickBot="1">
      <c r="A412" s="413"/>
      <c r="B412" s="256" t="s">
        <v>10</v>
      </c>
      <c r="C412" s="72">
        <f>C411/C404</f>
        <v>1.1767368099520057</v>
      </c>
      <c r="D412" s="72">
        <f t="shared" ref="D412:N412" si="290">D411/D404</f>
        <v>0.59591883377027532</v>
      </c>
      <c r="E412" s="72">
        <f t="shared" si="290"/>
        <v>0.60308778214645897</v>
      </c>
      <c r="F412" s="72">
        <f t="shared" si="290"/>
        <v>1.5579939977296429</v>
      </c>
      <c r="G412" s="72">
        <f t="shared" si="290"/>
        <v>1.3463339629198714</v>
      </c>
      <c r="H412" s="72">
        <f t="shared" si="290"/>
        <v>2.9133557351739165</v>
      </c>
      <c r="I412" s="72">
        <f t="shared" si="290"/>
        <v>1.5656785772567456</v>
      </c>
      <c r="J412" s="72">
        <f t="shared" si="290"/>
        <v>1.5587114751566962</v>
      </c>
      <c r="K412" s="72">
        <f t="shared" si="290"/>
        <v>2.3478304304325515</v>
      </c>
      <c r="L412" s="72">
        <f t="shared" si="290"/>
        <v>1.4449745727779435</v>
      </c>
      <c r="M412" s="72">
        <f t="shared" si="290"/>
        <v>2.1816017094026776</v>
      </c>
      <c r="N412" s="72">
        <f t="shared" si="290"/>
        <v>0.45802370677882775</v>
      </c>
      <c r="P412" s="175"/>
    </row>
    <row r="413" spans="1:27" ht="15.75" thickBot="1">
      <c r="A413" s="368">
        <v>41205</v>
      </c>
      <c r="B413" s="368"/>
      <c r="C413" s="368"/>
      <c r="N413" s="15"/>
    </row>
    <row r="414" spans="1:27">
      <c r="A414" s="407" t="s">
        <v>1</v>
      </c>
      <c r="B414" s="420"/>
      <c r="C414" s="68" t="s">
        <v>12</v>
      </c>
      <c r="D414" s="68" t="s">
        <v>12</v>
      </c>
      <c r="E414" s="68" t="s">
        <v>13</v>
      </c>
      <c r="F414" s="68" t="s">
        <v>13</v>
      </c>
      <c r="G414" s="68" t="s">
        <v>13</v>
      </c>
      <c r="H414" s="68" t="s">
        <v>13</v>
      </c>
      <c r="I414" s="68" t="s">
        <v>13</v>
      </c>
      <c r="J414" s="68" t="s">
        <v>2</v>
      </c>
      <c r="K414" s="68" t="s">
        <v>2</v>
      </c>
      <c r="L414" s="68" t="s">
        <v>2</v>
      </c>
      <c r="M414" s="68" t="s">
        <v>2</v>
      </c>
      <c r="N414" s="4" t="s">
        <v>84</v>
      </c>
    </row>
    <row r="415" spans="1:27" ht="15.75" thickBot="1">
      <c r="A415" s="409" t="s">
        <v>0</v>
      </c>
      <c r="B415" s="414"/>
      <c r="C415" s="99" t="s">
        <v>102</v>
      </c>
      <c r="D415" s="99" t="s">
        <v>103</v>
      </c>
      <c r="E415" s="99" t="s">
        <v>104</v>
      </c>
      <c r="F415" s="99" t="s">
        <v>105</v>
      </c>
      <c r="G415" s="99" t="s">
        <v>100</v>
      </c>
      <c r="H415" s="99" t="s">
        <v>107</v>
      </c>
      <c r="I415" s="99" t="s">
        <v>106</v>
      </c>
      <c r="J415" s="99" t="s">
        <v>108</v>
      </c>
      <c r="K415" s="99" t="s">
        <v>110</v>
      </c>
      <c r="L415" s="99" t="s">
        <v>101</v>
      </c>
      <c r="M415" s="99" t="s">
        <v>109</v>
      </c>
      <c r="N415" s="101" t="s">
        <v>111</v>
      </c>
      <c r="Q415" s="14"/>
      <c r="R415" s="14"/>
      <c r="S415" s="14"/>
      <c r="T415" s="14"/>
      <c r="U415" s="14"/>
      <c r="V415" s="14"/>
      <c r="W415" s="14"/>
      <c r="X415" s="14"/>
      <c r="Y415" s="175"/>
      <c r="Z415" s="174"/>
      <c r="AA415" s="175"/>
    </row>
    <row r="416" spans="1:27">
      <c r="A416" s="421" t="s">
        <v>9</v>
      </c>
      <c r="B416" s="2" t="s">
        <v>4</v>
      </c>
      <c r="C416" s="96">
        <v>143392.20000000001</v>
      </c>
      <c r="D416" s="96">
        <v>150515.79999999999</v>
      </c>
      <c r="E416" s="96">
        <v>150515.79999999999</v>
      </c>
      <c r="F416" s="96">
        <v>181997.8</v>
      </c>
      <c r="G416" s="96">
        <v>165452.5</v>
      </c>
      <c r="H416" s="96">
        <v>110071.9</v>
      </c>
      <c r="I416" s="96">
        <v>121331.8</v>
      </c>
      <c r="J416" s="96">
        <v>170967.6</v>
      </c>
      <c r="K416" s="96">
        <v>132132.20000000001</v>
      </c>
      <c r="L416" s="96">
        <v>82726.3</v>
      </c>
      <c r="M416" s="96">
        <v>176482.7</v>
      </c>
      <c r="N416" s="100">
        <v>54921</v>
      </c>
      <c r="P416" s="104"/>
      <c r="Y416" s="104"/>
      <c r="Z416" s="104"/>
      <c r="AA416" s="104"/>
    </row>
    <row r="417" spans="1:27">
      <c r="A417" s="422"/>
      <c r="B417" s="63" t="s">
        <v>5</v>
      </c>
      <c r="C417" s="97">
        <v>67167.7</v>
      </c>
      <c r="D417" s="97">
        <v>72004.100000000006</v>
      </c>
      <c r="E417" s="97">
        <v>73425.5</v>
      </c>
      <c r="F417" s="97">
        <v>161216.9</v>
      </c>
      <c r="G417" s="97">
        <v>55488.4</v>
      </c>
      <c r="H417" s="97">
        <v>31728.2</v>
      </c>
      <c r="I417" s="97">
        <v>47121.7</v>
      </c>
      <c r="J417" s="97">
        <v>145574.5</v>
      </c>
      <c r="K417" s="97">
        <v>41742.1</v>
      </c>
      <c r="L417" s="97">
        <v>29130</v>
      </c>
      <c r="M417" s="97">
        <v>97087.6</v>
      </c>
      <c r="N417" s="102">
        <v>23054.799999999999</v>
      </c>
      <c r="P417" s="104"/>
      <c r="Y417" s="104"/>
      <c r="Z417" s="104"/>
      <c r="AA417" s="104"/>
    </row>
    <row r="418" spans="1:27" ht="15.75" thickBot="1">
      <c r="A418" s="423"/>
      <c r="B418" s="3" t="s">
        <v>3</v>
      </c>
      <c r="C418" s="71">
        <f>C417/C416</f>
        <v>0.46841948167334063</v>
      </c>
      <c r="D418" s="72">
        <f t="shared" ref="D418:E418" si="291">D417/D416</f>
        <v>0.47838233594081159</v>
      </c>
      <c r="E418" s="72">
        <f t="shared" si="291"/>
        <v>0.48782586279978585</v>
      </c>
      <c r="F418" s="72">
        <f>F417/F416</f>
        <v>0.88581785054544615</v>
      </c>
      <c r="G418" s="72">
        <f>G417/G416</f>
        <v>0.33537359665160699</v>
      </c>
      <c r="H418" s="72">
        <f t="shared" ref="H418:N418" si="292">H417/H416</f>
        <v>0.28824977128585955</v>
      </c>
      <c r="I418" s="72">
        <f t="shared" si="292"/>
        <v>0.38837056732035619</v>
      </c>
      <c r="J418" s="72">
        <f t="shared" si="292"/>
        <v>0.85147419745027708</v>
      </c>
      <c r="K418" s="72">
        <f t="shared" si="292"/>
        <v>0.31591164000902122</v>
      </c>
      <c r="L418" s="72">
        <f t="shared" si="292"/>
        <v>0.35212501949198743</v>
      </c>
      <c r="M418" s="72">
        <f t="shared" si="292"/>
        <v>0.55012530973290863</v>
      </c>
      <c r="N418" s="83">
        <f t="shared" si="292"/>
        <v>0.4197811401831722</v>
      </c>
      <c r="P418" s="104"/>
      <c r="Y418" s="104"/>
      <c r="Z418" s="104"/>
      <c r="AA418" s="104"/>
    </row>
    <row r="419" spans="1:27">
      <c r="A419" s="411" t="s">
        <v>6</v>
      </c>
      <c r="B419" s="27" t="s">
        <v>7</v>
      </c>
      <c r="C419" s="68">
        <v>5294</v>
      </c>
      <c r="D419" s="68">
        <v>3240</v>
      </c>
      <c r="E419" s="68">
        <v>3237</v>
      </c>
      <c r="F419" s="68">
        <v>9565</v>
      </c>
      <c r="G419" s="68">
        <v>7653</v>
      </c>
      <c r="H419" s="68">
        <v>13554</v>
      </c>
      <c r="I419" s="68">
        <v>6852</v>
      </c>
      <c r="J419" s="68">
        <v>9193</v>
      </c>
      <c r="K419" s="68">
        <v>10410</v>
      </c>
      <c r="L419" s="68">
        <v>4133</v>
      </c>
      <c r="M419" s="68">
        <v>9050</v>
      </c>
      <c r="N419" s="80">
        <v>792</v>
      </c>
      <c r="P419" s="104"/>
      <c r="Y419" s="104"/>
      <c r="Z419" s="104"/>
      <c r="AA419" s="104"/>
    </row>
    <row r="420" spans="1:27">
      <c r="A420" s="412"/>
      <c r="B420" s="28" t="s">
        <v>11</v>
      </c>
      <c r="C420" s="73">
        <f t="shared" ref="C420:I420" si="293">C419*33.72</f>
        <v>178513.68</v>
      </c>
      <c r="D420" s="73">
        <f t="shared" si="293"/>
        <v>109252.8</v>
      </c>
      <c r="E420" s="73">
        <f t="shared" si="293"/>
        <v>109151.64</v>
      </c>
      <c r="F420" s="73">
        <f t="shared" si="293"/>
        <v>322531.8</v>
      </c>
      <c r="G420" s="73">
        <f t="shared" si="293"/>
        <v>258059.16</v>
      </c>
      <c r="H420" s="73">
        <f t="shared" si="293"/>
        <v>457040.88</v>
      </c>
      <c r="I420" s="73">
        <f t="shared" si="293"/>
        <v>231049.44</v>
      </c>
      <c r="J420" s="73">
        <f>J419*33.72</f>
        <v>309987.95999999996</v>
      </c>
      <c r="K420" s="73">
        <f t="shared" ref="K420:L420" si="294">K419*33.72</f>
        <v>351025.2</v>
      </c>
      <c r="L420" s="73">
        <f t="shared" si="294"/>
        <v>139364.76</v>
      </c>
      <c r="M420" s="73">
        <f>M419*33.72</f>
        <v>305166</v>
      </c>
      <c r="N420" s="84">
        <f t="shared" ref="N420" si="295">N419*33.72</f>
        <v>26706.239999999998</v>
      </c>
      <c r="P420" s="104"/>
      <c r="Y420" s="104"/>
      <c r="Z420" s="104"/>
      <c r="AA420" s="104"/>
    </row>
    <row r="421" spans="1:27">
      <c r="A421" s="412"/>
      <c r="B421" s="28" t="s">
        <v>79</v>
      </c>
      <c r="C421" s="73">
        <v>164000</v>
      </c>
      <c r="D421" s="73">
        <v>109880</v>
      </c>
      <c r="E421" s="73">
        <v>109880</v>
      </c>
      <c r="F421" s="73">
        <v>328000</v>
      </c>
      <c r="G421" s="73">
        <f>G416*2</f>
        <v>330905</v>
      </c>
      <c r="H421" s="73">
        <f>H416*2</f>
        <v>220143.8</v>
      </c>
      <c r="I421" s="73">
        <f>I416*2</f>
        <v>242663.6</v>
      </c>
      <c r="J421" s="73">
        <v>328000</v>
      </c>
      <c r="K421" s="73">
        <f>K416*2</f>
        <v>264264.40000000002</v>
      </c>
      <c r="L421" s="73">
        <v>328000</v>
      </c>
      <c r="M421" s="73">
        <f>2*M416</f>
        <v>352965.4</v>
      </c>
      <c r="N421" s="84">
        <f>2*N416</f>
        <v>109842</v>
      </c>
      <c r="P421" s="104"/>
      <c r="Y421" s="104"/>
      <c r="Z421" s="104"/>
      <c r="AA421" s="104"/>
    </row>
    <row r="422" spans="1:27">
      <c r="A422" s="412"/>
      <c r="B422" s="66" t="s">
        <v>8</v>
      </c>
      <c r="C422" s="98">
        <f>SUM(C419-290)</f>
        <v>5004</v>
      </c>
      <c r="D422" s="98">
        <f>SUM(D419-580)</f>
        <v>2660</v>
      </c>
      <c r="E422" s="98">
        <f>SUM(E419-583)</f>
        <v>2654</v>
      </c>
      <c r="F422" s="98">
        <f>SUM(F419-1156)</f>
        <v>8409</v>
      </c>
      <c r="G422" s="98">
        <f>SUM(G419-4350)</f>
        <v>3303</v>
      </c>
      <c r="H422" s="98">
        <f>SUM(H419-2138)</f>
        <v>11416</v>
      </c>
      <c r="I422" s="98">
        <f>SUM(I419-(4201-2000))</f>
        <v>4651</v>
      </c>
      <c r="J422" s="98">
        <f>SUM(J419-1290)</f>
        <v>7903</v>
      </c>
      <c r="K422" s="98">
        <f>SUM(K419-1306)</f>
        <v>9104</v>
      </c>
      <c r="L422" s="98">
        <f>SUM(L419-588)</f>
        <v>3545</v>
      </c>
      <c r="M422" s="98">
        <f>SUM(M419-(5959-2614))</f>
        <v>5705</v>
      </c>
      <c r="N422" s="103">
        <f>SUM(N419-46)</f>
        <v>746</v>
      </c>
      <c r="P422" s="14" t="s">
        <v>192</v>
      </c>
    </row>
    <row r="423" spans="1:27">
      <c r="A423" s="412"/>
      <c r="B423" s="29" t="s">
        <v>77</v>
      </c>
      <c r="C423" s="75">
        <f>C422*33.72</f>
        <v>168734.88</v>
      </c>
      <c r="D423" s="75">
        <f>D422*33.72</f>
        <v>89695.2</v>
      </c>
      <c r="E423" s="75">
        <f>E422*33.72</f>
        <v>89492.87999999999</v>
      </c>
      <c r="F423" s="75">
        <f>F422*33.72</f>
        <v>283551.48</v>
      </c>
      <c r="G423" s="75">
        <f>G422*33.72*2</f>
        <v>222754.32</v>
      </c>
      <c r="H423" s="75">
        <f>H422*33.72</f>
        <v>384947.51999999996</v>
      </c>
      <c r="I423" s="75">
        <f>I422*33.72</f>
        <v>156831.72</v>
      </c>
      <c r="J423" s="75">
        <f>J422*33.72</f>
        <v>266489.15999999997</v>
      </c>
      <c r="K423" s="75">
        <f>K422*33.72</f>
        <v>306986.88</v>
      </c>
      <c r="L423" s="75">
        <f>L422*33.72</f>
        <v>119537.4</v>
      </c>
      <c r="M423" s="75">
        <f>M422*33.72*2</f>
        <v>384745.2</v>
      </c>
      <c r="N423" s="11">
        <f>N422*33.72</f>
        <v>25155.119999999999</v>
      </c>
      <c r="P423" s="89">
        <f>344240-H423</f>
        <v>-40707.51999999996</v>
      </c>
      <c r="Q423" s="104" t="s">
        <v>193</v>
      </c>
    </row>
    <row r="424" spans="1:27" ht="15.75" thickBot="1">
      <c r="A424" s="413"/>
      <c r="B424" s="256" t="s">
        <v>10</v>
      </c>
      <c r="C424" s="72">
        <f>C423/C416</f>
        <v>1.1767368099520057</v>
      </c>
      <c r="D424" s="72">
        <f t="shared" ref="D424:N424" si="296">D423/D416</f>
        <v>0.59591883377027532</v>
      </c>
      <c r="E424" s="72">
        <f t="shared" si="296"/>
        <v>0.59457465594974079</v>
      </c>
      <c r="F424" s="72">
        <f t="shared" si="296"/>
        <v>1.5579939977296429</v>
      </c>
      <c r="G424" s="72">
        <f t="shared" si="296"/>
        <v>1.3463339629198714</v>
      </c>
      <c r="H424" s="72">
        <f t="shared" si="296"/>
        <v>3.4972369878234133</v>
      </c>
      <c r="I424" s="72">
        <f t="shared" si="296"/>
        <v>1.292585455750265</v>
      </c>
      <c r="J424" s="72">
        <f t="shared" si="296"/>
        <v>1.5587114751566962</v>
      </c>
      <c r="K424" s="72">
        <f t="shared" si="296"/>
        <v>2.3233313302889074</v>
      </c>
      <c r="L424" s="72">
        <f t="shared" si="296"/>
        <v>1.4449745727779435</v>
      </c>
      <c r="M424" s="72">
        <f t="shared" si="296"/>
        <v>2.1800731743111363</v>
      </c>
      <c r="N424" s="72">
        <f t="shared" si="296"/>
        <v>0.45802370677882775</v>
      </c>
      <c r="P424" s="175"/>
    </row>
    <row r="425" spans="1:27" ht="15.75" thickBot="1">
      <c r="A425" s="368">
        <v>41200</v>
      </c>
      <c r="B425" s="368"/>
      <c r="C425" s="368"/>
      <c r="N425" s="15"/>
    </row>
    <row r="426" spans="1:27">
      <c r="A426" s="407" t="s">
        <v>1</v>
      </c>
      <c r="B426" s="420"/>
      <c r="C426" s="68" t="s">
        <v>12</v>
      </c>
      <c r="D426" s="68" t="s">
        <v>12</v>
      </c>
      <c r="E426" s="68" t="s">
        <v>13</v>
      </c>
      <c r="F426" s="68" t="s">
        <v>13</v>
      </c>
      <c r="G426" s="68" t="s">
        <v>13</v>
      </c>
      <c r="H426" s="68" t="s">
        <v>13</v>
      </c>
      <c r="I426" s="68" t="s">
        <v>13</v>
      </c>
      <c r="J426" s="68" t="s">
        <v>2</v>
      </c>
      <c r="K426" s="68" t="s">
        <v>2</v>
      </c>
      <c r="L426" s="68" t="s">
        <v>2</v>
      </c>
      <c r="M426" s="68" t="s">
        <v>2</v>
      </c>
      <c r="N426" s="4" t="s">
        <v>84</v>
      </c>
    </row>
    <row r="427" spans="1:27" ht="15.75" thickBot="1">
      <c r="A427" s="409" t="s">
        <v>0</v>
      </c>
      <c r="B427" s="414"/>
      <c r="C427" s="99" t="s">
        <v>102</v>
      </c>
      <c r="D427" s="99" t="s">
        <v>103</v>
      </c>
      <c r="E427" s="99" t="s">
        <v>104</v>
      </c>
      <c r="F427" s="99" t="s">
        <v>105</v>
      </c>
      <c r="G427" s="99" t="s">
        <v>100</v>
      </c>
      <c r="H427" s="99" t="s">
        <v>107</v>
      </c>
      <c r="I427" s="99" t="s">
        <v>106</v>
      </c>
      <c r="J427" s="99" t="s">
        <v>108</v>
      </c>
      <c r="K427" s="99" t="s">
        <v>110</v>
      </c>
      <c r="L427" s="99" t="s">
        <v>101</v>
      </c>
      <c r="M427" s="99" t="s">
        <v>109</v>
      </c>
      <c r="N427" s="101" t="s">
        <v>111</v>
      </c>
      <c r="Q427" s="14"/>
      <c r="R427" s="14"/>
      <c r="S427" s="14"/>
      <c r="T427" s="14"/>
      <c r="U427" s="14"/>
      <c r="V427" s="14"/>
      <c r="W427" s="14"/>
      <c r="X427" s="14"/>
      <c r="Y427" s="175"/>
      <c r="Z427" s="174"/>
      <c r="AA427" s="175"/>
    </row>
    <row r="428" spans="1:27">
      <c r="A428" s="421" t="s">
        <v>9</v>
      </c>
      <c r="B428" s="2" t="s">
        <v>4</v>
      </c>
      <c r="C428" s="96">
        <v>143392.20000000001</v>
      </c>
      <c r="D428" s="96">
        <v>150515.79999999999</v>
      </c>
      <c r="E428" s="96">
        <v>150515.79999999999</v>
      </c>
      <c r="F428" s="96">
        <v>181997.8</v>
      </c>
      <c r="G428" s="96">
        <v>165452.5</v>
      </c>
      <c r="H428" s="96">
        <v>110071.9</v>
      </c>
      <c r="I428" s="96">
        <v>121331.8</v>
      </c>
      <c r="J428" s="96">
        <v>170967.6</v>
      </c>
      <c r="K428" s="96">
        <v>132132.20000000001</v>
      </c>
      <c r="L428" s="96">
        <v>82726.3</v>
      </c>
      <c r="M428" s="96">
        <v>176482.7</v>
      </c>
      <c r="N428" s="100">
        <v>54921</v>
      </c>
      <c r="P428" s="104"/>
      <c r="Y428" s="104"/>
      <c r="Z428" s="104"/>
      <c r="AA428" s="104"/>
    </row>
    <row r="429" spans="1:27">
      <c r="A429" s="422"/>
      <c r="B429" s="63" t="s">
        <v>5</v>
      </c>
      <c r="C429" s="97">
        <v>75311.5</v>
      </c>
      <c r="D429" s="97">
        <v>71952.600000000006</v>
      </c>
      <c r="E429" s="97">
        <v>73371.5</v>
      </c>
      <c r="F429" s="97">
        <v>161033.1</v>
      </c>
      <c r="G429" s="97">
        <v>55488.4</v>
      </c>
      <c r="H429" s="97">
        <v>23722.2</v>
      </c>
      <c r="I429" s="97">
        <v>47009.4</v>
      </c>
      <c r="J429" s="97">
        <v>145325.9</v>
      </c>
      <c r="K429" s="97">
        <v>44341.2</v>
      </c>
      <c r="L429" s="97">
        <v>28675.200000000001</v>
      </c>
      <c r="M429" s="97">
        <v>96868.2</v>
      </c>
      <c r="N429" s="102">
        <v>23054.400000000001</v>
      </c>
      <c r="P429" s="104"/>
      <c r="Y429" s="104"/>
      <c r="Z429" s="104"/>
      <c r="AA429" s="104"/>
    </row>
    <row r="430" spans="1:27" ht="15.75" thickBot="1">
      <c r="A430" s="423"/>
      <c r="B430" s="3" t="s">
        <v>3</v>
      </c>
      <c r="C430" s="71">
        <f>C429/C428</f>
        <v>0.52521336585950973</v>
      </c>
      <c r="D430" s="72">
        <f t="shared" ref="D430:E430" si="297">D429/D428</f>
        <v>0.47804017917055891</v>
      </c>
      <c r="E430" s="72">
        <f t="shared" si="297"/>
        <v>0.48746709647757913</v>
      </c>
      <c r="F430" s="72">
        <f>F429/F428</f>
        <v>0.88480794822794573</v>
      </c>
      <c r="G430" s="72">
        <f>G429/G428</f>
        <v>0.33537359665160699</v>
      </c>
      <c r="H430" s="72">
        <f t="shared" ref="H430:N430" si="298">H429/H428</f>
        <v>0.21551549487198823</v>
      </c>
      <c r="I430" s="72">
        <f t="shared" si="298"/>
        <v>0.38744500617315492</v>
      </c>
      <c r="J430" s="72">
        <f t="shared" si="298"/>
        <v>0.85002012077142097</v>
      </c>
      <c r="K430" s="72">
        <f t="shared" si="298"/>
        <v>0.33558209126919852</v>
      </c>
      <c r="L430" s="72">
        <f t="shared" si="298"/>
        <v>0.3466273724317418</v>
      </c>
      <c r="M430" s="72">
        <f t="shared" si="298"/>
        <v>0.54888212838992145</v>
      </c>
      <c r="N430" s="83">
        <f t="shared" si="298"/>
        <v>0.41977385699459224</v>
      </c>
      <c r="P430" s="104"/>
      <c r="Y430" s="104"/>
      <c r="Z430" s="104"/>
      <c r="AA430" s="104"/>
    </row>
    <row r="431" spans="1:27">
      <c r="A431" s="411" t="s">
        <v>6</v>
      </c>
      <c r="B431" s="27" t="s">
        <v>7</v>
      </c>
      <c r="C431" s="68">
        <v>5290</v>
      </c>
      <c r="D431" s="68">
        <v>3240</v>
      </c>
      <c r="E431" s="68">
        <v>3237</v>
      </c>
      <c r="F431" s="68">
        <v>9565</v>
      </c>
      <c r="G431" s="68">
        <v>7653</v>
      </c>
      <c r="H431" s="68">
        <v>12966</v>
      </c>
      <c r="I431" s="68">
        <v>6852</v>
      </c>
      <c r="J431" s="68">
        <v>9193</v>
      </c>
      <c r="K431" s="68">
        <v>10410</v>
      </c>
      <c r="L431" s="68">
        <v>4133</v>
      </c>
      <c r="M431" s="68">
        <v>9050</v>
      </c>
      <c r="N431" s="80">
        <v>792</v>
      </c>
      <c r="P431" s="104"/>
      <c r="Y431" s="104"/>
      <c r="Z431" s="104"/>
      <c r="AA431" s="104"/>
    </row>
    <row r="432" spans="1:27">
      <c r="A432" s="412"/>
      <c r="B432" s="28" t="s">
        <v>11</v>
      </c>
      <c r="C432" s="73">
        <f t="shared" ref="C432:I432" si="299">C431*33.72</f>
        <v>178378.8</v>
      </c>
      <c r="D432" s="73">
        <f t="shared" si="299"/>
        <v>109252.8</v>
      </c>
      <c r="E432" s="73">
        <f t="shared" si="299"/>
        <v>109151.64</v>
      </c>
      <c r="F432" s="73">
        <f t="shared" si="299"/>
        <v>322531.8</v>
      </c>
      <c r="G432" s="73">
        <f t="shared" si="299"/>
        <v>258059.16</v>
      </c>
      <c r="H432" s="73">
        <f t="shared" si="299"/>
        <v>437213.51999999996</v>
      </c>
      <c r="I432" s="73">
        <f t="shared" si="299"/>
        <v>231049.44</v>
      </c>
      <c r="J432" s="73">
        <f>J431*33.72</f>
        <v>309987.95999999996</v>
      </c>
      <c r="K432" s="73">
        <f t="shared" ref="K432:L432" si="300">K431*33.72</f>
        <v>351025.2</v>
      </c>
      <c r="L432" s="73">
        <f t="shared" si="300"/>
        <v>139364.76</v>
      </c>
      <c r="M432" s="73">
        <f>M431*33.72</f>
        <v>305166</v>
      </c>
      <c r="N432" s="84">
        <f t="shared" ref="N432" si="301">N431*33.72</f>
        <v>26706.239999999998</v>
      </c>
      <c r="P432" s="104"/>
      <c r="Y432" s="104"/>
      <c r="Z432" s="104"/>
      <c r="AA432" s="104"/>
    </row>
    <row r="433" spans="1:27">
      <c r="A433" s="412"/>
      <c r="B433" s="28" t="s">
        <v>79</v>
      </c>
      <c r="C433" s="73">
        <v>164000</v>
      </c>
      <c r="D433" s="73">
        <v>109880</v>
      </c>
      <c r="E433" s="73">
        <v>109880</v>
      </c>
      <c r="F433" s="73">
        <v>328000</v>
      </c>
      <c r="G433" s="73">
        <f>G428*2</f>
        <v>330905</v>
      </c>
      <c r="H433" s="73">
        <f>H428*2</f>
        <v>220143.8</v>
      </c>
      <c r="I433" s="73">
        <f>I428*2</f>
        <v>242663.6</v>
      </c>
      <c r="J433" s="73">
        <v>328000</v>
      </c>
      <c r="K433" s="73">
        <f>K428*2</f>
        <v>264264.40000000002</v>
      </c>
      <c r="L433" s="73">
        <v>328000</v>
      </c>
      <c r="M433" s="73">
        <f>2*M428</f>
        <v>352965.4</v>
      </c>
      <c r="N433" s="84">
        <f>2*N428</f>
        <v>109842</v>
      </c>
      <c r="P433" s="104"/>
      <c r="Y433" s="104"/>
      <c r="Z433" s="104"/>
      <c r="AA433" s="104"/>
    </row>
    <row r="434" spans="1:27">
      <c r="A434" s="412"/>
      <c r="B434" s="66" t="s">
        <v>8</v>
      </c>
      <c r="C434" s="98">
        <f>SUM(C431-290)</f>
        <v>5000</v>
      </c>
      <c r="D434" s="98">
        <f>SUM(D431-580)</f>
        <v>2660</v>
      </c>
      <c r="E434" s="98">
        <f>SUM(E431-583)</f>
        <v>2654</v>
      </c>
      <c r="F434" s="98">
        <f>SUM(F431-1156)</f>
        <v>8409</v>
      </c>
      <c r="G434" s="98">
        <f>SUM(G431-4350)</f>
        <v>3303</v>
      </c>
      <c r="H434" s="98">
        <f>SUM(H431-2081)</f>
        <v>10885</v>
      </c>
      <c r="I434" s="98">
        <f>SUM(I431-(4201-2000))</f>
        <v>4651</v>
      </c>
      <c r="J434" s="98">
        <f>SUM(J431-1290)</f>
        <v>7903</v>
      </c>
      <c r="K434" s="98">
        <f>SUM(K431-1492)</f>
        <v>8918</v>
      </c>
      <c r="L434" s="98">
        <f>SUM(L431-588)</f>
        <v>3545</v>
      </c>
      <c r="M434" s="98">
        <f>SUM(M431-(5959-2614))</f>
        <v>5705</v>
      </c>
      <c r="N434" s="103">
        <f>SUM(N431-46)</f>
        <v>746</v>
      </c>
      <c r="P434" s="14" t="s">
        <v>192</v>
      </c>
    </row>
    <row r="435" spans="1:27">
      <c r="A435" s="412"/>
      <c r="B435" s="29" t="s">
        <v>77</v>
      </c>
      <c r="C435" s="75">
        <f>C434*33.72</f>
        <v>168600</v>
      </c>
      <c r="D435" s="75">
        <f>D434*33.72</f>
        <v>89695.2</v>
      </c>
      <c r="E435" s="75">
        <f>E434*33.72</f>
        <v>89492.87999999999</v>
      </c>
      <c r="F435" s="75">
        <f>F434*33.72</f>
        <v>283551.48</v>
      </c>
      <c r="G435" s="75">
        <f>G434*33.72*2</f>
        <v>222754.32</v>
      </c>
      <c r="H435" s="75">
        <f>H434*33.72</f>
        <v>367042.2</v>
      </c>
      <c r="I435" s="75">
        <f>I434*33.72</f>
        <v>156831.72</v>
      </c>
      <c r="J435" s="75">
        <f>J434*33.72</f>
        <v>266489.15999999997</v>
      </c>
      <c r="K435" s="75">
        <f>K434*33.72</f>
        <v>300714.95999999996</v>
      </c>
      <c r="L435" s="75">
        <f>L434*33.72</f>
        <v>119537.4</v>
      </c>
      <c r="M435" s="75">
        <f>M434*33.72*2</f>
        <v>384745.2</v>
      </c>
      <c r="N435" s="11">
        <f>N434*33.72</f>
        <v>25155.119999999999</v>
      </c>
      <c r="P435" s="89">
        <f>344240-H435</f>
        <v>-22802.200000000012</v>
      </c>
      <c r="Q435" s="104" t="s">
        <v>193</v>
      </c>
    </row>
    <row r="436" spans="1:27" ht="15.75" thickBot="1">
      <c r="A436" s="413"/>
      <c r="B436" s="256" t="s">
        <v>10</v>
      </c>
      <c r="C436" s="72">
        <f>C435/C428</f>
        <v>1.1757961730135948</v>
      </c>
      <c r="D436" s="72">
        <f t="shared" ref="D436:N436" si="302">D435/D428</f>
        <v>0.59591883377027532</v>
      </c>
      <c r="E436" s="72">
        <f t="shared" si="302"/>
        <v>0.59457465594974079</v>
      </c>
      <c r="F436" s="72">
        <f t="shared" si="302"/>
        <v>1.5579939977296429</v>
      </c>
      <c r="G436" s="72">
        <f t="shared" si="302"/>
        <v>1.3463339629198714</v>
      </c>
      <c r="H436" s="72">
        <f t="shared" si="302"/>
        <v>3.3345676780359024</v>
      </c>
      <c r="I436" s="72">
        <f t="shared" si="302"/>
        <v>1.292585455750265</v>
      </c>
      <c r="J436" s="72">
        <f t="shared" si="302"/>
        <v>1.5587114751566962</v>
      </c>
      <c r="K436" s="72">
        <f t="shared" si="302"/>
        <v>2.2758643237605969</v>
      </c>
      <c r="L436" s="72">
        <f t="shared" si="302"/>
        <v>1.4449745727779435</v>
      </c>
      <c r="M436" s="72">
        <f t="shared" si="302"/>
        <v>2.1800731743111363</v>
      </c>
      <c r="N436" s="72">
        <f t="shared" si="302"/>
        <v>0.45802370677882775</v>
      </c>
      <c r="P436" s="175"/>
    </row>
    <row r="437" spans="1:27" ht="15.75" customHeight="1">
      <c r="A437" s="437"/>
      <c r="B437" s="437"/>
      <c r="C437" s="90"/>
      <c r="D437" s="90"/>
      <c r="E437" s="90"/>
      <c r="F437" s="90"/>
      <c r="G437" s="90"/>
      <c r="H437" s="90"/>
      <c r="I437" s="90"/>
      <c r="J437" s="90"/>
      <c r="K437" s="90"/>
      <c r="L437" s="90"/>
      <c r="M437" s="90"/>
      <c r="N437" s="255"/>
      <c r="P437" s="174"/>
    </row>
    <row r="438" spans="1:27" ht="15.75" thickBot="1">
      <c r="A438" s="364">
        <v>41198</v>
      </c>
      <c r="B438" s="364"/>
      <c r="C438" s="364"/>
      <c r="N438" s="15"/>
    </row>
    <row r="439" spans="1:27">
      <c r="A439" s="407" t="s">
        <v>1</v>
      </c>
      <c r="B439" s="420"/>
      <c r="C439" s="68" t="s">
        <v>12</v>
      </c>
      <c r="D439" s="68" t="s">
        <v>12</v>
      </c>
      <c r="E439" s="68" t="s">
        <v>13</v>
      </c>
      <c r="F439" s="68" t="s">
        <v>13</v>
      </c>
      <c r="G439" s="68" t="s">
        <v>13</v>
      </c>
      <c r="H439" s="68" t="s">
        <v>13</v>
      </c>
      <c r="I439" s="68" t="s">
        <v>13</v>
      </c>
      <c r="J439" s="68" t="s">
        <v>2</v>
      </c>
      <c r="K439" s="68" t="s">
        <v>2</v>
      </c>
      <c r="L439" s="68" t="s">
        <v>2</v>
      </c>
      <c r="M439" s="68" t="s">
        <v>2</v>
      </c>
      <c r="N439" s="4" t="s">
        <v>84</v>
      </c>
    </row>
    <row r="440" spans="1:27" ht="15.75" thickBot="1">
      <c r="A440" s="409" t="s">
        <v>0</v>
      </c>
      <c r="B440" s="414"/>
      <c r="C440" s="99" t="s">
        <v>102</v>
      </c>
      <c r="D440" s="99" t="s">
        <v>103</v>
      </c>
      <c r="E440" s="99" t="s">
        <v>104</v>
      </c>
      <c r="F440" s="99" t="s">
        <v>105</v>
      </c>
      <c r="G440" s="99" t="s">
        <v>100</v>
      </c>
      <c r="H440" s="99" t="s">
        <v>107</v>
      </c>
      <c r="I440" s="99" t="s">
        <v>106</v>
      </c>
      <c r="J440" s="99" t="s">
        <v>108</v>
      </c>
      <c r="K440" s="99" t="s">
        <v>110</v>
      </c>
      <c r="L440" s="99" t="s">
        <v>101</v>
      </c>
      <c r="M440" s="99" t="s">
        <v>109</v>
      </c>
      <c r="N440" s="101" t="s">
        <v>111</v>
      </c>
      <c r="Q440" s="14"/>
      <c r="R440" s="14"/>
      <c r="S440" s="14"/>
      <c r="T440" s="14"/>
      <c r="U440" s="14"/>
      <c r="V440" s="14"/>
      <c r="W440" s="14"/>
      <c r="X440" s="14"/>
      <c r="Y440" s="175"/>
      <c r="Z440" s="174"/>
      <c r="AA440" s="175"/>
    </row>
    <row r="441" spans="1:27">
      <c r="A441" s="421" t="s">
        <v>9</v>
      </c>
      <c r="B441" s="2" t="s">
        <v>4</v>
      </c>
      <c r="C441" s="96">
        <v>143392.20000000001</v>
      </c>
      <c r="D441" s="96">
        <v>150515.79999999999</v>
      </c>
      <c r="E441" s="96">
        <v>150515.79999999999</v>
      </c>
      <c r="F441" s="96">
        <v>181997.8</v>
      </c>
      <c r="G441" s="96">
        <v>165452.5</v>
      </c>
      <c r="H441" s="96">
        <v>110071.9</v>
      </c>
      <c r="I441" s="96">
        <v>121331.8</v>
      </c>
      <c r="J441" s="96">
        <v>170967.6</v>
      </c>
      <c r="K441" s="96">
        <v>132132.20000000001</v>
      </c>
      <c r="L441" s="96">
        <v>82726.3</v>
      </c>
      <c r="M441" s="96">
        <v>176482.7</v>
      </c>
      <c r="N441" s="100">
        <v>54921</v>
      </c>
      <c r="P441" s="104"/>
      <c r="Y441" s="104"/>
      <c r="Z441" s="104"/>
      <c r="AA441" s="104"/>
    </row>
    <row r="442" spans="1:27">
      <c r="A442" s="422"/>
      <c r="B442" s="63" t="s">
        <v>5</v>
      </c>
      <c r="C442" s="97">
        <v>83480.800000000003</v>
      </c>
      <c r="D442" s="97">
        <v>71819</v>
      </c>
      <c r="E442" s="97">
        <v>73234.399999999994</v>
      </c>
      <c r="F442" s="97">
        <v>160947.70000000001</v>
      </c>
      <c r="G442" s="97">
        <v>54959.4</v>
      </c>
      <c r="H442" s="97">
        <v>25056.2</v>
      </c>
      <c r="I442" s="97">
        <v>46986.5</v>
      </c>
      <c r="J442" s="97">
        <v>144885.1</v>
      </c>
      <c r="K442" s="97">
        <v>41868.199999999997</v>
      </c>
      <c r="L442" s="97">
        <v>28410.5</v>
      </c>
      <c r="M442" s="97">
        <v>96820.5</v>
      </c>
      <c r="N442" s="102">
        <v>23054.1</v>
      </c>
      <c r="P442" s="104"/>
      <c r="Y442" s="104"/>
      <c r="Z442" s="104"/>
      <c r="AA442" s="104"/>
    </row>
    <row r="443" spans="1:27" ht="15.75" thickBot="1">
      <c r="A443" s="423"/>
      <c r="B443" s="3" t="s">
        <v>3</v>
      </c>
      <c r="C443" s="71">
        <f>C442/C441</f>
        <v>0.5821850839864372</v>
      </c>
      <c r="D443" s="72">
        <f t="shared" ref="D443:E443" si="303">D442/D441</f>
        <v>0.47715256471413636</v>
      </c>
      <c r="E443" s="72">
        <f t="shared" si="303"/>
        <v>0.48655622864842096</v>
      </c>
      <c r="F443" s="72">
        <f>F442/F441</f>
        <v>0.88433871178662615</v>
      </c>
      <c r="G443" s="72">
        <f>G442/G441</f>
        <v>0.33217630437738926</v>
      </c>
      <c r="H443" s="72">
        <f t="shared" ref="H443:N443" si="304">H442/H441</f>
        <v>0.22763484595069225</v>
      </c>
      <c r="I443" s="72">
        <f t="shared" si="304"/>
        <v>0.3872562675242599</v>
      </c>
      <c r="J443" s="72">
        <f t="shared" si="304"/>
        <v>0.84744185448003018</v>
      </c>
      <c r="K443" s="72">
        <f t="shared" si="304"/>
        <v>0.31686598724610648</v>
      </c>
      <c r="L443" s="72">
        <f t="shared" si="304"/>
        <v>0.34342766447913176</v>
      </c>
      <c r="M443" s="72">
        <f t="shared" si="304"/>
        <v>0.54861184694023835</v>
      </c>
      <c r="N443" s="83">
        <f t="shared" si="304"/>
        <v>0.41976839460315724</v>
      </c>
      <c r="P443" s="104"/>
      <c r="Y443" s="104"/>
      <c r="Z443" s="104"/>
      <c r="AA443" s="104"/>
    </row>
    <row r="444" spans="1:27">
      <c r="A444" s="411" t="s">
        <v>6</v>
      </c>
      <c r="B444" s="27" t="s">
        <v>7</v>
      </c>
      <c r="C444" s="68">
        <v>5287</v>
      </c>
      <c r="D444" s="68">
        <v>3240</v>
      </c>
      <c r="E444" s="68">
        <v>3237</v>
      </c>
      <c r="F444" s="68">
        <v>9565</v>
      </c>
      <c r="G444" s="68">
        <v>7653</v>
      </c>
      <c r="H444" s="68">
        <v>12966</v>
      </c>
      <c r="I444" s="68">
        <v>6852</v>
      </c>
      <c r="J444" s="68">
        <v>9193</v>
      </c>
      <c r="K444" s="68">
        <v>10410</v>
      </c>
      <c r="L444" s="68">
        <v>4133</v>
      </c>
      <c r="M444" s="68">
        <v>9050</v>
      </c>
      <c r="N444" s="80">
        <v>792</v>
      </c>
      <c r="P444" s="104"/>
      <c r="Y444" s="104"/>
      <c r="Z444" s="104"/>
      <c r="AA444" s="104"/>
    </row>
    <row r="445" spans="1:27">
      <c r="A445" s="412"/>
      <c r="B445" s="28" t="s">
        <v>11</v>
      </c>
      <c r="C445" s="73">
        <f t="shared" ref="C445:I445" si="305">C444*33.72</f>
        <v>178277.63999999998</v>
      </c>
      <c r="D445" s="73">
        <f t="shared" si="305"/>
        <v>109252.8</v>
      </c>
      <c r="E445" s="73">
        <f t="shared" si="305"/>
        <v>109151.64</v>
      </c>
      <c r="F445" s="73">
        <f t="shared" si="305"/>
        <v>322531.8</v>
      </c>
      <c r="G445" s="73">
        <f t="shared" si="305"/>
        <v>258059.16</v>
      </c>
      <c r="H445" s="73">
        <f t="shared" si="305"/>
        <v>437213.51999999996</v>
      </c>
      <c r="I445" s="73">
        <f t="shared" si="305"/>
        <v>231049.44</v>
      </c>
      <c r="J445" s="73">
        <f>J444*33.72</f>
        <v>309987.95999999996</v>
      </c>
      <c r="K445" s="73">
        <f t="shared" ref="K445:L445" si="306">K444*33.72</f>
        <v>351025.2</v>
      </c>
      <c r="L445" s="73">
        <f t="shared" si="306"/>
        <v>139364.76</v>
      </c>
      <c r="M445" s="73">
        <f>M444*33.72</f>
        <v>305166</v>
      </c>
      <c r="N445" s="84">
        <f t="shared" ref="N445" si="307">N444*33.72</f>
        <v>26706.239999999998</v>
      </c>
      <c r="P445" s="104"/>
      <c r="Y445" s="104"/>
      <c r="Z445" s="104"/>
      <c r="AA445" s="104"/>
    </row>
    <row r="446" spans="1:27">
      <c r="A446" s="412"/>
      <c r="B446" s="28" t="s">
        <v>79</v>
      </c>
      <c r="C446" s="73">
        <v>164000</v>
      </c>
      <c r="D446" s="73">
        <v>109880</v>
      </c>
      <c r="E446" s="73">
        <v>109880</v>
      </c>
      <c r="F446" s="73">
        <v>328000</v>
      </c>
      <c r="G446" s="73">
        <f>G441*2</f>
        <v>330905</v>
      </c>
      <c r="H446" s="73">
        <f>H441*2</f>
        <v>220143.8</v>
      </c>
      <c r="I446" s="73">
        <f>I441*2</f>
        <v>242663.6</v>
      </c>
      <c r="J446" s="73">
        <v>328000</v>
      </c>
      <c r="K446" s="73">
        <f>K441*2</f>
        <v>264264.40000000002</v>
      </c>
      <c r="L446" s="73">
        <v>328000</v>
      </c>
      <c r="M446" s="73">
        <f>2*M441</f>
        <v>352965.4</v>
      </c>
      <c r="N446" s="84">
        <f>2*N441</f>
        <v>109842</v>
      </c>
      <c r="P446" s="104"/>
      <c r="Y446" s="104"/>
      <c r="Z446" s="104"/>
      <c r="AA446" s="104"/>
    </row>
    <row r="447" spans="1:27">
      <c r="A447" s="412"/>
      <c r="B447" s="66" t="s">
        <v>8</v>
      </c>
      <c r="C447" s="98">
        <f>SUM(C444-290)</f>
        <v>4997</v>
      </c>
      <c r="D447" s="98">
        <f>SUM(D444-592)</f>
        <v>2648</v>
      </c>
      <c r="E447" s="98">
        <f>SUM(E444-595)</f>
        <v>2642</v>
      </c>
      <c r="F447" s="98">
        <f>SUM(F444-1124)</f>
        <v>8441</v>
      </c>
      <c r="G447" s="98">
        <f>SUM(G444-4350)</f>
        <v>3303</v>
      </c>
      <c r="H447" s="98">
        <f>SUM(H444-2081)</f>
        <v>10885</v>
      </c>
      <c r="I447" s="98">
        <f>SUM(I444-(4219-2000))</f>
        <v>4633</v>
      </c>
      <c r="J447" s="98">
        <f>SUM(J444-1290)</f>
        <v>7903</v>
      </c>
      <c r="K447" s="98">
        <f>SUM(K444-1550)</f>
        <v>8860</v>
      </c>
      <c r="L447" s="98">
        <f>SUM(L444-588)</f>
        <v>3545</v>
      </c>
      <c r="M447" s="98">
        <f>SUM(M444-(5977-2614))</f>
        <v>5687</v>
      </c>
      <c r="N447" s="103">
        <f>SUM(N444-46)</f>
        <v>746</v>
      </c>
      <c r="P447" s="14" t="s">
        <v>192</v>
      </c>
    </row>
    <row r="448" spans="1:27">
      <c r="A448" s="412"/>
      <c r="B448" s="29" t="s">
        <v>77</v>
      </c>
      <c r="C448" s="75">
        <f>C447*33.72</f>
        <v>168498.84</v>
      </c>
      <c r="D448" s="75">
        <f>D447*33.72</f>
        <v>89290.559999999998</v>
      </c>
      <c r="E448" s="75">
        <f>E447*33.72</f>
        <v>89088.239999999991</v>
      </c>
      <c r="F448" s="75">
        <f>F447*33.72</f>
        <v>284630.52</v>
      </c>
      <c r="G448" s="75">
        <f>G447*33.72*2</f>
        <v>222754.32</v>
      </c>
      <c r="H448" s="75">
        <f>H447*33.72</f>
        <v>367042.2</v>
      </c>
      <c r="I448" s="75">
        <f>I447*33.72</f>
        <v>156224.75999999998</v>
      </c>
      <c r="J448" s="75">
        <f>J447*33.72</f>
        <v>266489.15999999997</v>
      </c>
      <c r="K448" s="75">
        <f>K447*33.72</f>
        <v>298759.2</v>
      </c>
      <c r="L448" s="75">
        <f>L447*33.72</f>
        <v>119537.4</v>
      </c>
      <c r="M448" s="75">
        <f>M447*33.72*2</f>
        <v>383531.27999999997</v>
      </c>
      <c r="N448" s="11">
        <f>N447*33.72</f>
        <v>25155.119999999999</v>
      </c>
      <c r="P448" s="89">
        <f>344240-H448</f>
        <v>-22802.200000000012</v>
      </c>
      <c r="Q448" s="104" t="s">
        <v>193</v>
      </c>
    </row>
    <row r="449" spans="1:27" ht="15.75" thickBot="1">
      <c r="A449" s="412"/>
      <c r="B449" s="30" t="s">
        <v>10</v>
      </c>
      <c r="C449" s="72">
        <f>C448/C441</f>
        <v>1.1750906953097866</v>
      </c>
      <c r="D449" s="72">
        <f t="shared" ref="D449" si="308">D448/D441</f>
        <v>0.59323047812920637</v>
      </c>
      <c r="E449" s="72">
        <f t="shared" ref="E449" si="309">E448/E441</f>
        <v>0.59188630030867184</v>
      </c>
      <c r="F449" s="72">
        <f t="shared" ref="F449" si="310">F448/F441</f>
        <v>1.5639228606060076</v>
      </c>
      <c r="G449" s="72">
        <f t="shared" ref="G449" si="311">G448/G441</f>
        <v>1.3463339629198714</v>
      </c>
      <c r="H449" s="72">
        <f t="shared" ref="H449" si="312">H448/H441</f>
        <v>3.3345676780359024</v>
      </c>
      <c r="I449" s="72">
        <f t="shared" ref="I449" si="313">I448/I441</f>
        <v>1.2875829749496832</v>
      </c>
      <c r="J449" s="72">
        <f t="shared" ref="J449" si="314">J448/J441</f>
        <v>1.5587114751566962</v>
      </c>
      <c r="K449" s="72">
        <f t="shared" ref="K449" si="315">K448/K441</f>
        <v>2.2610627840904791</v>
      </c>
      <c r="L449" s="72">
        <f t="shared" ref="L449" si="316">L448/L441</f>
        <v>1.4449745727779435</v>
      </c>
      <c r="M449" s="72">
        <f t="shared" ref="M449" si="317">M448/M441</f>
        <v>2.1731947663991993</v>
      </c>
      <c r="N449" s="72">
        <f t="shared" ref="N449" si="318">N448/N441</f>
        <v>0.45802370677882775</v>
      </c>
      <c r="P449" s="175"/>
    </row>
    <row r="450" spans="1:27" ht="15.75" thickBot="1">
      <c r="A450" s="424" t="s">
        <v>83</v>
      </c>
      <c r="B450" s="425"/>
      <c r="C450" s="76">
        <f>MIN(2*C441,C446)-C448</f>
        <v>-4498.8399999999965</v>
      </c>
      <c r="D450" s="76">
        <f t="shared" ref="D450:N450" si="319">MIN(2*D441,D446)-D448</f>
        <v>20589.440000000002</v>
      </c>
      <c r="E450" s="76">
        <f t="shared" si="319"/>
        <v>20791.760000000009</v>
      </c>
      <c r="F450" s="76">
        <f t="shared" si="319"/>
        <v>43369.479999999981</v>
      </c>
      <c r="G450" s="76">
        <f t="shared" si="319"/>
        <v>108150.68</v>
      </c>
      <c r="H450" s="76">
        <f t="shared" si="319"/>
        <v>-146898.40000000002</v>
      </c>
      <c r="I450" s="76">
        <f t="shared" si="319"/>
        <v>86438.840000000026</v>
      </c>
      <c r="J450" s="76">
        <f t="shared" si="319"/>
        <v>61510.840000000026</v>
      </c>
      <c r="K450" s="76">
        <f t="shared" si="319"/>
        <v>-34494.799999999988</v>
      </c>
      <c r="L450" s="76">
        <f t="shared" si="319"/>
        <v>45915.200000000012</v>
      </c>
      <c r="M450" s="76">
        <f t="shared" si="319"/>
        <v>-30565.879999999946</v>
      </c>
      <c r="N450" s="22">
        <f t="shared" si="319"/>
        <v>84686.88</v>
      </c>
      <c r="P450" s="174"/>
    </row>
    <row r="451" spans="1:27" ht="15.75" thickBot="1">
      <c r="A451" s="368">
        <v>41193</v>
      </c>
      <c r="B451" s="368"/>
      <c r="C451" s="368"/>
      <c r="N451" s="15"/>
    </row>
    <row r="452" spans="1:27">
      <c r="A452" s="407" t="s">
        <v>1</v>
      </c>
      <c r="B452" s="420"/>
      <c r="C452" s="68" t="s">
        <v>12</v>
      </c>
      <c r="D452" s="68" t="s">
        <v>12</v>
      </c>
      <c r="E452" s="68" t="s">
        <v>13</v>
      </c>
      <c r="F452" s="68" t="s">
        <v>13</v>
      </c>
      <c r="G452" s="68" t="s">
        <v>13</v>
      </c>
      <c r="H452" s="68" t="s">
        <v>13</v>
      </c>
      <c r="I452" s="68" t="s">
        <v>13</v>
      </c>
      <c r="J452" s="68" t="s">
        <v>2</v>
      </c>
      <c r="K452" s="68" t="s">
        <v>2</v>
      </c>
      <c r="L452" s="68" t="s">
        <v>2</v>
      </c>
      <c r="M452" s="68" t="s">
        <v>2</v>
      </c>
      <c r="N452" s="4" t="s">
        <v>84</v>
      </c>
    </row>
    <row r="453" spans="1:27" ht="15.75" thickBot="1">
      <c r="A453" s="409" t="s">
        <v>0</v>
      </c>
      <c r="B453" s="414"/>
      <c r="C453" s="99" t="s">
        <v>102</v>
      </c>
      <c r="D453" s="99" t="s">
        <v>103</v>
      </c>
      <c r="E453" s="99" t="s">
        <v>104</v>
      </c>
      <c r="F453" s="99" t="s">
        <v>105</v>
      </c>
      <c r="G453" s="99" t="s">
        <v>100</v>
      </c>
      <c r="H453" s="99" t="s">
        <v>107</v>
      </c>
      <c r="I453" s="99" t="s">
        <v>106</v>
      </c>
      <c r="J453" s="99" t="s">
        <v>108</v>
      </c>
      <c r="K453" s="99" t="s">
        <v>110</v>
      </c>
      <c r="L453" s="99" t="s">
        <v>101</v>
      </c>
      <c r="M453" s="99" t="s">
        <v>109</v>
      </c>
      <c r="N453" s="101" t="s">
        <v>111</v>
      </c>
      <c r="Q453" s="14"/>
      <c r="R453" s="14"/>
      <c r="S453" s="14"/>
      <c r="T453" s="14"/>
      <c r="U453" s="14"/>
      <c r="V453" s="14"/>
      <c r="W453" s="14"/>
      <c r="X453" s="14"/>
      <c r="Y453" s="175"/>
      <c r="Z453" s="174"/>
      <c r="AA453" s="175"/>
    </row>
    <row r="454" spans="1:27">
      <c r="A454" s="421" t="s">
        <v>9</v>
      </c>
      <c r="B454" s="2" t="s">
        <v>4</v>
      </c>
      <c r="C454" s="96">
        <v>143392.20000000001</v>
      </c>
      <c r="D454" s="96">
        <v>150515.79999999999</v>
      </c>
      <c r="E454" s="96">
        <v>150515.79999999999</v>
      </c>
      <c r="F454" s="96">
        <v>181997.8</v>
      </c>
      <c r="G454" s="96">
        <v>165452.5</v>
      </c>
      <c r="H454" s="96">
        <v>110071.9</v>
      </c>
      <c r="I454" s="96">
        <v>121331.8</v>
      </c>
      <c r="J454" s="96">
        <v>170967.6</v>
      </c>
      <c r="K454" s="96">
        <v>132132.20000000001</v>
      </c>
      <c r="L454" s="96">
        <v>82726.3</v>
      </c>
      <c r="M454" s="96">
        <v>176482.7</v>
      </c>
      <c r="N454" s="100">
        <v>54921</v>
      </c>
      <c r="P454" s="104"/>
      <c r="Y454" s="104"/>
      <c r="Z454" s="104"/>
      <c r="AA454" s="104"/>
    </row>
    <row r="455" spans="1:27">
      <c r="A455" s="422"/>
      <c r="B455" s="63" t="s">
        <v>5</v>
      </c>
      <c r="C455" s="97">
        <v>94636.4</v>
      </c>
      <c r="D455" s="97">
        <v>71357.5</v>
      </c>
      <c r="E455" s="97">
        <v>72778.8</v>
      </c>
      <c r="F455" s="97">
        <v>161624</v>
      </c>
      <c r="G455" s="97">
        <v>54154.7</v>
      </c>
      <c r="H455" s="97">
        <v>27375.3</v>
      </c>
      <c r="I455" s="97">
        <v>46857</v>
      </c>
      <c r="J455" s="97">
        <v>144497.60000000001</v>
      </c>
      <c r="K455" s="97">
        <v>40200.300000000003</v>
      </c>
      <c r="L455" s="97">
        <v>28021.4</v>
      </c>
      <c r="M455" s="97">
        <v>96561.5</v>
      </c>
      <c r="N455" s="102">
        <v>23054.1</v>
      </c>
      <c r="P455" s="104"/>
      <c r="Y455" s="104"/>
      <c r="Z455" s="104"/>
      <c r="AA455" s="104"/>
    </row>
    <row r="456" spans="1:27" ht="15.75" thickBot="1">
      <c r="A456" s="423"/>
      <c r="B456" s="3" t="s">
        <v>3</v>
      </c>
      <c r="C456" s="71">
        <f>C455/C454</f>
        <v>0.659982900046167</v>
      </c>
      <c r="D456" s="72">
        <f t="shared" ref="D456:E456" si="320">D455/D454</f>
        <v>0.47408644142342538</v>
      </c>
      <c r="E456" s="72">
        <f t="shared" si="320"/>
        <v>0.48352930390032151</v>
      </c>
      <c r="F456" s="72">
        <f>F455/F454</f>
        <v>0.88805469077098742</v>
      </c>
      <c r="G456" s="72">
        <f>G455/G454</f>
        <v>0.32731267282150467</v>
      </c>
      <c r="H456" s="72">
        <f t="shared" ref="H456:N456" si="321">H455/H454</f>
        <v>0.24870380178774057</v>
      </c>
      <c r="I456" s="72">
        <f t="shared" si="321"/>
        <v>0.38618894634382739</v>
      </c>
      <c r="J456" s="72">
        <f t="shared" si="321"/>
        <v>0.84517534316443588</v>
      </c>
      <c r="K456" s="72">
        <f t="shared" si="321"/>
        <v>0.30424302327517438</v>
      </c>
      <c r="L456" s="72">
        <f t="shared" si="321"/>
        <v>0.33872420258128311</v>
      </c>
      <c r="M456" s="72">
        <f t="shared" si="321"/>
        <v>0.54714428099751422</v>
      </c>
      <c r="N456" s="83">
        <f t="shared" si="321"/>
        <v>0.41976839460315724</v>
      </c>
      <c r="P456" s="104"/>
      <c r="Y456" s="104"/>
      <c r="Z456" s="104"/>
      <c r="AA456" s="104"/>
    </row>
    <row r="457" spans="1:27">
      <c r="A457" s="411" t="s">
        <v>6</v>
      </c>
      <c r="B457" s="27" t="s">
        <v>7</v>
      </c>
      <c r="C457" s="68">
        <v>5287</v>
      </c>
      <c r="D457" s="68">
        <v>3240</v>
      </c>
      <c r="E457" s="68">
        <v>3237</v>
      </c>
      <c r="F457" s="68">
        <v>9565</v>
      </c>
      <c r="G457" s="68">
        <v>7233</v>
      </c>
      <c r="H457" s="68">
        <v>12966</v>
      </c>
      <c r="I457" s="68">
        <v>6852</v>
      </c>
      <c r="J457" s="68">
        <v>9193</v>
      </c>
      <c r="K457" s="68">
        <v>10410</v>
      </c>
      <c r="L457" s="68">
        <v>3933</v>
      </c>
      <c r="M457" s="68">
        <v>9050</v>
      </c>
      <c r="N457" s="80">
        <v>792</v>
      </c>
      <c r="P457" s="104"/>
      <c r="Y457" s="104"/>
      <c r="Z457" s="104"/>
      <c r="AA457" s="104"/>
    </row>
    <row r="458" spans="1:27">
      <c r="A458" s="412"/>
      <c r="B458" s="28" t="s">
        <v>11</v>
      </c>
      <c r="C458" s="73">
        <f t="shared" ref="C458:I458" si="322">C457*33.72</f>
        <v>178277.63999999998</v>
      </c>
      <c r="D458" s="73">
        <f t="shared" si="322"/>
        <v>109252.8</v>
      </c>
      <c r="E458" s="73">
        <f t="shared" si="322"/>
        <v>109151.64</v>
      </c>
      <c r="F458" s="73">
        <f t="shared" si="322"/>
        <v>322531.8</v>
      </c>
      <c r="G458" s="73">
        <f t="shared" si="322"/>
        <v>243896.75999999998</v>
      </c>
      <c r="H458" s="73">
        <f t="shared" si="322"/>
        <v>437213.51999999996</v>
      </c>
      <c r="I458" s="73">
        <f t="shared" si="322"/>
        <v>231049.44</v>
      </c>
      <c r="J458" s="73">
        <f>J457*33.72</f>
        <v>309987.95999999996</v>
      </c>
      <c r="K458" s="73">
        <f t="shared" ref="K458:L458" si="323">K457*33.72</f>
        <v>351025.2</v>
      </c>
      <c r="L458" s="73">
        <f t="shared" si="323"/>
        <v>132620.76</v>
      </c>
      <c r="M458" s="73">
        <f>M457*33.72</f>
        <v>305166</v>
      </c>
      <c r="N458" s="84">
        <f t="shared" ref="N458" si="324">N457*33.72</f>
        <v>26706.239999999998</v>
      </c>
      <c r="P458" s="104"/>
      <c r="Y458" s="104"/>
      <c r="Z458" s="104"/>
      <c r="AA458" s="104"/>
    </row>
    <row r="459" spans="1:27">
      <c r="A459" s="412"/>
      <c r="B459" s="28" t="s">
        <v>79</v>
      </c>
      <c r="C459" s="73">
        <v>164000</v>
      </c>
      <c r="D459" s="73">
        <v>109880</v>
      </c>
      <c r="E459" s="73">
        <v>109880</v>
      </c>
      <c r="F459" s="73">
        <v>328000</v>
      </c>
      <c r="G459" s="73">
        <f>G454*2</f>
        <v>330905</v>
      </c>
      <c r="H459" s="73">
        <f>H454*2</f>
        <v>220143.8</v>
      </c>
      <c r="I459" s="73">
        <f>I454*2</f>
        <v>242663.6</v>
      </c>
      <c r="J459" s="73">
        <v>328000</v>
      </c>
      <c r="K459" s="73">
        <f>K454*2</f>
        <v>264264.40000000002</v>
      </c>
      <c r="L459" s="73">
        <v>328000</v>
      </c>
      <c r="M459" s="73">
        <f>2*M454</f>
        <v>352965.4</v>
      </c>
      <c r="N459" s="84">
        <f>2*N454</f>
        <v>109842</v>
      </c>
      <c r="P459" s="104"/>
      <c r="Y459" s="104"/>
      <c r="Z459" s="104"/>
      <c r="AA459" s="104"/>
    </row>
    <row r="460" spans="1:27">
      <c r="A460" s="412"/>
      <c r="B460" s="66" t="s">
        <v>8</v>
      </c>
      <c r="C460" s="98">
        <f>SUM(C457-291)</f>
        <v>4996</v>
      </c>
      <c r="D460" s="98">
        <f>SUM(D457-593)</f>
        <v>2647</v>
      </c>
      <c r="E460" s="98">
        <f>SUM(E457-595)</f>
        <v>2642</v>
      </c>
      <c r="F460" s="98">
        <f>SUM(F457-1124)</f>
        <v>8441</v>
      </c>
      <c r="G460" s="98">
        <f>SUM(G457-4134)</f>
        <v>3099</v>
      </c>
      <c r="H460" s="98">
        <f>SUM(H457-2081)</f>
        <v>10885</v>
      </c>
      <c r="I460" s="98">
        <f>SUM(I457-(4219-2000))</f>
        <v>4633</v>
      </c>
      <c r="J460" s="98">
        <f>SUM(J457-1290)</f>
        <v>7903</v>
      </c>
      <c r="K460" s="98">
        <f>SUM(K457-1597)</f>
        <v>8813</v>
      </c>
      <c r="L460" s="98">
        <f>SUM(L457-676)</f>
        <v>3257</v>
      </c>
      <c r="M460" s="98">
        <f>SUM(M457-(5977-2614))</f>
        <v>5687</v>
      </c>
      <c r="N460" s="103">
        <f>SUM(N457-46)</f>
        <v>746</v>
      </c>
      <c r="P460" s="14" t="s">
        <v>192</v>
      </c>
    </row>
    <row r="461" spans="1:27">
      <c r="A461" s="412"/>
      <c r="B461" s="29" t="s">
        <v>77</v>
      </c>
      <c r="C461" s="75">
        <f>C460*33.72</f>
        <v>168465.12</v>
      </c>
      <c r="D461" s="75">
        <f>D460*33.72</f>
        <v>89256.84</v>
      </c>
      <c r="E461" s="75">
        <f>E460*33.72</f>
        <v>89088.239999999991</v>
      </c>
      <c r="F461" s="75">
        <f>F460*33.72</f>
        <v>284630.52</v>
      </c>
      <c r="G461" s="75">
        <f>G460*33.72*2</f>
        <v>208996.56</v>
      </c>
      <c r="H461" s="75">
        <f>H460*33.72</f>
        <v>367042.2</v>
      </c>
      <c r="I461" s="75">
        <f>I460*33.72</f>
        <v>156224.75999999998</v>
      </c>
      <c r="J461" s="75">
        <f>J460*33.72</f>
        <v>266489.15999999997</v>
      </c>
      <c r="K461" s="75">
        <f>K460*33.72</f>
        <v>297174.36</v>
      </c>
      <c r="L461" s="75">
        <f>L460*33.72</f>
        <v>109826.04</v>
      </c>
      <c r="M461" s="75">
        <f>M460*33.72*2</f>
        <v>383531.27999999997</v>
      </c>
      <c r="N461" s="11">
        <f>N460*33.72</f>
        <v>25155.119999999999</v>
      </c>
      <c r="P461" s="89">
        <f>344240-H461</f>
        <v>-22802.200000000012</v>
      </c>
      <c r="Q461" s="104" t="s">
        <v>193</v>
      </c>
    </row>
    <row r="462" spans="1:27" ht="15.75" thickBot="1">
      <c r="A462" s="412"/>
      <c r="B462" s="30" t="s">
        <v>10</v>
      </c>
      <c r="C462" s="72">
        <f>C461/C454</f>
        <v>1.1748555360751838</v>
      </c>
      <c r="D462" s="72">
        <f t="shared" ref="D462" si="325">D461/D454</f>
        <v>0.59300644849245066</v>
      </c>
      <c r="E462" s="72">
        <f t="shared" ref="E462" si="326">E461/E454</f>
        <v>0.59188630030867184</v>
      </c>
      <c r="F462" s="72">
        <f t="shared" ref="F462" si="327">F461/F454</f>
        <v>1.5639228606060076</v>
      </c>
      <c r="G462" s="72">
        <f t="shared" ref="G462" si="328">G461/G454</f>
        <v>1.2631816382345387</v>
      </c>
      <c r="H462" s="72">
        <f t="shared" ref="H462" si="329">H461/H454</f>
        <v>3.3345676780359024</v>
      </c>
      <c r="I462" s="72">
        <f t="shared" ref="I462" si="330">I461/I454</f>
        <v>1.2875829749496832</v>
      </c>
      <c r="J462" s="72">
        <f t="shared" ref="J462" si="331">J461/J454</f>
        <v>1.5587114751566962</v>
      </c>
      <c r="K462" s="72">
        <f t="shared" ref="K462" si="332">K461/K454</f>
        <v>2.2490684329784862</v>
      </c>
      <c r="L462" s="72">
        <f t="shared" ref="L462" si="333">L461/L454</f>
        <v>1.3275831265268723</v>
      </c>
      <c r="M462" s="72">
        <f t="shared" ref="M462" si="334">M461/M454</f>
        <v>2.1731947663991993</v>
      </c>
      <c r="N462" s="72">
        <f t="shared" ref="N462" si="335">N461/N454</f>
        <v>0.45802370677882775</v>
      </c>
      <c r="P462" s="175"/>
    </row>
    <row r="463" spans="1:27" ht="15.75" thickBot="1">
      <c r="A463" s="424" t="s">
        <v>83</v>
      </c>
      <c r="B463" s="425"/>
      <c r="C463" s="76">
        <f>MIN(2*C454,C459)-C461</f>
        <v>-4465.1199999999953</v>
      </c>
      <c r="D463" s="76">
        <f t="shared" ref="D463:N463" si="336">MIN(2*D454,D459)-D461</f>
        <v>20623.160000000003</v>
      </c>
      <c r="E463" s="76">
        <f t="shared" si="336"/>
        <v>20791.760000000009</v>
      </c>
      <c r="F463" s="76">
        <f t="shared" si="336"/>
        <v>43369.479999999981</v>
      </c>
      <c r="G463" s="76">
        <f t="shared" si="336"/>
        <v>121908.44</v>
      </c>
      <c r="H463" s="76">
        <f t="shared" si="336"/>
        <v>-146898.40000000002</v>
      </c>
      <c r="I463" s="76">
        <f t="shared" si="336"/>
        <v>86438.840000000026</v>
      </c>
      <c r="J463" s="76">
        <f t="shared" si="336"/>
        <v>61510.840000000026</v>
      </c>
      <c r="K463" s="76">
        <f t="shared" si="336"/>
        <v>-32909.959999999963</v>
      </c>
      <c r="L463" s="76">
        <f t="shared" si="336"/>
        <v>55626.560000000012</v>
      </c>
      <c r="M463" s="76">
        <f t="shared" si="336"/>
        <v>-30565.879999999946</v>
      </c>
      <c r="N463" s="22">
        <f t="shared" si="336"/>
        <v>84686.88</v>
      </c>
      <c r="P463" s="174"/>
    </row>
    <row r="464" spans="1:27" ht="15.75" thickBot="1">
      <c r="A464" s="368">
        <v>41190</v>
      </c>
      <c r="B464" s="368"/>
      <c r="C464" s="368"/>
      <c r="N464" s="15"/>
    </row>
    <row r="465" spans="1:27">
      <c r="A465" s="407" t="s">
        <v>1</v>
      </c>
      <c r="B465" s="420"/>
      <c r="C465" s="68" t="s">
        <v>12</v>
      </c>
      <c r="D465" s="68" t="s">
        <v>12</v>
      </c>
      <c r="E465" s="68" t="s">
        <v>13</v>
      </c>
      <c r="F465" s="68" t="s">
        <v>13</v>
      </c>
      <c r="G465" s="68" t="s">
        <v>13</v>
      </c>
      <c r="H465" s="68" t="s">
        <v>13</v>
      </c>
      <c r="I465" s="68" t="s">
        <v>13</v>
      </c>
      <c r="J465" s="68" t="s">
        <v>2</v>
      </c>
      <c r="K465" s="68" t="s">
        <v>2</v>
      </c>
      <c r="L465" s="68" t="s">
        <v>2</v>
      </c>
      <c r="M465" s="68" t="s">
        <v>2</v>
      </c>
      <c r="N465" s="4" t="s">
        <v>84</v>
      </c>
    </row>
    <row r="466" spans="1:27" ht="15.75" thickBot="1">
      <c r="A466" s="409" t="s">
        <v>0</v>
      </c>
      <c r="B466" s="414"/>
      <c r="C466" s="99" t="s">
        <v>102</v>
      </c>
      <c r="D466" s="99" t="s">
        <v>103</v>
      </c>
      <c r="E466" s="99" t="s">
        <v>104</v>
      </c>
      <c r="F466" s="99" t="s">
        <v>105</v>
      </c>
      <c r="G466" s="99" t="s">
        <v>100</v>
      </c>
      <c r="H466" s="99" t="s">
        <v>107</v>
      </c>
      <c r="I466" s="99" t="s">
        <v>106</v>
      </c>
      <c r="J466" s="99" t="s">
        <v>108</v>
      </c>
      <c r="K466" s="99" t="s">
        <v>110</v>
      </c>
      <c r="L466" s="99" t="s">
        <v>101</v>
      </c>
      <c r="M466" s="99" t="s">
        <v>109</v>
      </c>
      <c r="N466" s="101" t="s">
        <v>111</v>
      </c>
      <c r="Q466" s="14"/>
      <c r="R466" s="14"/>
      <c r="S466" s="14"/>
      <c r="T466" s="14"/>
      <c r="U466" s="14"/>
      <c r="V466" s="14"/>
      <c r="W466" s="14"/>
      <c r="X466" s="14"/>
      <c r="Y466" s="175"/>
      <c r="Z466" s="174"/>
      <c r="AA466" s="175"/>
    </row>
    <row r="467" spans="1:27">
      <c r="A467" s="421" t="s">
        <v>9</v>
      </c>
      <c r="B467" s="2" t="s">
        <v>4</v>
      </c>
      <c r="C467" s="96">
        <v>143392.20000000001</v>
      </c>
      <c r="D467" s="96">
        <v>150515.79999999999</v>
      </c>
      <c r="E467" s="96">
        <v>150515.79999999999</v>
      </c>
      <c r="F467" s="96">
        <v>181997.8</v>
      </c>
      <c r="G467" s="96">
        <v>165452.5</v>
      </c>
      <c r="H467" s="96">
        <v>110071.9</v>
      </c>
      <c r="I467" s="96">
        <v>121331.8</v>
      </c>
      <c r="J467" s="96">
        <v>170967.6</v>
      </c>
      <c r="K467" s="96">
        <v>132132.20000000001</v>
      </c>
      <c r="L467" s="96">
        <v>82726.3</v>
      </c>
      <c r="M467" s="96">
        <v>176482.7</v>
      </c>
      <c r="N467" s="100">
        <v>54921</v>
      </c>
      <c r="P467" s="104"/>
      <c r="Y467" s="104"/>
      <c r="Z467" s="104"/>
      <c r="AA467" s="104"/>
    </row>
    <row r="468" spans="1:27">
      <c r="A468" s="422"/>
      <c r="B468" s="63" t="s">
        <v>5</v>
      </c>
      <c r="C468" s="97">
        <v>93541.8</v>
      </c>
      <c r="D468" s="97">
        <v>70992.399999999994</v>
      </c>
      <c r="E468" s="97">
        <v>72745.3</v>
      </c>
      <c r="F468" s="97">
        <v>161389.29999999999</v>
      </c>
      <c r="G468" s="97">
        <v>53667.6</v>
      </c>
      <c r="H468" s="97">
        <v>28276.5</v>
      </c>
      <c r="I468" s="97">
        <v>46719.9</v>
      </c>
      <c r="J468" s="97">
        <v>144164.1</v>
      </c>
      <c r="K468" s="97">
        <v>39853.300000000003</v>
      </c>
      <c r="L468" s="97">
        <v>27773.8</v>
      </c>
      <c r="M468" s="97">
        <v>96287.2</v>
      </c>
      <c r="N468" s="102">
        <v>23054.1</v>
      </c>
      <c r="P468" s="104"/>
      <c r="Y468" s="104"/>
      <c r="Z468" s="104"/>
      <c r="AA468" s="104"/>
    </row>
    <row r="469" spans="1:27" ht="15.75" thickBot="1">
      <c r="A469" s="423"/>
      <c r="B469" s="3" t="s">
        <v>3</v>
      </c>
      <c r="C469" s="71">
        <f>C468/C467</f>
        <v>0.65234929096561733</v>
      </c>
      <c r="D469" s="72">
        <f t="shared" ref="D469:E469" si="337">D468/D467</f>
        <v>0.47166078245606108</v>
      </c>
      <c r="E469" s="72">
        <f t="shared" si="337"/>
        <v>0.4833067359041377</v>
      </c>
      <c r="F469" s="72">
        <f>F468/F467</f>
        <v>0.88676511474314523</v>
      </c>
      <c r="G469" s="72">
        <f>G468/G467</f>
        <v>0.32436862543630346</v>
      </c>
      <c r="H469" s="72">
        <f t="shared" ref="H469:N469" si="338">H468/H467</f>
        <v>0.25689117749398349</v>
      </c>
      <c r="I469" s="72">
        <f t="shared" si="338"/>
        <v>0.38505898700917651</v>
      </c>
      <c r="J469" s="72">
        <f t="shared" si="338"/>
        <v>0.84322468116765981</v>
      </c>
      <c r="K469" s="72">
        <f t="shared" si="338"/>
        <v>0.30161686553315542</v>
      </c>
      <c r="L469" s="72">
        <f t="shared" si="338"/>
        <v>0.33573120035587228</v>
      </c>
      <c r="M469" s="72">
        <f t="shared" si="338"/>
        <v>0.54559002100489162</v>
      </c>
      <c r="N469" s="83">
        <f t="shared" si="338"/>
        <v>0.41976839460315724</v>
      </c>
      <c r="P469" s="104"/>
      <c r="Y469" s="104"/>
      <c r="Z469" s="104"/>
      <c r="AA469" s="104"/>
    </row>
    <row r="470" spans="1:27">
      <c r="A470" s="411" t="s">
        <v>6</v>
      </c>
      <c r="B470" s="27" t="s">
        <v>7</v>
      </c>
      <c r="C470" s="68">
        <v>5285</v>
      </c>
      <c r="D470" s="68">
        <v>3240</v>
      </c>
      <c r="E470" s="68">
        <v>3237</v>
      </c>
      <c r="F470" s="68">
        <v>9565</v>
      </c>
      <c r="G470" s="68">
        <v>7233</v>
      </c>
      <c r="H470" s="68">
        <v>12966</v>
      </c>
      <c r="I470" s="68">
        <v>6852</v>
      </c>
      <c r="J470" s="68">
        <v>9193</v>
      </c>
      <c r="K470" s="68">
        <v>10410</v>
      </c>
      <c r="L470" s="68">
        <v>3933</v>
      </c>
      <c r="M470" s="68">
        <v>9050</v>
      </c>
      <c r="N470" s="80">
        <v>792</v>
      </c>
      <c r="P470" s="104"/>
      <c r="Y470" s="104"/>
      <c r="Z470" s="104"/>
      <c r="AA470" s="104"/>
    </row>
    <row r="471" spans="1:27">
      <c r="A471" s="412"/>
      <c r="B471" s="28" t="s">
        <v>11</v>
      </c>
      <c r="C471" s="73">
        <f t="shared" ref="C471:I471" si="339">C470*33.72</f>
        <v>178210.19999999998</v>
      </c>
      <c r="D471" s="73">
        <f t="shared" si="339"/>
        <v>109252.8</v>
      </c>
      <c r="E471" s="73">
        <f t="shared" si="339"/>
        <v>109151.64</v>
      </c>
      <c r="F471" s="73">
        <f t="shared" si="339"/>
        <v>322531.8</v>
      </c>
      <c r="G471" s="73">
        <f t="shared" si="339"/>
        <v>243896.75999999998</v>
      </c>
      <c r="H471" s="73">
        <f t="shared" si="339"/>
        <v>437213.51999999996</v>
      </c>
      <c r="I471" s="73">
        <f t="shared" si="339"/>
        <v>231049.44</v>
      </c>
      <c r="J471" s="73">
        <f>J470*33.72</f>
        <v>309987.95999999996</v>
      </c>
      <c r="K471" s="73">
        <f t="shared" ref="K471:L471" si="340">K470*33.72</f>
        <v>351025.2</v>
      </c>
      <c r="L471" s="73">
        <f t="shared" si="340"/>
        <v>132620.76</v>
      </c>
      <c r="M471" s="73">
        <f>M470*33.72</f>
        <v>305166</v>
      </c>
      <c r="N471" s="84">
        <f t="shared" ref="N471" si="341">N470*33.72</f>
        <v>26706.239999999998</v>
      </c>
      <c r="P471" s="104"/>
      <c r="Y471" s="104"/>
      <c r="Z471" s="104"/>
      <c r="AA471" s="104"/>
    </row>
    <row r="472" spans="1:27">
      <c r="A472" s="412"/>
      <c r="B472" s="28" t="s">
        <v>79</v>
      </c>
      <c r="C472" s="73">
        <v>164000</v>
      </c>
      <c r="D472" s="73">
        <v>109880</v>
      </c>
      <c r="E472" s="73">
        <v>109880</v>
      </c>
      <c r="F472" s="73">
        <v>328000</v>
      </c>
      <c r="G472" s="73">
        <f>G467*2</f>
        <v>330905</v>
      </c>
      <c r="H472" s="73">
        <f>H467*2</f>
        <v>220143.8</v>
      </c>
      <c r="I472" s="73">
        <f>I467*2</f>
        <v>242663.6</v>
      </c>
      <c r="J472" s="73">
        <v>328000</v>
      </c>
      <c r="K472" s="73">
        <f>K467*2</f>
        <v>264264.40000000002</v>
      </c>
      <c r="L472" s="73">
        <v>328000</v>
      </c>
      <c r="M472" s="73">
        <f>2*M467</f>
        <v>352965.4</v>
      </c>
      <c r="N472" s="84">
        <f>2*N467</f>
        <v>109842</v>
      </c>
      <c r="P472" s="104"/>
      <c r="Y472" s="104"/>
      <c r="Z472" s="104"/>
      <c r="AA472" s="104"/>
    </row>
    <row r="473" spans="1:27">
      <c r="A473" s="412"/>
      <c r="B473" s="66" t="s">
        <v>8</v>
      </c>
      <c r="C473" s="98">
        <f>SUM(C470-291)</f>
        <v>4994</v>
      </c>
      <c r="D473" s="98">
        <f>SUM(D470-593)</f>
        <v>2647</v>
      </c>
      <c r="E473" s="98">
        <f>SUM(E470-595)</f>
        <v>2642</v>
      </c>
      <c r="F473" s="98">
        <f>SUM(F470-1124)</f>
        <v>8441</v>
      </c>
      <c r="G473" s="98">
        <f>SUM(G470-4175)</f>
        <v>3058</v>
      </c>
      <c r="H473" s="98">
        <f>SUM(H470-2081)</f>
        <v>10885</v>
      </c>
      <c r="I473" s="98">
        <f>SUM(I470-(4219-2000))</f>
        <v>4633</v>
      </c>
      <c r="J473" s="98">
        <f>SUM(J470-1297)</f>
        <v>7896</v>
      </c>
      <c r="K473" s="98">
        <f>SUM(K470-1597)</f>
        <v>8813</v>
      </c>
      <c r="L473" s="98">
        <f>SUM(L470-717)</f>
        <v>3216</v>
      </c>
      <c r="M473" s="98">
        <f>SUM(M470-(5977-2614))</f>
        <v>5687</v>
      </c>
      <c r="N473" s="103">
        <f>SUM(N470-46)</f>
        <v>746</v>
      </c>
      <c r="P473" s="14" t="s">
        <v>192</v>
      </c>
    </row>
    <row r="474" spans="1:27">
      <c r="A474" s="412"/>
      <c r="B474" s="29" t="s">
        <v>77</v>
      </c>
      <c r="C474" s="75">
        <f>C473*33.72</f>
        <v>168397.68</v>
      </c>
      <c r="D474" s="75">
        <f>D473*33.72</f>
        <v>89256.84</v>
      </c>
      <c r="E474" s="75">
        <f>E473*33.72</f>
        <v>89088.239999999991</v>
      </c>
      <c r="F474" s="75">
        <f>F473*33.72</f>
        <v>284630.52</v>
      </c>
      <c r="G474" s="75">
        <f>G473*33.72*2</f>
        <v>206231.52</v>
      </c>
      <c r="H474" s="75">
        <f>H473*33.72</f>
        <v>367042.2</v>
      </c>
      <c r="I474" s="75">
        <f>I473*33.72</f>
        <v>156224.75999999998</v>
      </c>
      <c r="J474" s="75">
        <f>J473*33.72</f>
        <v>266253.12</v>
      </c>
      <c r="K474" s="75">
        <f>K473*33.72</f>
        <v>297174.36</v>
      </c>
      <c r="L474" s="75">
        <f>L473*33.72</f>
        <v>108443.51999999999</v>
      </c>
      <c r="M474" s="75">
        <f>M473*33.72*2</f>
        <v>383531.27999999997</v>
      </c>
      <c r="N474" s="11">
        <f>N473*33.72</f>
        <v>25155.119999999999</v>
      </c>
      <c r="P474" s="89">
        <f>344240-H474</f>
        <v>-22802.200000000012</v>
      </c>
      <c r="Q474" s="104" t="s">
        <v>193</v>
      </c>
    </row>
    <row r="475" spans="1:27" ht="15.75" thickBot="1">
      <c r="A475" s="412"/>
      <c r="B475" s="30" t="s">
        <v>10</v>
      </c>
      <c r="C475" s="72">
        <f>C474/C467</f>
        <v>1.1743852176059784</v>
      </c>
      <c r="D475" s="72">
        <f t="shared" ref="D475" si="342">D474/D467</f>
        <v>0.59300644849245066</v>
      </c>
      <c r="E475" s="72">
        <f t="shared" ref="E475" si="343">E474/E467</f>
        <v>0.59188630030867184</v>
      </c>
      <c r="F475" s="72">
        <f t="shared" ref="F475" si="344">F474/F467</f>
        <v>1.5639228606060076</v>
      </c>
      <c r="G475" s="72">
        <f t="shared" ref="G475" si="345">G474/G467</f>
        <v>1.2464696514105256</v>
      </c>
      <c r="H475" s="72">
        <f t="shared" ref="H475" si="346">H474/H467</f>
        <v>3.3345676780359024</v>
      </c>
      <c r="I475" s="72">
        <f t="shared" ref="I475" si="347">I474/I467</f>
        <v>1.2875829749496832</v>
      </c>
      <c r="J475" s="72">
        <f t="shared" ref="J475" si="348">J474/J467</f>
        <v>1.5573308626897726</v>
      </c>
      <c r="K475" s="72">
        <f t="shared" ref="K475" si="349">K474/K467</f>
        <v>2.2490684329784862</v>
      </c>
      <c r="L475" s="72">
        <f t="shared" ref="L475" si="350">L474/L467</f>
        <v>1.3108711498036294</v>
      </c>
      <c r="M475" s="72">
        <f t="shared" ref="M475" si="351">M474/M467</f>
        <v>2.1731947663991993</v>
      </c>
      <c r="N475" s="72">
        <f t="shared" ref="N475" si="352">N474/N467</f>
        <v>0.45802370677882775</v>
      </c>
      <c r="P475" s="175"/>
    </row>
    <row r="476" spans="1:27" ht="15.75" thickBot="1">
      <c r="A476" s="424" t="s">
        <v>83</v>
      </c>
      <c r="B476" s="425"/>
      <c r="C476" s="76">
        <f>MIN(2*C467,C472)-C474</f>
        <v>-4397.679999999993</v>
      </c>
      <c r="D476" s="76">
        <f t="shared" ref="D476:N476" si="353">MIN(2*D467,D472)-D474</f>
        <v>20623.160000000003</v>
      </c>
      <c r="E476" s="76">
        <f t="shared" si="353"/>
        <v>20791.760000000009</v>
      </c>
      <c r="F476" s="76">
        <f t="shared" si="353"/>
        <v>43369.479999999981</v>
      </c>
      <c r="G476" s="76">
        <f t="shared" si="353"/>
        <v>124673.48000000001</v>
      </c>
      <c r="H476" s="76">
        <f t="shared" si="353"/>
        <v>-146898.40000000002</v>
      </c>
      <c r="I476" s="76">
        <f t="shared" si="353"/>
        <v>86438.840000000026</v>
      </c>
      <c r="J476" s="76">
        <f t="shared" si="353"/>
        <v>61746.880000000005</v>
      </c>
      <c r="K476" s="76">
        <f t="shared" si="353"/>
        <v>-32909.959999999963</v>
      </c>
      <c r="L476" s="76">
        <f t="shared" si="353"/>
        <v>57009.080000000016</v>
      </c>
      <c r="M476" s="76">
        <f t="shared" si="353"/>
        <v>-30565.879999999946</v>
      </c>
      <c r="N476" s="22">
        <f t="shared" si="353"/>
        <v>84686.88</v>
      </c>
      <c r="P476" s="174"/>
    </row>
    <row r="477" spans="1:27" ht="15.75" thickBot="1">
      <c r="A477" s="368">
        <v>41184</v>
      </c>
      <c r="B477" s="368"/>
      <c r="C477" s="368"/>
      <c r="N477" s="15"/>
    </row>
    <row r="478" spans="1:27">
      <c r="A478" s="407" t="s">
        <v>1</v>
      </c>
      <c r="B478" s="420"/>
      <c r="C478" s="68" t="s">
        <v>12</v>
      </c>
      <c r="D478" s="68" t="s">
        <v>12</v>
      </c>
      <c r="E478" s="68" t="s">
        <v>13</v>
      </c>
      <c r="F478" s="68" t="s">
        <v>13</v>
      </c>
      <c r="G478" s="68" t="s">
        <v>13</v>
      </c>
      <c r="H478" s="68" t="s">
        <v>13</v>
      </c>
      <c r="I478" s="68" t="s">
        <v>13</v>
      </c>
      <c r="J478" s="68" t="s">
        <v>2</v>
      </c>
      <c r="K478" s="68" t="s">
        <v>2</v>
      </c>
      <c r="L478" s="68" t="s">
        <v>2</v>
      </c>
      <c r="M478" s="68" t="s">
        <v>2</v>
      </c>
      <c r="N478" s="4" t="s">
        <v>84</v>
      </c>
    </row>
    <row r="479" spans="1:27" ht="15.75" thickBot="1">
      <c r="A479" s="409" t="s">
        <v>0</v>
      </c>
      <c r="B479" s="414"/>
      <c r="C479" s="99" t="s">
        <v>102</v>
      </c>
      <c r="D479" s="99" t="s">
        <v>103</v>
      </c>
      <c r="E479" s="99" t="s">
        <v>104</v>
      </c>
      <c r="F479" s="99" t="s">
        <v>105</v>
      </c>
      <c r="G479" s="99" t="s">
        <v>100</v>
      </c>
      <c r="H479" s="99" t="s">
        <v>107</v>
      </c>
      <c r="I479" s="99" t="s">
        <v>106</v>
      </c>
      <c r="J479" s="99" t="s">
        <v>108</v>
      </c>
      <c r="K479" s="99" t="s">
        <v>110</v>
      </c>
      <c r="L479" s="99" t="s">
        <v>101</v>
      </c>
      <c r="M479" s="99" t="s">
        <v>109</v>
      </c>
      <c r="N479" s="101" t="s">
        <v>111</v>
      </c>
      <c r="Q479" s="14"/>
      <c r="R479" s="14"/>
      <c r="S479" s="14"/>
      <c r="T479" s="14"/>
      <c r="U479" s="14"/>
      <c r="V479" s="14"/>
      <c r="W479" s="14"/>
      <c r="X479" s="14"/>
      <c r="Y479" s="175"/>
      <c r="Z479" s="174"/>
      <c r="AA479" s="175"/>
    </row>
    <row r="480" spans="1:27">
      <c r="A480" s="421" t="s">
        <v>9</v>
      </c>
      <c r="B480" s="2" t="s">
        <v>4</v>
      </c>
      <c r="C480" s="96">
        <v>143392.20000000001</v>
      </c>
      <c r="D480" s="96">
        <v>150515.79999999999</v>
      </c>
      <c r="E480" s="96">
        <v>150515.79999999999</v>
      </c>
      <c r="F480" s="96">
        <v>181997.8</v>
      </c>
      <c r="G480" s="96">
        <v>165452.5</v>
      </c>
      <c r="H480" s="96">
        <v>110071.9</v>
      </c>
      <c r="I480" s="96">
        <v>121331.8</v>
      </c>
      <c r="J480" s="96">
        <v>170967.6</v>
      </c>
      <c r="K480" s="96">
        <v>132132.20000000001</v>
      </c>
      <c r="L480" s="96">
        <v>82726.3</v>
      </c>
      <c r="M480" s="96">
        <v>176482.7</v>
      </c>
      <c r="N480" s="100">
        <v>54921</v>
      </c>
      <c r="P480" s="104"/>
      <c r="Y480" s="104"/>
      <c r="Z480" s="104"/>
      <c r="AA480" s="104"/>
    </row>
    <row r="481" spans="1:27">
      <c r="A481" s="422"/>
      <c r="B481" s="63" t="s">
        <v>5</v>
      </c>
      <c r="C481" s="97">
        <v>93147</v>
      </c>
      <c r="D481" s="97">
        <v>70992.399999999994</v>
      </c>
      <c r="E481" s="97">
        <v>72434.2</v>
      </c>
      <c r="F481" s="97">
        <v>161121.79999999999</v>
      </c>
      <c r="G481" s="97">
        <v>49584.3</v>
      </c>
      <c r="H481" s="97">
        <v>27079.7</v>
      </c>
      <c r="I481" s="97">
        <v>46183.4</v>
      </c>
      <c r="J481" s="97">
        <v>143669.5</v>
      </c>
      <c r="K481" s="97">
        <v>38822.400000000001</v>
      </c>
      <c r="L481" s="97">
        <v>27442.9</v>
      </c>
      <c r="M481" s="97">
        <v>95220.3</v>
      </c>
      <c r="N481" s="102">
        <v>23054</v>
      </c>
      <c r="P481" s="104"/>
      <c r="Y481" s="104"/>
      <c r="Z481" s="104"/>
      <c r="AA481" s="104"/>
    </row>
    <row r="482" spans="1:27" ht="15.75" thickBot="1">
      <c r="A482" s="423"/>
      <c r="B482" s="3" t="s">
        <v>3</v>
      </c>
      <c r="C482" s="71">
        <f>C481/C480</f>
        <v>0.64959600312987731</v>
      </c>
      <c r="D482" s="72">
        <f t="shared" ref="D482:E482" si="354">D481/D480</f>
        <v>0.47166078245606108</v>
      </c>
      <c r="E482" s="72">
        <f t="shared" si="354"/>
        <v>0.48123984325898012</v>
      </c>
      <c r="F482" s="72">
        <f>F481/F480</f>
        <v>0.88529531675657613</v>
      </c>
      <c r="G482" s="72">
        <f>G481/G480</f>
        <v>0.29968903461718621</v>
      </c>
      <c r="H482" s="72">
        <f t="shared" ref="H482:N482" si="355">H481/H480</f>
        <v>0.24601828441227963</v>
      </c>
      <c r="I482" s="72">
        <f t="shared" si="355"/>
        <v>0.380637227833099</v>
      </c>
      <c r="J482" s="72">
        <f t="shared" si="355"/>
        <v>0.84033173536974259</v>
      </c>
      <c r="K482" s="72">
        <f t="shared" si="355"/>
        <v>0.29381483090420046</v>
      </c>
      <c r="L482" s="72">
        <f t="shared" si="355"/>
        <v>0.33173126321375429</v>
      </c>
      <c r="M482" s="72">
        <f t="shared" si="355"/>
        <v>0.53954466925086708</v>
      </c>
      <c r="N482" s="83">
        <f t="shared" si="355"/>
        <v>0.41976657380601229</v>
      </c>
      <c r="P482" s="104"/>
      <c r="Y482" s="104"/>
      <c r="Z482" s="104"/>
      <c r="AA482" s="104"/>
    </row>
    <row r="483" spans="1:27">
      <c r="A483" s="411" t="s">
        <v>6</v>
      </c>
      <c r="B483" s="27" t="s">
        <v>7</v>
      </c>
      <c r="C483" s="68">
        <v>5285</v>
      </c>
      <c r="D483" s="68">
        <v>3240</v>
      </c>
      <c r="E483" s="68">
        <v>3237</v>
      </c>
      <c r="F483" s="68">
        <v>9565</v>
      </c>
      <c r="G483" s="68">
        <v>7099</v>
      </c>
      <c r="H483" s="68">
        <v>12966</v>
      </c>
      <c r="I483" s="68">
        <v>6852</v>
      </c>
      <c r="J483" s="68">
        <v>9193</v>
      </c>
      <c r="K483" s="68">
        <v>10410</v>
      </c>
      <c r="L483" s="68">
        <v>3799</v>
      </c>
      <c r="M483" s="68">
        <v>9050</v>
      </c>
      <c r="N483" s="80">
        <v>792</v>
      </c>
      <c r="P483" s="104"/>
      <c r="Y483" s="104"/>
      <c r="Z483" s="104"/>
      <c r="AA483" s="104"/>
    </row>
    <row r="484" spans="1:27">
      <c r="A484" s="412"/>
      <c r="B484" s="28" t="s">
        <v>11</v>
      </c>
      <c r="C484" s="73">
        <f t="shared" ref="C484:I484" si="356">C483*33.72</f>
        <v>178210.19999999998</v>
      </c>
      <c r="D484" s="73">
        <f t="shared" si="356"/>
        <v>109252.8</v>
      </c>
      <c r="E484" s="73">
        <f t="shared" si="356"/>
        <v>109151.64</v>
      </c>
      <c r="F484" s="73">
        <f t="shared" si="356"/>
        <v>322531.8</v>
      </c>
      <c r="G484" s="73">
        <f t="shared" si="356"/>
        <v>239378.28</v>
      </c>
      <c r="H484" s="73">
        <f t="shared" si="356"/>
        <v>437213.51999999996</v>
      </c>
      <c r="I484" s="73">
        <f t="shared" si="356"/>
        <v>231049.44</v>
      </c>
      <c r="J484" s="73">
        <f>J483*33.72</f>
        <v>309987.95999999996</v>
      </c>
      <c r="K484" s="73">
        <f t="shared" ref="K484:L484" si="357">K483*33.72</f>
        <v>351025.2</v>
      </c>
      <c r="L484" s="73">
        <f t="shared" si="357"/>
        <v>128102.28</v>
      </c>
      <c r="M484" s="73">
        <f>M483*33.72</f>
        <v>305166</v>
      </c>
      <c r="N484" s="84">
        <f t="shared" ref="N484" si="358">N483*33.72</f>
        <v>26706.239999999998</v>
      </c>
      <c r="P484" s="104"/>
      <c r="Y484" s="104"/>
      <c r="Z484" s="104"/>
      <c r="AA484" s="104"/>
    </row>
    <row r="485" spans="1:27">
      <c r="A485" s="412"/>
      <c r="B485" s="28" t="s">
        <v>79</v>
      </c>
      <c r="C485" s="73">
        <v>164000</v>
      </c>
      <c r="D485" s="73">
        <v>109880</v>
      </c>
      <c r="E485" s="73">
        <v>109880</v>
      </c>
      <c r="F485" s="73">
        <v>328000</v>
      </c>
      <c r="G485" s="73">
        <f>G480*2</f>
        <v>330905</v>
      </c>
      <c r="H485" s="73">
        <f>H480*2</f>
        <v>220143.8</v>
      </c>
      <c r="I485" s="73">
        <f>I480*2</f>
        <v>242663.6</v>
      </c>
      <c r="J485" s="73">
        <v>328000</v>
      </c>
      <c r="K485" s="73">
        <f>K480*2</f>
        <v>264264.40000000002</v>
      </c>
      <c r="L485" s="73">
        <v>328000</v>
      </c>
      <c r="M485" s="73">
        <f>2*M480</f>
        <v>352965.4</v>
      </c>
      <c r="N485" s="84">
        <f>2*N480</f>
        <v>109842</v>
      </c>
      <c r="P485" s="104"/>
      <c r="Y485" s="104"/>
      <c r="Z485" s="104"/>
      <c r="AA485" s="104"/>
    </row>
    <row r="486" spans="1:27">
      <c r="A486" s="412"/>
      <c r="B486" s="66" t="s">
        <v>8</v>
      </c>
      <c r="C486" s="98">
        <f>SUM(C483-350)</f>
        <v>4935</v>
      </c>
      <c r="D486" s="98">
        <f>SUM(D483-593)</f>
        <v>2647</v>
      </c>
      <c r="E486" s="98">
        <f>SUM(E483-595)</f>
        <v>2642</v>
      </c>
      <c r="F486" s="98">
        <f>SUM(F483-1124)</f>
        <v>8441</v>
      </c>
      <c r="G486" s="98">
        <f>SUM(G483-4249)</f>
        <v>2850</v>
      </c>
      <c r="H486" s="98">
        <f>SUM(H483-2081)</f>
        <v>10885</v>
      </c>
      <c r="I486" s="98">
        <f>SUM(I483-(4219-2000))</f>
        <v>4633</v>
      </c>
      <c r="J486" s="98">
        <f>SUM(J483-1306)</f>
        <v>7887</v>
      </c>
      <c r="K486" s="98">
        <f>SUM(K483-1644)</f>
        <v>8766</v>
      </c>
      <c r="L486" s="98">
        <f>SUM(L483-670)</f>
        <v>3129</v>
      </c>
      <c r="M486" s="98">
        <f>SUM(M483-(6010-2614))</f>
        <v>5654</v>
      </c>
      <c r="N486" s="103">
        <f>SUM(N483-46)</f>
        <v>746</v>
      </c>
      <c r="P486" s="14" t="s">
        <v>192</v>
      </c>
    </row>
    <row r="487" spans="1:27">
      <c r="A487" s="412"/>
      <c r="B487" s="29" t="s">
        <v>77</v>
      </c>
      <c r="C487" s="75">
        <f>C486*33.72</f>
        <v>166408.19999999998</v>
      </c>
      <c r="D487" s="75">
        <f>D486*33.72</f>
        <v>89256.84</v>
      </c>
      <c r="E487" s="75">
        <f>E486*33.72</f>
        <v>89088.239999999991</v>
      </c>
      <c r="F487" s="75">
        <f>F486*33.72</f>
        <v>284630.52</v>
      </c>
      <c r="G487" s="75">
        <f>G486*33.72*2</f>
        <v>192204</v>
      </c>
      <c r="H487" s="75">
        <f>H486*33.72</f>
        <v>367042.2</v>
      </c>
      <c r="I487" s="75">
        <f>I486*33.72</f>
        <v>156224.75999999998</v>
      </c>
      <c r="J487" s="75">
        <f>J486*33.72</f>
        <v>265949.64</v>
      </c>
      <c r="K487" s="75">
        <f>K486*33.72</f>
        <v>295589.52</v>
      </c>
      <c r="L487" s="75">
        <f>L486*33.72</f>
        <v>105509.87999999999</v>
      </c>
      <c r="M487" s="75">
        <f>M486*33.72*2</f>
        <v>381305.76</v>
      </c>
      <c r="N487" s="11">
        <f>N486*33.72</f>
        <v>25155.119999999999</v>
      </c>
      <c r="P487" s="89">
        <f>344240-H487</f>
        <v>-22802.200000000012</v>
      </c>
      <c r="Q487" s="104" t="s">
        <v>193</v>
      </c>
    </row>
    <row r="488" spans="1:27" ht="15.75" thickBot="1">
      <c r="A488" s="412"/>
      <c r="B488" s="30" t="s">
        <v>10</v>
      </c>
      <c r="C488" s="72">
        <f>C487/C480</f>
        <v>1.1605108227644179</v>
      </c>
      <c r="D488" s="72">
        <f t="shared" ref="D488" si="359">D487/D480</f>
        <v>0.59300644849245066</v>
      </c>
      <c r="E488" s="72">
        <f t="shared" ref="E488" si="360">E487/E480</f>
        <v>0.59188630030867184</v>
      </c>
      <c r="F488" s="72">
        <f t="shared" ref="F488" si="361">F487/F480</f>
        <v>1.5639228606060076</v>
      </c>
      <c r="G488" s="72">
        <f t="shared" ref="G488" si="362">G487/G480</f>
        <v>1.161686888986265</v>
      </c>
      <c r="H488" s="72">
        <f t="shared" ref="H488" si="363">H487/H480</f>
        <v>3.3345676780359024</v>
      </c>
      <c r="I488" s="72">
        <f t="shared" ref="I488" si="364">I487/I480</f>
        <v>1.2875829749496832</v>
      </c>
      <c r="J488" s="72">
        <f t="shared" ref="J488" si="365">J487/J480</f>
        <v>1.5555557895180139</v>
      </c>
      <c r="K488" s="72">
        <f t="shared" ref="K488" si="366">K487/K480</f>
        <v>2.2370740818664943</v>
      </c>
      <c r="L488" s="72">
        <f t="shared" ref="L488" si="367">L487/L480</f>
        <v>1.2754091504152849</v>
      </c>
      <c r="M488" s="72">
        <f t="shared" ref="M488" si="368">M487/M480</f>
        <v>2.1605843518939816</v>
      </c>
      <c r="N488" s="72">
        <f t="shared" ref="N488" si="369">N487/N480</f>
        <v>0.45802370677882775</v>
      </c>
      <c r="P488" s="175"/>
    </row>
    <row r="489" spans="1:27" ht="15.75" thickBot="1">
      <c r="A489" s="424" t="s">
        <v>83</v>
      </c>
      <c r="B489" s="425"/>
      <c r="C489" s="76">
        <f>MIN(2*C480,C485)-C487</f>
        <v>-2408.1999999999825</v>
      </c>
      <c r="D489" s="76">
        <f t="shared" ref="D489:N489" si="370">MIN(2*D480,D485)-D487</f>
        <v>20623.160000000003</v>
      </c>
      <c r="E489" s="76">
        <f t="shared" si="370"/>
        <v>20791.760000000009</v>
      </c>
      <c r="F489" s="76">
        <f t="shared" si="370"/>
        <v>43369.479999999981</v>
      </c>
      <c r="G489" s="76">
        <f t="shared" si="370"/>
        <v>138701</v>
      </c>
      <c r="H489" s="76">
        <f t="shared" si="370"/>
        <v>-146898.40000000002</v>
      </c>
      <c r="I489" s="76">
        <f t="shared" si="370"/>
        <v>86438.840000000026</v>
      </c>
      <c r="J489" s="76">
        <f t="shared" si="370"/>
        <v>62050.359999999986</v>
      </c>
      <c r="K489" s="76">
        <f t="shared" si="370"/>
        <v>-31325.119999999995</v>
      </c>
      <c r="L489" s="76">
        <f t="shared" si="370"/>
        <v>59942.720000000016</v>
      </c>
      <c r="M489" s="76">
        <f t="shared" si="370"/>
        <v>-28340.359999999986</v>
      </c>
      <c r="N489" s="22">
        <f t="shared" si="370"/>
        <v>84686.88</v>
      </c>
      <c r="P489" s="174"/>
    </row>
    <row r="490" spans="1:27" ht="15.75" thickBot="1">
      <c r="A490" s="368">
        <v>41178</v>
      </c>
      <c r="B490" s="368"/>
      <c r="C490" s="368"/>
      <c r="N490" s="15"/>
    </row>
    <row r="491" spans="1:27">
      <c r="A491" s="407" t="s">
        <v>1</v>
      </c>
      <c r="B491" s="420"/>
      <c r="C491" s="68" t="s">
        <v>12</v>
      </c>
      <c r="D491" s="68" t="s">
        <v>12</v>
      </c>
      <c r="E491" s="68" t="s">
        <v>13</v>
      </c>
      <c r="F491" s="68" t="s">
        <v>13</v>
      </c>
      <c r="G491" s="68" t="s">
        <v>13</v>
      </c>
      <c r="H491" s="68" t="s">
        <v>13</v>
      </c>
      <c r="I491" s="68" t="s">
        <v>13</v>
      </c>
      <c r="J491" s="68" t="s">
        <v>2</v>
      </c>
      <c r="K491" s="68" t="s">
        <v>2</v>
      </c>
      <c r="L491" s="68" t="s">
        <v>2</v>
      </c>
      <c r="M491" s="68" t="s">
        <v>2</v>
      </c>
      <c r="N491" s="4" t="s">
        <v>84</v>
      </c>
    </row>
    <row r="492" spans="1:27" ht="15.75" thickBot="1">
      <c r="A492" s="409" t="s">
        <v>0</v>
      </c>
      <c r="B492" s="414"/>
      <c r="C492" s="99" t="s">
        <v>102</v>
      </c>
      <c r="D492" s="99" t="s">
        <v>103</v>
      </c>
      <c r="E492" s="99" t="s">
        <v>104</v>
      </c>
      <c r="F492" s="99" t="s">
        <v>105</v>
      </c>
      <c r="G492" s="99" t="s">
        <v>100</v>
      </c>
      <c r="H492" s="99" t="s">
        <v>107</v>
      </c>
      <c r="I492" s="99" t="s">
        <v>106</v>
      </c>
      <c r="J492" s="99" t="s">
        <v>108</v>
      </c>
      <c r="K492" s="99" t="s">
        <v>110</v>
      </c>
      <c r="L492" s="99" t="s">
        <v>101</v>
      </c>
      <c r="M492" s="99" t="s">
        <v>109</v>
      </c>
      <c r="N492" s="101" t="s">
        <v>111</v>
      </c>
      <c r="Q492" s="14"/>
      <c r="R492" s="14"/>
      <c r="S492" s="14"/>
      <c r="T492" s="14"/>
      <c r="U492" s="14"/>
      <c r="V492" s="14"/>
      <c r="W492" s="14"/>
      <c r="X492" s="14"/>
      <c r="Y492" s="175"/>
      <c r="Z492" s="174"/>
      <c r="AA492" s="175"/>
    </row>
    <row r="493" spans="1:27">
      <c r="A493" s="421" t="s">
        <v>9</v>
      </c>
      <c r="B493" s="2" t="s">
        <v>4</v>
      </c>
      <c r="C493" s="96">
        <v>143392.20000000001</v>
      </c>
      <c r="D493" s="96">
        <v>150515.79999999999</v>
      </c>
      <c r="E493" s="96">
        <v>150515.79999999999</v>
      </c>
      <c r="F493" s="96">
        <v>181997.8</v>
      </c>
      <c r="G493" s="96">
        <v>165452.5</v>
      </c>
      <c r="H493" s="96">
        <v>110071.9</v>
      </c>
      <c r="I493" s="96">
        <v>121331.8</v>
      </c>
      <c r="J493" s="96">
        <v>170967.6</v>
      </c>
      <c r="K493" s="96">
        <v>132132.20000000001</v>
      </c>
      <c r="L493" s="96">
        <v>82726.3</v>
      </c>
      <c r="M493" s="96">
        <v>176482.7</v>
      </c>
      <c r="N493" s="100">
        <v>54921</v>
      </c>
      <c r="P493" s="104"/>
      <c r="Y493" s="104"/>
      <c r="Z493" s="104"/>
      <c r="AA493" s="104"/>
    </row>
    <row r="494" spans="1:27">
      <c r="A494" s="422"/>
      <c r="B494" s="63" t="s">
        <v>5</v>
      </c>
      <c r="C494" s="97">
        <v>92843.4</v>
      </c>
      <c r="D494" s="97">
        <v>70630.5</v>
      </c>
      <c r="E494" s="97">
        <v>71991.399999999994</v>
      </c>
      <c r="F494" s="97">
        <v>160686.5</v>
      </c>
      <c r="G494" s="97">
        <v>44824.7</v>
      </c>
      <c r="H494" s="97">
        <v>25924.3</v>
      </c>
      <c r="I494" s="97">
        <v>46139.4</v>
      </c>
      <c r="J494" s="97">
        <v>143317.79999999999</v>
      </c>
      <c r="K494" s="97">
        <v>39209.300000000003</v>
      </c>
      <c r="L494" s="97">
        <v>26255</v>
      </c>
      <c r="M494" s="97">
        <v>95131.199999999997</v>
      </c>
      <c r="N494" s="102">
        <v>23053.4</v>
      </c>
      <c r="P494" s="104"/>
      <c r="Y494" s="104"/>
      <c r="Z494" s="104"/>
      <c r="AA494" s="104"/>
    </row>
    <row r="495" spans="1:27" ht="15.75" thickBot="1">
      <c r="A495" s="423"/>
      <c r="B495" s="3" t="s">
        <v>3</v>
      </c>
      <c r="C495" s="71">
        <f>C494/C493</f>
        <v>0.64747873315284921</v>
      </c>
      <c r="D495" s="72">
        <f t="shared" ref="D495:E495" si="371">D494/D493</f>
        <v>0.46925638371519807</v>
      </c>
      <c r="E495" s="72">
        <f t="shared" si="371"/>
        <v>0.47829795941688513</v>
      </c>
      <c r="F495" s="72">
        <f>F494/F493</f>
        <v>0.88290352960310514</v>
      </c>
      <c r="G495" s="72">
        <f>G494/G493</f>
        <v>0.27092186579229688</v>
      </c>
      <c r="H495" s="72">
        <f t="shared" ref="H495:N495" si="372">H494/H493</f>
        <v>0.23552150912267344</v>
      </c>
      <c r="I495" s="72">
        <f t="shared" si="372"/>
        <v>0.38027458588762386</v>
      </c>
      <c r="J495" s="72">
        <f t="shared" si="372"/>
        <v>0.83827462045440182</v>
      </c>
      <c r="K495" s="72">
        <f t="shared" si="372"/>
        <v>0.29674295894566199</v>
      </c>
      <c r="L495" s="72">
        <f t="shared" si="372"/>
        <v>0.31737186360323139</v>
      </c>
      <c r="M495" s="72">
        <f t="shared" si="372"/>
        <v>0.53903980390145889</v>
      </c>
      <c r="N495" s="83">
        <f t="shared" si="372"/>
        <v>0.41975564902314239</v>
      </c>
      <c r="P495" s="104"/>
      <c r="Y495" s="104"/>
      <c r="Z495" s="104"/>
      <c r="AA495" s="104"/>
    </row>
    <row r="496" spans="1:27">
      <c r="A496" s="411" t="s">
        <v>6</v>
      </c>
      <c r="B496" s="27" t="s">
        <v>7</v>
      </c>
      <c r="C496" s="68">
        <v>5165</v>
      </c>
      <c r="D496" s="68">
        <v>3240</v>
      </c>
      <c r="E496" s="68">
        <v>3237</v>
      </c>
      <c r="F496" s="68">
        <v>9565</v>
      </c>
      <c r="G496" s="68">
        <v>7099</v>
      </c>
      <c r="H496" s="68">
        <v>12303</v>
      </c>
      <c r="I496" s="68">
        <f>(6852-2000)</f>
        <v>4852</v>
      </c>
      <c r="J496" s="68">
        <v>9193</v>
      </c>
      <c r="K496" s="68">
        <v>10410</v>
      </c>
      <c r="L496" s="68">
        <v>3799</v>
      </c>
      <c r="M496" s="68">
        <v>9050</v>
      </c>
      <c r="N496" s="80">
        <v>792</v>
      </c>
      <c r="P496" s="104"/>
      <c r="Y496" s="104"/>
      <c r="Z496" s="104"/>
      <c r="AA496" s="104"/>
    </row>
    <row r="497" spans="1:27">
      <c r="A497" s="412"/>
      <c r="B497" s="28" t="s">
        <v>11</v>
      </c>
      <c r="C497" s="73">
        <f t="shared" ref="C497:I497" si="373">C496*33.72</f>
        <v>174163.8</v>
      </c>
      <c r="D497" s="73">
        <f t="shared" si="373"/>
        <v>109252.8</v>
      </c>
      <c r="E497" s="73">
        <f t="shared" si="373"/>
        <v>109151.64</v>
      </c>
      <c r="F497" s="73">
        <f t="shared" si="373"/>
        <v>322531.8</v>
      </c>
      <c r="G497" s="73">
        <f t="shared" si="373"/>
        <v>239378.28</v>
      </c>
      <c r="H497" s="73">
        <f t="shared" si="373"/>
        <v>414857.16</v>
      </c>
      <c r="I497" s="73">
        <f t="shared" si="373"/>
        <v>163609.44</v>
      </c>
      <c r="J497" s="73">
        <f>J496*33.72</f>
        <v>309987.95999999996</v>
      </c>
      <c r="K497" s="73">
        <f t="shared" ref="K497:L497" si="374">K496*33.72</f>
        <v>351025.2</v>
      </c>
      <c r="L497" s="73">
        <f t="shared" si="374"/>
        <v>128102.28</v>
      </c>
      <c r="M497" s="73">
        <f>M496*33.72</f>
        <v>305166</v>
      </c>
      <c r="N497" s="84">
        <f t="shared" ref="N497" si="375">N496*33.72</f>
        <v>26706.239999999998</v>
      </c>
      <c r="P497" s="104"/>
      <c r="Y497" s="104"/>
      <c r="Z497" s="104"/>
      <c r="AA497" s="104"/>
    </row>
    <row r="498" spans="1:27">
      <c r="A498" s="412"/>
      <c r="B498" s="28" t="s">
        <v>79</v>
      </c>
      <c r="C498" s="73">
        <v>164000</v>
      </c>
      <c r="D498" s="73">
        <v>109880</v>
      </c>
      <c r="E498" s="73">
        <v>109880</v>
      </c>
      <c r="F498" s="73">
        <v>328000</v>
      </c>
      <c r="G498" s="73">
        <f>G493*2</f>
        <v>330905</v>
      </c>
      <c r="H498" s="73">
        <f>H493*2</f>
        <v>220143.8</v>
      </c>
      <c r="I498" s="73">
        <f>I493*2</f>
        <v>242663.6</v>
      </c>
      <c r="J498" s="73">
        <v>328000</v>
      </c>
      <c r="K498" s="73">
        <f>K493*2</f>
        <v>264264.40000000002</v>
      </c>
      <c r="L498" s="73">
        <v>328000</v>
      </c>
      <c r="M498" s="73">
        <f>2*M493</f>
        <v>352965.4</v>
      </c>
      <c r="N498" s="84">
        <f>2*N493</f>
        <v>109842</v>
      </c>
      <c r="P498" s="104"/>
      <c r="Y498" s="104"/>
      <c r="Z498" s="104"/>
      <c r="AA498" s="104"/>
    </row>
    <row r="499" spans="1:27">
      <c r="A499" s="412"/>
      <c r="B499" s="66" t="s">
        <v>8</v>
      </c>
      <c r="C499" s="98">
        <f>SUM(C496-230)</f>
        <v>4935</v>
      </c>
      <c r="D499" s="98">
        <f>SUM(D496-593)</f>
        <v>2647</v>
      </c>
      <c r="E499" s="98">
        <f>SUM(E496-595)</f>
        <v>2642</v>
      </c>
      <c r="F499" s="98">
        <f>SUM(F496-1124)</f>
        <v>8441</v>
      </c>
      <c r="G499" s="98">
        <f>SUM(G496-3717)</f>
        <v>3382</v>
      </c>
      <c r="H499" s="98">
        <f>SUM(H496-1459)</f>
        <v>10844</v>
      </c>
      <c r="I499" s="98">
        <f>SUM(I496-(4219-2000))</f>
        <v>2633</v>
      </c>
      <c r="J499" s="98">
        <f>SUM(J496-1306)</f>
        <v>7887</v>
      </c>
      <c r="K499" s="98">
        <f>SUM(K496-1829)</f>
        <v>8581</v>
      </c>
      <c r="L499" s="98">
        <f>SUM(L496-904)</f>
        <v>2895</v>
      </c>
      <c r="M499" s="98">
        <f>SUM(M496-(6010-2614))</f>
        <v>5654</v>
      </c>
      <c r="N499" s="103">
        <f>SUM(N496-46)</f>
        <v>746</v>
      </c>
      <c r="P499" s="14" t="s">
        <v>192</v>
      </c>
    </row>
    <row r="500" spans="1:27">
      <c r="A500" s="412"/>
      <c r="B500" s="29" t="s">
        <v>77</v>
      </c>
      <c r="C500" s="75">
        <f>C499*33.72</f>
        <v>166408.19999999998</v>
      </c>
      <c r="D500" s="75">
        <f>D499*33.72</f>
        <v>89256.84</v>
      </c>
      <c r="E500" s="75">
        <f>E499*33.72</f>
        <v>89088.239999999991</v>
      </c>
      <c r="F500" s="75">
        <f>F499*33.72</f>
        <v>284630.52</v>
      </c>
      <c r="G500" s="75">
        <f>G499*33.72*2</f>
        <v>228082.08</v>
      </c>
      <c r="H500" s="75">
        <f>H499*33.72</f>
        <v>365659.68</v>
      </c>
      <c r="I500" s="75">
        <f>I499*33.72</f>
        <v>88784.76</v>
      </c>
      <c r="J500" s="75">
        <f>J499*33.72</f>
        <v>265949.64</v>
      </c>
      <c r="K500" s="75">
        <f>K499*33.72</f>
        <v>289351.32</v>
      </c>
      <c r="L500" s="75">
        <f>L499*33.72</f>
        <v>97619.4</v>
      </c>
      <c r="M500" s="75">
        <f>M499*33.72*2</f>
        <v>381305.76</v>
      </c>
      <c r="N500" s="11">
        <f>N499*33.72</f>
        <v>25155.119999999999</v>
      </c>
      <c r="P500" s="89">
        <f>344240-H500</f>
        <v>-21419.679999999993</v>
      </c>
      <c r="Q500" s="104" t="s">
        <v>193</v>
      </c>
    </row>
    <row r="501" spans="1:27" ht="15.75" thickBot="1">
      <c r="A501" s="412"/>
      <c r="B501" s="30" t="s">
        <v>10</v>
      </c>
      <c r="C501" s="72">
        <f>C500/C493</f>
        <v>1.1605108227644179</v>
      </c>
      <c r="D501" s="72">
        <f t="shared" ref="D501" si="376">D500/D493</f>
        <v>0.59300644849245066</v>
      </c>
      <c r="E501" s="72">
        <f t="shared" ref="E501" si="377">E500/E493</f>
        <v>0.59188630030867184</v>
      </c>
      <c r="F501" s="72">
        <f t="shared" ref="F501" si="378">F500/F493</f>
        <v>1.5639228606060076</v>
      </c>
      <c r="G501" s="72">
        <f t="shared" ref="G501" si="379">G500/G493</f>
        <v>1.378535108263701</v>
      </c>
      <c r="H501" s="72">
        <f t="shared" ref="H501" si="380">H500/H493</f>
        <v>3.3220075241728364</v>
      </c>
      <c r="I501" s="72">
        <f t="shared" ref="I501" si="381">I500/I493</f>
        <v>0.73175177488506715</v>
      </c>
      <c r="J501" s="72">
        <f t="shared" ref="J501" si="382">J500/J493</f>
        <v>1.5555557895180139</v>
      </c>
      <c r="K501" s="72">
        <f t="shared" ref="K501" si="383">K500/K493</f>
        <v>2.1898622742980134</v>
      </c>
      <c r="L501" s="72">
        <f t="shared" ref="L501" si="384">L500/L493</f>
        <v>1.1800286003362896</v>
      </c>
      <c r="M501" s="72">
        <f t="shared" ref="M501" si="385">M500/M493</f>
        <v>2.1605843518939816</v>
      </c>
      <c r="N501" s="72">
        <f t="shared" ref="N501" si="386">N500/N493</f>
        <v>0.45802370677882775</v>
      </c>
      <c r="P501" s="175"/>
    </row>
    <row r="502" spans="1:27" ht="15.75" thickBot="1">
      <c r="A502" s="424" t="s">
        <v>83</v>
      </c>
      <c r="B502" s="425"/>
      <c r="C502" s="76">
        <f>MIN(2*C493,C498)-C500</f>
        <v>-2408.1999999999825</v>
      </c>
      <c r="D502" s="76">
        <f t="shared" ref="D502:N502" si="387">MIN(2*D493,D498)-D500</f>
        <v>20623.160000000003</v>
      </c>
      <c r="E502" s="76">
        <f t="shared" si="387"/>
        <v>20791.760000000009</v>
      </c>
      <c r="F502" s="76">
        <f t="shared" si="387"/>
        <v>43369.479999999981</v>
      </c>
      <c r="G502" s="76">
        <f t="shared" si="387"/>
        <v>102822.92000000001</v>
      </c>
      <c r="H502" s="76">
        <f t="shared" si="387"/>
        <v>-145515.88</v>
      </c>
      <c r="I502" s="76">
        <f t="shared" si="387"/>
        <v>153878.84000000003</v>
      </c>
      <c r="J502" s="76">
        <f t="shared" si="387"/>
        <v>62050.359999999986</v>
      </c>
      <c r="K502" s="76">
        <f t="shared" si="387"/>
        <v>-25086.919999999984</v>
      </c>
      <c r="L502" s="76">
        <f t="shared" si="387"/>
        <v>67833.200000000012</v>
      </c>
      <c r="M502" s="76">
        <f t="shared" si="387"/>
        <v>-28340.359999999986</v>
      </c>
      <c r="N502" s="22">
        <f t="shared" si="387"/>
        <v>84686.88</v>
      </c>
      <c r="P502" s="174"/>
    </row>
    <row r="503" spans="1:27" ht="15.75" thickBot="1">
      <c r="A503" s="368">
        <v>41176</v>
      </c>
      <c r="B503" s="368"/>
      <c r="C503" s="368"/>
      <c r="N503" s="15"/>
    </row>
    <row r="504" spans="1:27">
      <c r="A504" s="407" t="s">
        <v>1</v>
      </c>
      <c r="B504" s="420"/>
      <c r="C504" s="68" t="s">
        <v>12</v>
      </c>
      <c r="D504" s="68" t="s">
        <v>12</v>
      </c>
      <c r="E504" s="68" t="s">
        <v>13</v>
      </c>
      <c r="F504" s="68" t="s">
        <v>13</v>
      </c>
      <c r="G504" s="68" t="s">
        <v>13</v>
      </c>
      <c r="H504" s="68" t="s">
        <v>13</v>
      </c>
      <c r="I504" s="68" t="s">
        <v>13</v>
      </c>
      <c r="J504" s="68" t="s">
        <v>2</v>
      </c>
      <c r="K504" s="68" t="s">
        <v>2</v>
      </c>
      <c r="L504" s="68" t="s">
        <v>2</v>
      </c>
      <c r="M504" s="68" t="s">
        <v>2</v>
      </c>
      <c r="N504" s="4" t="s">
        <v>84</v>
      </c>
    </row>
    <row r="505" spans="1:27" ht="15.75" thickBot="1">
      <c r="A505" s="409" t="s">
        <v>0</v>
      </c>
      <c r="B505" s="414"/>
      <c r="C505" s="99" t="s">
        <v>102</v>
      </c>
      <c r="D505" s="99" t="s">
        <v>103</v>
      </c>
      <c r="E505" s="99" t="s">
        <v>104</v>
      </c>
      <c r="F505" s="99" t="s">
        <v>105</v>
      </c>
      <c r="G505" s="99" t="s">
        <v>100</v>
      </c>
      <c r="H505" s="99" t="s">
        <v>107</v>
      </c>
      <c r="I505" s="99" t="s">
        <v>106</v>
      </c>
      <c r="J505" s="99" t="s">
        <v>108</v>
      </c>
      <c r="K505" s="99" t="s">
        <v>110</v>
      </c>
      <c r="L505" s="99" t="s">
        <v>101</v>
      </c>
      <c r="M505" s="99" t="s">
        <v>109</v>
      </c>
      <c r="N505" s="101" t="s">
        <v>111</v>
      </c>
      <c r="Q505" s="14"/>
      <c r="R505" s="14"/>
      <c r="S505" s="14"/>
      <c r="T505" s="14"/>
      <c r="U505" s="14"/>
      <c r="V505" s="14"/>
      <c r="W505" s="14"/>
      <c r="X505" s="14"/>
      <c r="Y505" s="175"/>
      <c r="Z505" s="174"/>
      <c r="AA505" s="175"/>
    </row>
    <row r="506" spans="1:27">
      <c r="A506" s="421" t="s">
        <v>9</v>
      </c>
      <c r="B506" s="2" t="s">
        <v>4</v>
      </c>
      <c r="C506" s="96">
        <v>143392.20000000001</v>
      </c>
      <c r="D506" s="96">
        <v>150515.79999999999</v>
      </c>
      <c r="E506" s="96">
        <v>150515.79999999999</v>
      </c>
      <c r="F506" s="96">
        <v>181997.8</v>
      </c>
      <c r="G506" s="96">
        <v>165452.5</v>
      </c>
      <c r="H506" s="96">
        <v>110071.9</v>
      </c>
      <c r="I506" s="96">
        <v>121331.8</v>
      </c>
      <c r="J506" s="96">
        <v>170967.6</v>
      </c>
      <c r="K506" s="96">
        <v>132132.20000000001</v>
      </c>
      <c r="L506" s="96">
        <v>82726.3</v>
      </c>
      <c r="M506" s="96">
        <v>176482.7</v>
      </c>
      <c r="N506" s="100">
        <v>54921</v>
      </c>
      <c r="P506" s="104"/>
      <c r="Y506" s="104"/>
      <c r="Z506" s="104"/>
      <c r="AA506" s="104"/>
    </row>
    <row r="507" spans="1:27">
      <c r="A507" s="422"/>
      <c r="B507" s="63" t="s">
        <v>5</v>
      </c>
      <c r="C507" s="97">
        <v>92649.5</v>
      </c>
      <c r="D507" s="97">
        <v>70574.5</v>
      </c>
      <c r="E507" s="97">
        <v>71887.199999999997</v>
      </c>
      <c r="F507" s="97">
        <v>160599.4</v>
      </c>
      <c r="G507" s="97">
        <v>44579.5</v>
      </c>
      <c r="H507" s="97">
        <v>26326.3</v>
      </c>
      <c r="I507" s="97">
        <v>46081.599999999999</v>
      </c>
      <c r="J507" s="97">
        <v>143130.29999999999</v>
      </c>
      <c r="K507" s="97">
        <v>39189.1</v>
      </c>
      <c r="L507" s="97">
        <v>25616.6</v>
      </c>
      <c r="M507" s="97">
        <v>95048.1</v>
      </c>
      <c r="N507" s="102">
        <v>23053.3</v>
      </c>
      <c r="P507" s="104"/>
      <c r="Y507" s="104"/>
      <c r="Z507" s="104"/>
      <c r="AA507" s="104"/>
    </row>
    <row r="508" spans="1:27" ht="15.75" thickBot="1">
      <c r="A508" s="423"/>
      <c r="B508" s="3" t="s">
        <v>3</v>
      </c>
      <c r="C508" s="71">
        <f>C507/C506</f>
        <v>0.64612649781508336</v>
      </c>
      <c r="D508" s="72">
        <f t="shared" ref="D508:E508" si="388">D507/D506</f>
        <v>0.46888432975142813</v>
      </c>
      <c r="E508" s="72">
        <f t="shared" si="388"/>
        <v>0.47760567329144182</v>
      </c>
      <c r="F508" s="72">
        <f>F507/F506</f>
        <v>0.88242495238953444</v>
      </c>
      <c r="G508" s="72">
        <f>G507/G506</f>
        <v>0.2694398694489355</v>
      </c>
      <c r="H508" s="72">
        <f t="shared" ref="H508:N508" si="389">H507/H506</f>
        <v>0.23917366739376716</v>
      </c>
      <c r="I508" s="72">
        <f t="shared" si="389"/>
        <v>0.37979820624106786</v>
      </c>
      <c r="J508" s="72">
        <f t="shared" si="389"/>
        <v>0.83717792143072711</v>
      </c>
      <c r="K508" s="72">
        <f t="shared" si="389"/>
        <v>0.29659008175145796</v>
      </c>
      <c r="L508" s="72">
        <f t="shared" si="389"/>
        <v>0.30965484978779417</v>
      </c>
      <c r="M508" s="72">
        <f t="shared" si="389"/>
        <v>0.53856893621867752</v>
      </c>
      <c r="N508" s="83">
        <f t="shared" si="389"/>
        <v>0.41975382822599733</v>
      </c>
      <c r="P508" s="104"/>
      <c r="Y508" s="104"/>
      <c r="Z508" s="104"/>
      <c r="AA508" s="104"/>
    </row>
    <row r="509" spans="1:27">
      <c r="A509" s="411" t="s">
        <v>6</v>
      </c>
      <c r="B509" s="27" t="s">
        <v>7</v>
      </c>
      <c r="C509" s="68">
        <v>5165</v>
      </c>
      <c r="D509" s="68">
        <v>3240</v>
      </c>
      <c r="E509" s="68">
        <v>3237</v>
      </c>
      <c r="F509" s="68">
        <v>9565</v>
      </c>
      <c r="G509" s="68">
        <v>7099</v>
      </c>
      <c r="H509" s="68">
        <v>12303</v>
      </c>
      <c r="I509" s="68">
        <f>(6852-2000)</f>
        <v>4852</v>
      </c>
      <c r="J509" s="68">
        <v>9193</v>
      </c>
      <c r="K509" s="68">
        <v>10410</v>
      </c>
      <c r="L509" s="68">
        <v>3799</v>
      </c>
      <c r="M509" s="68">
        <v>9050</v>
      </c>
      <c r="N509" s="80">
        <v>792</v>
      </c>
      <c r="P509" s="104"/>
      <c r="Y509" s="104"/>
      <c r="Z509" s="104"/>
      <c r="AA509" s="104"/>
    </row>
    <row r="510" spans="1:27">
      <c r="A510" s="412"/>
      <c r="B510" s="28" t="s">
        <v>11</v>
      </c>
      <c r="C510" s="73">
        <f t="shared" ref="C510:I510" si="390">C509*33.72</f>
        <v>174163.8</v>
      </c>
      <c r="D510" s="73">
        <f t="shared" si="390"/>
        <v>109252.8</v>
      </c>
      <c r="E510" s="73">
        <f t="shared" si="390"/>
        <v>109151.64</v>
      </c>
      <c r="F510" s="73">
        <f t="shared" si="390"/>
        <v>322531.8</v>
      </c>
      <c r="G510" s="73">
        <f t="shared" si="390"/>
        <v>239378.28</v>
      </c>
      <c r="H510" s="73">
        <f t="shared" si="390"/>
        <v>414857.16</v>
      </c>
      <c r="I510" s="73">
        <f t="shared" si="390"/>
        <v>163609.44</v>
      </c>
      <c r="J510" s="73">
        <f>J509*33.72</f>
        <v>309987.95999999996</v>
      </c>
      <c r="K510" s="73">
        <f t="shared" ref="K510:L510" si="391">K509*33.72</f>
        <v>351025.2</v>
      </c>
      <c r="L510" s="73">
        <f t="shared" si="391"/>
        <v>128102.28</v>
      </c>
      <c r="M510" s="73">
        <f>M509*33.72</f>
        <v>305166</v>
      </c>
      <c r="N510" s="84">
        <f t="shared" ref="N510" si="392">N509*33.72</f>
        <v>26706.239999999998</v>
      </c>
      <c r="P510" s="104"/>
      <c r="Y510" s="104"/>
      <c r="Z510" s="104"/>
      <c r="AA510" s="104"/>
    </row>
    <row r="511" spans="1:27">
      <c r="A511" s="412"/>
      <c r="B511" s="28" t="s">
        <v>79</v>
      </c>
      <c r="C511" s="73">
        <v>164000</v>
      </c>
      <c r="D511" s="73">
        <v>109880</v>
      </c>
      <c r="E511" s="73">
        <v>109880</v>
      </c>
      <c r="F511" s="73">
        <v>328000</v>
      </c>
      <c r="G511" s="73">
        <f>G506*2</f>
        <v>330905</v>
      </c>
      <c r="H511" s="73">
        <f>H506*2</f>
        <v>220143.8</v>
      </c>
      <c r="I511" s="73">
        <f>I506*2</f>
        <v>242663.6</v>
      </c>
      <c r="J511" s="73">
        <v>328000</v>
      </c>
      <c r="K511" s="73">
        <f>K506*2</f>
        <v>264264.40000000002</v>
      </c>
      <c r="L511" s="73">
        <v>328000</v>
      </c>
      <c r="M511" s="73">
        <f>2*M506</f>
        <v>352965.4</v>
      </c>
      <c r="N511" s="84">
        <f>2*N506</f>
        <v>109842</v>
      </c>
      <c r="P511" s="104"/>
      <c r="Y511" s="104"/>
      <c r="Z511" s="104"/>
      <c r="AA511" s="104"/>
    </row>
    <row r="512" spans="1:27">
      <c r="A512" s="412"/>
      <c r="B512" s="66" t="s">
        <v>8</v>
      </c>
      <c r="C512" s="98">
        <f>SUM(C509-290)</f>
        <v>4875</v>
      </c>
      <c r="D512" s="98">
        <f>SUM(D509-593)</f>
        <v>2647</v>
      </c>
      <c r="E512" s="98">
        <f>SUM(E509-595)</f>
        <v>2642</v>
      </c>
      <c r="F512" s="98">
        <f>SUM(F509-1124)</f>
        <v>8441</v>
      </c>
      <c r="G512" s="98">
        <f>SUM(G509-3727)</f>
        <v>3372</v>
      </c>
      <c r="H512" s="98">
        <f>SUM(H509-1579)</f>
        <v>10724</v>
      </c>
      <c r="I512" s="98">
        <f>SUM(I509-(4219-2000))</f>
        <v>2633</v>
      </c>
      <c r="J512" s="98">
        <f>SUM(J509-1306)</f>
        <v>7887</v>
      </c>
      <c r="K512" s="98">
        <f>SUM(K509-1918)</f>
        <v>8492</v>
      </c>
      <c r="L512" s="98">
        <f>SUM(L509-914)</f>
        <v>2885</v>
      </c>
      <c r="M512" s="98">
        <f>SUM(M509-(6010-2614))</f>
        <v>5654</v>
      </c>
      <c r="N512" s="103">
        <f>SUM(N509-46)</f>
        <v>746</v>
      </c>
      <c r="P512" s="14" t="s">
        <v>192</v>
      </c>
    </row>
    <row r="513" spans="1:27">
      <c r="A513" s="412"/>
      <c r="B513" s="29" t="s">
        <v>77</v>
      </c>
      <c r="C513" s="75">
        <f>C512*33.72</f>
        <v>164385</v>
      </c>
      <c r="D513" s="75">
        <f>D512*33.72</f>
        <v>89256.84</v>
      </c>
      <c r="E513" s="75">
        <f>E512*33.72</f>
        <v>89088.239999999991</v>
      </c>
      <c r="F513" s="75">
        <f>F512*33.72</f>
        <v>284630.52</v>
      </c>
      <c r="G513" s="75">
        <f>G512*33.72*2</f>
        <v>227407.68</v>
      </c>
      <c r="H513" s="75">
        <f>H512*33.72</f>
        <v>361613.27999999997</v>
      </c>
      <c r="I513" s="75">
        <f>I512*33.72</f>
        <v>88784.76</v>
      </c>
      <c r="J513" s="75">
        <f>J512*33.72</f>
        <v>265949.64</v>
      </c>
      <c r="K513" s="75">
        <f>K512*33.72</f>
        <v>286350.24</v>
      </c>
      <c r="L513" s="75">
        <f>L512*33.72</f>
        <v>97282.2</v>
      </c>
      <c r="M513" s="75">
        <f>M512*33.72*2</f>
        <v>381305.76</v>
      </c>
      <c r="N513" s="11">
        <f>N512*33.72</f>
        <v>25155.119999999999</v>
      </c>
      <c r="P513" s="89">
        <f>344240-H513</f>
        <v>-17373.27999999997</v>
      </c>
      <c r="Q513" s="104" t="s">
        <v>193</v>
      </c>
    </row>
    <row r="514" spans="1:27" ht="15.75" thickBot="1">
      <c r="A514" s="412"/>
      <c r="B514" s="30" t="s">
        <v>10</v>
      </c>
      <c r="C514" s="72">
        <f>C513/C506</f>
        <v>1.146401268688255</v>
      </c>
      <c r="D514" s="72">
        <f t="shared" ref="D514" si="393">D513/D506</f>
        <v>0.59300644849245066</v>
      </c>
      <c r="E514" s="72">
        <f t="shared" ref="E514" si="394">E513/E506</f>
        <v>0.59188630030867184</v>
      </c>
      <c r="F514" s="72">
        <f t="shared" ref="F514" si="395">F513/F506</f>
        <v>1.5639228606060076</v>
      </c>
      <c r="G514" s="72">
        <f t="shared" ref="G514" si="396">G513/G506</f>
        <v>1.3744590139163808</v>
      </c>
      <c r="H514" s="72">
        <f t="shared" ref="H514" si="397">H513/H506</f>
        <v>3.2852460982321556</v>
      </c>
      <c r="I514" s="72">
        <f t="shared" ref="I514" si="398">I513/I506</f>
        <v>0.73175177488506715</v>
      </c>
      <c r="J514" s="72">
        <f t="shared" ref="J514" si="399">J513/J506</f>
        <v>1.5555557895180139</v>
      </c>
      <c r="K514" s="72">
        <f t="shared" ref="K514" si="400">K513/K506</f>
        <v>2.1671495668731766</v>
      </c>
      <c r="L514" s="72">
        <f t="shared" ref="L514" si="401">L513/L506</f>
        <v>1.1759525084525719</v>
      </c>
      <c r="M514" s="72">
        <f t="shared" ref="M514" si="402">M513/M506</f>
        <v>2.1605843518939816</v>
      </c>
      <c r="N514" s="72">
        <f t="shared" ref="N514" si="403">N513/N506</f>
        <v>0.45802370677882775</v>
      </c>
      <c r="P514" s="175"/>
    </row>
    <row r="515" spans="1:27" ht="15.75" thickBot="1">
      <c r="A515" s="424" t="s">
        <v>83</v>
      </c>
      <c r="B515" s="425"/>
      <c r="C515" s="76">
        <f>MIN(2*C506,C511)-C513</f>
        <v>-385</v>
      </c>
      <c r="D515" s="76">
        <f t="shared" ref="D515:N515" si="404">MIN(2*D506,D511)-D513</f>
        <v>20623.160000000003</v>
      </c>
      <c r="E515" s="76">
        <f t="shared" si="404"/>
        <v>20791.760000000009</v>
      </c>
      <c r="F515" s="76">
        <f t="shared" si="404"/>
        <v>43369.479999999981</v>
      </c>
      <c r="G515" s="76">
        <f t="shared" si="404"/>
        <v>103497.32</v>
      </c>
      <c r="H515" s="76">
        <f t="shared" si="404"/>
        <v>-141469.47999999998</v>
      </c>
      <c r="I515" s="76">
        <f t="shared" si="404"/>
        <v>153878.84000000003</v>
      </c>
      <c r="J515" s="76">
        <f t="shared" si="404"/>
        <v>62050.359999999986</v>
      </c>
      <c r="K515" s="76">
        <f t="shared" si="404"/>
        <v>-22085.839999999967</v>
      </c>
      <c r="L515" s="76">
        <f t="shared" si="404"/>
        <v>68170.400000000009</v>
      </c>
      <c r="M515" s="76">
        <f t="shared" si="404"/>
        <v>-28340.359999999986</v>
      </c>
      <c r="N515" s="22">
        <f t="shared" si="404"/>
        <v>84686.88</v>
      </c>
      <c r="P515" s="174"/>
    </row>
    <row r="516" spans="1:27" ht="15.75" thickBot="1">
      <c r="A516" s="368">
        <v>41172</v>
      </c>
      <c r="B516" s="368"/>
      <c r="C516" s="368"/>
      <c r="N516" s="15"/>
    </row>
    <row r="517" spans="1:27">
      <c r="A517" s="407" t="s">
        <v>1</v>
      </c>
      <c r="B517" s="420"/>
      <c r="C517" s="68" t="s">
        <v>12</v>
      </c>
      <c r="D517" s="68" t="s">
        <v>12</v>
      </c>
      <c r="E517" s="68" t="s">
        <v>13</v>
      </c>
      <c r="F517" s="68" t="s">
        <v>13</v>
      </c>
      <c r="G517" s="68" t="s">
        <v>13</v>
      </c>
      <c r="H517" s="68" t="s">
        <v>13</v>
      </c>
      <c r="I517" s="68" t="s">
        <v>13</v>
      </c>
      <c r="J517" s="68" t="s">
        <v>2</v>
      </c>
      <c r="K517" s="68" t="s">
        <v>2</v>
      </c>
      <c r="L517" s="68" t="s">
        <v>2</v>
      </c>
      <c r="M517" s="68" t="s">
        <v>2</v>
      </c>
      <c r="N517" s="4" t="s">
        <v>84</v>
      </c>
    </row>
    <row r="518" spans="1:27" ht="15.75" thickBot="1">
      <c r="A518" s="409" t="s">
        <v>0</v>
      </c>
      <c r="B518" s="414"/>
      <c r="C518" s="99" t="s">
        <v>102</v>
      </c>
      <c r="D518" s="99" t="s">
        <v>103</v>
      </c>
      <c r="E518" s="99" t="s">
        <v>104</v>
      </c>
      <c r="F518" s="99" t="s">
        <v>105</v>
      </c>
      <c r="G518" s="99" t="s">
        <v>100</v>
      </c>
      <c r="H518" s="99" t="s">
        <v>107</v>
      </c>
      <c r="I518" s="99" t="s">
        <v>106</v>
      </c>
      <c r="J518" s="99" t="s">
        <v>108</v>
      </c>
      <c r="K518" s="99" t="s">
        <v>110</v>
      </c>
      <c r="L518" s="99" t="s">
        <v>101</v>
      </c>
      <c r="M518" s="99" t="s">
        <v>109</v>
      </c>
      <c r="N518" s="101" t="s">
        <v>111</v>
      </c>
      <c r="Q518" s="14"/>
      <c r="R518" s="14"/>
      <c r="S518" s="14"/>
      <c r="T518" s="14"/>
      <c r="U518" s="14"/>
      <c r="V518" s="14"/>
      <c r="W518" s="14"/>
      <c r="X518" s="14"/>
      <c r="Y518" s="175"/>
      <c r="Z518" s="174"/>
      <c r="AA518" s="175"/>
    </row>
    <row r="519" spans="1:27">
      <c r="A519" s="421" t="s">
        <v>9</v>
      </c>
      <c r="B519" s="2" t="s">
        <v>4</v>
      </c>
      <c r="C519" s="96">
        <v>143392.20000000001</v>
      </c>
      <c r="D519" s="96">
        <v>150515.79999999999</v>
      </c>
      <c r="E519" s="96">
        <v>150515.79999999999</v>
      </c>
      <c r="F519" s="96">
        <v>181997.8</v>
      </c>
      <c r="G519" s="96">
        <v>165452.5</v>
      </c>
      <c r="H519" s="96">
        <v>110071.9</v>
      </c>
      <c r="I519" s="96">
        <v>121331.8</v>
      </c>
      <c r="J519" s="96">
        <v>170967.6</v>
      </c>
      <c r="K519" s="96">
        <v>132132.20000000001</v>
      </c>
      <c r="L519" s="96">
        <v>82726.3</v>
      </c>
      <c r="M519" s="96">
        <v>176482.7</v>
      </c>
      <c r="N519" s="100">
        <v>54921</v>
      </c>
      <c r="P519" s="104"/>
      <c r="Y519" s="104"/>
      <c r="Z519" s="104"/>
      <c r="AA519" s="104"/>
    </row>
    <row r="520" spans="1:27">
      <c r="A520" s="422"/>
      <c r="B520" s="63" t="s">
        <v>5</v>
      </c>
      <c r="C520" s="97">
        <v>91125.7</v>
      </c>
      <c r="D520" s="97">
        <v>70303.199999999997</v>
      </c>
      <c r="E520" s="97">
        <v>71648.3</v>
      </c>
      <c r="F520" s="97">
        <v>160188.9</v>
      </c>
      <c r="G520" s="97">
        <v>42091.6</v>
      </c>
      <c r="H520" s="97">
        <v>27058.6</v>
      </c>
      <c r="I520" s="97">
        <v>45982.1</v>
      </c>
      <c r="J520" s="97">
        <v>142649.79999999999</v>
      </c>
      <c r="K520" s="97">
        <v>40208.6</v>
      </c>
      <c r="L520" s="97">
        <v>24364.1</v>
      </c>
      <c r="M520" s="97">
        <v>94835.6</v>
      </c>
      <c r="N520" s="102">
        <v>23053.3</v>
      </c>
      <c r="P520" s="104"/>
      <c r="Y520" s="104"/>
      <c r="Z520" s="104"/>
      <c r="AA520" s="104"/>
    </row>
    <row r="521" spans="1:27" ht="15.75" thickBot="1">
      <c r="A521" s="423"/>
      <c r="B521" s="3" t="s">
        <v>3</v>
      </c>
      <c r="C521" s="71">
        <f>C520/C519</f>
        <v>0.63549969942577067</v>
      </c>
      <c r="D521" s="72">
        <f t="shared" ref="D521:E521" si="405">D520/D519</f>
        <v>0.46708186117337847</v>
      </c>
      <c r="E521" s="72">
        <f t="shared" si="405"/>
        <v>0.47601846450671631</v>
      </c>
      <c r="F521" s="72">
        <f>F520/F519</f>
        <v>0.88016943061949104</v>
      </c>
      <c r="G521" s="72">
        <f>G520/G519</f>
        <v>0.25440292531088982</v>
      </c>
      <c r="H521" s="72">
        <f t="shared" ref="H521:N521" si="406">H520/H519</f>
        <v>0.24582659152790132</v>
      </c>
      <c r="I521" s="72">
        <f t="shared" si="406"/>
        <v>0.37897814093255022</v>
      </c>
      <c r="J521" s="72">
        <f t="shared" si="406"/>
        <v>0.83436744739939017</v>
      </c>
      <c r="K521" s="72">
        <f t="shared" si="406"/>
        <v>0.30430583915200077</v>
      </c>
      <c r="L521" s="72">
        <f t="shared" si="406"/>
        <v>0.29451456187451874</v>
      </c>
      <c r="M521" s="72">
        <f t="shared" si="406"/>
        <v>0.53736485219231123</v>
      </c>
      <c r="N521" s="83">
        <f t="shared" si="406"/>
        <v>0.41975382822599733</v>
      </c>
      <c r="P521" s="104"/>
      <c r="Y521" s="104"/>
      <c r="Z521" s="104"/>
      <c r="AA521" s="104"/>
    </row>
    <row r="522" spans="1:27">
      <c r="A522" s="411" t="s">
        <v>6</v>
      </c>
      <c r="B522" s="27" t="s">
        <v>7</v>
      </c>
      <c r="C522" s="68">
        <v>5165</v>
      </c>
      <c r="D522" s="68">
        <v>3240</v>
      </c>
      <c r="E522" s="68">
        <v>3237</v>
      </c>
      <c r="F522" s="68">
        <v>9565</v>
      </c>
      <c r="G522" s="68">
        <v>7099</v>
      </c>
      <c r="H522" s="68">
        <v>12303</v>
      </c>
      <c r="I522" s="68">
        <f>(6852-2000)</f>
        <v>4852</v>
      </c>
      <c r="J522" s="68">
        <v>9193</v>
      </c>
      <c r="K522" s="68">
        <v>10410</v>
      </c>
      <c r="L522" s="68">
        <v>3799</v>
      </c>
      <c r="M522" s="68">
        <v>9050</v>
      </c>
      <c r="N522" s="80">
        <v>792</v>
      </c>
      <c r="P522" s="104"/>
      <c r="Y522" s="104"/>
      <c r="Z522" s="104"/>
      <c r="AA522" s="104"/>
    </row>
    <row r="523" spans="1:27">
      <c r="A523" s="412"/>
      <c r="B523" s="28" t="s">
        <v>11</v>
      </c>
      <c r="C523" s="73">
        <f t="shared" ref="C523:I523" si="407">C522*33.72</f>
        <v>174163.8</v>
      </c>
      <c r="D523" s="73">
        <f t="shared" si="407"/>
        <v>109252.8</v>
      </c>
      <c r="E523" s="73">
        <f t="shared" si="407"/>
        <v>109151.64</v>
      </c>
      <c r="F523" s="73">
        <f t="shared" si="407"/>
        <v>322531.8</v>
      </c>
      <c r="G523" s="73">
        <f t="shared" si="407"/>
        <v>239378.28</v>
      </c>
      <c r="H523" s="73">
        <f t="shared" si="407"/>
        <v>414857.16</v>
      </c>
      <c r="I523" s="73">
        <f t="shared" si="407"/>
        <v>163609.44</v>
      </c>
      <c r="J523" s="73">
        <f>J522*33.72</f>
        <v>309987.95999999996</v>
      </c>
      <c r="K523" s="73">
        <f t="shared" ref="K523:L523" si="408">K522*33.72</f>
        <v>351025.2</v>
      </c>
      <c r="L523" s="73">
        <f t="shared" si="408"/>
        <v>128102.28</v>
      </c>
      <c r="M523" s="73">
        <f>M522*33.72</f>
        <v>305166</v>
      </c>
      <c r="N523" s="84">
        <f t="shared" ref="N523" si="409">N522*33.72</f>
        <v>26706.239999999998</v>
      </c>
      <c r="P523" s="104"/>
      <c r="Y523" s="104"/>
      <c r="Z523" s="104"/>
      <c r="AA523" s="104"/>
    </row>
    <row r="524" spans="1:27">
      <c r="A524" s="412"/>
      <c r="B524" s="28" t="s">
        <v>79</v>
      </c>
      <c r="C524" s="73">
        <v>164000</v>
      </c>
      <c r="D524" s="73">
        <v>109880</v>
      </c>
      <c r="E524" s="73">
        <v>109880</v>
      </c>
      <c r="F524" s="73">
        <v>328000</v>
      </c>
      <c r="G524" s="73">
        <f>G519*2</f>
        <v>330905</v>
      </c>
      <c r="H524" s="73">
        <f>H519*2</f>
        <v>220143.8</v>
      </c>
      <c r="I524" s="73">
        <f>I519*2</f>
        <v>242663.6</v>
      </c>
      <c r="J524" s="73">
        <v>328000</v>
      </c>
      <c r="K524" s="73">
        <f>K519*2</f>
        <v>264264.40000000002</v>
      </c>
      <c r="L524" s="73">
        <v>328000</v>
      </c>
      <c r="M524" s="73">
        <f>2*M519</f>
        <v>352965.4</v>
      </c>
      <c r="N524" s="84">
        <f>2*N519</f>
        <v>109842</v>
      </c>
      <c r="P524" s="104"/>
      <c r="Y524" s="104"/>
      <c r="Z524" s="104"/>
      <c r="AA524" s="104"/>
    </row>
    <row r="525" spans="1:27">
      <c r="A525" s="412"/>
      <c r="B525" s="66" t="s">
        <v>8</v>
      </c>
      <c r="C525" s="98">
        <f>SUM(C522-290)</f>
        <v>4875</v>
      </c>
      <c r="D525" s="98">
        <f>SUM(D522-593)</f>
        <v>2647</v>
      </c>
      <c r="E525" s="98">
        <f>SUM(E522-595)</f>
        <v>2642</v>
      </c>
      <c r="F525" s="98">
        <f>SUM(F522-1124)</f>
        <v>8441</v>
      </c>
      <c r="G525" s="98">
        <f>SUM(G522-3727)</f>
        <v>3372</v>
      </c>
      <c r="H525" s="98">
        <f>SUM(H522-1591)</f>
        <v>10712</v>
      </c>
      <c r="I525" s="98">
        <f>SUM(I522-(4219-2000))</f>
        <v>2633</v>
      </c>
      <c r="J525" s="98">
        <f>SUM(J522-1306)</f>
        <v>7887</v>
      </c>
      <c r="K525" s="98">
        <f>SUM(K522-1918)</f>
        <v>8492</v>
      </c>
      <c r="L525" s="98">
        <f>SUM(L522-914)</f>
        <v>2885</v>
      </c>
      <c r="M525" s="98">
        <f>SUM(M522-(6042-2614))</f>
        <v>5622</v>
      </c>
      <c r="N525" s="103">
        <f>SUM(N522-46)</f>
        <v>746</v>
      </c>
      <c r="P525" s="14" t="s">
        <v>192</v>
      </c>
    </row>
    <row r="526" spans="1:27">
      <c r="A526" s="412"/>
      <c r="B526" s="29" t="s">
        <v>77</v>
      </c>
      <c r="C526" s="75">
        <f>C525*33.72</f>
        <v>164385</v>
      </c>
      <c r="D526" s="75">
        <f>D525*33.72</f>
        <v>89256.84</v>
      </c>
      <c r="E526" s="75">
        <f>E525*33.72</f>
        <v>89088.239999999991</v>
      </c>
      <c r="F526" s="75">
        <f>F525*33.72</f>
        <v>284630.52</v>
      </c>
      <c r="G526" s="75">
        <f>G525*33.72*2</f>
        <v>227407.68</v>
      </c>
      <c r="H526" s="75">
        <f>H525*33.72</f>
        <v>361208.64</v>
      </c>
      <c r="I526" s="75">
        <f>I525*33.72</f>
        <v>88784.76</v>
      </c>
      <c r="J526" s="75">
        <f>J525*33.72</f>
        <v>265949.64</v>
      </c>
      <c r="K526" s="75">
        <f>K525*33.72</f>
        <v>286350.24</v>
      </c>
      <c r="L526" s="75">
        <f>L525*33.72</f>
        <v>97282.2</v>
      </c>
      <c r="M526" s="75">
        <f>M525*33.72*2</f>
        <v>379147.68</v>
      </c>
      <c r="N526" s="11">
        <f>N525*33.72</f>
        <v>25155.119999999999</v>
      </c>
      <c r="P526" s="89">
        <f>344240-H526</f>
        <v>-16968.640000000014</v>
      </c>
      <c r="Q526" s="104" t="s">
        <v>193</v>
      </c>
    </row>
    <row r="527" spans="1:27" ht="15.75" thickBot="1">
      <c r="A527" s="412"/>
      <c r="B527" s="30" t="s">
        <v>10</v>
      </c>
      <c r="C527" s="72">
        <f>C526/C519</f>
        <v>1.146401268688255</v>
      </c>
      <c r="D527" s="72">
        <f t="shared" ref="D527" si="410">D526/D519</f>
        <v>0.59300644849245066</v>
      </c>
      <c r="E527" s="72">
        <f t="shared" ref="E527" si="411">E526/E519</f>
        <v>0.59188630030867184</v>
      </c>
      <c r="F527" s="72">
        <f t="shared" ref="F527" si="412">F526/F519</f>
        <v>1.5639228606060076</v>
      </c>
      <c r="G527" s="72">
        <f t="shared" ref="G527" si="413">G526/G519</f>
        <v>1.3744590139163808</v>
      </c>
      <c r="H527" s="72">
        <f t="shared" ref="H527" si="414">H526/H519</f>
        <v>3.281569955638088</v>
      </c>
      <c r="I527" s="72">
        <f t="shared" ref="I527" si="415">I526/I519</f>
        <v>0.73175177488506715</v>
      </c>
      <c r="J527" s="72">
        <f t="shared" ref="J527" si="416">J526/J519</f>
        <v>1.5555557895180139</v>
      </c>
      <c r="K527" s="72">
        <f t="shared" ref="K527" si="417">K526/K519</f>
        <v>2.1671495668731766</v>
      </c>
      <c r="L527" s="72">
        <f t="shared" ref="L527" si="418">L526/L519</f>
        <v>1.1759525084525719</v>
      </c>
      <c r="M527" s="72">
        <f t="shared" ref="M527" si="419">M526/M519</f>
        <v>2.1483560711616492</v>
      </c>
      <c r="N527" s="72">
        <f t="shared" ref="N527" si="420">N526/N519</f>
        <v>0.45802370677882775</v>
      </c>
      <c r="P527" s="175"/>
    </row>
    <row r="528" spans="1:27" ht="15.75" thickBot="1">
      <c r="A528" s="424" t="s">
        <v>83</v>
      </c>
      <c r="B528" s="425"/>
      <c r="C528" s="76">
        <f>MIN(2*C519,C524)-C526</f>
        <v>-385</v>
      </c>
      <c r="D528" s="76">
        <f t="shared" ref="D528:N528" si="421">MIN(2*D519,D524)-D526</f>
        <v>20623.160000000003</v>
      </c>
      <c r="E528" s="76">
        <f t="shared" si="421"/>
        <v>20791.760000000009</v>
      </c>
      <c r="F528" s="76">
        <f t="shared" si="421"/>
        <v>43369.479999999981</v>
      </c>
      <c r="G528" s="76">
        <f t="shared" si="421"/>
        <v>103497.32</v>
      </c>
      <c r="H528" s="76">
        <f t="shared" si="421"/>
        <v>-141064.84000000003</v>
      </c>
      <c r="I528" s="76">
        <f t="shared" si="421"/>
        <v>153878.84000000003</v>
      </c>
      <c r="J528" s="76">
        <f t="shared" si="421"/>
        <v>62050.359999999986</v>
      </c>
      <c r="K528" s="76">
        <f t="shared" si="421"/>
        <v>-22085.839999999967</v>
      </c>
      <c r="L528" s="76">
        <f t="shared" si="421"/>
        <v>68170.400000000009</v>
      </c>
      <c r="M528" s="76">
        <f t="shared" si="421"/>
        <v>-26182.27999999997</v>
      </c>
      <c r="N528" s="22">
        <f t="shared" si="421"/>
        <v>84686.88</v>
      </c>
      <c r="P528" s="174"/>
    </row>
    <row r="529" spans="1:27" ht="15.75" thickBot="1">
      <c r="A529" s="368">
        <v>41171</v>
      </c>
      <c r="B529" s="368"/>
      <c r="C529" s="368"/>
      <c r="N529" s="15"/>
    </row>
    <row r="530" spans="1:27">
      <c r="A530" s="407" t="s">
        <v>1</v>
      </c>
      <c r="B530" s="420"/>
      <c r="C530" s="68" t="s">
        <v>12</v>
      </c>
      <c r="D530" s="68" t="s">
        <v>12</v>
      </c>
      <c r="E530" s="68" t="s">
        <v>13</v>
      </c>
      <c r="F530" s="68" t="s">
        <v>13</v>
      </c>
      <c r="G530" s="68" t="s">
        <v>13</v>
      </c>
      <c r="H530" s="68" t="s">
        <v>13</v>
      </c>
      <c r="I530" s="68" t="s">
        <v>13</v>
      </c>
      <c r="J530" s="68" t="s">
        <v>2</v>
      </c>
      <c r="K530" s="68" t="s">
        <v>2</v>
      </c>
      <c r="L530" s="68" t="s">
        <v>2</v>
      </c>
      <c r="M530" s="68" t="s">
        <v>2</v>
      </c>
      <c r="N530" s="4" t="s">
        <v>84</v>
      </c>
    </row>
    <row r="531" spans="1:27" ht="15.75" thickBot="1">
      <c r="A531" s="409" t="s">
        <v>0</v>
      </c>
      <c r="B531" s="414"/>
      <c r="C531" s="99" t="s">
        <v>102</v>
      </c>
      <c r="D531" s="99" t="s">
        <v>103</v>
      </c>
      <c r="E531" s="99" t="s">
        <v>104</v>
      </c>
      <c r="F531" s="99" t="s">
        <v>105</v>
      </c>
      <c r="G531" s="99" t="s">
        <v>100</v>
      </c>
      <c r="H531" s="99" t="s">
        <v>107</v>
      </c>
      <c r="I531" s="99" t="s">
        <v>106</v>
      </c>
      <c r="J531" s="99" t="s">
        <v>108</v>
      </c>
      <c r="K531" s="99" t="s">
        <v>110</v>
      </c>
      <c r="L531" s="99" t="s">
        <v>101</v>
      </c>
      <c r="M531" s="99" t="s">
        <v>109</v>
      </c>
      <c r="N531" s="101" t="s">
        <v>111</v>
      </c>
      <c r="Q531" s="14"/>
      <c r="R531" s="14"/>
      <c r="S531" s="14"/>
      <c r="T531" s="14"/>
      <c r="U531" s="14"/>
      <c r="V531" s="14"/>
      <c r="W531" s="14"/>
      <c r="X531" s="14"/>
      <c r="Y531" s="175"/>
      <c r="Z531" s="174"/>
      <c r="AA531" s="175"/>
    </row>
    <row r="532" spans="1:27">
      <c r="A532" s="421" t="s">
        <v>9</v>
      </c>
      <c r="B532" s="2" t="s">
        <v>4</v>
      </c>
      <c r="C532" s="96">
        <v>143392.20000000001</v>
      </c>
      <c r="D532" s="96">
        <v>150515.79999999999</v>
      </c>
      <c r="E532" s="96">
        <v>150515.79999999999</v>
      </c>
      <c r="F532" s="96">
        <v>181997.8</v>
      </c>
      <c r="G532" s="96">
        <v>165452.5</v>
      </c>
      <c r="H532" s="96">
        <v>110071.9</v>
      </c>
      <c r="I532" s="96">
        <v>121331.8</v>
      </c>
      <c r="J532" s="96">
        <v>170967.6</v>
      </c>
      <c r="K532" s="96">
        <v>132132.20000000001</v>
      </c>
      <c r="L532" s="96">
        <v>82726.3</v>
      </c>
      <c r="M532" s="96">
        <v>176482.7</v>
      </c>
      <c r="N532" s="100">
        <v>54921</v>
      </c>
      <c r="P532" s="104"/>
      <c r="Y532" s="104"/>
      <c r="Z532" s="104"/>
      <c r="AA532" s="104"/>
    </row>
    <row r="533" spans="1:27">
      <c r="A533" s="422"/>
      <c r="B533" s="63" t="s">
        <v>5</v>
      </c>
      <c r="C533" s="97">
        <v>91015.9</v>
      </c>
      <c r="D533" s="97">
        <v>70253</v>
      </c>
      <c r="E533" s="97">
        <v>71598.600000000006</v>
      </c>
      <c r="F533" s="97">
        <v>159908.5</v>
      </c>
      <c r="G533" s="97">
        <v>41479.199999999997</v>
      </c>
      <c r="H533" s="97">
        <v>26896.7</v>
      </c>
      <c r="I533" s="97">
        <v>45969.3</v>
      </c>
      <c r="J533" s="97">
        <v>142575.79999999999</v>
      </c>
      <c r="K533" s="97">
        <v>39815.599999999999</v>
      </c>
      <c r="L533" s="97">
        <v>24051.599999999999</v>
      </c>
      <c r="M533" s="97">
        <v>94835.6</v>
      </c>
      <c r="N533" s="102">
        <v>23053.3</v>
      </c>
      <c r="P533" s="104"/>
      <c r="Y533" s="104"/>
      <c r="Z533" s="104"/>
      <c r="AA533" s="104"/>
    </row>
    <row r="534" spans="1:27" ht="15.75" thickBot="1">
      <c r="A534" s="423"/>
      <c r="B534" s="3" t="s">
        <v>3</v>
      </c>
      <c r="C534" s="71">
        <f>C533/C532</f>
        <v>0.63473396739850552</v>
      </c>
      <c r="D534" s="72">
        <f t="shared" ref="D534:E534" si="422">D533/D532</f>
        <v>0.46674834137014193</v>
      </c>
      <c r="E534" s="72">
        <f t="shared" si="422"/>
        <v>0.47568826661387054</v>
      </c>
      <c r="F534" s="72">
        <f>F533/F532</f>
        <v>0.87862875265525198</v>
      </c>
      <c r="G534" s="72">
        <f>G533/G532</f>
        <v>0.25070156087094481</v>
      </c>
      <c r="H534" s="72">
        <f t="shared" ref="H534:N534" si="423">H533/H532</f>
        <v>0.24435573475155786</v>
      </c>
      <c r="I534" s="72">
        <f t="shared" si="423"/>
        <v>0.37887264509386659</v>
      </c>
      <c r="J534" s="72">
        <f t="shared" si="423"/>
        <v>0.83393461685137993</v>
      </c>
      <c r="K534" s="72">
        <f t="shared" si="423"/>
        <v>0.30133154522516081</v>
      </c>
      <c r="L534" s="72">
        <f t="shared" si="423"/>
        <v>0.29073704493008873</v>
      </c>
      <c r="M534" s="72">
        <f t="shared" si="423"/>
        <v>0.53736485219231123</v>
      </c>
      <c r="N534" s="83">
        <f t="shared" si="423"/>
        <v>0.41975382822599733</v>
      </c>
      <c r="P534" s="104"/>
      <c r="Y534" s="104"/>
      <c r="Z534" s="104"/>
      <c r="AA534" s="104"/>
    </row>
    <row r="535" spans="1:27">
      <c r="A535" s="411" t="s">
        <v>6</v>
      </c>
      <c r="B535" s="27" t="s">
        <v>7</v>
      </c>
      <c r="C535" s="68">
        <v>5165</v>
      </c>
      <c r="D535" s="68">
        <v>3240</v>
      </c>
      <c r="E535" s="68">
        <v>3237</v>
      </c>
      <c r="F535" s="68">
        <v>9565</v>
      </c>
      <c r="G535" s="68">
        <v>7099</v>
      </c>
      <c r="H535" s="68">
        <v>12303</v>
      </c>
      <c r="I535" s="68">
        <f>(6852-2000)</f>
        <v>4852</v>
      </c>
      <c r="J535" s="68">
        <v>9193</v>
      </c>
      <c r="K535" s="68">
        <v>10410</v>
      </c>
      <c r="L535" s="68">
        <v>3799</v>
      </c>
      <c r="M535" s="68">
        <v>9050</v>
      </c>
      <c r="N535" s="80">
        <v>792</v>
      </c>
      <c r="P535" s="104"/>
      <c r="Y535" s="104"/>
      <c r="Z535" s="104"/>
      <c r="AA535" s="104"/>
    </row>
    <row r="536" spans="1:27">
      <c r="A536" s="412"/>
      <c r="B536" s="28" t="s">
        <v>11</v>
      </c>
      <c r="C536" s="73">
        <f t="shared" ref="C536:I536" si="424">C535*33.72</f>
        <v>174163.8</v>
      </c>
      <c r="D536" s="73">
        <f t="shared" si="424"/>
        <v>109252.8</v>
      </c>
      <c r="E536" s="73">
        <f t="shared" si="424"/>
        <v>109151.64</v>
      </c>
      <c r="F536" s="73">
        <f t="shared" si="424"/>
        <v>322531.8</v>
      </c>
      <c r="G536" s="73">
        <f t="shared" si="424"/>
        <v>239378.28</v>
      </c>
      <c r="H536" s="73">
        <f t="shared" si="424"/>
        <v>414857.16</v>
      </c>
      <c r="I536" s="73">
        <f t="shared" si="424"/>
        <v>163609.44</v>
      </c>
      <c r="J536" s="73">
        <f>J535*33.72</f>
        <v>309987.95999999996</v>
      </c>
      <c r="K536" s="73">
        <f t="shared" ref="K536:L536" si="425">K535*33.72</f>
        <v>351025.2</v>
      </c>
      <c r="L536" s="73">
        <f t="shared" si="425"/>
        <v>128102.28</v>
      </c>
      <c r="M536" s="73">
        <f>M535*33.72</f>
        <v>305166</v>
      </c>
      <c r="N536" s="84">
        <f t="shared" ref="N536" si="426">N535*33.72</f>
        <v>26706.239999999998</v>
      </c>
      <c r="P536" s="104"/>
      <c r="Y536" s="104"/>
      <c r="Z536" s="104"/>
      <c r="AA536" s="104"/>
    </row>
    <row r="537" spans="1:27">
      <c r="A537" s="412"/>
      <c r="B537" s="28" t="s">
        <v>79</v>
      </c>
      <c r="C537" s="73">
        <v>164000</v>
      </c>
      <c r="D537" s="73">
        <v>109880</v>
      </c>
      <c r="E537" s="73">
        <v>109880</v>
      </c>
      <c r="F537" s="73">
        <v>328000</v>
      </c>
      <c r="G537" s="73">
        <f>G532*2</f>
        <v>330905</v>
      </c>
      <c r="H537" s="73">
        <f>H532*2</f>
        <v>220143.8</v>
      </c>
      <c r="I537" s="73">
        <f>I532*2</f>
        <v>242663.6</v>
      </c>
      <c r="J537" s="73">
        <v>328000</v>
      </c>
      <c r="K537" s="73">
        <f>K532*2</f>
        <v>264264.40000000002</v>
      </c>
      <c r="L537" s="73">
        <v>328000</v>
      </c>
      <c r="M537" s="73">
        <f>2*M532</f>
        <v>352965.4</v>
      </c>
      <c r="N537" s="84">
        <f>2*N532</f>
        <v>109842</v>
      </c>
      <c r="P537" s="104"/>
      <c r="Y537" s="104"/>
      <c r="Z537" s="104"/>
      <c r="AA537" s="104"/>
    </row>
    <row r="538" spans="1:27">
      <c r="A538" s="412"/>
      <c r="B538" s="66" t="s">
        <v>8</v>
      </c>
      <c r="C538" s="98">
        <f>SUM(C535-290)</f>
        <v>4875</v>
      </c>
      <c r="D538" s="98">
        <f>SUM(D535-593)</f>
        <v>2647</v>
      </c>
      <c r="E538" s="98">
        <f>SUM(E535-595)</f>
        <v>2642</v>
      </c>
      <c r="F538" s="98">
        <f>SUM(F535-1124)</f>
        <v>8441</v>
      </c>
      <c r="G538" s="98">
        <f>SUM(G535-3727)</f>
        <v>3372</v>
      </c>
      <c r="H538" s="98">
        <f>SUM(H535-1594)</f>
        <v>10709</v>
      </c>
      <c r="I538" s="98">
        <f>SUM(I535-(4251-2000))</f>
        <v>2601</v>
      </c>
      <c r="J538" s="98">
        <f>SUM(J535-1306)</f>
        <v>7887</v>
      </c>
      <c r="K538" s="98">
        <f>SUM(K535-1930)</f>
        <v>8480</v>
      </c>
      <c r="L538" s="98">
        <f>SUM(L535-914)</f>
        <v>2885</v>
      </c>
      <c r="M538" s="98">
        <f>SUM(M535-(6042-2614))</f>
        <v>5622</v>
      </c>
      <c r="N538" s="103">
        <f>SUM(N535-46)</f>
        <v>746</v>
      </c>
      <c r="P538" s="14" t="s">
        <v>192</v>
      </c>
    </row>
    <row r="539" spans="1:27">
      <c r="A539" s="412"/>
      <c r="B539" s="29" t="s">
        <v>77</v>
      </c>
      <c r="C539" s="75">
        <f>C538*33.72</f>
        <v>164385</v>
      </c>
      <c r="D539" s="75">
        <f>D538*33.72</f>
        <v>89256.84</v>
      </c>
      <c r="E539" s="75">
        <f>E538*33.72</f>
        <v>89088.239999999991</v>
      </c>
      <c r="F539" s="75">
        <f>F538*33.72</f>
        <v>284630.52</v>
      </c>
      <c r="G539" s="75">
        <f>G538*33.72*2</f>
        <v>227407.68</v>
      </c>
      <c r="H539" s="75">
        <f>H538*33.72</f>
        <v>361107.48</v>
      </c>
      <c r="I539" s="75">
        <f>I538*33.72</f>
        <v>87705.72</v>
      </c>
      <c r="J539" s="75">
        <f>J538*33.72</f>
        <v>265949.64</v>
      </c>
      <c r="K539" s="75">
        <f>K538*33.72</f>
        <v>285945.59999999998</v>
      </c>
      <c r="L539" s="75">
        <f>L538*33.72</f>
        <v>97282.2</v>
      </c>
      <c r="M539" s="75">
        <f>M538*33.72*2</f>
        <v>379147.68</v>
      </c>
      <c r="N539" s="11">
        <f>N538*33.72</f>
        <v>25155.119999999999</v>
      </c>
      <c r="P539" s="89">
        <f>344240-H539</f>
        <v>-16867.479999999981</v>
      </c>
      <c r="Q539" s="104" t="s">
        <v>193</v>
      </c>
    </row>
    <row r="540" spans="1:27" ht="15.75" thickBot="1">
      <c r="A540" s="412"/>
      <c r="B540" s="30" t="s">
        <v>10</v>
      </c>
      <c r="C540" s="72">
        <f>C539/C532</f>
        <v>1.146401268688255</v>
      </c>
      <c r="D540" s="72">
        <f t="shared" ref="D540" si="427">D539/D532</f>
        <v>0.59300644849245066</v>
      </c>
      <c r="E540" s="72">
        <f t="shared" ref="E540" si="428">E539/E532</f>
        <v>0.59188630030867184</v>
      </c>
      <c r="F540" s="72">
        <f t="shared" ref="F540" si="429">F539/F532</f>
        <v>1.5639228606060076</v>
      </c>
      <c r="G540" s="72">
        <f t="shared" ref="G540" si="430">G539/G532</f>
        <v>1.3744590139163808</v>
      </c>
      <c r="H540" s="72">
        <f t="shared" ref="H540" si="431">H539/H532</f>
        <v>3.2806509199895704</v>
      </c>
      <c r="I540" s="72">
        <f t="shared" ref="I540" si="432">I539/I532</f>
        <v>0.72285847568403339</v>
      </c>
      <c r="J540" s="72">
        <f t="shared" ref="J540" si="433">J539/J532</f>
        <v>1.5555557895180139</v>
      </c>
      <c r="K540" s="72">
        <f t="shared" ref="K540" si="434">K539/K532</f>
        <v>2.1640871793552212</v>
      </c>
      <c r="L540" s="72">
        <f t="shared" ref="L540" si="435">L539/L532</f>
        <v>1.1759525084525719</v>
      </c>
      <c r="M540" s="72">
        <f t="shared" ref="M540" si="436">M539/M532</f>
        <v>2.1483560711616492</v>
      </c>
      <c r="N540" s="72">
        <f t="shared" ref="N540" si="437">N539/N532</f>
        <v>0.45802370677882775</v>
      </c>
      <c r="P540" s="175"/>
    </row>
    <row r="541" spans="1:27" ht="15.75" thickBot="1">
      <c r="A541" s="424" t="s">
        <v>83</v>
      </c>
      <c r="B541" s="425"/>
      <c r="C541" s="76">
        <f>MIN(2*C532,C537)-C539</f>
        <v>-385</v>
      </c>
      <c r="D541" s="76">
        <f t="shared" ref="D541:N541" si="438">MIN(2*D532,D537)-D539</f>
        <v>20623.160000000003</v>
      </c>
      <c r="E541" s="76">
        <f t="shared" si="438"/>
        <v>20791.760000000009</v>
      </c>
      <c r="F541" s="76">
        <f t="shared" si="438"/>
        <v>43369.479999999981</v>
      </c>
      <c r="G541" s="76">
        <f t="shared" si="438"/>
        <v>103497.32</v>
      </c>
      <c r="H541" s="76">
        <f t="shared" si="438"/>
        <v>-140963.68</v>
      </c>
      <c r="I541" s="76">
        <f t="shared" si="438"/>
        <v>154957.88</v>
      </c>
      <c r="J541" s="76">
        <f t="shared" si="438"/>
        <v>62050.359999999986</v>
      </c>
      <c r="K541" s="76">
        <f t="shared" si="438"/>
        <v>-21681.199999999953</v>
      </c>
      <c r="L541" s="76">
        <f t="shared" si="438"/>
        <v>68170.400000000009</v>
      </c>
      <c r="M541" s="76">
        <f t="shared" si="438"/>
        <v>-26182.27999999997</v>
      </c>
      <c r="N541" s="22">
        <f t="shared" si="438"/>
        <v>84686.88</v>
      </c>
      <c r="P541" s="174"/>
    </row>
    <row r="542" spans="1:27" ht="15.75" thickBot="1">
      <c r="A542" s="368">
        <v>41170</v>
      </c>
      <c r="B542" s="368"/>
      <c r="C542" s="368"/>
      <c r="N542" s="15"/>
    </row>
    <row r="543" spans="1:27">
      <c r="A543" s="407" t="s">
        <v>1</v>
      </c>
      <c r="B543" s="420"/>
      <c r="C543" s="68" t="s">
        <v>12</v>
      </c>
      <c r="D543" s="68" t="s">
        <v>12</v>
      </c>
      <c r="E543" s="68" t="s">
        <v>13</v>
      </c>
      <c r="F543" s="68" t="s">
        <v>13</v>
      </c>
      <c r="G543" s="68" t="s">
        <v>13</v>
      </c>
      <c r="H543" s="68" t="s">
        <v>13</v>
      </c>
      <c r="I543" s="68" t="s">
        <v>13</v>
      </c>
      <c r="J543" s="68" t="s">
        <v>2</v>
      </c>
      <c r="K543" s="68" t="s">
        <v>2</v>
      </c>
      <c r="L543" s="68" t="s">
        <v>2</v>
      </c>
      <c r="M543" s="68" t="s">
        <v>2</v>
      </c>
      <c r="N543" s="4" t="s">
        <v>84</v>
      </c>
    </row>
    <row r="544" spans="1:27" ht="15.75" thickBot="1">
      <c r="A544" s="409" t="s">
        <v>0</v>
      </c>
      <c r="B544" s="414"/>
      <c r="C544" s="99" t="s">
        <v>102</v>
      </c>
      <c r="D544" s="99" t="s">
        <v>103</v>
      </c>
      <c r="E544" s="99" t="s">
        <v>104</v>
      </c>
      <c r="F544" s="99" t="s">
        <v>105</v>
      </c>
      <c r="G544" s="99" t="s">
        <v>100</v>
      </c>
      <c r="H544" s="99" t="s">
        <v>107</v>
      </c>
      <c r="I544" s="99" t="s">
        <v>106</v>
      </c>
      <c r="J544" s="99" t="s">
        <v>108</v>
      </c>
      <c r="K544" s="99" t="s">
        <v>110</v>
      </c>
      <c r="L544" s="99" t="s">
        <v>101</v>
      </c>
      <c r="M544" s="99" t="s">
        <v>109</v>
      </c>
      <c r="N544" s="101" t="s">
        <v>111</v>
      </c>
      <c r="Q544" s="14"/>
      <c r="R544" s="14"/>
      <c r="S544" s="14"/>
      <c r="T544" s="14"/>
      <c r="U544" s="14"/>
      <c r="V544" s="14"/>
      <c r="W544" s="14"/>
      <c r="X544" s="14"/>
      <c r="Y544" s="175"/>
      <c r="Z544" s="174"/>
      <c r="AA544" s="175"/>
    </row>
    <row r="545" spans="1:27">
      <c r="A545" s="421" t="s">
        <v>9</v>
      </c>
      <c r="B545" s="2" t="s">
        <v>4</v>
      </c>
      <c r="C545" s="96">
        <v>143392.20000000001</v>
      </c>
      <c r="D545" s="96">
        <v>150515.79999999999</v>
      </c>
      <c r="E545" s="96">
        <v>150515.79999999999</v>
      </c>
      <c r="F545" s="96">
        <v>181997.8</v>
      </c>
      <c r="G545" s="96">
        <v>165452.5</v>
      </c>
      <c r="H545" s="96">
        <v>110071.9</v>
      </c>
      <c r="I545" s="96">
        <v>121331.8</v>
      </c>
      <c r="J545" s="96">
        <v>170967.6</v>
      </c>
      <c r="K545" s="96">
        <v>132132.20000000001</v>
      </c>
      <c r="L545" s="96">
        <v>82726.3</v>
      </c>
      <c r="M545" s="96">
        <v>176482.7</v>
      </c>
      <c r="N545" s="100">
        <v>54921</v>
      </c>
      <c r="P545" s="104"/>
      <c r="Y545" s="104"/>
      <c r="Z545" s="104"/>
      <c r="AA545" s="104"/>
    </row>
    <row r="546" spans="1:27">
      <c r="A546" s="422"/>
      <c r="B546" s="63" t="s">
        <v>5</v>
      </c>
      <c r="C546" s="97">
        <v>91081.4</v>
      </c>
      <c r="D546" s="97">
        <v>70250.100000000006</v>
      </c>
      <c r="E546" s="97">
        <v>71595.7</v>
      </c>
      <c r="F546" s="97">
        <v>159872.6</v>
      </c>
      <c r="G546" s="97">
        <v>41103.699999999997</v>
      </c>
      <c r="H546" s="97">
        <v>26738.1</v>
      </c>
      <c r="I546" s="97">
        <v>45960.2</v>
      </c>
      <c r="J546" s="97">
        <v>142545.79999999999</v>
      </c>
      <c r="K546" s="97">
        <v>39891.5</v>
      </c>
      <c r="L546" s="97">
        <v>23846</v>
      </c>
      <c r="M546" s="97">
        <v>94835.6</v>
      </c>
      <c r="N546" s="102">
        <v>23053.3</v>
      </c>
      <c r="P546" s="104"/>
      <c r="Y546" s="104"/>
      <c r="Z546" s="104"/>
      <c r="AA546" s="104"/>
    </row>
    <row r="547" spans="1:27" ht="15.75" thickBot="1">
      <c r="A547" s="423"/>
      <c r="B547" s="3" t="s">
        <v>3</v>
      </c>
      <c r="C547" s="71">
        <f>C546/C545</f>
        <v>0.63519075654045332</v>
      </c>
      <c r="D547" s="72">
        <f t="shared" ref="D547:E547" si="439">D546/D545</f>
        <v>0.46672907428987531</v>
      </c>
      <c r="E547" s="72">
        <f t="shared" si="439"/>
        <v>0.47566899953360381</v>
      </c>
      <c r="F547" s="72">
        <f>F546/F545</f>
        <v>0.87843149752359651</v>
      </c>
      <c r="G547" s="72">
        <f>G546/G545</f>
        <v>0.24843202731901903</v>
      </c>
      <c r="H547" s="72">
        <f t="shared" ref="H547:N547" si="440">H546/H545</f>
        <v>0.24291485837893231</v>
      </c>
      <c r="I547" s="72">
        <f t="shared" si="440"/>
        <v>0.37879764414605238</v>
      </c>
      <c r="J547" s="72">
        <f t="shared" si="440"/>
        <v>0.83375914500759196</v>
      </c>
      <c r="K547" s="72">
        <f t="shared" si="440"/>
        <v>0.30190596993011543</v>
      </c>
      <c r="L547" s="72">
        <f t="shared" si="440"/>
        <v>0.28825174098200934</v>
      </c>
      <c r="M547" s="72">
        <f t="shared" si="440"/>
        <v>0.53736485219231123</v>
      </c>
      <c r="N547" s="83">
        <f t="shared" si="440"/>
        <v>0.41975382822599733</v>
      </c>
      <c r="P547" s="104"/>
      <c r="Y547" s="104"/>
      <c r="Z547" s="104"/>
      <c r="AA547" s="104"/>
    </row>
    <row r="548" spans="1:27">
      <c r="A548" s="411" t="s">
        <v>6</v>
      </c>
      <c r="B548" s="27" t="s">
        <v>7</v>
      </c>
      <c r="C548" s="68">
        <v>5165</v>
      </c>
      <c r="D548" s="68">
        <v>3240</v>
      </c>
      <c r="E548" s="68">
        <v>3237</v>
      </c>
      <c r="F548" s="68">
        <v>9565</v>
      </c>
      <c r="G548" s="68">
        <v>7099</v>
      </c>
      <c r="H548" s="68">
        <v>12303</v>
      </c>
      <c r="I548" s="68">
        <f>(6852-2000)</f>
        <v>4852</v>
      </c>
      <c r="J548" s="68">
        <v>9193</v>
      </c>
      <c r="K548" s="68">
        <v>10410</v>
      </c>
      <c r="L548" s="68">
        <v>3799</v>
      </c>
      <c r="M548" s="68">
        <v>9050</v>
      </c>
      <c r="N548" s="80">
        <v>792</v>
      </c>
      <c r="P548" s="104"/>
      <c r="Y548" s="104"/>
      <c r="Z548" s="104"/>
      <c r="AA548" s="104"/>
    </row>
    <row r="549" spans="1:27">
      <c r="A549" s="412"/>
      <c r="B549" s="28" t="s">
        <v>11</v>
      </c>
      <c r="C549" s="73">
        <f t="shared" ref="C549:I549" si="441">C548*33.72</f>
        <v>174163.8</v>
      </c>
      <c r="D549" s="73">
        <f t="shared" si="441"/>
        <v>109252.8</v>
      </c>
      <c r="E549" s="73">
        <f t="shared" si="441"/>
        <v>109151.64</v>
      </c>
      <c r="F549" s="73">
        <f t="shared" si="441"/>
        <v>322531.8</v>
      </c>
      <c r="G549" s="73">
        <f t="shared" si="441"/>
        <v>239378.28</v>
      </c>
      <c r="H549" s="73">
        <f t="shared" si="441"/>
        <v>414857.16</v>
      </c>
      <c r="I549" s="73">
        <f t="shared" si="441"/>
        <v>163609.44</v>
      </c>
      <c r="J549" s="73">
        <f>J548*33.72</f>
        <v>309987.95999999996</v>
      </c>
      <c r="K549" s="73">
        <f t="shared" ref="K549:L549" si="442">K548*33.72</f>
        <v>351025.2</v>
      </c>
      <c r="L549" s="73">
        <f t="shared" si="442"/>
        <v>128102.28</v>
      </c>
      <c r="M549" s="73">
        <f>M548*33.72</f>
        <v>305166</v>
      </c>
      <c r="N549" s="84">
        <f t="shared" ref="N549" si="443">N548*33.72</f>
        <v>26706.239999999998</v>
      </c>
      <c r="P549" s="104"/>
      <c r="Y549" s="104"/>
      <c r="Z549" s="104"/>
      <c r="AA549" s="104"/>
    </row>
    <row r="550" spans="1:27">
      <c r="A550" s="412"/>
      <c r="B550" s="28" t="s">
        <v>79</v>
      </c>
      <c r="C550" s="73">
        <v>164000</v>
      </c>
      <c r="D550" s="73">
        <v>109880</v>
      </c>
      <c r="E550" s="73">
        <v>109880</v>
      </c>
      <c r="F550" s="73">
        <v>328000</v>
      </c>
      <c r="G550" s="73">
        <f>G545*2</f>
        <v>330905</v>
      </c>
      <c r="H550" s="73">
        <f>H545*2</f>
        <v>220143.8</v>
      </c>
      <c r="I550" s="73">
        <f>I545*2</f>
        <v>242663.6</v>
      </c>
      <c r="J550" s="73">
        <v>328000</v>
      </c>
      <c r="K550" s="73">
        <f>K545*2</f>
        <v>264264.40000000002</v>
      </c>
      <c r="L550" s="73">
        <v>328000</v>
      </c>
      <c r="M550" s="73">
        <f>2*M545</f>
        <v>352965.4</v>
      </c>
      <c r="N550" s="84">
        <f>2*N545</f>
        <v>109842</v>
      </c>
      <c r="P550" s="104"/>
      <c r="Y550" s="104"/>
      <c r="Z550" s="104"/>
      <c r="AA550" s="104"/>
    </row>
    <row r="551" spans="1:27">
      <c r="A551" s="412"/>
      <c r="B551" s="66" t="s">
        <v>8</v>
      </c>
      <c r="C551" s="98">
        <f>SUM(C548-290)</f>
        <v>4875</v>
      </c>
      <c r="D551" s="98">
        <f>SUM(D548-600)</f>
        <v>2640</v>
      </c>
      <c r="E551" s="98">
        <f>SUM(E548-595)</f>
        <v>2642</v>
      </c>
      <c r="F551" s="98">
        <f>SUM(F548-1124)</f>
        <v>8441</v>
      </c>
      <c r="G551" s="98">
        <f>SUM(G548-3727)</f>
        <v>3372</v>
      </c>
      <c r="H551" s="98">
        <f>SUM(H548-1642)</f>
        <v>10661</v>
      </c>
      <c r="I551" s="98">
        <f>SUM(I548-(4251-2000))</f>
        <v>2601</v>
      </c>
      <c r="J551" s="98">
        <f>SUM(J548-1306)</f>
        <v>7887</v>
      </c>
      <c r="K551" s="98">
        <f>SUM(K548-1967)</f>
        <v>8443</v>
      </c>
      <c r="L551" s="98">
        <f>SUM(L548-914)</f>
        <v>2885</v>
      </c>
      <c r="M551" s="98">
        <f>SUM(M548-(6275-2614))</f>
        <v>5389</v>
      </c>
      <c r="N551" s="103">
        <f>SUM(N548-46)</f>
        <v>746</v>
      </c>
      <c r="P551" s="14" t="s">
        <v>192</v>
      </c>
    </row>
    <row r="552" spans="1:27">
      <c r="A552" s="412"/>
      <c r="B552" s="29" t="s">
        <v>77</v>
      </c>
      <c r="C552" s="75">
        <f>C551*33.72</f>
        <v>164385</v>
      </c>
      <c r="D552" s="75">
        <f>D551*33.72</f>
        <v>89020.800000000003</v>
      </c>
      <c r="E552" s="75">
        <f>E551*33.72</f>
        <v>89088.239999999991</v>
      </c>
      <c r="F552" s="75">
        <f>F551*33.72</f>
        <v>284630.52</v>
      </c>
      <c r="G552" s="75">
        <f>G551*33.72*2</f>
        <v>227407.68</v>
      </c>
      <c r="H552" s="75">
        <f>H551*33.72</f>
        <v>359488.92</v>
      </c>
      <c r="I552" s="75">
        <f>I551*33.72</f>
        <v>87705.72</v>
      </c>
      <c r="J552" s="75">
        <f>J551*33.72</f>
        <v>265949.64</v>
      </c>
      <c r="K552" s="75">
        <f>K551*33.72</f>
        <v>284697.95999999996</v>
      </c>
      <c r="L552" s="75">
        <f>L551*33.72</f>
        <v>97282.2</v>
      </c>
      <c r="M552" s="75">
        <f>M551*33.72*2</f>
        <v>363434.16</v>
      </c>
      <c r="N552" s="11">
        <f>N551*33.72</f>
        <v>25155.119999999999</v>
      </c>
      <c r="P552" s="89">
        <f>344240-H552</f>
        <v>-15248.919999999984</v>
      </c>
      <c r="Q552" s="104" t="s">
        <v>193</v>
      </c>
    </row>
    <row r="553" spans="1:27" ht="15.75" thickBot="1">
      <c r="A553" s="412"/>
      <c r="B553" s="30" t="s">
        <v>10</v>
      </c>
      <c r="C553" s="72">
        <f>C552/C545</f>
        <v>1.146401268688255</v>
      </c>
      <c r="D553" s="72">
        <f t="shared" ref="D553" si="444">D552/D545</f>
        <v>0.59143824103516052</v>
      </c>
      <c r="E553" s="72">
        <f t="shared" ref="E553" si="445">E552/E545</f>
        <v>0.59188630030867184</v>
      </c>
      <c r="F553" s="72">
        <f t="shared" ref="F553" si="446">F552/F545</f>
        <v>1.5639228606060076</v>
      </c>
      <c r="G553" s="72">
        <f t="shared" ref="G553" si="447">G552/G545</f>
        <v>1.3744590139163808</v>
      </c>
      <c r="H553" s="72">
        <f t="shared" ref="H553" si="448">H552/H545</f>
        <v>3.2659463496132983</v>
      </c>
      <c r="I553" s="72">
        <f t="shared" ref="I553" si="449">I552/I545</f>
        <v>0.72285847568403339</v>
      </c>
      <c r="J553" s="72">
        <f t="shared" ref="J553" si="450">J552/J545</f>
        <v>1.5555557895180139</v>
      </c>
      <c r="K553" s="72">
        <f t="shared" ref="K553" si="451">K552/K545</f>
        <v>2.154644817841525</v>
      </c>
      <c r="L553" s="72">
        <f t="shared" ref="L553" si="452">L552/L545</f>
        <v>1.1759525084525719</v>
      </c>
      <c r="M553" s="72">
        <f t="shared" ref="M553" si="453">M552/M545</f>
        <v>2.0593189020793536</v>
      </c>
      <c r="N553" s="72">
        <f t="shared" ref="N553" si="454">N552/N545</f>
        <v>0.45802370677882775</v>
      </c>
      <c r="P553" s="175"/>
    </row>
    <row r="554" spans="1:27" ht="15.75" thickBot="1">
      <c r="A554" s="424" t="s">
        <v>83</v>
      </c>
      <c r="B554" s="425"/>
      <c r="C554" s="76">
        <f>MIN(2*C545,C550)-C552</f>
        <v>-385</v>
      </c>
      <c r="D554" s="76">
        <f t="shared" ref="D554:N554" si="455">MIN(2*D545,D550)-D552</f>
        <v>20859.199999999997</v>
      </c>
      <c r="E554" s="76">
        <f t="shared" si="455"/>
        <v>20791.760000000009</v>
      </c>
      <c r="F554" s="76">
        <f t="shared" si="455"/>
        <v>43369.479999999981</v>
      </c>
      <c r="G554" s="76">
        <f t="shared" si="455"/>
        <v>103497.32</v>
      </c>
      <c r="H554" s="76">
        <f t="shared" si="455"/>
        <v>-139345.12</v>
      </c>
      <c r="I554" s="76">
        <f t="shared" si="455"/>
        <v>154957.88</v>
      </c>
      <c r="J554" s="76">
        <f t="shared" si="455"/>
        <v>62050.359999999986</v>
      </c>
      <c r="K554" s="76">
        <f t="shared" si="455"/>
        <v>-20433.559999999939</v>
      </c>
      <c r="L554" s="76">
        <f t="shared" si="455"/>
        <v>68170.400000000009</v>
      </c>
      <c r="M554" s="76">
        <f t="shared" si="455"/>
        <v>-10468.759999999951</v>
      </c>
      <c r="N554" s="22">
        <f t="shared" si="455"/>
        <v>84686.88</v>
      </c>
      <c r="P554" s="174"/>
    </row>
    <row r="555" spans="1:27" ht="15.75" thickBot="1">
      <c r="A555" s="368">
        <v>41169</v>
      </c>
      <c r="B555" s="368"/>
      <c r="C555" s="368"/>
      <c r="N555" s="15"/>
    </row>
    <row r="556" spans="1:27">
      <c r="A556" s="407" t="s">
        <v>1</v>
      </c>
      <c r="B556" s="420"/>
      <c r="C556" s="68" t="s">
        <v>12</v>
      </c>
      <c r="D556" s="68" t="s">
        <v>12</v>
      </c>
      <c r="E556" s="68" t="s">
        <v>13</v>
      </c>
      <c r="F556" s="68" t="s">
        <v>13</v>
      </c>
      <c r="G556" s="68" t="s">
        <v>13</v>
      </c>
      <c r="H556" s="68" t="s">
        <v>13</v>
      </c>
      <c r="I556" s="68" t="s">
        <v>13</v>
      </c>
      <c r="J556" s="68" t="s">
        <v>2</v>
      </c>
      <c r="K556" s="68" t="s">
        <v>2</v>
      </c>
      <c r="L556" s="68" t="s">
        <v>2</v>
      </c>
      <c r="M556" s="68" t="s">
        <v>2</v>
      </c>
      <c r="N556" s="4" t="s">
        <v>84</v>
      </c>
    </row>
    <row r="557" spans="1:27" ht="15.75" thickBot="1">
      <c r="A557" s="409" t="s">
        <v>0</v>
      </c>
      <c r="B557" s="414"/>
      <c r="C557" s="99" t="s">
        <v>102</v>
      </c>
      <c r="D557" s="99" t="s">
        <v>103</v>
      </c>
      <c r="E557" s="99" t="s">
        <v>104</v>
      </c>
      <c r="F557" s="99" t="s">
        <v>105</v>
      </c>
      <c r="G557" s="99" t="s">
        <v>100</v>
      </c>
      <c r="H557" s="99" t="s">
        <v>107</v>
      </c>
      <c r="I557" s="99" t="s">
        <v>106</v>
      </c>
      <c r="J557" s="99" t="s">
        <v>108</v>
      </c>
      <c r="K557" s="99" t="s">
        <v>110</v>
      </c>
      <c r="L557" s="99" t="s">
        <v>101</v>
      </c>
      <c r="M557" s="99" t="s">
        <v>109</v>
      </c>
      <c r="N557" s="101" t="s">
        <v>111</v>
      </c>
      <c r="Q557" s="14"/>
      <c r="R557" s="14"/>
      <c r="S557" s="14"/>
      <c r="T557" s="14"/>
      <c r="U557" s="14"/>
      <c r="V557" s="14"/>
      <c r="W557" s="14"/>
      <c r="X557" s="14"/>
      <c r="Y557" s="175"/>
      <c r="Z557" s="174"/>
      <c r="AA557" s="175"/>
    </row>
    <row r="558" spans="1:27">
      <c r="A558" s="421" t="s">
        <v>9</v>
      </c>
      <c r="B558" s="2" t="s">
        <v>4</v>
      </c>
      <c r="C558" s="96">
        <v>143392.20000000001</v>
      </c>
      <c r="D558" s="96">
        <v>150515.79999999999</v>
      </c>
      <c r="E558" s="96">
        <v>150515.79999999999</v>
      </c>
      <c r="F558" s="96">
        <v>181997.8</v>
      </c>
      <c r="G558" s="96">
        <v>165452.5</v>
      </c>
      <c r="H558" s="96">
        <v>110071.9</v>
      </c>
      <c r="I558" s="96">
        <v>121331.8</v>
      </c>
      <c r="J558" s="96">
        <v>170967.6</v>
      </c>
      <c r="K558" s="96">
        <v>132132.20000000001</v>
      </c>
      <c r="L558" s="96">
        <v>82726.3</v>
      </c>
      <c r="M558" s="96">
        <v>176482.7</v>
      </c>
      <c r="N558" s="100">
        <v>54921</v>
      </c>
      <c r="P558" s="104"/>
      <c r="Y558" s="104"/>
      <c r="Z558" s="104"/>
      <c r="AA558" s="104"/>
    </row>
    <row r="559" spans="1:27">
      <c r="A559" s="422"/>
      <c r="B559" s="63" t="s">
        <v>5</v>
      </c>
      <c r="C559" s="97">
        <v>91064.1</v>
      </c>
      <c r="D559" s="97">
        <v>70227.7</v>
      </c>
      <c r="E559" s="97">
        <v>71573.100000000006</v>
      </c>
      <c r="F559" s="97">
        <v>159829.5</v>
      </c>
      <c r="G559" s="97">
        <v>40854</v>
      </c>
      <c r="H559" s="97">
        <v>26783.200000000001</v>
      </c>
      <c r="I559" s="97">
        <v>45948.3</v>
      </c>
      <c r="J559" s="97">
        <v>142498.79999999999</v>
      </c>
      <c r="K559" s="97">
        <v>40276</v>
      </c>
      <c r="L559" s="97">
        <v>23728.400000000001</v>
      </c>
      <c r="M559" s="97">
        <v>94706.5</v>
      </c>
      <c r="N559" s="102">
        <v>23053.3</v>
      </c>
      <c r="P559" s="104"/>
      <c r="Y559" s="104"/>
      <c r="Z559" s="104"/>
      <c r="AA559" s="104"/>
    </row>
    <row r="560" spans="1:27" ht="15.75" thickBot="1">
      <c r="A560" s="423"/>
      <c r="B560" s="3" t="s">
        <v>3</v>
      </c>
      <c r="C560" s="71">
        <f>C559/C558</f>
        <v>0.63507010841593892</v>
      </c>
      <c r="D560" s="72">
        <f t="shared" ref="D560:E560" si="456">D559/D558</f>
        <v>0.46658025270436726</v>
      </c>
      <c r="E560" s="72">
        <f t="shared" si="456"/>
        <v>0.47551884918393955</v>
      </c>
      <c r="F560" s="72">
        <f>F559/F558</f>
        <v>0.87819468147417168</v>
      </c>
      <c r="G560" s="72">
        <f>G559/G558</f>
        <v>0.24692283283721914</v>
      </c>
      <c r="H560" s="72">
        <f t="shared" ref="H560:N560" si="457">H559/H558</f>
        <v>0.24332459056307743</v>
      </c>
      <c r="I560" s="72">
        <f t="shared" si="457"/>
        <v>0.37869956598352617</v>
      </c>
      <c r="J560" s="72">
        <f t="shared" si="457"/>
        <v>0.83348423911899083</v>
      </c>
      <c r="K560" s="72">
        <f t="shared" si="457"/>
        <v>0.30481593434454279</v>
      </c>
      <c r="L560" s="72">
        <f t="shared" si="457"/>
        <v>0.28683018580548147</v>
      </c>
      <c r="M560" s="72">
        <f t="shared" si="457"/>
        <v>0.53663333573205751</v>
      </c>
      <c r="N560" s="83">
        <f t="shared" si="457"/>
        <v>0.41975382822599733</v>
      </c>
      <c r="P560" s="104"/>
      <c r="Y560" s="104"/>
      <c r="Z560" s="104"/>
      <c r="AA560" s="104"/>
    </row>
    <row r="561" spans="1:27">
      <c r="A561" s="411" t="s">
        <v>6</v>
      </c>
      <c r="B561" s="27" t="s">
        <v>7</v>
      </c>
      <c r="C561" s="68">
        <v>5165</v>
      </c>
      <c r="D561" s="68">
        <v>3240</v>
      </c>
      <c r="E561" s="68">
        <v>3237</v>
      </c>
      <c r="F561" s="68">
        <v>9565</v>
      </c>
      <c r="G561" s="68">
        <v>7099</v>
      </c>
      <c r="H561" s="68">
        <v>12303</v>
      </c>
      <c r="I561" s="68">
        <f>(4836-2000)</f>
        <v>2836</v>
      </c>
      <c r="J561" s="68">
        <v>9193</v>
      </c>
      <c r="K561" s="68">
        <v>10410</v>
      </c>
      <c r="L561" s="68">
        <v>3799</v>
      </c>
      <c r="M561" s="68">
        <v>2836</v>
      </c>
      <c r="N561" s="80">
        <v>792</v>
      </c>
      <c r="P561" s="104"/>
      <c r="Y561" s="104"/>
      <c r="Z561" s="104"/>
      <c r="AA561" s="104"/>
    </row>
    <row r="562" spans="1:27">
      <c r="A562" s="412"/>
      <c r="B562" s="28" t="s">
        <v>11</v>
      </c>
      <c r="C562" s="73">
        <f t="shared" ref="C562:I562" si="458">C561*33.72</f>
        <v>174163.8</v>
      </c>
      <c r="D562" s="73">
        <f t="shared" si="458"/>
        <v>109252.8</v>
      </c>
      <c r="E562" s="73">
        <f t="shared" si="458"/>
        <v>109151.64</v>
      </c>
      <c r="F562" s="73">
        <f t="shared" si="458"/>
        <v>322531.8</v>
      </c>
      <c r="G562" s="73">
        <f t="shared" si="458"/>
        <v>239378.28</v>
      </c>
      <c r="H562" s="73">
        <f t="shared" si="458"/>
        <v>414857.16</v>
      </c>
      <c r="I562" s="73">
        <f t="shared" si="458"/>
        <v>95629.92</v>
      </c>
      <c r="J562" s="73">
        <f>J561*33.72</f>
        <v>309987.95999999996</v>
      </c>
      <c r="K562" s="73">
        <f t="shared" ref="K562:L562" si="459">K561*33.72</f>
        <v>351025.2</v>
      </c>
      <c r="L562" s="73">
        <f t="shared" si="459"/>
        <v>128102.28</v>
      </c>
      <c r="M562" s="73">
        <f>M561*33.72</f>
        <v>95629.92</v>
      </c>
      <c r="N562" s="84">
        <f t="shared" ref="N562" si="460">N561*33.72</f>
        <v>26706.239999999998</v>
      </c>
      <c r="P562" s="104"/>
      <c r="Y562" s="104"/>
      <c r="Z562" s="104"/>
      <c r="AA562" s="104"/>
    </row>
    <row r="563" spans="1:27">
      <c r="A563" s="412"/>
      <c r="B563" s="28" t="s">
        <v>79</v>
      </c>
      <c r="C563" s="73">
        <v>164000</v>
      </c>
      <c r="D563" s="73">
        <v>109880</v>
      </c>
      <c r="E563" s="73">
        <v>109880</v>
      </c>
      <c r="F563" s="73">
        <v>328000</v>
      </c>
      <c r="G563" s="73">
        <f>G558*2</f>
        <v>330905</v>
      </c>
      <c r="H563" s="73">
        <f>H558*2</f>
        <v>220143.8</v>
      </c>
      <c r="I563" s="73">
        <f>I558*2</f>
        <v>242663.6</v>
      </c>
      <c r="J563" s="73">
        <v>328000</v>
      </c>
      <c r="K563" s="73">
        <f>K558*2</f>
        <v>264264.40000000002</v>
      </c>
      <c r="L563" s="73">
        <v>328000</v>
      </c>
      <c r="M563" s="73">
        <f>2*M558</f>
        <v>352965.4</v>
      </c>
      <c r="N563" s="84">
        <f>2*N558</f>
        <v>109842</v>
      </c>
      <c r="P563" s="104"/>
      <c r="Y563" s="104"/>
      <c r="Z563" s="104"/>
      <c r="AA563" s="104"/>
    </row>
    <row r="564" spans="1:27">
      <c r="A564" s="412"/>
      <c r="B564" s="66" t="s">
        <v>8</v>
      </c>
      <c r="C564" s="98">
        <f>SUM(C561-296)</f>
        <v>4869</v>
      </c>
      <c r="D564" s="98">
        <f>SUM(D561-600)</f>
        <v>2640</v>
      </c>
      <c r="E564" s="98">
        <f>SUM(E561-602)</f>
        <v>2635</v>
      </c>
      <c r="F564" s="98">
        <f>SUM(F561-1124)</f>
        <v>8441</v>
      </c>
      <c r="G564" s="98">
        <f>SUM(G561-3727)</f>
        <v>3372</v>
      </c>
      <c r="H564" s="98">
        <f>SUM(H561-1681)</f>
        <v>10622</v>
      </c>
      <c r="I564" s="98">
        <f>SUM(I561-(2684-2000))</f>
        <v>2152</v>
      </c>
      <c r="J564" s="98">
        <f>SUM(J561-1306)</f>
        <v>7887</v>
      </c>
      <c r="K564" s="98">
        <f>SUM(K561-1967)</f>
        <v>8443</v>
      </c>
      <c r="L564" s="98">
        <f>SUM(L561-914)</f>
        <v>2885</v>
      </c>
      <c r="M564" s="98">
        <f>SUM(M561-(2675-2614))</f>
        <v>2775</v>
      </c>
      <c r="N564" s="103">
        <f>SUM(N561-46)</f>
        <v>746</v>
      </c>
      <c r="P564" s="14" t="s">
        <v>192</v>
      </c>
    </row>
    <row r="565" spans="1:27">
      <c r="A565" s="412"/>
      <c r="B565" s="29" t="s">
        <v>77</v>
      </c>
      <c r="C565" s="75">
        <f>C564*33.72</f>
        <v>164182.68</v>
      </c>
      <c r="D565" s="75">
        <f>D564*33.72</f>
        <v>89020.800000000003</v>
      </c>
      <c r="E565" s="75">
        <f>E564*33.72</f>
        <v>88852.2</v>
      </c>
      <c r="F565" s="75">
        <f>F564*33.72</f>
        <v>284630.52</v>
      </c>
      <c r="G565" s="75">
        <f>G564*33.72*2</f>
        <v>227407.68</v>
      </c>
      <c r="H565" s="75">
        <f>H564*33.72</f>
        <v>358173.83999999997</v>
      </c>
      <c r="I565" s="75">
        <f>I564*33.72</f>
        <v>72565.440000000002</v>
      </c>
      <c r="J565" s="75">
        <f>J564*33.72</f>
        <v>265949.64</v>
      </c>
      <c r="K565" s="75">
        <f>K564*33.72</f>
        <v>284697.95999999996</v>
      </c>
      <c r="L565" s="75">
        <f>L564*33.72</f>
        <v>97282.2</v>
      </c>
      <c r="M565" s="75">
        <f>M564*33.72*2</f>
        <v>187146</v>
      </c>
      <c r="N565" s="11">
        <f>N564*33.72</f>
        <v>25155.119999999999</v>
      </c>
      <c r="P565" s="89">
        <f>344240-H565</f>
        <v>-13933.839999999967</v>
      </c>
      <c r="Q565" s="104" t="s">
        <v>193</v>
      </c>
    </row>
    <row r="566" spans="1:27" ht="15.75" thickBot="1">
      <c r="A566" s="412"/>
      <c r="B566" s="30" t="s">
        <v>10</v>
      </c>
      <c r="C566" s="72">
        <f>C565/C558</f>
        <v>1.1449903132806385</v>
      </c>
      <c r="D566" s="72">
        <f t="shared" ref="D566" si="461">D565/D558</f>
        <v>0.59143824103516052</v>
      </c>
      <c r="E566" s="72">
        <f t="shared" ref="E566" si="462">E565/E558</f>
        <v>0.5903180928513817</v>
      </c>
      <c r="F566" s="72">
        <f t="shared" ref="F566" si="463">F565/F558</f>
        <v>1.5639228606060076</v>
      </c>
      <c r="G566" s="72">
        <f t="shared" ref="G566" si="464">G565/G558</f>
        <v>1.3744590139163808</v>
      </c>
      <c r="H566" s="72">
        <f t="shared" ref="H566" si="465">H565/H558</f>
        <v>3.2539988861825768</v>
      </c>
      <c r="I566" s="72">
        <f t="shared" ref="I566" si="466">I565/I558</f>
        <v>0.59807437126952701</v>
      </c>
      <c r="J566" s="72">
        <f t="shared" ref="J566" si="467">J565/J558</f>
        <v>1.5555557895180139</v>
      </c>
      <c r="K566" s="72">
        <f t="shared" ref="K566" si="468">K565/K558</f>
        <v>2.154644817841525</v>
      </c>
      <c r="L566" s="72">
        <f t="shared" ref="L566" si="469">L565/L558</f>
        <v>1.1759525084525719</v>
      </c>
      <c r="M566" s="72">
        <f t="shared" ref="M566" si="470">M565/M558</f>
        <v>1.0604212197569507</v>
      </c>
      <c r="N566" s="72">
        <f t="shared" ref="N566" si="471">N565/N558</f>
        <v>0.45802370677882775</v>
      </c>
      <c r="P566" s="175"/>
    </row>
    <row r="567" spans="1:27" ht="15.75" thickBot="1">
      <c r="A567" s="424" t="s">
        <v>83</v>
      </c>
      <c r="B567" s="425"/>
      <c r="C567" s="76">
        <f>MIN(2*C558,C563)-C565</f>
        <v>-182.67999999999302</v>
      </c>
      <c r="D567" s="76">
        <f t="shared" ref="D567:N567" si="472">MIN(2*D558,D563)-D565</f>
        <v>20859.199999999997</v>
      </c>
      <c r="E567" s="76">
        <f t="shared" si="472"/>
        <v>21027.800000000003</v>
      </c>
      <c r="F567" s="76">
        <f t="shared" si="472"/>
        <v>43369.479999999981</v>
      </c>
      <c r="G567" s="76">
        <f t="shared" si="472"/>
        <v>103497.32</v>
      </c>
      <c r="H567" s="76">
        <f t="shared" si="472"/>
        <v>-138030.03999999998</v>
      </c>
      <c r="I567" s="76">
        <f t="shared" si="472"/>
        <v>170098.16</v>
      </c>
      <c r="J567" s="76">
        <f t="shared" si="472"/>
        <v>62050.359999999986</v>
      </c>
      <c r="K567" s="76">
        <f t="shared" si="472"/>
        <v>-20433.559999999939</v>
      </c>
      <c r="L567" s="76">
        <f t="shared" si="472"/>
        <v>68170.400000000009</v>
      </c>
      <c r="M567" s="76">
        <f t="shared" si="472"/>
        <v>165819.40000000002</v>
      </c>
      <c r="N567" s="22">
        <f t="shared" si="472"/>
        <v>84686.88</v>
      </c>
      <c r="P567" s="174"/>
    </row>
    <row r="568" spans="1:27" ht="15.75" thickBot="1">
      <c r="A568" s="368">
        <v>41166</v>
      </c>
      <c r="B568" s="368"/>
      <c r="C568" s="368"/>
      <c r="N568" s="15"/>
    </row>
    <row r="569" spans="1:27">
      <c r="A569" s="407" t="s">
        <v>1</v>
      </c>
      <c r="B569" s="420"/>
      <c r="C569" s="68" t="s">
        <v>12</v>
      </c>
      <c r="D569" s="68" t="s">
        <v>12</v>
      </c>
      <c r="E569" s="68" t="s">
        <v>13</v>
      </c>
      <c r="F569" s="68" t="s">
        <v>13</v>
      </c>
      <c r="G569" s="68" t="s">
        <v>13</v>
      </c>
      <c r="H569" s="68" t="s">
        <v>13</v>
      </c>
      <c r="I569" s="68" t="s">
        <v>13</v>
      </c>
      <c r="J569" s="68" t="s">
        <v>2</v>
      </c>
      <c r="K569" s="68" t="s">
        <v>2</v>
      </c>
      <c r="L569" s="68" t="s">
        <v>2</v>
      </c>
      <c r="M569" s="68" t="s">
        <v>2</v>
      </c>
      <c r="N569" s="4" t="s">
        <v>84</v>
      </c>
    </row>
    <row r="570" spans="1:27" ht="15.75" thickBot="1">
      <c r="A570" s="409" t="s">
        <v>0</v>
      </c>
      <c r="B570" s="414"/>
      <c r="C570" s="99" t="s">
        <v>102</v>
      </c>
      <c r="D570" s="99" t="s">
        <v>103</v>
      </c>
      <c r="E570" s="99" t="s">
        <v>104</v>
      </c>
      <c r="F570" s="99" t="s">
        <v>105</v>
      </c>
      <c r="G570" s="99" t="s">
        <v>100</v>
      </c>
      <c r="H570" s="99" t="s">
        <v>107</v>
      </c>
      <c r="I570" s="99" t="s">
        <v>106</v>
      </c>
      <c r="J570" s="99" t="s">
        <v>108</v>
      </c>
      <c r="K570" s="99" t="s">
        <v>110</v>
      </c>
      <c r="L570" s="99" t="s">
        <v>101</v>
      </c>
      <c r="M570" s="99" t="s">
        <v>109</v>
      </c>
      <c r="N570" s="101" t="s">
        <v>111</v>
      </c>
      <c r="Q570" s="14"/>
      <c r="R570" s="14"/>
      <c r="S570" s="14"/>
      <c r="T570" s="14"/>
      <c r="U570" s="14"/>
      <c r="V570" s="14"/>
      <c r="W570" s="14"/>
      <c r="X570" s="14"/>
      <c r="Y570" s="175"/>
      <c r="Z570" s="174"/>
      <c r="AA570" s="175"/>
    </row>
    <row r="571" spans="1:27">
      <c r="A571" s="421" t="s">
        <v>9</v>
      </c>
      <c r="B571" s="2" t="s">
        <v>4</v>
      </c>
      <c r="C571" s="96">
        <v>143392.20000000001</v>
      </c>
      <c r="D571" s="96">
        <v>150515.79999999999</v>
      </c>
      <c r="E571" s="96">
        <v>150515.79999999999</v>
      </c>
      <c r="F571" s="96">
        <v>181997.8</v>
      </c>
      <c r="G571" s="96">
        <v>165452.5</v>
      </c>
      <c r="H571" s="96">
        <v>110071.9</v>
      </c>
      <c r="I571" s="96">
        <v>121331.8</v>
      </c>
      <c r="J571" s="96">
        <v>170967.6</v>
      </c>
      <c r="K571" s="96">
        <v>132132.20000000001</v>
      </c>
      <c r="L571" s="96">
        <v>82726.3</v>
      </c>
      <c r="M571" s="96">
        <v>176482.7</v>
      </c>
      <c r="N571" s="100">
        <v>54921</v>
      </c>
      <c r="P571" s="104"/>
      <c r="Y571" s="104"/>
      <c r="Z571" s="104"/>
      <c r="AA571" s="104"/>
    </row>
    <row r="572" spans="1:27">
      <c r="A572" s="422"/>
      <c r="B572" s="63" t="s">
        <v>5</v>
      </c>
      <c r="C572" s="97">
        <v>91031.5</v>
      </c>
      <c r="D572" s="97">
        <v>70215.7</v>
      </c>
      <c r="E572" s="97">
        <v>71561.100000000006</v>
      </c>
      <c r="F572" s="97">
        <v>159661.4</v>
      </c>
      <c r="G572" s="97">
        <v>38854.300000000003</v>
      </c>
      <c r="H572" s="97">
        <v>26843.200000000001</v>
      </c>
      <c r="I572" s="97">
        <v>45910.8</v>
      </c>
      <c r="J572" s="97">
        <v>142365.9</v>
      </c>
      <c r="K572" s="97">
        <v>41375.1</v>
      </c>
      <c r="L572" s="97">
        <v>23304.7</v>
      </c>
      <c r="M572" s="97">
        <v>94358.2</v>
      </c>
      <c r="N572" s="102">
        <v>23053.3</v>
      </c>
      <c r="P572" s="104"/>
      <c r="Y572" s="104"/>
      <c r="Z572" s="104"/>
      <c r="AA572" s="104"/>
    </row>
    <row r="573" spans="1:27" ht="15.75" thickBot="1">
      <c r="A573" s="423"/>
      <c r="B573" s="3" t="s">
        <v>3</v>
      </c>
      <c r="C573" s="71">
        <f>C572/C571</f>
        <v>0.63484275992696948</v>
      </c>
      <c r="D573" s="72">
        <f t="shared" ref="D573:E573" si="473">D572/D571</f>
        <v>0.466500526854988</v>
      </c>
      <c r="E573" s="72">
        <f t="shared" si="473"/>
        <v>0.47543912333456029</v>
      </c>
      <c r="F573" s="72">
        <f>F572/F571</f>
        <v>0.87727104393569599</v>
      </c>
      <c r="G573" s="72">
        <f>G572/G571</f>
        <v>0.23483658451821521</v>
      </c>
      <c r="H573" s="72">
        <f t="shared" ref="H573:N573" si="474">H572/H571</f>
        <v>0.24386968881249441</v>
      </c>
      <c r="I573" s="72">
        <f t="shared" si="474"/>
        <v>0.37839049614363263</v>
      </c>
      <c r="J573" s="72">
        <f t="shared" si="474"/>
        <v>0.83270689885101035</v>
      </c>
      <c r="K573" s="72">
        <f t="shared" si="474"/>
        <v>0.31313411870838442</v>
      </c>
      <c r="L573" s="72">
        <f t="shared" si="474"/>
        <v>0.28170847723154546</v>
      </c>
      <c r="M573" s="72">
        <f t="shared" si="474"/>
        <v>0.53465977118437102</v>
      </c>
      <c r="N573" s="83">
        <f t="shared" si="474"/>
        <v>0.41975382822599733</v>
      </c>
      <c r="P573" s="104"/>
      <c r="Y573" s="104"/>
      <c r="Z573" s="104"/>
      <c r="AA573" s="104"/>
    </row>
    <row r="574" spans="1:27">
      <c r="A574" s="411" t="s">
        <v>6</v>
      </c>
      <c r="B574" s="27" t="s">
        <v>7</v>
      </c>
      <c r="C574" s="68">
        <v>5165</v>
      </c>
      <c r="D574" s="68">
        <v>3240</v>
      </c>
      <c r="E574" s="68">
        <v>3237</v>
      </c>
      <c r="F574" s="68">
        <v>9565</v>
      </c>
      <c r="G574" s="68">
        <v>7099</v>
      </c>
      <c r="H574" s="68">
        <v>12303</v>
      </c>
      <c r="I574" s="68">
        <f>(4836-2000)</f>
        <v>2836</v>
      </c>
      <c r="J574" s="68">
        <v>9193</v>
      </c>
      <c r="K574" s="68">
        <v>10410</v>
      </c>
      <c r="L574" s="68">
        <v>3799</v>
      </c>
      <c r="M574" s="68">
        <v>2836</v>
      </c>
      <c r="N574" s="80">
        <v>792</v>
      </c>
      <c r="P574" s="104"/>
      <c r="Y574" s="104"/>
      <c r="Z574" s="104"/>
      <c r="AA574" s="104"/>
    </row>
    <row r="575" spans="1:27">
      <c r="A575" s="412"/>
      <c r="B575" s="28" t="s">
        <v>11</v>
      </c>
      <c r="C575" s="73">
        <f t="shared" ref="C575:I575" si="475">C574*33.72</f>
        <v>174163.8</v>
      </c>
      <c r="D575" s="73">
        <f t="shared" si="475"/>
        <v>109252.8</v>
      </c>
      <c r="E575" s="73">
        <f t="shared" si="475"/>
        <v>109151.64</v>
      </c>
      <c r="F575" s="73">
        <f t="shared" si="475"/>
        <v>322531.8</v>
      </c>
      <c r="G575" s="73">
        <f t="shared" si="475"/>
        <v>239378.28</v>
      </c>
      <c r="H575" s="73">
        <f t="shared" si="475"/>
        <v>414857.16</v>
      </c>
      <c r="I575" s="73">
        <f t="shared" si="475"/>
        <v>95629.92</v>
      </c>
      <c r="J575" s="73">
        <f>J574*33.72</f>
        <v>309987.95999999996</v>
      </c>
      <c r="K575" s="73">
        <f t="shared" ref="K575:L575" si="476">K574*33.72</f>
        <v>351025.2</v>
      </c>
      <c r="L575" s="73">
        <f t="shared" si="476"/>
        <v>128102.28</v>
      </c>
      <c r="M575" s="73">
        <f>M574*33.72</f>
        <v>95629.92</v>
      </c>
      <c r="N575" s="84">
        <f t="shared" ref="N575" si="477">N574*33.72</f>
        <v>26706.239999999998</v>
      </c>
      <c r="P575" s="104"/>
      <c r="Y575" s="104"/>
      <c r="Z575" s="104"/>
      <c r="AA575" s="104"/>
    </row>
    <row r="576" spans="1:27">
      <c r="A576" s="412"/>
      <c r="B576" s="28" t="s">
        <v>79</v>
      </c>
      <c r="C576" s="73">
        <v>164000</v>
      </c>
      <c r="D576" s="73">
        <v>109880</v>
      </c>
      <c r="E576" s="73">
        <v>109880</v>
      </c>
      <c r="F576" s="73">
        <v>328000</v>
      </c>
      <c r="G576" s="73">
        <f>G571*2</f>
        <v>330905</v>
      </c>
      <c r="H576" s="73">
        <f>H571*2</f>
        <v>220143.8</v>
      </c>
      <c r="I576" s="73">
        <f>I571*2</f>
        <v>242663.6</v>
      </c>
      <c r="J576" s="73">
        <v>328000</v>
      </c>
      <c r="K576" s="73">
        <f>K571*2</f>
        <v>264264.40000000002</v>
      </c>
      <c r="L576" s="73">
        <v>328000</v>
      </c>
      <c r="M576" s="73">
        <f>2*M571</f>
        <v>352965.4</v>
      </c>
      <c r="N576" s="84">
        <f>2*N571</f>
        <v>109842</v>
      </c>
      <c r="P576" s="104"/>
      <c r="Y576" s="104"/>
      <c r="Z576" s="104"/>
      <c r="AA576" s="104"/>
    </row>
    <row r="577" spans="1:27">
      <c r="A577" s="412"/>
      <c r="B577" s="66" t="s">
        <v>8</v>
      </c>
      <c r="C577" s="98">
        <f>SUM(C574-247)</f>
        <v>4918</v>
      </c>
      <c r="D577" s="98">
        <f>SUM(D574-604)</f>
        <v>2636</v>
      </c>
      <c r="E577" s="98">
        <f>SUM(E574-606)</f>
        <v>2631</v>
      </c>
      <c r="F577" s="98">
        <f>SUM(F574-1124)</f>
        <v>8441</v>
      </c>
      <c r="G577" s="98">
        <f>SUM(G574-3727)</f>
        <v>3372</v>
      </c>
      <c r="H577" s="98">
        <f>SUM(H574-1696)</f>
        <v>10607</v>
      </c>
      <c r="I577" s="98">
        <f>SUM(I574-(2468-2000))</f>
        <v>2368</v>
      </c>
      <c r="J577" s="98">
        <f>SUM(J574-1306)</f>
        <v>7887</v>
      </c>
      <c r="K577" s="98">
        <f>SUM(K574-1973)</f>
        <v>8437</v>
      </c>
      <c r="L577" s="98">
        <f>SUM(L574-914)</f>
        <v>2885</v>
      </c>
      <c r="M577" s="98">
        <f>SUM(M574-(2675-2614))</f>
        <v>2775</v>
      </c>
      <c r="N577" s="103">
        <f>SUM(N574-46)</f>
        <v>746</v>
      </c>
      <c r="P577" s="14" t="s">
        <v>192</v>
      </c>
    </row>
    <row r="578" spans="1:27">
      <c r="A578" s="412"/>
      <c r="B578" s="29" t="s">
        <v>77</v>
      </c>
      <c r="C578" s="75">
        <f>C577*33.72</f>
        <v>165834.96</v>
      </c>
      <c r="D578" s="75">
        <f>D577*33.72</f>
        <v>88885.92</v>
      </c>
      <c r="E578" s="75">
        <f>E577*33.72</f>
        <v>88717.319999999992</v>
      </c>
      <c r="F578" s="75">
        <f>F577*33.72</f>
        <v>284630.52</v>
      </c>
      <c r="G578" s="75">
        <f>G577*33.72*2</f>
        <v>227407.68</v>
      </c>
      <c r="H578" s="75">
        <f>H577*33.72</f>
        <v>357668.04</v>
      </c>
      <c r="I578" s="75">
        <f>I577*33.72</f>
        <v>79848.959999999992</v>
      </c>
      <c r="J578" s="75">
        <f>J577*33.72</f>
        <v>265949.64</v>
      </c>
      <c r="K578" s="75">
        <f>K577*33.72</f>
        <v>284495.64</v>
      </c>
      <c r="L578" s="75">
        <f>L577*33.72</f>
        <v>97282.2</v>
      </c>
      <c r="M578" s="75">
        <f>M577*33.72*2</f>
        <v>187146</v>
      </c>
      <c r="N578" s="11">
        <f>N577*33.72</f>
        <v>25155.119999999999</v>
      </c>
      <c r="P578" s="89">
        <f>344240-H578</f>
        <v>-13428.039999999979</v>
      </c>
      <c r="Q578" s="104" t="s">
        <v>193</v>
      </c>
    </row>
    <row r="579" spans="1:27" ht="15.75" thickBot="1">
      <c r="A579" s="412"/>
      <c r="B579" s="30" t="s">
        <v>10</v>
      </c>
      <c r="C579" s="72">
        <f>C578/C571</f>
        <v>1.1565131157761719</v>
      </c>
      <c r="D579" s="72">
        <f t="shared" ref="D579" si="478">D578/D571</f>
        <v>0.59054212248813753</v>
      </c>
      <c r="E579" s="72">
        <f t="shared" ref="E579" si="479">E578/E571</f>
        <v>0.58942197430435872</v>
      </c>
      <c r="F579" s="72">
        <f t="shared" ref="F579" si="480">F578/F571</f>
        <v>1.5639228606060076</v>
      </c>
      <c r="G579" s="72">
        <f t="shared" ref="G579" si="481">G578/G571</f>
        <v>1.3744590139163808</v>
      </c>
      <c r="H579" s="72">
        <f t="shared" ref="H579" si="482">H578/H571</f>
        <v>3.249403707939992</v>
      </c>
      <c r="I579" s="72">
        <f t="shared" ref="I579" si="483">I578/I571</f>
        <v>0.65810414087650548</v>
      </c>
      <c r="J579" s="72">
        <f t="shared" ref="J579" si="484">J578/J571</f>
        <v>1.5555557895180139</v>
      </c>
      <c r="K579" s="72">
        <f t="shared" ref="K579" si="485">K578/K571</f>
        <v>2.1531136240825477</v>
      </c>
      <c r="L579" s="72">
        <f t="shared" ref="L579" si="486">L578/L571</f>
        <v>1.1759525084525719</v>
      </c>
      <c r="M579" s="72">
        <f t="shared" ref="M579" si="487">M578/M571</f>
        <v>1.0604212197569507</v>
      </c>
      <c r="N579" s="72">
        <f t="shared" ref="N579" si="488">N578/N571</f>
        <v>0.45802370677882775</v>
      </c>
      <c r="P579" s="175"/>
    </row>
    <row r="580" spans="1:27" ht="15.75" thickBot="1">
      <c r="A580" s="424" t="s">
        <v>83</v>
      </c>
      <c r="B580" s="425"/>
      <c r="C580" s="76">
        <f>MIN(2*C571,C576)-C578</f>
        <v>-1834.9599999999919</v>
      </c>
      <c r="D580" s="76">
        <f t="shared" ref="D580:N580" si="489">MIN(2*D571,D576)-D578</f>
        <v>20994.080000000002</v>
      </c>
      <c r="E580" s="76">
        <f t="shared" si="489"/>
        <v>21162.680000000008</v>
      </c>
      <c r="F580" s="76">
        <f t="shared" si="489"/>
        <v>43369.479999999981</v>
      </c>
      <c r="G580" s="76">
        <f t="shared" si="489"/>
        <v>103497.32</v>
      </c>
      <c r="H580" s="76">
        <f t="shared" si="489"/>
        <v>-137524.24</v>
      </c>
      <c r="I580" s="76">
        <f t="shared" si="489"/>
        <v>162814.64000000001</v>
      </c>
      <c r="J580" s="76">
        <f t="shared" si="489"/>
        <v>62050.359999999986</v>
      </c>
      <c r="K580" s="76">
        <f t="shared" si="489"/>
        <v>-20231.239999999991</v>
      </c>
      <c r="L580" s="76">
        <f t="shared" si="489"/>
        <v>68170.400000000009</v>
      </c>
      <c r="M580" s="76">
        <f t="shared" si="489"/>
        <v>165819.40000000002</v>
      </c>
      <c r="N580" s="22">
        <f t="shared" si="489"/>
        <v>84686.88</v>
      </c>
      <c r="P580" s="174"/>
    </row>
    <row r="581" spans="1:27" ht="15.75" thickBot="1">
      <c r="A581" s="368">
        <v>41164</v>
      </c>
      <c r="B581" s="368"/>
      <c r="C581" s="368"/>
      <c r="N581" s="15"/>
    </row>
    <row r="582" spans="1:27">
      <c r="A582" s="407" t="s">
        <v>1</v>
      </c>
      <c r="B582" s="420"/>
      <c r="C582" s="68" t="s">
        <v>12</v>
      </c>
      <c r="D582" s="68" t="s">
        <v>12</v>
      </c>
      <c r="E582" s="68" t="s">
        <v>13</v>
      </c>
      <c r="F582" s="68" t="s">
        <v>13</v>
      </c>
      <c r="G582" s="68" t="s">
        <v>13</v>
      </c>
      <c r="H582" s="68" t="s">
        <v>13</v>
      </c>
      <c r="I582" s="68" t="s">
        <v>13</v>
      </c>
      <c r="J582" s="68" t="s">
        <v>2</v>
      </c>
      <c r="K582" s="68" t="s">
        <v>2</v>
      </c>
      <c r="L582" s="68" t="s">
        <v>2</v>
      </c>
      <c r="M582" s="68" t="s">
        <v>2</v>
      </c>
      <c r="N582" s="4" t="s">
        <v>84</v>
      </c>
    </row>
    <row r="583" spans="1:27" ht="15.75" thickBot="1">
      <c r="A583" s="409" t="s">
        <v>0</v>
      </c>
      <c r="B583" s="414"/>
      <c r="C583" s="99" t="s">
        <v>102</v>
      </c>
      <c r="D583" s="99" t="s">
        <v>103</v>
      </c>
      <c r="E583" s="99" t="s">
        <v>104</v>
      </c>
      <c r="F583" s="99" t="s">
        <v>105</v>
      </c>
      <c r="G583" s="99" t="s">
        <v>100</v>
      </c>
      <c r="H583" s="99" t="s">
        <v>107</v>
      </c>
      <c r="I583" s="99" t="s">
        <v>106</v>
      </c>
      <c r="J583" s="99" t="s">
        <v>108</v>
      </c>
      <c r="K583" s="99" t="s">
        <v>110</v>
      </c>
      <c r="L583" s="99" t="s">
        <v>101</v>
      </c>
      <c r="M583" s="99" t="s">
        <v>109</v>
      </c>
      <c r="N583" s="101" t="s">
        <v>111</v>
      </c>
      <c r="Q583" s="14"/>
      <c r="R583" s="14"/>
      <c r="S583" s="14"/>
      <c r="T583" s="14"/>
      <c r="U583" s="14"/>
      <c r="V583" s="14"/>
      <c r="W583" s="14"/>
      <c r="X583" s="14"/>
      <c r="Y583" s="175"/>
      <c r="Z583" s="174"/>
      <c r="AA583" s="175"/>
    </row>
    <row r="584" spans="1:27">
      <c r="A584" s="421" t="s">
        <v>9</v>
      </c>
      <c r="B584" s="2" t="s">
        <v>4</v>
      </c>
      <c r="C584" s="96">
        <v>143392.20000000001</v>
      </c>
      <c r="D584" s="96">
        <v>150515.79999999999</v>
      </c>
      <c r="E584" s="96">
        <v>150515.79999999999</v>
      </c>
      <c r="F584" s="96">
        <v>181997.8</v>
      </c>
      <c r="G584" s="96">
        <v>165452.5</v>
      </c>
      <c r="H584" s="96">
        <v>110071.9</v>
      </c>
      <c r="I584" s="96">
        <v>121331.8</v>
      </c>
      <c r="J584" s="96">
        <v>170967.6</v>
      </c>
      <c r="K584" s="96">
        <v>132132.20000000001</v>
      </c>
      <c r="L584" s="96">
        <v>82726.3</v>
      </c>
      <c r="M584" s="96">
        <v>176482.7</v>
      </c>
      <c r="N584" s="100">
        <v>54921</v>
      </c>
      <c r="P584" s="104"/>
      <c r="Y584" s="104"/>
      <c r="Z584" s="104"/>
      <c r="AA584" s="104"/>
    </row>
    <row r="585" spans="1:27">
      <c r="A585" s="422"/>
      <c r="B585" s="63" t="s">
        <v>5</v>
      </c>
      <c r="C585" s="97">
        <v>91004.800000000003</v>
      </c>
      <c r="D585" s="97">
        <v>70204.399999999994</v>
      </c>
      <c r="E585" s="97">
        <v>71549.8</v>
      </c>
      <c r="F585" s="97">
        <v>159536.4</v>
      </c>
      <c r="G585" s="97">
        <v>38527</v>
      </c>
      <c r="H585" s="97">
        <v>26453</v>
      </c>
      <c r="I585" s="97">
        <v>45892.3</v>
      </c>
      <c r="J585" s="97">
        <v>141954.79999999999</v>
      </c>
      <c r="K585" s="97">
        <v>41715.5</v>
      </c>
      <c r="L585" s="97">
        <v>23124.799999999999</v>
      </c>
      <c r="M585" s="97">
        <v>93762.7</v>
      </c>
      <c r="N585" s="102">
        <v>23053.200000000001</v>
      </c>
      <c r="P585" s="104"/>
      <c r="Y585" s="104"/>
      <c r="Z585" s="104"/>
      <c r="AA585" s="104"/>
    </row>
    <row r="586" spans="1:27" ht="15.75" thickBot="1">
      <c r="A586" s="423"/>
      <c r="B586" s="3" t="s">
        <v>3</v>
      </c>
      <c r="C586" s="71">
        <f>C585/C584</f>
        <v>0.63465655733017556</v>
      </c>
      <c r="D586" s="72">
        <f t="shared" ref="D586:E586" si="490">D585/D584</f>
        <v>0.46642545168015581</v>
      </c>
      <c r="E586" s="72">
        <f t="shared" si="490"/>
        <v>0.47536404815972816</v>
      </c>
      <c r="F586" s="72">
        <f>F585/F584</f>
        <v>0.87658422244664502</v>
      </c>
      <c r="G586" s="72">
        <f>G585/G584</f>
        <v>0.23285837324911984</v>
      </c>
      <c r="H586" s="72">
        <f t="shared" ref="H586:N586" si="491">H585/H584</f>
        <v>0.24032473319711936</v>
      </c>
      <c r="I586" s="72">
        <f t="shared" si="491"/>
        <v>0.37823802168928511</v>
      </c>
      <c r="J586" s="72">
        <f t="shared" si="491"/>
        <v>0.83030234968496941</v>
      </c>
      <c r="K586" s="72">
        <f t="shared" si="491"/>
        <v>0.31571032647605957</v>
      </c>
      <c r="L586" s="72">
        <f t="shared" si="491"/>
        <v>0.27953383627697598</v>
      </c>
      <c r="M586" s="72">
        <f t="shared" si="491"/>
        <v>0.53128550277165976</v>
      </c>
      <c r="N586" s="83">
        <f t="shared" si="491"/>
        <v>0.41975200742885238</v>
      </c>
      <c r="P586" s="104"/>
      <c r="Y586" s="104"/>
      <c r="Z586" s="104"/>
      <c r="AA586" s="104"/>
    </row>
    <row r="587" spans="1:27">
      <c r="A587" s="411" t="s">
        <v>6</v>
      </c>
      <c r="B587" s="27" t="s">
        <v>7</v>
      </c>
      <c r="C587" s="68">
        <v>5165</v>
      </c>
      <c r="D587" s="68">
        <v>3240</v>
      </c>
      <c r="E587" s="68">
        <v>3237</v>
      </c>
      <c r="F587" s="68">
        <v>9565</v>
      </c>
      <c r="G587" s="68">
        <v>7099</v>
      </c>
      <c r="H587" s="68">
        <v>12303</v>
      </c>
      <c r="I587" s="68">
        <f>(4836-2000)</f>
        <v>2836</v>
      </c>
      <c r="J587" s="68">
        <v>9193</v>
      </c>
      <c r="K587" s="68">
        <v>10410</v>
      </c>
      <c r="L587" s="68">
        <v>3799</v>
      </c>
      <c r="M587" s="68">
        <v>2836</v>
      </c>
      <c r="N587" s="80">
        <v>792</v>
      </c>
      <c r="P587" s="104"/>
      <c r="Y587" s="104"/>
      <c r="Z587" s="104"/>
      <c r="AA587" s="104"/>
    </row>
    <row r="588" spans="1:27">
      <c r="A588" s="412"/>
      <c r="B588" s="28" t="s">
        <v>11</v>
      </c>
      <c r="C588" s="73">
        <f t="shared" ref="C588:I588" si="492">C587*33.72</f>
        <v>174163.8</v>
      </c>
      <c r="D588" s="73">
        <f t="shared" si="492"/>
        <v>109252.8</v>
      </c>
      <c r="E588" s="73">
        <f t="shared" si="492"/>
        <v>109151.64</v>
      </c>
      <c r="F588" s="73">
        <f t="shared" si="492"/>
        <v>322531.8</v>
      </c>
      <c r="G588" s="73">
        <f t="shared" si="492"/>
        <v>239378.28</v>
      </c>
      <c r="H588" s="73">
        <f t="shared" si="492"/>
        <v>414857.16</v>
      </c>
      <c r="I588" s="73">
        <f t="shared" si="492"/>
        <v>95629.92</v>
      </c>
      <c r="J588" s="73">
        <f>J587*33.72</f>
        <v>309987.95999999996</v>
      </c>
      <c r="K588" s="73">
        <f t="shared" ref="K588:L588" si="493">K587*33.72</f>
        <v>351025.2</v>
      </c>
      <c r="L588" s="73">
        <f t="shared" si="493"/>
        <v>128102.28</v>
      </c>
      <c r="M588" s="73">
        <f>M587*33.72</f>
        <v>95629.92</v>
      </c>
      <c r="N588" s="84">
        <f t="shared" ref="N588" si="494">N587*33.72</f>
        <v>26706.239999999998</v>
      </c>
      <c r="P588" s="104"/>
      <c r="Y588" s="104"/>
      <c r="Z588" s="104"/>
      <c r="AA588" s="104"/>
    </row>
    <row r="589" spans="1:27">
      <c r="A589" s="412"/>
      <c r="B589" s="28" t="s">
        <v>79</v>
      </c>
      <c r="C589" s="73">
        <v>164000</v>
      </c>
      <c r="D589" s="73">
        <v>109880</v>
      </c>
      <c r="E589" s="73">
        <v>109880</v>
      </c>
      <c r="F589" s="73">
        <v>328000</v>
      </c>
      <c r="G589" s="73">
        <f>G584*2</f>
        <v>330905</v>
      </c>
      <c r="H589" s="73">
        <f>H584*2</f>
        <v>220143.8</v>
      </c>
      <c r="I589" s="73">
        <f>I584*2</f>
        <v>242663.6</v>
      </c>
      <c r="J589" s="73">
        <v>328000</v>
      </c>
      <c r="K589" s="73">
        <f>K584*2</f>
        <v>264264.40000000002</v>
      </c>
      <c r="L589" s="73">
        <v>328000</v>
      </c>
      <c r="M589" s="73">
        <f>2*M584</f>
        <v>352965.4</v>
      </c>
      <c r="N589" s="84">
        <f>2*N584</f>
        <v>109842</v>
      </c>
      <c r="P589" s="104"/>
      <c r="Y589" s="104"/>
      <c r="Z589" s="104"/>
      <c r="AA589" s="104"/>
    </row>
    <row r="590" spans="1:27">
      <c r="A590" s="412"/>
      <c r="B590" s="66" t="s">
        <v>8</v>
      </c>
      <c r="C590" s="98">
        <f>SUM(C587-247)</f>
        <v>4918</v>
      </c>
      <c r="D590" s="98">
        <f>SUM(D587-606)</f>
        <v>2634</v>
      </c>
      <c r="E590" s="98">
        <f>SUM(E587-608)</f>
        <v>2629</v>
      </c>
      <c r="F590" s="98">
        <f>SUM(F587-1124)</f>
        <v>8441</v>
      </c>
      <c r="G590" s="98">
        <f>SUM(G587-3727)</f>
        <v>3372</v>
      </c>
      <c r="H590" s="98">
        <f>SUM(H587-1696)</f>
        <v>10607</v>
      </c>
      <c r="I590" s="98">
        <f>SUM(I587-(2428-2000))</f>
        <v>2408</v>
      </c>
      <c r="J590" s="98">
        <f>SUM(J587-1306)</f>
        <v>7887</v>
      </c>
      <c r="K590" s="98">
        <f>SUM(K587-1953)</f>
        <v>8457</v>
      </c>
      <c r="L590" s="98">
        <f>SUM(L587-914)</f>
        <v>2885</v>
      </c>
      <c r="M590" s="98">
        <f>SUM(M587-(2675-2614))</f>
        <v>2775</v>
      </c>
      <c r="N590" s="103">
        <f>SUM(N587-46)</f>
        <v>746</v>
      </c>
      <c r="P590" s="14" t="s">
        <v>192</v>
      </c>
    </row>
    <row r="591" spans="1:27">
      <c r="A591" s="412"/>
      <c r="B591" s="29" t="s">
        <v>77</v>
      </c>
      <c r="C591" s="75">
        <f>C590*33.72</f>
        <v>165834.96</v>
      </c>
      <c r="D591" s="75">
        <f>D590*33.72</f>
        <v>88818.48</v>
      </c>
      <c r="E591" s="75">
        <f>E590*33.72</f>
        <v>88649.87999999999</v>
      </c>
      <c r="F591" s="75">
        <f>F590*33.72</f>
        <v>284630.52</v>
      </c>
      <c r="G591" s="75">
        <f>G590*33.72*2</f>
        <v>227407.68</v>
      </c>
      <c r="H591" s="75">
        <f>H590*33.72</f>
        <v>357668.04</v>
      </c>
      <c r="I591" s="75">
        <f>I590*33.72</f>
        <v>81197.759999999995</v>
      </c>
      <c r="J591" s="75">
        <f>J590*33.72</f>
        <v>265949.64</v>
      </c>
      <c r="K591" s="75">
        <f>K590*33.72</f>
        <v>285170.03999999998</v>
      </c>
      <c r="L591" s="75">
        <f>L590*33.72</f>
        <v>97282.2</v>
      </c>
      <c r="M591" s="75">
        <f>M590*33.72*2</f>
        <v>187146</v>
      </c>
      <c r="N591" s="11">
        <f>N590*33.72</f>
        <v>25155.119999999999</v>
      </c>
      <c r="P591" s="89">
        <f>344240-H591</f>
        <v>-13428.039999999979</v>
      </c>
      <c r="Q591" s="104" t="s">
        <v>193</v>
      </c>
    </row>
    <row r="592" spans="1:27" ht="15.75" thickBot="1">
      <c r="A592" s="412"/>
      <c r="B592" s="30" t="s">
        <v>10</v>
      </c>
      <c r="C592" s="72">
        <f>C591/C584</f>
        <v>1.1565131157761719</v>
      </c>
      <c r="D592" s="72">
        <f t="shared" ref="D592" si="495">D591/D584</f>
        <v>0.59009406321462599</v>
      </c>
      <c r="E592" s="72">
        <f t="shared" ref="E592" si="496">E591/E584</f>
        <v>0.58897391503084728</v>
      </c>
      <c r="F592" s="72">
        <f t="shared" ref="F592" si="497">F591/F584</f>
        <v>1.5639228606060076</v>
      </c>
      <c r="G592" s="72">
        <f t="shared" ref="G592" si="498">G591/G584</f>
        <v>1.3744590139163808</v>
      </c>
      <c r="H592" s="72">
        <f t="shared" ref="H592" si="499">H591/H584</f>
        <v>3.249403707939992</v>
      </c>
      <c r="I592" s="72">
        <f t="shared" ref="I592" si="500">I591/I584</f>
        <v>0.6692207648777978</v>
      </c>
      <c r="J592" s="72">
        <f t="shared" ref="J592" si="501">J591/J584</f>
        <v>1.5555557895180139</v>
      </c>
      <c r="K592" s="72">
        <f t="shared" ref="K592" si="502">K591/K584</f>
        <v>2.1582176032791396</v>
      </c>
      <c r="L592" s="72">
        <f t="shared" ref="L592" si="503">L591/L584</f>
        <v>1.1759525084525719</v>
      </c>
      <c r="M592" s="72">
        <f t="shared" ref="M592" si="504">M591/M584</f>
        <v>1.0604212197569507</v>
      </c>
      <c r="N592" s="72">
        <f t="shared" ref="N592" si="505">N591/N584</f>
        <v>0.45802370677882775</v>
      </c>
      <c r="P592" s="175"/>
    </row>
    <row r="593" spans="1:27" ht="15.75" thickBot="1">
      <c r="A593" s="424" t="s">
        <v>83</v>
      </c>
      <c r="B593" s="425"/>
      <c r="C593" s="76">
        <f>MIN(2*C584,C589)-C591</f>
        <v>-1834.9599999999919</v>
      </c>
      <c r="D593" s="76">
        <f t="shared" ref="D593:N593" si="506">MIN(2*D584,D589)-D591</f>
        <v>21061.520000000004</v>
      </c>
      <c r="E593" s="76">
        <f t="shared" si="506"/>
        <v>21230.12000000001</v>
      </c>
      <c r="F593" s="76">
        <f t="shared" si="506"/>
        <v>43369.479999999981</v>
      </c>
      <c r="G593" s="76">
        <f t="shared" si="506"/>
        <v>103497.32</v>
      </c>
      <c r="H593" s="76">
        <f t="shared" si="506"/>
        <v>-137524.24</v>
      </c>
      <c r="I593" s="76">
        <f t="shared" si="506"/>
        <v>161465.84000000003</v>
      </c>
      <c r="J593" s="76">
        <f t="shared" si="506"/>
        <v>62050.359999999986</v>
      </c>
      <c r="K593" s="76">
        <f t="shared" si="506"/>
        <v>-20905.639999999956</v>
      </c>
      <c r="L593" s="76">
        <f t="shared" si="506"/>
        <v>68170.400000000009</v>
      </c>
      <c r="M593" s="76">
        <f t="shared" si="506"/>
        <v>165819.40000000002</v>
      </c>
      <c r="N593" s="22">
        <f t="shared" si="506"/>
        <v>84686.88</v>
      </c>
      <c r="P593" s="174"/>
    </row>
    <row r="594" spans="1:27" ht="15.75" thickBot="1">
      <c r="A594" s="368">
        <v>41162</v>
      </c>
      <c r="B594" s="368"/>
      <c r="C594" s="368"/>
      <c r="N594" s="15"/>
    </row>
    <row r="595" spans="1:27">
      <c r="A595" s="407" t="s">
        <v>1</v>
      </c>
      <c r="B595" s="420"/>
      <c r="C595" s="68" t="s">
        <v>12</v>
      </c>
      <c r="D595" s="68" t="s">
        <v>12</v>
      </c>
      <c r="E595" s="68" t="s">
        <v>13</v>
      </c>
      <c r="F595" s="68" t="s">
        <v>13</v>
      </c>
      <c r="G595" s="68" t="s">
        <v>13</v>
      </c>
      <c r="H595" s="68" t="s">
        <v>13</v>
      </c>
      <c r="I595" s="68" t="s">
        <v>13</v>
      </c>
      <c r="J595" s="68" t="s">
        <v>2</v>
      </c>
      <c r="K595" s="68" t="s">
        <v>2</v>
      </c>
      <c r="L595" s="68" t="s">
        <v>2</v>
      </c>
      <c r="M595" s="68" t="s">
        <v>2</v>
      </c>
      <c r="N595" s="4" t="s">
        <v>84</v>
      </c>
    </row>
    <row r="596" spans="1:27" ht="15.75" thickBot="1">
      <c r="A596" s="409" t="s">
        <v>0</v>
      </c>
      <c r="B596" s="414"/>
      <c r="C596" s="99" t="s">
        <v>102</v>
      </c>
      <c r="D596" s="99" t="s">
        <v>103</v>
      </c>
      <c r="E596" s="99" t="s">
        <v>104</v>
      </c>
      <c r="F596" s="99" t="s">
        <v>105</v>
      </c>
      <c r="G596" s="99" t="s">
        <v>100</v>
      </c>
      <c r="H596" s="99" t="s">
        <v>107</v>
      </c>
      <c r="I596" s="99" t="s">
        <v>106</v>
      </c>
      <c r="J596" s="99" t="s">
        <v>108</v>
      </c>
      <c r="K596" s="99" t="s">
        <v>110</v>
      </c>
      <c r="L596" s="99" t="s">
        <v>101</v>
      </c>
      <c r="M596" s="99" t="s">
        <v>109</v>
      </c>
      <c r="N596" s="101" t="s">
        <v>111</v>
      </c>
      <c r="Q596" s="14"/>
      <c r="R596" s="14"/>
      <c r="S596" s="14"/>
      <c r="T596" s="14"/>
      <c r="U596" s="14"/>
      <c r="V596" s="14"/>
      <c r="W596" s="14"/>
      <c r="X596" s="14"/>
      <c r="Y596" s="175"/>
      <c r="Z596" s="174"/>
      <c r="AA596" s="175"/>
    </row>
    <row r="597" spans="1:27">
      <c r="A597" s="421" t="s">
        <v>9</v>
      </c>
      <c r="B597" s="2" t="s">
        <v>4</v>
      </c>
      <c r="C597" s="96">
        <v>143392.20000000001</v>
      </c>
      <c r="D597" s="96">
        <v>150515.79999999999</v>
      </c>
      <c r="E597" s="96">
        <v>150515.79999999999</v>
      </c>
      <c r="F597" s="96">
        <v>181997.8</v>
      </c>
      <c r="G597" s="96">
        <v>165452.5</v>
      </c>
      <c r="H597" s="96">
        <v>110071.9</v>
      </c>
      <c r="I597" s="96">
        <v>121331.8</v>
      </c>
      <c r="J597" s="96">
        <v>170967.6</v>
      </c>
      <c r="K597" s="96">
        <v>132132.20000000001</v>
      </c>
      <c r="L597" s="96">
        <v>82726.3</v>
      </c>
      <c r="M597" s="96">
        <v>176482.7</v>
      </c>
      <c r="N597" s="100">
        <v>54921</v>
      </c>
      <c r="P597" s="104"/>
      <c r="Y597" s="104"/>
      <c r="Z597" s="104"/>
      <c r="AA597" s="104"/>
    </row>
    <row r="598" spans="1:27">
      <c r="A598" s="422"/>
      <c r="B598" s="63" t="s">
        <v>5</v>
      </c>
      <c r="C598" s="97">
        <v>90977.8</v>
      </c>
      <c r="D598" s="97">
        <v>70174.3</v>
      </c>
      <c r="E598" s="97">
        <v>71519.5</v>
      </c>
      <c r="F598" s="97">
        <v>159312.20000000001</v>
      </c>
      <c r="G598" s="97">
        <v>37756.1</v>
      </c>
      <c r="H598" s="97">
        <v>26775.7</v>
      </c>
      <c r="I598" s="97">
        <v>45810.7</v>
      </c>
      <c r="J598" s="97">
        <v>141771.4</v>
      </c>
      <c r="K598" s="97">
        <v>42312.3</v>
      </c>
      <c r="L598" s="97">
        <v>22684.400000000001</v>
      </c>
      <c r="M598" s="97">
        <v>93028.3</v>
      </c>
      <c r="N598" s="102">
        <v>23053.200000000001</v>
      </c>
      <c r="P598" s="104"/>
      <c r="Y598" s="104"/>
      <c r="Z598" s="104"/>
      <c r="AA598" s="104"/>
    </row>
    <row r="599" spans="1:27" ht="15.75" thickBot="1">
      <c r="A599" s="423"/>
      <c r="B599" s="3" t="s">
        <v>3</v>
      </c>
      <c r="C599" s="71">
        <f>C598/C597</f>
        <v>0.63446826256937261</v>
      </c>
      <c r="D599" s="72">
        <f t="shared" ref="D599:E599" si="507">D598/D597</f>
        <v>0.46622547267462955</v>
      </c>
      <c r="E599" s="72">
        <f t="shared" si="507"/>
        <v>0.47516274039004547</v>
      </c>
      <c r="F599" s="72">
        <f>F598/F597</f>
        <v>0.87535233942388324</v>
      </c>
      <c r="G599" s="72">
        <f>G598/G597</f>
        <v>0.22819902993306235</v>
      </c>
      <c r="H599" s="72">
        <f t="shared" ref="H599:N599" si="508">H598/H597</f>
        <v>0.24325645328190029</v>
      </c>
      <c r="I599" s="72">
        <f t="shared" si="508"/>
        <v>0.37756548571767662</v>
      </c>
      <c r="J599" s="72">
        <f t="shared" si="508"/>
        <v>0.82922963181327913</v>
      </c>
      <c r="K599" s="72">
        <f t="shared" si="508"/>
        <v>0.320227015065215</v>
      </c>
      <c r="L599" s="72">
        <f t="shared" si="508"/>
        <v>0.27421025719752967</v>
      </c>
      <c r="M599" s="72">
        <f t="shared" si="508"/>
        <v>0.52712418837653774</v>
      </c>
      <c r="N599" s="83">
        <f t="shared" si="508"/>
        <v>0.41975200742885238</v>
      </c>
      <c r="P599" s="104"/>
      <c r="Y599" s="104"/>
      <c r="Z599" s="104"/>
      <c r="AA599" s="104"/>
    </row>
    <row r="600" spans="1:27">
      <c r="A600" s="411" t="s">
        <v>6</v>
      </c>
      <c r="B600" s="27" t="s">
        <v>7</v>
      </c>
      <c r="C600" s="68">
        <v>5165</v>
      </c>
      <c r="D600" s="68">
        <v>3240</v>
      </c>
      <c r="E600" s="68">
        <v>3237</v>
      </c>
      <c r="F600" s="68">
        <v>9565</v>
      </c>
      <c r="G600" s="68">
        <v>7099</v>
      </c>
      <c r="H600" s="68">
        <v>12303</v>
      </c>
      <c r="I600" s="68">
        <f>(4836-2000)</f>
        <v>2836</v>
      </c>
      <c r="J600" s="68">
        <v>9193</v>
      </c>
      <c r="K600" s="68">
        <v>10410</v>
      </c>
      <c r="L600" s="68">
        <v>3799</v>
      </c>
      <c r="M600" s="68">
        <v>2836</v>
      </c>
      <c r="N600" s="80">
        <v>792</v>
      </c>
      <c r="P600" s="104"/>
      <c r="Y600" s="104"/>
      <c r="Z600" s="104"/>
      <c r="AA600" s="104"/>
    </row>
    <row r="601" spans="1:27">
      <c r="A601" s="412"/>
      <c r="B601" s="28" t="s">
        <v>11</v>
      </c>
      <c r="C601" s="73">
        <f t="shared" ref="C601:I601" si="509">C600*33.72</f>
        <v>174163.8</v>
      </c>
      <c r="D601" s="73">
        <f t="shared" si="509"/>
        <v>109252.8</v>
      </c>
      <c r="E601" s="73">
        <f t="shared" si="509"/>
        <v>109151.64</v>
      </c>
      <c r="F601" s="73">
        <f t="shared" si="509"/>
        <v>322531.8</v>
      </c>
      <c r="G601" s="73">
        <f t="shared" si="509"/>
        <v>239378.28</v>
      </c>
      <c r="H601" s="73">
        <f t="shared" si="509"/>
        <v>414857.16</v>
      </c>
      <c r="I601" s="73">
        <f t="shared" si="509"/>
        <v>95629.92</v>
      </c>
      <c r="J601" s="73">
        <f>J600*33.72</f>
        <v>309987.95999999996</v>
      </c>
      <c r="K601" s="73">
        <f t="shared" ref="K601:N601" si="510">K600*33.72</f>
        <v>351025.2</v>
      </c>
      <c r="L601" s="73">
        <f t="shared" si="510"/>
        <v>128102.28</v>
      </c>
      <c r="M601" s="73">
        <f>M600*33.72</f>
        <v>95629.92</v>
      </c>
      <c r="N601" s="84">
        <f t="shared" si="510"/>
        <v>26706.239999999998</v>
      </c>
      <c r="P601" s="104"/>
      <c r="Y601" s="104"/>
      <c r="Z601" s="104"/>
      <c r="AA601" s="104"/>
    </row>
    <row r="602" spans="1:27">
      <c r="A602" s="412"/>
      <c r="B602" s="28" t="s">
        <v>79</v>
      </c>
      <c r="C602" s="73">
        <v>164000</v>
      </c>
      <c r="D602" s="73">
        <v>109880</v>
      </c>
      <c r="E602" s="73">
        <v>109880</v>
      </c>
      <c r="F602" s="73">
        <v>328000</v>
      </c>
      <c r="G602" s="73">
        <f>G597*2</f>
        <v>330905</v>
      </c>
      <c r="H602" s="73">
        <f>H597*2</f>
        <v>220143.8</v>
      </c>
      <c r="I602" s="73">
        <f>I597*2</f>
        <v>242663.6</v>
      </c>
      <c r="J602" s="73">
        <v>328000</v>
      </c>
      <c r="K602" s="73">
        <f>K597*2</f>
        <v>264264.40000000002</v>
      </c>
      <c r="L602" s="73">
        <v>328000</v>
      </c>
      <c r="M602" s="73">
        <f>2*M597</f>
        <v>352965.4</v>
      </c>
      <c r="N602" s="84">
        <f>2*N597</f>
        <v>109842</v>
      </c>
      <c r="P602" s="104"/>
      <c r="Y602" s="104"/>
      <c r="Z602" s="104"/>
      <c r="AA602" s="104"/>
    </row>
    <row r="603" spans="1:27">
      <c r="A603" s="412"/>
      <c r="B603" s="66" t="s">
        <v>8</v>
      </c>
      <c r="C603" s="98">
        <f>SUM(C600-260)</f>
        <v>4905</v>
      </c>
      <c r="D603" s="98">
        <f>SUM(D600-632)</f>
        <v>2608</v>
      </c>
      <c r="E603" s="98">
        <f>SUM(E600-634)</f>
        <v>2603</v>
      </c>
      <c r="F603" s="98">
        <f>SUM(F600-1124)</f>
        <v>8441</v>
      </c>
      <c r="G603" s="98">
        <f>SUM(G600-3727)</f>
        <v>3372</v>
      </c>
      <c r="H603" s="98">
        <f>SUM(H600-1743)</f>
        <v>10560</v>
      </c>
      <c r="I603" s="98">
        <f>SUM(I600-(2628-2000))</f>
        <v>2208</v>
      </c>
      <c r="J603" s="98">
        <f>SUM(J600-1306)</f>
        <v>7887</v>
      </c>
      <c r="K603" s="98">
        <f>SUM(K600-3659)</f>
        <v>6751</v>
      </c>
      <c r="L603" s="98">
        <f>SUM(L600-914)</f>
        <v>2885</v>
      </c>
      <c r="M603" s="98">
        <f>SUM(M600-(2835-2614))</f>
        <v>2615</v>
      </c>
      <c r="N603" s="103">
        <f>SUM(N600-46)</f>
        <v>746</v>
      </c>
      <c r="P603" s="14" t="s">
        <v>192</v>
      </c>
    </row>
    <row r="604" spans="1:27">
      <c r="A604" s="412"/>
      <c r="B604" s="29" t="s">
        <v>77</v>
      </c>
      <c r="C604" s="75">
        <f>C603*33.72</f>
        <v>165396.6</v>
      </c>
      <c r="D604" s="75">
        <f>D603*33.72</f>
        <v>87941.759999999995</v>
      </c>
      <c r="E604" s="75">
        <f>E603*33.72</f>
        <v>87773.16</v>
      </c>
      <c r="F604" s="75">
        <f>F603*33.72</f>
        <v>284630.52</v>
      </c>
      <c r="G604" s="75">
        <f>G603*33.72*2</f>
        <v>227407.68</v>
      </c>
      <c r="H604" s="75">
        <f>H603*33.72</f>
        <v>356083.20000000001</v>
      </c>
      <c r="I604" s="75">
        <f>I603*33.72</f>
        <v>74453.759999999995</v>
      </c>
      <c r="J604" s="75">
        <f>J603*33.72</f>
        <v>265949.64</v>
      </c>
      <c r="K604" s="75">
        <f>K603*33.72</f>
        <v>227643.72</v>
      </c>
      <c r="L604" s="75">
        <f>L603*33.72</f>
        <v>97282.2</v>
      </c>
      <c r="M604" s="75">
        <f>M603*33.72*2</f>
        <v>176355.6</v>
      </c>
      <c r="N604" s="11">
        <f>N603*33.72</f>
        <v>25155.119999999999</v>
      </c>
      <c r="P604" s="89">
        <f>344240-H604</f>
        <v>-11843.200000000012</v>
      </c>
      <c r="Q604" s="104" t="s">
        <v>193</v>
      </c>
    </row>
    <row r="605" spans="1:27" ht="15.75" thickBot="1">
      <c r="A605" s="412"/>
      <c r="B605" s="30" t="s">
        <v>10</v>
      </c>
      <c r="C605" s="72">
        <f>C604/C597</f>
        <v>1.1534560457263365</v>
      </c>
      <c r="D605" s="72">
        <f t="shared" ref="D605" si="511">D604/D597</f>
        <v>0.58426929265897665</v>
      </c>
      <c r="E605" s="72">
        <f t="shared" ref="E605" si="512">E604/E597</f>
        <v>0.58314914447519806</v>
      </c>
      <c r="F605" s="72">
        <f t="shared" ref="F605" si="513">F604/F597</f>
        <v>1.5639228606060076</v>
      </c>
      <c r="G605" s="72">
        <f t="shared" ref="G605" si="514">G604/G597</f>
        <v>1.3744590139163808</v>
      </c>
      <c r="H605" s="72">
        <f t="shared" ref="H605" si="515">H604/H597</f>
        <v>3.2350054827798922</v>
      </c>
      <c r="I605" s="72">
        <f t="shared" ref="I605" si="516">I604/I597</f>
        <v>0.61363764487133621</v>
      </c>
      <c r="J605" s="72">
        <f t="shared" ref="J605" si="517">J604/J597</f>
        <v>1.5555557895180139</v>
      </c>
      <c r="K605" s="72">
        <f t="shared" ref="K605" si="518">K604/K597</f>
        <v>1.7228481778097995</v>
      </c>
      <c r="L605" s="72">
        <f t="shared" ref="L605" si="519">L604/L597</f>
        <v>1.1759525084525719</v>
      </c>
      <c r="M605" s="72">
        <f t="shared" ref="M605" si="520">M604/M597</f>
        <v>0.9992798160952886</v>
      </c>
      <c r="N605" s="72">
        <f t="shared" ref="N605" si="521">N604/N597</f>
        <v>0.45802370677882775</v>
      </c>
      <c r="P605" s="175"/>
    </row>
    <row r="606" spans="1:27" ht="15.75" thickBot="1">
      <c r="A606" s="424" t="s">
        <v>83</v>
      </c>
      <c r="B606" s="425"/>
      <c r="C606" s="76">
        <f>MIN(2*C597,C602)-C604</f>
        <v>-1396.6000000000058</v>
      </c>
      <c r="D606" s="76">
        <f t="shared" ref="D606:N606" si="522">MIN(2*D597,D602)-D604</f>
        <v>21938.240000000005</v>
      </c>
      <c r="E606" s="76">
        <f t="shared" si="522"/>
        <v>22106.839999999997</v>
      </c>
      <c r="F606" s="76">
        <f t="shared" si="522"/>
        <v>43369.479999999981</v>
      </c>
      <c r="G606" s="76">
        <f t="shared" si="522"/>
        <v>103497.32</v>
      </c>
      <c r="H606" s="76">
        <f t="shared" si="522"/>
        <v>-135939.40000000002</v>
      </c>
      <c r="I606" s="76">
        <f t="shared" si="522"/>
        <v>168209.84000000003</v>
      </c>
      <c r="J606" s="76">
        <f t="shared" si="522"/>
        <v>62050.359999999986</v>
      </c>
      <c r="K606" s="76">
        <f t="shared" si="522"/>
        <v>36620.680000000022</v>
      </c>
      <c r="L606" s="76">
        <f t="shared" si="522"/>
        <v>68170.400000000009</v>
      </c>
      <c r="M606" s="76">
        <f t="shared" si="522"/>
        <v>176609.80000000002</v>
      </c>
      <c r="N606" s="22">
        <f t="shared" si="522"/>
        <v>84686.88</v>
      </c>
      <c r="P606" s="174"/>
    </row>
    <row r="607" spans="1:27" ht="15.75" thickBot="1">
      <c r="A607" s="368">
        <v>41159</v>
      </c>
      <c r="B607" s="368"/>
      <c r="C607" s="368"/>
      <c r="N607" s="15"/>
    </row>
    <row r="608" spans="1:27">
      <c r="A608" s="407" t="s">
        <v>1</v>
      </c>
      <c r="B608" s="420"/>
      <c r="C608" s="68" t="s">
        <v>12</v>
      </c>
      <c r="D608" s="68" t="s">
        <v>12</v>
      </c>
      <c r="E608" s="68" t="s">
        <v>13</v>
      </c>
      <c r="F608" s="68" t="s">
        <v>13</v>
      </c>
      <c r="G608" s="68" t="s">
        <v>13</v>
      </c>
      <c r="H608" s="68" t="s">
        <v>13</v>
      </c>
      <c r="I608" s="68" t="s">
        <v>13</v>
      </c>
      <c r="J608" s="68" t="s">
        <v>2</v>
      </c>
      <c r="K608" s="68" t="s">
        <v>2</v>
      </c>
      <c r="L608" s="68" t="s">
        <v>2</v>
      </c>
      <c r="M608" s="68" t="s">
        <v>2</v>
      </c>
      <c r="N608" s="4" t="s">
        <v>84</v>
      </c>
    </row>
    <row r="609" spans="1:27" ht="15.75" thickBot="1">
      <c r="A609" s="409" t="s">
        <v>0</v>
      </c>
      <c r="B609" s="414"/>
      <c r="C609" s="99" t="s">
        <v>102</v>
      </c>
      <c r="D609" s="99" t="s">
        <v>103</v>
      </c>
      <c r="E609" s="99" t="s">
        <v>104</v>
      </c>
      <c r="F609" s="99" t="s">
        <v>105</v>
      </c>
      <c r="G609" s="99" t="s">
        <v>100</v>
      </c>
      <c r="H609" s="99" t="s">
        <v>107</v>
      </c>
      <c r="I609" s="99" t="s">
        <v>106</v>
      </c>
      <c r="J609" s="99" t="s">
        <v>108</v>
      </c>
      <c r="K609" s="99" t="s">
        <v>110</v>
      </c>
      <c r="L609" s="99" t="s">
        <v>101</v>
      </c>
      <c r="M609" s="99" t="s">
        <v>109</v>
      </c>
      <c r="N609" s="101" t="s">
        <v>111</v>
      </c>
      <c r="Q609" s="14"/>
      <c r="R609" s="14"/>
      <c r="S609" s="14"/>
      <c r="T609" s="14"/>
      <c r="U609" s="14"/>
      <c r="V609" s="14"/>
      <c r="W609" s="14"/>
      <c r="X609" s="14"/>
      <c r="Y609" s="175"/>
      <c r="Z609" s="174"/>
      <c r="AA609" s="175"/>
    </row>
    <row r="610" spans="1:27">
      <c r="A610" s="421" t="s">
        <v>9</v>
      </c>
      <c r="B610" s="2" t="s">
        <v>4</v>
      </c>
      <c r="C610" s="96">
        <v>143392.20000000001</v>
      </c>
      <c r="D610" s="96">
        <v>150515.79999999999</v>
      </c>
      <c r="E610" s="96">
        <v>150515.79999999999</v>
      </c>
      <c r="F610" s="96">
        <v>181997.8</v>
      </c>
      <c r="G610" s="96">
        <v>165452.5</v>
      </c>
      <c r="H610" s="96">
        <v>110071.9</v>
      </c>
      <c r="I610" s="96">
        <v>121331.8</v>
      </c>
      <c r="J610" s="96">
        <v>170967.6</v>
      </c>
      <c r="K610" s="96">
        <v>132132.20000000001</v>
      </c>
      <c r="L610" s="96">
        <v>82726.3</v>
      </c>
      <c r="M610" s="96">
        <v>176482.7</v>
      </c>
      <c r="N610" s="100">
        <v>54921</v>
      </c>
      <c r="P610" s="104"/>
      <c r="Y610" s="104"/>
      <c r="Z610" s="104"/>
      <c r="AA610" s="104"/>
    </row>
    <row r="611" spans="1:27">
      <c r="A611" s="422"/>
      <c r="B611" s="63" t="s">
        <v>5</v>
      </c>
      <c r="C611" s="97">
        <v>90668.1</v>
      </c>
      <c r="D611" s="97">
        <v>70110.8</v>
      </c>
      <c r="E611" s="97">
        <v>71455.899999999994</v>
      </c>
      <c r="F611" s="97">
        <v>159094</v>
      </c>
      <c r="G611" s="97">
        <v>37092.5</v>
      </c>
      <c r="H611" s="97">
        <v>27203.4</v>
      </c>
      <c r="I611" s="97">
        <v>45778</v>
      </c>
      <c r="J611" s="97">
        <v>141593.70000000001</v>
      </c>
      <c r="K611" s="97">
        <v>36940.800000000003</v>
      </c>
      <c r="L611" s="97">
        <v>22241.3</v>
      </c>
      <c r="M611" s="97">
        <v>92968.6</v>
      </c>
      <c r="N611" s="102">
        <v>23053.1</v>
      </c>
      <c r="P611" s="104"/>
      <c r="Y611" s="104"/>
      <c r="Z611" s="104"/>
      <c r="AA611" s="104"/>
    </row>
    <row r="612" spans="1:27" ht="15.75" thickBot="1">
      <c r="A612" s="423"/>
      <c r="B612" s="3" t="s">
        <v>3</v>
      </c>
      <c r="C612" s="71">
        <f>C611/C610</f>
        <v>0.63230845192416318</v>
      </c>
      <c r="D612" s="72">
        <f t="shared" ref="D612:E612" si="523">D611/D610</f>
        <v>0.46580359005499761</v>
      </c>
      <c r="E612" s="72">
        <f t="shared" si="523"/>
        <v>0.47474019338833529</v>
      </c>
      <c r="F612" s="72">
        <f>F611/F610</f>
        <v>0.87415342383259587</v>
      </c>
      <c r="G612" s="72">
        <f>G611/G610</f>
        <v>0.22418821111799458</v>
      </c>
      <c r="H612" s="72">
        <f t="shared" ref="H612:N612" si="524">H611/H610</f>
        <v>0.24714209530316095</v>
      </c>
      <c r="I612" s="72">
        <f t="shared" si="524"/>
        <v>0.37729597681728944</v>
      </c>
      <c r="J612" s="72">
        <f t="shared" si="524"/>
        <v>0.82819025359190868</v>
      </c>
      <c r="K612" s="72">
        <f t="shared" si="524"/>
        <v>0.27957454730943704</v>
      </c>
      <c r="L612" s="72">
        <f t="shared" si="524"/>
        <v>0.26885404037168348</v>
      </c>
      <c r="M612" s="72">
        <f t="shared" si="524"/>
        <v>0.526785911593601</v>
      </c>
      <c r="N612" s="83">
        <f t="shared" si="524"/>
        <v>0.41975018663170732</v>
      </c>
      <c r="P612" s="104"/>
      <c r="Y612" s="104"/>
      <c r="Z612" s="104"/>
      <c r="AA612" s="104"/>
    </row>
    <row r="613" spans="1:27">
      <c r="A613" s="411" t="s">
        <v>6</v>
      </c>
      <c r="B613" s="27" t="s">
        <v>7</v>
      </c>
      <c r="C613" s="68">
        <v>5165</v>
      </c>
      <c r="D613" s="68">
        <v>3240</v>
      </c>
      <c r="E613" s="68">
        <v>3237</v>
      </c>
      <c r="F613" s="68">
        <v>9565</v>
      </c>
      <c r="G613" s="68">
        <v>7099</v>
      </c>
      <c r="H613" s="68">
        <v>12303</v>
      </c>
      <c r="I613" s="68">
        <f>(4836-2000)</f>
        <v>2836</v>
      </c>
      <c r="J613" s="68">
        <v>9193</v>
      </c>
      <c r="K613" s="68">
        <v>8610</v>
      </c>
      <c r="L613" s="68">
        <v>3799</v>
      </c>
      <c r="M613" s="68">
        <f>5451-2614</f>
        <v>2837</v>
      </c>
      <c r="N613" s="80">
        <v>800</v>
      </c>
      <c r="P613" s="104"/>
      <c r="Y613" s="104"/>
      <c r="Z613" s="104"/>
      <c r="AA613" s="104"/>
    </row>
    <row r="614" spans="1:27">
      <c r="A614" s="412"/>
      <c r="B614" s="28" t="s">
        <v>11</v>
      </c>
      <c r="C614" s="73">
        <f t="shared" ref="C614:I614" si="525">C613*33.72</f>
        <v>174163.8</v>
      </c>
      <c r="D614" s="73">
        <f t="shared" si="525"/>
        <v>109252.8</v>
      </c>
      <c r="E614" s="73">
        <f t="shared" si="525"/>
        <v>109151.64</v>
      </c>
      <c r="F614" s="73">
        <f t="shared" si="525"/>
        <v>322531.8</v>
      </c>
      <c r="G614" s="73">
        <f t="shared" si="525"/>
        <v>239378.28</v>
      </c>
      <c r="H614" s="73">
        <f t="shared" si="525"/>
        <v>414857.16</v>
      </c>
      <c r="I614" s="73">
        <f t="shared" si="525"/>
        <v>95629.92</v>
      </c>
      <c r="J614" s="73">
        <f>J613*33.72</f>
        <v>309987.95999999996</v>
      </c>
      <c r="K614" s="73">
        <f t="shared" ref="K614:N614" si="526">K613*33.72</f>
        <v>290329.2</v>
      </c>
      <c r="L614" s="73">
        <f t="shared" si="526"/>
        <v>128102.28</v>
      </c>
      <c r="M614" s="73">
        <f t="shared" si="526"/>
        <v>95663.64</v>
      </c>
      <c r="N614" s="84">
        <f t="shared" si="526"/>
        <v>26976</v>
      </c>
      <c r="P614" s="104"/>
      <c r="Y614" s="104"/>
      <c r="Z614" s="104"/>
      <c r="AA614" s="104"/>
    </row>
    <row r="615" spans="1:27">
      <c r="A615" s="412"/>
      <c r="B615" s="28" t="s">
        <v>79</v>
      </c>
      <c r="C615" s="73">
        <v>164000</v>
      </c>
      <c r="D615" s="73">
        <v>109880</v>
      </c>
      <c r="E615" s="73">
        <v>109880</v>
      </c>
      <c r="F615" s="73">
        <v>328000</v>
      </c>
      <c r="G615" s="73">
        <f>G610*2</f>
        <v>330905</v>
      </c>
      <c r="H615" s="73">
        <f>H610*2</f>
        <v>220143.8</v>
      </c>
      <c r="I615" s="73">
        <f>I610*2</f>
        <v>242663.6</v>
      </c>
      <c r="J615" s="73">
        <v>328000</v>
      </c>
      <c r="K615" s="73">
        <f>K610*2</f>
        <v>264264.40000000002</v>
      </c>
      <c r="L615" s="73">
        <v>328000</v>
      </c>
      <c r="M615" s="73">
        <f>2*M610</f>
        <v>352965.4</v>
      </c>
      <c r="N615" s="84">
        <f>2*N610</f>
        <v>109842</v>
      </c>
      <c r="P615" s="104"/>
      <c r="Y615" s="104"/>
      <c r="Z615" s="104"/>
      <c r="AA615" s="104"/>
    </row>
    <row r="616" spans="1:27">
      <c r="A616" s="412"/>
      <c r="B616" s="66" t="s">
        <v>8</v>
      </c>
      <c r="C616" s="98">
        <f>SUM(C613-260)</f>
        <v>4905</v>
      </c>
      <c r="D616" s="98">
        <f>SUM(D613-509)</f>
        <v>2731</v>
      </c>
      <c r="E616" s="98">
        <f>SUM(E613-512)</f>
        <v>2725</v>
      </c>
      <c r="F616" s="98">
        <f>SUM(F613-1124)</f>
        <v>8441</v>
      </c>
      <c r="G616" s="98">
        <f>SUM(G613-3727)</f>
        <v>3372</v>
      </c>
      <c r="H616" s="98">
        <f>SUM(H613-1743)</f>
        <v>10560</v>
      </c>
      <c r="I616" s="98">
        <f>SUM(I613-(2628-2000))</f>
        <v>2208</v>
      </c>
      <c r="J616" s="98">
        <f>SUM(J613-1306)</f>
        <v>7887</v>
      </c>
      <c r="K616" s="98">
        <f>SUM(K613-1859)</f>
        <v>6751</v>
      </c>
      <c r="L616" s="98">
        <f>SUM(L613-914)</f>
        <v>2885</v>
      </c>
      <c r="M616" s="98">
        <f>SUM(M613-(2835-2614))</f>
        <v>2616</v>
      </c>
      <c r="N616" s="103">
        <f>SUM(N613-46)</f>
        <v>754</v>
      </c>
      <c r="P616" s="14" t="s">
        <v>192</v>
      </c>
    </row>
    <row r="617" spans="1:27">
      <c r="A617" s="412"/>
      <c r="B617" s="29" t="s">
        <v>77</v>
      </c>
      <c r="C617" s="75">
        <f>C616*33.72</f>
        <v>165396.6</v>
      </c>
      <c r="D617" s="75">
        <f>D616*33.72</f>
        <v>92089.319999999992</v>
      </c>
      <c r="E617" s="75">
        <f>E616*33.72</f>
        <v>91887</v>
      </c>
      <c r="F617" s="75">
        <f>F616*33.72</f>
        <v>284630.52</v>
      </c>
      <c r="G617" s="75">
        <f>G616*33.72*2</f>
        <v>227407.68</v>
      </c>
      <c r="H617" s="75">
        <f>H616*33.72</f>
        <v>356083.20000000001</v>
      </c>
      <c r="I617" s="75">
        <f>I616*33.72</f>
        <v>74453.759999999995</v>
      </c>
      <c r="J617" s="75">
        <f>J616*33.72</f>
        <v>265949.64</v>
      </c>
      <c r="K617" s="75">
        <f>K616*33.72</f>
        <v>227643.72</v>
      </c>
      <c r="L617" s="75">
        <f>L616*33.72</f>
        <v>97282.2</v>
      </c>
      <c r="M617" s="75">
        <f>M616*33.72*2</f>
        <v>176423.04000000001</v>
      </c>
      <c r="N617" s="11">
        <f>N616*33.72</f>
        <v>25424.879999999997</v>
      </c>
      <c r="P617" s="89">
        <f>344240-H617</f>
        <v>-11843.200000000012</v>
      </c>
      <c r="Q617" s="104" t="s">
        <v>193</v>
      </c>
    </row>
    <row r="618" spans="1:27" ht="15.75" thickBot="1">
      <c r="A618" s="412"/>
      <c r="B618" s="30" t="s">
        <v>10</v>
      </c>
      <c r="C618" s="72">
        <f>C617/C610</f>
        <v>1.1534560457263365</v>
      </c>
      <c r="D618" s="72">
        <f t="shared" ref="D618" si="527">D617/D610</f>
        <v>0.61182493797993298</v>
      </c>
      <c r="E618" s="72">
        <f t="shared" ref="E618" si="528">E617/E610</f>
        <v>0.61048076015939856</v>
      </c>
      <c r="F618" s="72">
        <f t="shared" ref="F618" si="529">F617/F610</f>
        <v>1.5639228606060076</v>
      </c>
      <c r="G618" s="72">
        <f t="shared" ref="G618" si="530">G617/G610</f>
        <v>1.3744590139163808</v>
      </c>
      <c r="H618" s="72">
        <f t="shared" ref="H618" si="531">H617/H610</f>
        <v>3.2350054827798922</v>
      </c>
      <c r="I618" s="72">
        <f t="shared" ref="I618" si="532">I617/I610</f>
        <v>0.61363764487133621</v>
      </c>
      <c r="J618" s="72">
        <f t="shared" ref="J618" si="533">J617/J610</f>
        <v>1.5555557895180139</v>
      </c>
      <c r="K618" s="72">
        <f t="shared" ref="K618" si="534">K617/K610</f>
        <v>1.7228481778097995</v>
      </c>
      <c r="L618" s="72">
        <f t="shared" ref="L618" si="535">L617/L610</f>
        <v>1.1759525084525719</v>
      </c>
      <c r="M618" s="72">
        <f t="shared" ref="M618" si="536">M617/M610</f>
        <v>0.99966194986817403</v>
      </c>
      <c r="N618" s="72">
        <f t="shared" ref="N618" si="537">N617/N610</f>
        <v>0.46293548915715294</v>
      </c>
      <c r="P618" s="175"/>
    </row>
    <row r="619" spans="1:27" ht="15.75" thickBot="1">
      <c r="A619" s="424" t="s">
        <v>83</v>
      </c>
      <c r="B619" s="425"/>
      <c r="C619" s="76">
        <f>MIN(2*C610,C615)-C617</f>
        <v>-1396.6000000000058</v>
      </c>
      <c r="D619" s="76">
        <f t="shared" ref="D619:N619" si="538">MIN(2*D610,D615)-D617</f>
        <v>17790.680000000008</v>
      </c>
      <c r="E619" s="76">
        <f t="shared" si="538"/>
        <v>17993</v>
      </c>
      <c r="F619" s="76">
        <f t="shared" si="538"/>
        <v>43369.479999999981</v>
      </c>
      <c r="G619" s="76">
        <f t="shared" si="538"/>
        <v>103497.32</v>
      </c>
      <c r="H619" s="76">
        <f t="shared" si="538"/>
        <v>-135939.40000000002</v>
      </c>
      <c r="I619" s="76">
        <f t="shared" si="538"/>
        <v>168209.84000000003</v>
      </c>
      <c r="J619" s="76">
        <f t="shared" si="538"/>
        <v>62050.359999999986</v>
      </c>
      <c r="K619" s="76">
        <f t="shared" si="538"/>
        <v>36620.680000000022</v>
      </c>
      <c r="L619" s="76">
        <f t="shared" si="538"/>
        <v>68170.400000000009</v>
      </c>
      <c r="M619" s="76">
        <f t="shared" si="538"/>
        <v>176542.36000000002</v>
      </c>
      <c r="N619" s="22">
        <f t="shared" si="538"/>
        <v>84417.12</v>
      </c>
      <c r="P619" s="174"/>
    </row>
    <row r="620" spans="1:27" ht="15.75" thickBot="1">
      <c r="A620" s="368">
        <v>41156</v>
      </c>
      <c r="B620" s="368"/>
      <c r="C620" s="368"/>
      <c r="N620" s="15"/>
    </row>
    <row r="621" spans="1:27">
      <c r="A621" s="407" t="s">
        <v>1</v>
      </c>
      <c r="B621" s="420"/>
      <c r="C621" s="68" t="s">
        <v>12</v>
      </c>
      <c r="D621" s="68" t="s">
        <v>12</v>
      </c>
      <c r="E621" s="68" t="s">
        <v>13</v>
      </c>
      <c r="F621" s="68" t="s">
        <v>13</v>
      </c>
      <c r="G621" s="68" t="s">
        <v>13</v>
      </c>
      <c r="H621" s="68" t="s">
        <v>13</v>
      </c>
      <c r="I621" s="68" t="s">
        <v>13</v>
      </c>
      <c r="J621" s="68" t="s">
        <v>2</v>
      </c>
      <c r="K621" s="68" t="s">
        <v>2</v>
      </c>
      <c r="L621" s="68" t="s">
        <v>2</v>
      </c>
      <c r="M621" s="68" t="s">
        <v>2</v>
      </c>
      <c r="N621" s="4" t="s">
        <v>84</v>
      </c>
    </row>
    <row r="622" spans="1:27" ht="15.75" thickBot="1">
      <c r="A622" s="409" t="s">
        <v>0</v>
      </c>
      <c r="B622" s="414"/>
      <c r="C622" s="99" t="s">
        <v>102</v>
      </c>
      <c r="D622" s="99" t="s">
        <v>103</v>
      </c>
      <c r="E622" s="99" t="s">
        <v>104</v>
      </c>
      <c r="F622" s="99" t="s">
        <v>105</v>
      </c>
      <c r="G622" s="99" t="s">
        <v>100</v>
      </c>
      <c r="H622" s="99" t="s">
        <v>107</v>
      </c>
      <c r="I622" s="99" t="s">
        <v>106</v>
      </c>
      <c r="J622" s="99" t="s">
        <v>108</v>
      </c>
      <c r="K622" s="99" t="s">
        <v>110</v>
      </c>
      <c r="L622" s="99" t="s">
        <v>101</v>
      </c>
      <c r="M622" s="99" t="s">
        <v>109</v>
      </c>
      <c r="N622" s="101" t="s">
        <v>111</v>
      </c>
      <c r="Q622" s="14"/>
      <c r="R622" s="14"/>
      <c r="S622" s="14"/>
      <c r="T622" s="14"/>
      <c r="U622" s="14"/>
      <c r="V622" s="14"/>
      <c r="W622" s="14"/>
      <c r="X622" s="14"/>
      <c r="Y622" s="175"/>
      <c r="Z622" s="174"/>
      <c r="AA622" s="175"/>
    </row>
    <row r="623" spans="1:27">
      <c r="A623" s="421" t="s">
        <v>9</v>
      </c>
      <c r="B623" s="2" t="s">
        <v>4</v>
      </c>
      <c r="C623" s="96">
        <v>143392.20000000001</v>
      </c>
      <c r="D623" s="96">
        <v>150515.79999999999</v>
      </c>
      <c r="E623" s="96">
        <v>150515.79999999999</v>
      </c>
      <c r="F623" s="96">
        <v>181997.8</v>
      </c>
      <c r="G623" s="96">
        <v>165452.5</v>
      </c>
      <c r="H623" s="96">
        <v>110071.9</v>
      </c>
      <c r="I623" s="96">
        <v>121331.8</v>
      </c>
      <c r="J623" s="96">
        <v>170967.6</v>
      </c>
      <c r="K623" s="96">
        <v>132132.20000000001</v>
      </c>
      <c r="L623" s="96">
        <v>82726.3</v>
      </c>
      <c r="M623" s="96">
        <v>176482.7</v>
      </c>
      <c r="N623" s="100">
        <v>54921</v>
      </c>
      <c r="P623" s="104"/>
      <c r="Y623" s="104"/>
      <c r="Z623" s="104"/>
      <c r="AA623" s="104"/>
    </row>
    <row r="624" spans="1:27">
      <c r="A624" s="422"/>
      <c r="B624" s="63" t="s">
        <v>5</v>
      </c>
      <c r="C624" s="97">
        <v>89960.8</v>
      </c>
      <c r="D624" s="97">
        <v>69647.899999999994</v>
      </c>
      <c r="E624" s="97">
        <v>70994.3</v>
      </c>
      <c r="F624" s="97">
        <v>158600.70000000001</v>
      </c>
      <c r="G624" s="97">
        <v>36428.1</v>
      </c>
      <c r="H624" s="97">
        <v>26633.3</v>
      </c>
      <c r="I624" s="97">
        <v>45483.5</v>
      </c>
      <c r="J624" s="97">
        <v>141201.79999999999</v>
      </c>
      <c r="K624" s="97">
        <v>36199.9</v>
      </c>
      <c r="L624" s="97">
        <v>21888.5</v>
      </c>
      <c r="M624" s="97">
        <v>92525.1</v>
      </c>
      <c r="N624" s="102">
        <v>23044.1</v>
      </c>
      <c r="P624" s="104"/>
      <c r="Y624" s="104"/>
      <c r="Z624" s="104"/>
      <c r="AA624" s="104"/>
    </row>
    <row r="625" spans="1:27" ht="15.75" thickBot="1">
      <c r="A625" s="423"/>
      <c r="B625" s="3" t="s">
        <v>3</v>
      </c>
      <c r="C625" s="71">
        <f>C624/C623</f>
        <v>0.62737582657913049</v>
      </c>
      <c r="D625" s="72">
        <f t="shared" ref="D625:E625" si="539">D624/D623</f>
        <v>0.46272816541519229</v>
      </c>
      <c r="E625" s="72">
        <f t="shared" si="539"/>
        <v>0.47167340571554622</v>
      </c>
      <c r="F625" s="72">
        <f>F624/F623</f>
        <v>0.87144295150820517</v>
      </c>
      <c r="G625" s="72">
        <f>G624/G623</f>
        <v>0.22017255707831551</v>
      </c>
      <c r="H625" s="72">
        <f t="shared" ref="H625:N625" si="540">H624/H623</f>
        <v>0.24196275343661736</v>
      </c>
      <c r="I625" s="72">
        <f t="shared" si="540"/>
        <v>0.37486874834132516</v>
      </c>
      <c r="J625" s="72">
        <f t="shared" si="540"/>
        <v>0.82589800640589206</v>
      </c>
      <c r="K625" s="72">
        <f t="shared" si="540"/>
        <v>0.27396728428044032</v>
      </c>
      <c r="L625" s="72">
        <f t="shared" si="540"/>
        <v>0.26458937484209977</v>
      </c>
      <c r="M625" s="72">
        <f t="shared" si="540"/>
        <v>0.52427291740210225</v>
      </c>
      <c r="N625" s="83">
        <f t="shared" si="540"/>
        <v>0.41958631488865822</v>
      </c>
      <c r="P625" s="104"/>
      <c r="Y625" s="104"/>
      <c r="Z625" s="104"/>
      <c r="AA625" s="104"/>
    </row>
    <row r="626" spans="1:27">
      <c r="A626" s="411" t="s">
        <v>6</v>
      </c>
      <c r="B626" s="27" t="s">
        <v>7</v>
      </c>
      <c r="C626" s="68">
        <v>5165</v>
      </c>
      <c r="D626" s="68">
        <v>3240</v>
      </c>
      <c r="E626" s="68">
        <v>3237</v>
      </c>
      <c r="F626" s="68">
        <v>9565</v>
      </c>
      <c r="G626" s="68">
        <v>7099</v>
      </c>
      <c r="H626" s="68">
        <v>12303</v>
      </c>
      <c r="I626" s="68">
        <f>(4836-2000)</f>
        <v>2836</v>
      </c>
      <c r="J626" s="68">
        <v>9193</v>
      </c>
      <c r="K626" s="68">
        <v>8610</v>
      </c>
      <c r="L626" s="68">
        <v>3799</v>
      </c>
      <c r="M626" s="68">
        <f>5451-2614</f>
        <v>2837</v>
      </c>
      <c r="N626" s="80">
        <v>800</v>
      </c>
      <c r="P626" s="104"/>
      <c r="Y626" s="104"/>
      <c r="Z626" s="104"/>
      <c r="AA626" s="104"/>
    </row>
    <row r="627" spans="1:27">
      <c r="A627" s="412"/>
      <c r="B627" s="28" t="s">
        <v>11</v>
      </c>
      <c r="C627" s="73">
        <f t="shared" ref="C627:I627" si="541">C626*33.72</f>
        <v>174163.8</v>
      </c>
      <c r="D627" s="73">
        <f t="shared" si="541"/>
        <v>109252.8</v>
      </c>
      <c r="E627" s="73">
        <f t="shared" si="541"/>
        <v>109151.64</v>
      </c>
      <c r="F627" s="73">
        <f t="shared" si="541"/>
        <v>322531.8</v>
      </c>
      <c r="G627" s="73">
        <f t="shared" si="541"/>
        <v>239378.28</v>
      </c>
      <c r="H627" s="73">
        <f t="shared" si="541"/>
        <v>414857.16</v>
      </c>
      <c r="I627" s="73">
        <f t="shared" si="541"/>
        <v>95629.92</v>
      </c>
      <c r="J627" s="73">
        <f>J626*33.72</f>
        <v>309987.95999999996</v>
      </c>
      <c r="K627" s="73">
        <f t="shared" ref="K627:N627" si="542">K626*33.72</f>
        <v>290329.2</v>
      </c>
      <c r="L627" s="73">
        <f t="shared" si="542"/>
        <v>128102.28</v>
      </c>
      <c r="M627" s="73">
        <f t="shared" si="542"/>
        <v>95663.64</v>
      </c>
      <c r="N627" s="84">
        <f t="shared" si="542"/>
        <v>26976</v>
      </c>
      <c r="P627" s="104"/>
      <c r="Y627" s="104"/>
      <c r="Z627" s="104"/>
      <c r="AA627" s="104"/>
    </row>
    <row r="628" spans="1:27">
      <c r="A628" s="412"/>
      <c r="B628" s="28" t="s">
        <v>79</v>
      </c>
      <c r="C628" s="73">
        <v>164000</v>
      </c>
      <c r="D628" s="73">
        <v>109880</v>
      </c>
      <c r="E628" s="73">
        <v>109880</v>
      </c>
      <c r="F628" s="73">
        <v>328000</v>
      </c>
      <c r="G628" s="73">
        <f>G623*2</f>
        <v>330905</v>
      </c>
      <c r="H628" s="73">
        <f>H623*2</f>
        <v>220143.8</v>
      </c>
      <c r="I628" s="73">
        <f>I623*2</f>
        <v>242663.6</v>
      </c>
      <c r="J628" s="73">
        <v>328000</v>
      </c>
      <c r="K628" s="73">
        <f>K623*2</f>
        <v>264264.40000000002</v>
      </c>
      <c r="L628" s="73">
        <v>328000</v>
      </c>
      <c r="M628" s="73">
        <f>2*M623</f>
        <v>352965.4</v>
      </c>
      <c r="N628" s="84">
        <f>2*N623</f>
        <v>109842</v>
      </c>
      <c r="P628" s="104"/>
      <c r="Y628" s="104"/>
      <c r="Z628" s="104"/>
      <c r="AA628" s="104"/>
    </row>
    <row r="629" spans="1:27">
      <c r="A629" s="412"/>
      <c r="B629" s="66" t="s">
        <v>8</v>
      </c>
      <c r="C629" s="98">
        <f>SUM(C626-265)</f>
        <v>4900</v>
      </c>
      <c r="D629" s="98">
        <f>SUM(D626-509)</f>
        <v>2731</v>
      </c>
      <c r="E629" s="98">
        <f>SUM(E626-512)</f>
        <v>2725</v>
      </c>
      <c r="F629" s="98">
        <f>SUM(F626-1130)</f>
        <v>8435</v>
      </c>
      <c r="G629" s="98">
        <f>SUM(G626-3727)</f>
        <v>3372</v>
      </c>
      <c r="H629" s="98">
        <f>SUM(H626-1814)</f>
        <v>10489</v>
      </c>
      <c r="I629" s="98">
        <f>SUM(I626-(2628-2000))</f>
        <v>2208</v>
      </c>
      <c r="J629" s="98">
        <f>SUM(J626-1312)</f>
        <v>7881</v>
      </c>
      <c r="K629" s="98">
        <f>SUM(K626-2034)</f>
        <v>6576</v>
      </c>
      <c r="L629" s="98">
        <f>SUM(L626-914)</f>
        <v>2885</v>
      </c>
      <c r="M629" s="98">
        <f>SUM(M626-(2835-2614))</f>
        <v>2616</v>
      </c>
      <c r="N629" s="103">
        <f>SUM(N626-46)</f>
        <v>754</v>
      </c>
      <c r="P629" s="14" t="s">
        <v>192</v>
      </c>
    </row>
    <row r="630" spans="1:27">
      <c r="A630" s="412"/>
      <c r="B630" s="29" t="s">
        <v>77</v>
      </c>
      <c r="C630" s="75">
        <f>C629*33.72</f>
        <v>165228</v>
      </c>
      <c r="D630" s="75">
        <f>D629*33.72</f>
        <v>92089.319999999992</v>
      </c>
      <c r="E630" s="75">
        <f>E629*33.72</f>
        <v>91887</v>
      </c>
      <c r="F630" s="75">
        <f>F629*33.72</f>
        <v>284428.2</v>
      </c>
      <c r="G630" s="75">
        <f>G629*33.72*2</f>
        <v>227407.68</v>
      </c>
      <c r="H630" s="75">
        <f>H629*33.72</f>
        <v>353689.08</v>
      </c>
      <c r="I630" s="75">
        <f>I629*33.72</f>
        <v>74453.759999999995</v>
      </c>
      <c r="J630" s="75">
        <f>J629*33.72</f>
        <v>265747.32</v>
      </c>
      <c r="K630" s="75">
        <f>K629*33.72</f>
        <v>221742.72</v>
      </c>
      <c r="L630" s="75">
        <f>L629*33.72</f>
        <v>97282.2</v>
      </c>
      <c r="M630" s="75">
        <f>M629*33.72*2</f>
        <v>176423.04000000001</v>
      </c>
      <c r="N630" s="11">
        <f>N629*33.72</f>
        <v>25424.879999999997</v>
      </c>
      <c r="P630" s="89">
        <f>344240-H630</f>
        <v>-9449.0800000000163</v>
      </c>
      <c r="Q630" s="104" t="s">
        <v>193</v>
      </c>
    </row>
    <row r="631" spans="1:27" ht="15.75" thickBot="1">
      <c r="A631" s="412"/>
      <c r="B631" s="30" t="s">
        <v>10</v>
      </c>
      <c r="C631" s="72">
        <f>C630/C623</f>
        <v>1.1522802495533229</v>
      </c>
      <c r="D631" s="72">
        <f t="shared" ref="D631" si="543">D630/D623</f>
        <v>0.61182493797993298</v>
      </c>
      <c r="E631" s="72">
        <f t="shared" ref="E631" si="544">E630/E623</f>
        <v>0.61048076015939856</v>
      </c>
      <c r="F631" s="72">
        <f t="shared" ref="F631" si="545">F630/F623</f>
        <v>1.5628111988166891</v>
      </c>
      <c r="G631" s="72">
        <f t="shared" ref="G631" si="546">G630/G623</f>
        <v>1.3744590139163808</v>
      </c>
      <c r="H631" s="72">
        <f t="shared" ref="H631" si="547">H630/H623</f>
        <v>3.2132549724316561</v>
      </c>
      <c r="I631" s="72">
        <f t="shared" ref="I631" si="548">I630/I623</f>
        <v>0.61363764487133621</v>
      </c>
      <c r="J631" s="72">
        <f t="shared" ref="J631" si="549">J630/J623</f>
        <v>1.5543724074035081</v>
      </c>
      <c r="K631" s="72">
        <f t="shared" ref="K631" si="550">K630/K623</f>
        <v>1.678188359839615</v>
      </c>
      <c r="L631" s="72">
        <f t="shared" ref="L631" si="551">L630/L623</f>
        <v>1.1759525084525719</v>
      </c>
      <c r="M631" s="72">
        <f t="shared" ref="M631" si="552">M630/M623</f>
        <v>0.99966194986817403</v>
      </c>
      <c r="N631" s="72">
        <f t="shared" ref="N631" si="553">N630/N623</f>
        <v>0.46293548915715294</v>
      </c>
      <c r="P631" s="175"/>
    </row>
    <row r="632" spans="1:27" ht="15.75" thickBot="1">
      <c r="A632" s="424" t="s">
        <v>83</v>
      </c>
      <c r="B632" s="425"/>
      <c r="C632" s="76">
        <f>MIN(2*C623,C628)-C630</f>
        <v>-1228</v>
      </c>
      <c r="D632" s="76">
        <f t="shared" ref="D632:N632" si="554">MIN(2*D623,D628)-D630</f>
        <v>17790.680000000008</v>
      </c>
      <c r="E632" s="76">
        <f t="shared" si="554"/>
        <v>17993</v>
      </c>
      <c r="F632" s="76">
        <f t="shared" si="554"/>
        <v>43571.799999999988</v>
      </c>
      <c r="G632" s="76">
        <f t="shared" si="554"/>
        <v>103497.32</v>
      </c>
      <c r="H632" s="76">
        <f t="shared" si="554"/>
        <v>-133545.28000000003</v>
      </c>
      <c r="I632" s="76">
        <f t="shared" si="554"/>
        <v>168209.84000000003</v>
      </c>
      <c r="J632" s="76">
        <f t="shared" si="554"/>
        <v>62252.679999999993</v>
      </c>
      <c r="K632" s="76">
        <f t="shared" si="554"/>
        <v>42521.680000000022</v>
      </c>
      <c r="L632" s="76">
        <f t="shared" si="554"/>
        <v>68170.400000000009</v>
      </c>
      <c r="M632" s="76">
        <f t="shared" si="554"/>
        <v>176542.36000000002</v>
      </c>
      <c r="N632" s="22">
        <f t="shared" si="554"/>
        <v>84417.12</v>
      </c>
      <c r="P632" s="174"/>
    </row>
    <row r="633" spans="1:27" ht="15.75" thickBot="1">
      <c r="A633" s="368">
        <v>41151</v>
      </c>
      <c r="B633" s="368"/>
      <c r="C633" s="368"/>
      <c r="N633" s="15"/>
    </row>
    <row r="634" spans="1:27">
      <c r="A634" s="407" t="s">
        <v>1</v>
      </c>
      <c r="B634" s="420"/>
      <c r="C634" s="68" t="s">
        <v>12</v>
      </c>
      <c r="D634" s="68" t="s">
        <v>12</v>
      </c>
      <c r="E634" s="68" t="s">
        <v>13</v>
      </c>
      <c r="F634" s="68" t="s">
        <v>13</v>
      </c>
      <c r="G634" s="68" t="s">
        <v>13</v>
      </c>
      <c r="H634" s="68" t="s">
        <v>13</v>
      </c>
      <c r="I634" s="68" t="s">
        <v>13</v>
      </c>
      <c r="J634" s="68" t="s">
        <v>2</v>
      </c>
      <c r="K634" s="68" t="s">
        <v>2</v>
      </c>
      <c r="L634" s="68" t="s">
        <v>2</v>
      </c>
      <c r="M634" s="68" t="s">
        <v>2</v>
      </c>
      <c r="N634" s="4" t="s">
        <v>84</v>
      </c>
    </row>
    <row r="635" spans="1:27" ht="15.75" thickBot="1">
      <c r="A635" s="409" t="s">
        <v>0</v>
      </c>
      <c r="B635" s="414"/>
      <c r="C635" s="99" t="s">
        <v>102</v>
      </c>
      <c r="D635" s="99" t="s">
        <v>103</v>
      </c>
      <c r="E635" s="99" t="s">
        <v>104</v>
      </c>
      <c r="F635" s="99" t="s">
        <v>105</v>
      </c>
      <c r="G635" s="99" t="s">
        <v>100</v>
      </c>
      <c r="H635" s="99" t="s">
        <v>107</v>
      </c>
      <c r="I635" s="99" t="s">
        <v>106</v>
      </c>
      <c r="J635" s="99" t="s">
        <v>108</v>
      </c>
      <c r="K635" s="99" t="s">
        <v>110</v>
      </c>
      <c r="L635" s="99" t="s">
        <v>101</v>
      </c>
      <c r="M635" s="99" t="s">
        <v>109</v>
      </c>
      <c r="N635" s="101" t="s">
        <v>111</v>
      </c>
      <c r="Q635" s="14"/>
      <c r="R635" s="14"/>
      <c r="S635" s="14"/>
      <c r="T635" s="14"/>
      <c r="U635" s="14"/>
      <c r="V635" s="14"/>
      <c r="W635" s="14"/>
      <c r="X635" s="14"/>
      <c r="Y635" s="175"/>
      <c r="Z635" s="174"/>
      <c r="AA635" s="175"/>
    </row>
    <row r="636" spans="1:27">
      <c r="A636" s="421" t="s">
        <v>9</v>
      </c>
      <c r="B636" s="2" t="s">
        <v>4</v>
      </c>
      <c r="C636" s="96">
        <v>143392.20000000001</v>
      </c>
      <c r="D636" s="96">
        <v>150515.79999999999</v>
      </c>
      <c r="E636" s="96">
        <v>150515.79999999999</v>
      </c>
      <c r="F636" s="96">
        <v>181997.8</v>
      </c>
      <c r="G636" s="96">
        <v>165452.5</v>
      </c>
      <c r="H636" s="96">
        <v>110071.9</v>
      </c>
      <c r="I636" s="96">
        <v>121331.8</v>
      </c>
      <c r="J636" s="96">
        <v>170967.6</v>
      </c>
      <c r="K636" s="96">
        <v>132132.20000000001</v>
      </c>
      <c r="L636" s="96">
        <v>82726.3</v>
      </c>
      <c r="M636" s="96">
        <v>176482.7</v>
      </c>
      <c r="N636" s="100">
        <v>54921</v>
      </c>
      <c r="P636" s="104"/>
      <c r="Y636" s="104"/>
      <c r="Z636" s="104"/>
      <c r="AA636" s="104"/>
    </row>
    <row r="637" spans="1:27">
      <c r="A637" s="422"/>
      <c r="B637" s="63" t="s">
        <v>5</v>
      </c>
      <c r="C637" s="97">
        <v>89999.5</v>
      </c>
      <c r="D637" s="97">
        <v>69645.399999999994</v>
      </c>
      <c r="E637" s="97">
        <v>70991.8</v>
      </c>
      <c r="F637" s="97">
        <v>158530.4</v>
      </c>
      <c r="G637" s="97">
        <v>36396.1</v>
      </c>
      <c r="H637" s="97">
        <v>26561.5</v>
      </c>
      <c r="I637" s="97">
        <v>45477.599999999999</v>
      </c>
      <c r="J637" s="97">
        <v>141078.6</v>
      </c>
      <c r="K637" s="97">
        <v>35969.9</v>
      </c>
      <c r="L637" s="97">
        <v>21869.9</v>
      </c>
      <c r="M637" s="97">
        <v>92488.8</v>
      </c>
      <c r="N637" s="102">
        <v>23031.200000000001</v>
      </c>
      <c r="P637" s="104"/>
      <c r="Y637" s="104"/>
      <c r="Z637" s="104"/>
      <c r="AA637" s="104"/>
    </row>
    <row r="638" spans="1:27" ht="15.75" thickBot="1">
      <c r="A638" s="423"/>
      <c r="B638" s="3" t="s">
        <v>3</v>
      </c>
      <c r="C638" s="71">
        <f>C637/C636</f>
        <v>0.62764571573628125</v>
      </c>
      <c r="D638" s="72">
        <f t="shared" ref="D638:E638" si="555">D637/D636</f>
        <v>0.46271155586323826</v>
      </c>
      <c r="E638" s="72">
        <f t="shared" si="555"/>
        <v>0.47165679616359218</v>
      </c>
      <c r="F638" s="72">
        <f>F637/F636</f>
        <v>0.87105668310276285</v>
      </c>
      <c r="G638" s="72">
        <f>G637/G636</f>
        <v>0.21997914809386379</v>
      </c>
      <c r="H638" s="72">
        <f t="shared" ref="H638:N638" si="556">H637/H636</f>
        <v>0.2413104525314817</v>
      </c>
      <c r="I638" s="72">
        <f t="shared" si="556"/>
        <v>0.37482012135318193</v>
      </c>
      <c r="J638" s="72">
        <f t="shared" si="556"/>
        <v>0.82517740203406964</v>
      </c>
      <c r="K638" s="72">
        <f t="shared" si="556"/>
        <v>0.27222660335633553</v>
      </c>
      <c r="L638" s="72">
        <f t="shared" si="556"/>
        <v>0.26436453703356733</v>
      </c>
      <c r="M638" s="72">
        <f t="shared" si="556"/>
        <v>0.52406723151901002</v>
      </c>
      <c r="N638" s="83">
        <f t="shared" si="556"/>
        <v>0.41935143205695452</v>
      </c>
      <c r="P638" s="104"/>
      <c r="Y638" s="104"/>
      <c r="Z638" s="104"/>
      <c r="AA638" s="104"/>
    </row>
    <row r="639" spans="1:27">
      <c r="A639" s="411" t="s">
        <v>6</v>
      </c>
      <c r="B639" s="27" t="s">
        <v>7</v>
      </c>
      <c r="C639" s="68">
        <v>5165</v>
      </c>
      <c r="D639" s="68">
        <v>3240</v>
      </c>
      <c r="E639" s="68">
        <v>3237</v>
      </c>
      <c r="F639" s="68">
        <v>9565</v>
      </c>
      <c r="G639" s="68">
        <v>7099</v>
      </c>
      <c r="H639" s="68">
        <v>12303</v>
      </c>
      <c r="I639" s="68">
        <f>(4836-2000)</f>
        <v>2836</v>
      </c>
      <c r="J639" s="68">
        <v>9193</v>
      </c>
      <c r="K639" s="68">
        <v>8610</v>
      </c>
      <c r="L639" s="68">
        <v>3799</v>
      </c>
      <c r="M639" s="68">
        <f>5451-2614</f>
        <v>2837</v>
      </c>
      <c r="N639" s="80">
        <v>800</v>
      </c>
      <c r="P639" s="104"/>
      <c r="Y639" s="104"/>
      <c r="Z639" s="104"/>
      <c r="AA639" s="104"/>
    </row>
    <row r="640" spans="1:27">
      <c r="A640" s="412"/>
      <c r="B640" s="28" t="s">
        <v>11</v>
      </c>
      <c r="C640" s="73">
        <f t="shared" ref="C640:I640" si="557">C639*33.72</f>
        <v>174163.8</v>
      </c>
      <c r="D640" s="73">
        <f t="shared" si="557"/>
        <v>109252.8</v>
      </c>
      <c r="E640" s="73">
        <f t="shared" si="557"/>
        <v>109151.64</v>
      </c>
      <c r="F640" s="73">
        <f t="shared" si="557"/>
        <v>322531.8</v>
      </c>
      <c r="G640" s="73">
        <f t="shared" si="557"/>
        <v>239378.28</v>
      </c>
      <c r="H640" s="73">
        <f t="shared" si="557"/>
        <v>414857.16</v>
      </c>
      <c r="I640" s="73">
        <f t="shared" si="557"/>
        <v>95629.92</v>
      </c>
      <c r="J640" s="73">
        <f>J639*33.72</f>
        <v>309987.95999999996</v>
      </c>
      <c r="K640" s="73">
        <f t="shared" ref="K640:N640" si="558">K639*33.72</f>
        <v>290329.2</v>
      </c>
      <c r="L640" s="73">
        <f t="shared" si="558"/>
        <v>128102.28</v>
      </c>
      <c r="M640" s="73">
        <f t="shared" si="558"/>
        <v>95663.64</v>
      </c>
      <c r="N640" s="84">
        <f t="shared" si="558"/>
        <v>26976</v>
      </c>
      <c r="P640" s="104"/>
      <c r="Y640" s="104"/>
      <c r="Z640" s="104"/>
      <c r="AA640" s="104"/>
    </row>
    <row r="641" spans="1:27">
      <c r="A641" s="412"/>
      <c r="B641" s="28" t="s">
        <v>79</v>
      </c>
      <c r="C641" s="73">
        <v>164000</v>
      </c>
      <c r="D641" s="73">
        <v>109880</v>
      </c>
      <c r="E641" s="73">
        <v>109880</v>
      </c>
      <c r="F641" s="73">
        <v>328000</v>
      </c>
      <c r="G641" s="73">
        <f>G636*2</f>
        <v>330905</v>
      </c>
      <c r="H641" s="73">
        <f>H636*2</f>
        <v>220143.8</v>
      </c>
      <c r="I641" s="73">
        <f>I636*2</f>
        <v>242663.6</v>
      </c>
      <c r="J641" s="73">
        <v>328000</v>
      </c>
      <c r="K641" s="73">
        <f>K636*2</f>
        <v>264264.40000000002</v>
      </c>
      <c r="L641" s="73">
        <v>328000</v>
      </c>
      <c r="M641" s="73">
        <f>2*M636</f>
        <v>352965.4</v>
      </c>
      <c r="N641" s="84">
        <f>2*N636</f>
        <v>109842</v>
      </c>
      <c r="P641" s="104"/>
      <c r="Y641" s="104"/>
      <c r="Z641" s="104"/>
      <c r="AA641" s="104"/>
    </row>
    <row r="642" spans="1:27">
      <c r="A642" s="412"/>
      <c r="B642" s="66" t="s">
        <v>8</v>
      </c>
      <c r="C642" s="98">
        <f>SUM(C639-265)</f>
        <v>4900</v>
      </c>
      <c r="D642" s="98">
        <f>SUM(D639-509)</f>
        <v>2731</v>
      </c>
      <c r="E642" s="98">
        <f>SUM(E639-512)</f>
        <v>2725</v>
      </c>
      <c r="F642" s="98">
        <f>SUM(F639-1132)</f>
        <v>8433</v>
      </c>
      <c r="G642" s="98">
        <f>SUM(G639-3727)</f>
        <v>3372</v>
      </c>
      <c r="H642" s="98">
        <f>SUM(H639-1818)</f>
        <v>10485</v>
      </c>
      <c r="I642" s="98">
        <f>SUM(I639-(2628-2000))</f>
        <v>2208</v>
      </c>
      <c r="J642" s="98">
        <f>SUM(J639-1312)</f>
        <v>7881</v>
      </c>
      <c r="K642" s="98">
        <f>SUM(K639-2034)</f>
        <v>6576</v>
      </c>
      <c r="L642" s="98">
        <f>SUM(L639-914)</f>
        <v>2885</v>
      </c>
      <c r="M642" s="98">
        <f>SUM(M639-(2835-2614))</f>
        <v>2616</v>
      </c>
      <c r="N642" s="103">
        <f>SUM(N639-46)</f>
        <v>754</v>
      </c>
      <c r="P642" s="14" t="s">
        <v>192</v>
      </c>
    </row>
    <row r="643" spans="1:27">
      <c r="A643" s="412"/>
      <c r="B643" s="29" t="s">
        <v>77</v>
      </c>
      <c r="C643" s="75">
        <f>C642*33.72</f>
        <v>165228</v>
      </c>
      <c r="D643" s="75">
        <f>D642*33.72</f>
        <v>92089.319999999992</v>
      </c>
      <c r="E643" s="75">
        <f>E642*33.72</f>
        <v>91887</v>
      </c>
      <c r="F643" s="75">
        <f>F642*33.72</f>
        <v>284360.76</v>
      </c>
      <c r="G643" s="75">
        <f>G642*33.72*2</f>
        <v>227407.68</v>
      </c>
      <c r="H643" s="75">
        <f>H642*33.72</f>
        <v>353554.2</v>
      </c>
      <c r="I643" s="75">
        <f>I642*33.72</f>
        <v>74453.759999999995</v>
      </c>
      <c r="J643" s="75">
        <f>J642*33.72</f>
        <v>265747.32</v>
      </c>
      <c r="K643" s="75">
        <f>K642*33.72</f>
        <v>221742.72</v>
      </c>
      <c r="L643" s="75">
        <f>L642*33.72</f>
        <v>97282.2</v>
      </c>
      <c r="M643" s="75">
        <f>M642*33.72*2</f>
        <v>176423.04000000001</v>
      </c>
      <c r="N643" s="11">
        <f>N642*33.72</f>
        <v>25424.879999999997</v>
      </c>
      <c r="P643" s="89">
        <f>344240-H643</f>
        <v>-9314.2000000000116</v>
      </c>
      <c r="Q643" s="104" t="s">
        <v>193</v>
      </c>
    </row>
    <row r="644" spans="1:27" ht="15.75" thickBot="1">
      <c r="A644" s="412"/>
      <c r="B644" s="30" t="s">
        <v>10</v>
      </c>
      <c r="C644" s="72">
        <f>C643/C636</f>
        <v>1.1522802495533229</v>
      </c>
      <c r="D644" s="72">
        <f t="shared" ref="D644" si="559">D643/D636</f>
        <v>0.61182493797993298</v>
      </c>
      <c r="E644" s="72">
        <f t="shared" ref="E644" si="560">E643/E636</f>
        <v>0.61048076015939856</v>
      </c>
      <c r="F644" s="72">
        <f t="shared" ref="F644" si="561">F643/F636</f>
        <v>1.5624406448869164</v>
      </c>
      <c r="G644" s="72">
        <f t="shared" ref="G644" si="562">G643/G636</f>
        <v>1.3744590139163808</v>
      </c>
      <c r="H644" s="72">
        <f t="shared" ref="H644" si="563">H643/H636</f>
        <v>3.2120295915669668</v>
      </c>
      <c r="I644" s="72">
        <f t="shared" ref="I644" si="564">I643/I636</f>
        <v>0.61363764487133621</v>
      </c>
      <c r="J644" s="72">
        <f t="shared" ref="J644" si="565">J643/J636</f>
        <v>1.5543724074035081</v>
      </c>
      <c r="K644" s="72">
        <f t="shared" ref="K644" si="566">K643/K636</f>
        <v>1.678188359839615</v>
      </c>
      <c r="L644" s="72">
        <f t="shared" ref="L644" si="567">L643/L636</f>
        <v>1.1759525084525719</v>
      </c>
      <c r="M644" s="72">
        <f t="shared" ref="M644" si="568">M643/M636</f>
        <v>0.99966194986817403</v>
      </c>
      <c r="N644" s="72">
        <f t="shared" ref="N644" si="569">N643/N636</f>
        <v>0.46293548915715294</v>
      </c>
      <c r="P644" s="175"/>
    </row>
    <row r="645" spans="1:27" ht="15.75" thickBot="1">
      <c r="A645" s="424" t="s">
        <v>83</v>
      </c>
      <c r="B645" s="425"/>
      <c r="C645" s="76">
        <f>MIN(2*C636,C641)-C643</f>
        <v>-1228</v>
      </c>
      <c r="D645" s="76">
        <f t="shared" ref="D645:N645" si="570">MIN(2*D636,D641)-D643</f>
        <v>17790.680000000008</v>
      </c>
      <c r="E645" s="76">
        <f t="shared" si="570"/>
        <v>17993</v>
      </c>
      <c r="F645" s="76">
        <f t="shared" si="570"/>
        <v>43639.239999999991</v>
      </c>
      <c r="G645" s="76">
        <f t="shared" si="570"/>
        <v>103497.32</v>
      </c>
      <c r="H645" s="76">
        <f t="shared" si="570"/>
        <v>-133410.40000000002</v>
      </c>
      <c r="I645" s="76">
        <f t="shared" si="570"/>
        <v>168209.84000000003</v>
      </c>
      <c r="J645" s="76">
        <f t="shared" si="570"/>
        <v>62252.679999999993</v>
      </c>
      <c r="K645" s="76">
        <f t="shared" si="570"/>
        <v>42521.680000000022</v>
      </c>
      <c r="L645" s="76">
        <f t="shared" si="570"/>
        <v>68170.400000000009</v>
      </c>
      <c r="M645" s="76">
        <f t="shared" si="570"/>
        <v>176542.36000000002</v>
      </c>
      <c r="N645" s="22">
        <f t="shared" si="570"/>
        <v>84417.12</v>
      </c>
      <c r="P645" s="174"/>
    </row>
    <row r="646" spans="1:27" ht="15.75" thickBot="1">
      <c r="A646" s="368">
        <v>41150</v>
      </c>
      <c r="B646" s="368"/>
      <c r="C646" s="368"/>
      <c r="N646" s="15"/>
    </row>
    <row r="647" spans="1:27">
      <c r="A647" s="407" t="s">
        <v>1</v>
      </c>
      <c r="B647" s="420"/>
      <c r="C647" s="68" t="s">
        <v>12</v>
      </c>
      <c r="D647" s="68" t="s">
        <v>12</v>
      </c>
      <c r="E647" s="68" t="s">
        <v>13</v>
      </c>
      <c r="F647" s="68" t="s">
        <v>13</v>
      </c>
      <c r="G647" s="68" t="s">
        <v>13</v>
      </c>
      <c r="H647" s="68" t="s">
        <v>13</v>
      </c>
      <c r="I647" s="68" t="s">
        <v>13</v>
      </c>
      <c r="J647" s="68" t="s">
        <v>2</v>
      </c>
      <c r="K647" s="68" t="s">
        <v>2</v>
      </c>
      <c r="L647" s="68" t="s">
        <v>2</v>
      </c>
      <c r="M647" s="68" t="s">
        <v>2</v>
      </c>
      <c r="N647" s="4" t="s">
        <v>84</v>
      </c>
    </row>
    <row r="648" spans="1:27" ht="15.75" thickBot="1">
      <c r="A648" s="409" t="s">
        <v>0</v>
      </c>
      <c r="B648" s="414"/>
      <c r="C648" s="99" t="s">
        <v>102</v>
      </c>
      <c r="D648" s="99" t="s">
        <v>103</v>
      </c>
      <c r="E648" s="99" t="s">
        <v>104</v>
      </c>
      <c r="F648" s="99" t="s">
        <v>105</v>
      </c>
      <c r="G648" s="99" t="s">
        <v>100</v>
      </c>
      <c r="H648" s="99" t="s">
        <v>107</v>
      </c>
      <c r="I648" s="99" t="s">
        <v>106</v>
      </c>
      <c r="J648" s="99" t="s">
        <v>108</v>
      </c>
      <c r="K648" s="99" t="s">
        <v>110</v>
      </c>
      <c r="L648" s="99" t="s">
        <v>101</v>
      </c>
      <c r="M648" s="99" t="s">
        <v>109</v>
      </c>
      <c r="N648" s="101" t="s">
        <v>111</v>
      </c>
      <c r="Q648" s="14"/>
      <c r="R648" s="14"/>
      <c r="S648" s="14"/>
      <c r="T648" s="14"/>
      <c r="U648" s="14"/>
      <c r="V648" s="14"/>
      <c r="W648" s="14"/>
      <c r="X648" s="14"/>
      <c r="Y648" s="175"/>
      <c r="Z648" s="174"/>
      <c r="AA648" s="175"/>
    </row>
    <row r="649" spans="1:27">
      <c r="A649" s="421" t="s">
        <v>9</v>
      </c>
      <c r="B649" s="2" t="s">
        <v>4</v>
      </c>
      <c r="C649" s="96">
        <v>143392.20000000001</v>
      </c>
      <c r="D649" s="96">
        <v>150515.79999999999</v>
      </c>
      <c r="E649" s="96">
        <v>150515.79999999999</v>
      </c>
      <c r="F649" s="96">
        <v>181997.8</v>
      </c>
      <c r="G649" s="96">
        <v>165452.5</v>
      </c>
      <c r="H649" s="96">
        <v>110071.9</v>
      </c>
      <c r="I649" s="96">
        <v>121331.8</v>
      </c>
      <c r="J649" s="96">
        <v>170967.6</v>
      </c>
      <c r="K649" s="96">
        <v>132132.20000000001</v>
      </c>
      <c r="L649" s="96">
        <v>82726.3</v>
      </c>
      <c r="M649" s="96">
        <v>176482.7</v>
      </c>
      <c r="N649" s="100">
        <v>54921</v>
      </c>
      <c r="P649" s="104"/>
      <c r="Y649" s="104"/>
      <c r="Z649" s="104"/>
      <c r="AA649" s="104"/>
    </row>
    <row r="650" spans="1:27">
      <c r="A650" s="422"/>
      <c r="B650" s="63" t="s">
        <v>5</v>
      </c>
      <c r="C650" s="97">
        <v>89797.8</v>
      </c>
      <c r="D650" s="97">
        <v>69615.600000000006</v>
      </c>
      <c r="E650" s="97">
        <v>70965.3</v>
      </c>
      <c r="F650" s="97">
        <v>158116.29999999999</v>
      </c>
      <c r="G650" s="97">
        <v>36031.300000000003</v>
      </c>
      <c r="H650" s="97">
        <v>26217.4</v>
      </c>
      <c r="I650" s="97">
        <v>42216.9</v>
      </c>
      <c r="J650" s="97">
        <v>140677.29999999999</v>
      </c>
      <c r="K650" s="97">
        <v>33398.9</v>
      </c>
      <c r="L650" s="97">
        <v>21672.400000000001</v>
      </c>
      <c r="M650" s="97">
        <v>91773.4</v>
      </c>
      <c r="N650" s="102">
        <v>23029.7</v>
      </c>
      <c r="P650" s="104"/>
      <c r="Y650" s="104"/>
      <c r="Z650" s="104"/>
      <c r="AA650" s="104"/>
    </row>
    <row r="651" spans="1:27" ht="15.75" thickBot="1">
      <c r="A651" s="423"/>
      <c r="B651" s="3" t="s">
        <v>3</v>
      </c>
      <c r="C651" s="71">
        <f>C650/C649</f>
        <v>0.62623908413428342</v>
      </c>
      <c r="D651" s="72">
        <f t="shared" ref="D651:E651" si="571">D650/D649</f>
        <v>0.46251357000394649</v>
      </c>
      <c r="E651" s="72">
        <f t="shared" si="571"/>
        <v>0.47148073491287962</v>
      </c>
      <c r="F651" s="72">
        <f>F650/F649</f>
        <v>0.86878138087383472</v>
      </c>
      <c r="G651" s="72">
        <f>G650/G649</f>
        <v>0.21777428567111409</v>
      </c>
      <c r="H651" s="72">
        <f t="shared" ref="H651:N651" si="572">H650/H649</f>
        <v>0.23818431407107538</v>
      </c>
      <c r="I651" s="72">
        <f t="shared" si="572"/>
        <v>0.34794588063475529</v>
      </c>
      <c r="J651" s="72">
        <f t="shared" si="572"/>
        <v>0.82283017367033273</v>
      </c>
      <c r="K651" s="72">
        <f t="shared" si="572"/>
        <v>0.25276881789601624</v>
      </c>
      <c r="L651" s="72">
        <f t="shared" si="572"/>
        <v>0.26197714632468755</v>
      </c>
      <c r="M651" s="72">
        <f t="shared" si="572"/>
        <v>0.52001357640153956</v>
      </c>
      <c r="N651" s="83">
        <f t="shared" si="572"/>
        <v>0.41932412009977971</v>
      </c>
      <c r="P651" s="104"/>
      <c r="Y651" s="104"/>
      <c r="Z651" s="104"/>
      <c r="AA651" s="104"/>
    </row>
    <row r="652" spans="1:27">
      <c r="A652" s="411" t="s">
        <v>6</v>
      </c>
      <c r="B652" s="27" t="s">
        <v>7</v>
      </c>
      <c r="C652" s="68">
        <v>5155</v>
      </c>
      <c r="D652" s="68">
        <v>3240</v>
      </c>
      <c r="E652" s="68">
        <v>3237</v>
      </c>
      <c r="F652" s="68">
        <v>9565</v>
      </c>
      <c r="G652" s="68">
        <v>7099</v>
      </c>
      <c r="H652" s="68">
        <v>12303</v>
      </c>
      <c r="I652" s="68">
        <f>(4747-2000)</f>
        <v>2747</v>
      </c>
      <c r="J652" s="68">
        <v>9193</v>
      </c>
      <c r="K652" s="68">
        <v>8610</v>
      </c>
      <c r="L652" s="68">
        <v>3799</v>
      </c>
      <c r="M652" s="68">
        <f>5451-2614</f>
        <v>2837</v>
      </c>
      <c r="N652" s="80">
        <v>800</v>
      </c>
      <c r="P652" s="104"/>
      <c r="Y652" s="104"/>
      <c r="Z652" s="104"/>
      <c r="AA652" s="104"/>
    </row>
    <row r="653" spans="1:27">
      <c r="A653" s="412"/>
      <c r="B653" s="28" t="s">
        <v>11</v>
      </c>
      <c r="C653" s="73">
        <f t="shared" ref="C653:I653" si="573">C652*33.72</f>
        <v>173826.6</v>
      </c>
      <c r="D653" s="73">
        <f t="shared" si="573"/>
        <v>109252.8</v>
      </c>
      <c r="E653" s="73">
        <f t="shared" si="573"/>
        <v>109151.64</v>
      </c>
      <c r="F653" s="73">
        <f t="shared" si="573"/>
        <v>322531.8</v>
      </c>
      <c r="G653" s="73">
        <f t="shared" si="573"/>
        <v>239378.28</v>
      </c>
      <c r="H653" s="73">
        <f t="shared" si="573"/>
        <v>414857.16</v>
      </c>
      <c r="I653" s="73">
        <f t="shared" si="573"/>
        <v>92628.84</v>
      </c>
      <c r="J653" s="73">
        <f>J652*33.72</f>
        <v>309987.95999999996</v>
      </c>
      <c r="K653" s="73">
        <f t="shared" ref="K653:N653" si="574">K652*33.72</f>
        <v>290329.2</v>
      </c>
      <c r="L653" s="73">
        <f t="shared" si="574"/>
        <v>128102.28</v>
      </c>
      <c r="M653" s="73">
        <f t="shared" si="574"/>
        <v>95663.64</v>
      </c>
      <c r="N653" s="84">
        <f t="shared" si="574"/>
        <v>26976</v>
      </c>
      <c r="P653" s="104"/>
      <c r="Y653" s="104"/>
      <c r="Z653" s="104"/>
      <c r="AA653" s="104"/>
    </row>
    <row r="654" spans="1:27">
      <c r="A654" s="412"/>
      <c r="B654" s="28" t="s">
        <v>79</v>
      </c>
      <c r="C654" s="73">
        <v>164000</v>
      </c>
      <c r="D654" s="73">
        <v>109880</v>
      </c>
      <c r="E654" s="73">
        <v>109880</v>
      </c>
      <c r="F654" s="73">
        <v>328000</v>
      </c>
      <c r="G654" s="73">
        <f>G649*2</f>
        <v>330905</v>
      </c>
      <c r="H654" s="73">
        <f>H649*2</f>
        <v>220143.8</v>
      </c>
      <c r="I654" s="73">
        <f>I649*2</f>
        <v>242663.6</v>
      </c>
      <c r="J654" s="73">
        <v>328000</v>
      </c>
      <c r="K654" s="73">
        <f>K649*2</f>
        <v>264264.40000000002</v>
      </c>
      <c r="L654" s="73">
        <v>328000</v>
      </c>
      <c r="M654" s="73">
        <f>2*M649</f>
        <v>352965.4</v>
      </c>
      <c r="N654" s="84">
        <f>2*N649</f>
        <v>109842</v>
      </c>
      <c r="P654" s="104"/>
      <c r="Y654" s="104"/>
      <c r="Z654" s="104"/>
      <c r="AA654" s="104"/>
    </row>
    <row r="655" spans="1:27">
      <c r="A655" s="412"/>
      <c r="B655" s="66" t="s">
        <v>8</v>
      </c>
      <c r="C655" s="98">
        <f>SUM(C652-265)</f>
        <v>4890</v>
      </c>
      <c r="D655" s="98">
        <f>SUM(D652-515)</f>
        <v>2725</v>
      </c>
      <c r="E655" s="98">
        <f>SUM(E652-526)</f>
        <v>2711</v>
      </c>
      <c r="F655" s="98">
        <f>SUM(F652-1138)</f>
        <v>8427</v>
      </c>
      <c r="G655" s="98">
        <f>SUM(G652-3773)</f>
        <v>3326</v>
      </c>
      <c r="H655" s="98">
        <f>SUM(H652-2027)</f>
        <v>10276</v>
      </c>
      <c r="I655" s="98">
        <f>SUM(I652-(2630-2000))</f>
        <v>2117</v>
      </c>
      <c r="J655" s="98">
        <f>SUM(J652-1312)</f>
        <v>7881</v>
      </c>
      <c r="K655" s="98">
        <f>SUM(K652-2034)</f>
        <v>6576</v>
      </c>
      <c r="L655" s="98">
        <f>SUM(L652-960)</f>
        <v>2839</v>
      </c>
      <c r="M655" s="98">
        <f>SUM(M652-(2837-2614))</f>
        <v>2614</v>
      </c>
      <c r="N655" s="103">
        <f>SUM(N652-46)</f>
        <v>754</v>
      </c>
      <c r="P655" s="14" t="s">
        <v>192</v>
      </c>
    </row>
    <row r="656" spans="1:27">
      <c r="A656" s="412"/>
      <c r="B656" s="29" t="s">
        <v>77</v>
      </c>
      <c r="C656" s="75">
        <f>C655*33.72</f>
        <v>164890.79999999999</v>
      </c>
      <c r="D656" s="75">
        <f>D655*33.72</f>
        <v>91887</v>
      </c>
      <c r="E656" s="75">
        <f>E655*33.72</f>
        <v>91414.92</v>
      </c>
      <c r="F656" s="75">
        <f>F655*33.72</f>
        <v>284158.44</v>
      </c>
      <c r="G656" s="75">
        <f>G655*33.72*2</f>
        <v>224305.44</v>
      </c>
      <c r="H656" s="75">
        <f>H655*33.72</f>
        <v>346506.72</v>
      </c>
      <c r="I656" s="75">
        <f>I655*33.72</f>
        <v>71385.239999999991</v>
      </c>
      <c r="J656" s="75">
        <f>J655*33.72</f>
        <v>265747.32</v>
      </c>
      <c r="K656" s="75">
        <f>K655*33.72</f>
        <v>221742.72</v>
      </c>
      <c r="L656" s="75">
        <f>L655*33.72</f>
        <v>95731.08</v>
      </c>
      <c r="M656" s="75">
        <f>M655*33.72*2</f>
        <v>176288.16</v>
      </c>
      <c r="N656" s="11">
        <f>N655*33.72</f>
        <v>25424.879999999997</v>
      </c>
      <c r="P656" s="89">
        <f>344240-H656</f>
        <v>-2266.7199999999721</v>
      </c>
      <c r="Q656" s="104" t="s">
        <v>193</v>
      </c>
    </row>
    <row r="657" spans="1:27" ht="15.75" thickBot="1">
      <c r="A657" s="412"/>
      <c r="B657" s="30" t="s">
        <v>10</v>
      </c>
      <c r="C657" s="72">
        <f>C656/C649</f>
        <v>1.1499286572072955</v>
      </c>
      <c r="D657" s="72">
        <f t="shared" ref="D657" si="575">D656/D649</f>
        <v>0.61048076015939856</v>
      </c>
      <c r="E657" s="72">
        <f t="shared" ref="E657" si="576">E656/E649</f>
        <v>0.60734434524481817</v>
      </c>
      <c r="F657" s="72">
        <f t="shared" ref="F657" si="577">F656/F649</f>
        <v>1.561328983097598</v>
      </c>
      <c r="G657" s="72">
        <f t="shared" ref="G657" si="578">G656/G649</f>
        <v>1.3557089799187079</v>
      </c>
      <c r="H657" s="72">
        <f t="shared" ref="H657" si="579">H656/H649</f>
        <v>3.148003441386948</v>
      </c>
      <c r="I657" s="72">
        <f t="shared" ref="I657" si="580">I656/I649</f>
        <v>0.58834732526839617</v>
      </c>
      <c r="J657" s="72">
        <f t="shared" ref="J657" si="581">J656/J649</f>
        <v>1.5543724074035081</v>
      </c>
      <c r="K657" s="72">
        <f t="shared" ref="K657" si="582">K656/K649</f>
        <v>1.678188359839615</v>
      </c>
      <c r="L657" s="72">
        <f t="shared" ref="L657" si="583">L656/L649</f>
        <v>1.1572024857874703</v>
      </c>
      <c r="M657" s="72">
        <f t="shared" ref="M657" si="584">M656/M649</f>
        <v>0.99889768232240328</v>
      </c>
      <c r="N657" s="72">
        <f t="shared" ref="N657" si="585">N656/N649</f>
        <v>0.46293548915715294</v>
      </c>
      <c r="P657" s="175"/>
    </row>
    <row r="658" spans="1:27" ht="15.75" thickBot="1">
      <c r="A658" s="424" t="s">
        <v>83</v>
      </c>
      <c r="B658" s="425"/>
      <c r="C658" s="76">
        <f>MIN(2*C649,C654)-C656</f>
        <v>-890.79999999998836</v>
      </c>
      <c r="D658" s="76">
        <f t="shared" ref="D658:N658" si="586">MIN(2*D649,D654)-D656</f>
        <v>17993</v>
      </c>
      <c r="E658" s="76">
        <f t="shared" si="586"/>
        <v>18465.080000000002</v>
      </c>
      <c r="F658" s="76">
        <f t="shared" si="586"/>
        <v>43841.56</v>
      </c>
      <c r="G658" s="76">
        <f t="shared" si="586"/>
        <v>106599.56</v>
      </c>
      <c r="H658" s="76">
        <f t="shared" si="586"/>
        <v>-126362.91999999998</v>
      </c>
      <c r="I658" s="76">
        <f t="shared" si="586"/>
        <v>171278.36000000002</v>
      </c>
      <c r="J658" s="76">
        <f t="shared" si="586"/>
        <v>62252.679999999993</v>
      </c>
      <c r="K658" s="76">
        <f t="shared" si="586"/>
        <v>42521.680000000022</v>
      </c>
      <c r="L658" s="76">
        <f t="shared" si="586"/>
        <v>69721.52</v>
      </c>
      <c r="M658" s="76">
        <f t="shared" si="586"/>
        <v>176677.24000000002</v>
      </c>
      <c r="N658" s="22">
        <f t="shared" si="586"/>
        <v>84417.12</v>
      </c>
      <c r="P658" s="174"/>
    </row>
    <row r="659" spans="1:27" ht="15.75" thickBot="1">
      <c r="A659" s="368">
        <v>41149</v>
      </c>
      <c r="B659" s="368"/>
      <c r="C659" s="368"/>
      <c r="N659" s="15"/>
    </row>
    <row r="660" spans="1:27">
      <c r="A660" s="407" t="s">
        <v>1</v>
      </c>
      <c r="B660" s="420"/>
      <c r="C660" s="68" t="s">
        <v>12</v>
      </c>
      <c r="D660" s="68" t="s">
        <v>12</v>
      </c>
      <c r="E660" s="68" t="s">
        <v>13</v>
      </c>
      <c r="F660" s="68" t="s">
        <v>13</v>
      </c>
      <c r="G660" s="68" t="s">
        <v>13</v>
      </c>
      <c r="H660" s="68" t="s">
        <v>13</v>
      </c>
      <c r="I660" s="68" t="s">
        <v>13</v>
      </c>
      <c r="J660" s="68" t="s">
        <v>2</v>
      </c>
      <c r="K660" s="68" t="s">
        <v>2</v>
      </c>
      <c r="L660" s="68" t="s">
        <v>2</v>
      </c>
      <c r="M660" s="68" t="s">
        <v>2</v>
      </c>
      <c r="N660" s="4" t="s">
        <v>84</v>
      </c>
    </row>
    <row r="661" spans="1:27" ht="15.75" thickBot="1">
      <c r="A661" s="409" t="s">
        <v>0</v>
      </c>
      <c r="B661" s="414"/>
      <c r="C661" s="99" t="s">
        <v>102</v>
      </c>
      <c r="D661" s="99" t="s">
        <v>103</v>
      </c>
      <c r="E661" s="99" t="s">
        <v>104</v>
      </c>
      <c r="F661" s="99" t="s">
        <v>105</v>
      </c>
      <c r="G661" s="99" t="s">
        <v>100</v>
      </c>
      <c r="H661" s="99" t="s">
        <v>107</v>
      </c>
      <c r="I661" s="99" t="s">
        <v>106</v>
      </c>
      <c r="J661" s="99" t="s">
        <v>108</v>
      </c>
      <c r="K661" s="99" t="s">
        <v>110</v>
      </c>
      <c r="L661" s="99" t="s">
        <v>101</v>
      </c>
      <c r="M661" s="99" t="s">
        <v>109</v>
      </c>
      <c r="N661" s="101" t="s">
        <v>111</v>
      </c>
      <c r="Q661" s="14"/>
      <c r="R661" s="14"/>
      <c r="S661" s="14"/>
      <c r="T661" s="14"/>
      <c r="U661" s="14"/>
      <c r="V661" s="14"/>
      <c r="W661" s="14"/>
      <c r="X661" s="14"/>
      <c r="Y661" s="175"/>
      <c r="Z661" s="174"/>
      <c r="AA661" s="175"/>
    </row>
    <row r="662" spans="1:27">
      <c r="A662" s="421" t="s">
        <v>9</v>
      </c>
      <c r="B662" s="2" t="s">
        <v>4</v>
      </c>
      <c r="C662" s="96">
        <v>143392.20000000001</v>
      </c>
      <c r="D662" s="96">
        <v>150515.79999999999</v>
      </c>
      <c r="E662" s="96">
        <v>150515.79999999999</v>
      </c>
      <c r="F662" s="96">
        <v>181997.8</v>
      </c>
      <c r="G662" s="96">
        <v>165452.5</v>
      </c>
      <c r="H662" s="96">
        <v>110071.9</v>
      </c>
      <c r="I662" s="96">
        <v>121331.8</v>
      </c>
      <c r="J662" s="96">
        <v>170967.6</v>
      </c>
      <c r="K662" s="96">
        <v>132132.20000000001</v>
      </c>
      <c r="L662" s="96">
        <v>82726.3</v>
      </c>
      <c r="M662" s="96">
        <v>176482.7</v>
      </c>
      <c r="N662" s="100">
        <v>54921</v>
      </c>
      <c r="P662" s="104"/>
      <c r="Y662" s="104"/>
      <c r="Z662" s="104"/>
      <c r="AA662" s="104"/>
    </row>
    <row r="663" spans="1:27">
      <c r="A663" s="422"/>
      <c r="B663" s="63" t="s">
        <v>5</v>
      </c>
      <c r="C663" s="97">
        <v>89806.399999999994</v>
      </c>
      <c r="D663" s="97">
        <v>69613.7</v>
      </c>
      <c r="E663" s="97">
        <v>70963.5</v>
      </c>
      <c r="F663" s="97">
        <v>158060.9</v>
      </c>
      <c r="G663" s="97">
        <v>35724.6</v>
      </c>
      <c r="H663" s="97">
        <v>26236.1</v>
      </c>
      <c r="I663" s="97">
        <v>42002.5</v>
      </c>
      <c r="J663" s="97">
        <v>140597.6</v>
      </c>
      <c r="K663" s="97">
        <v>33561.300000000003</v>
      </c>
      <c r="L663" s="97">
        <v>21502.9</v>
      </c>
      <c r="M663" s="97">
        <v>91524</v>
      </c>
      <c r="N663" s="102">
        <v>23028.3</v>
      </c>
      <c r="P663" s="104"/>
      <c r="Y663" s="104"/>
      <c r="Z663" s="104"/>
      <c r="AA663" s="104"/>
    </row>
    <row r="664" spans="1:27" ht="15.75" thickBot="1">
      <c r="A664" s="423"/>
      <c r="B664" s="3" t="s">
        <v>3</v>
      </c>
      <c r="C664" s="71">
        <f>C663/C662</f>
        <v>0.62629905950253906</v>
      </c>
      <c r="D664" s="72">
        <f t="shared" ref="D664:E664" si="587">D663/D662</f>
        <v>0.46250094674446141</v>
      </c>
      <c r="E664" s="72">
        <f t="shared" si="587"/>
        <v>0.47146877603547271</v>
      </c>
      <c r="F664" s="72">
        <f>F663/F662</f>
        <v>0.8684769815898874</v>
      </c>
      <c r="G664" s="72">
        <f>G663/G662</f>
        <v>0.21592058143575951</v>
      </c>
      <c r="H664" s="72">
        <f t="shared" ref="H664:N664" si="588">H663/H662</f>
        <v>0.238354203025477</v>
      </c>
      <c r="I664" s="72">
        <f t="shared" si="588"/>
        <v>0.34617882533680372</v>
      </c>
      <c r="J664" s="72">
        <f t="shared" si="588"/>
        <v>0.82236400347200289</v>
      </c>
      <c r="K664" s="72">
        <f t="shared" si="588"/>
        <v>0.25399788999199285</v>
      </c>
      <c r="L664" s="72">
        <f t="shared" si="588"/>
        <v>0.25992822113402875</v>
      </c>
      <c r="M664" s="72">
        <f t="shared" si="588"/>
        <v>0.51860040672541841</v>
      </c>
      <c r="N664" s="83">
        <f t="shared" si="588"/>
        <v>0.41929862893974978</v>
      </c>
      <c r="P664" s="104"/>
      <c r="Y664" s="104"/>
      <c r="Z664" s="104"/>
      <c r="AA664" s="104"/>
    </row>
    <row r="665" spans="1:27">
      <c r="A665" s="411" t="s">
        <v>6</v>
      </c>
      <c r="B665" s="27" t="s">
        <v>7</v>
      </c>
      <c r="C665" s="68">
        <v>5155</v>
      </c>
      <c r="D665" s="68">
        <v>3240</v>
      </c>
      <c r="E665" s="68">
        <v>3237</v>
      </c>
      <c r="F665" s="68">
        <v>9565</v>
      </c>
      <c r="G665" s="68">
        <v>7099</v>
      </c>
      <c r="H665" s="68">
        <v>12303</v>
      </c>
      <c r="I665" s="68">
        <f>(4747-2000)</f>
        <v>2747</v>
      </c>
      <c r="J665" s="68">
        <v>9193</v>
      </c>
      <c r="K665" s="68">
        <v>8610</v>
      </c>
      <c r="L665" s="68">
        <v>3799</v>
      </c>
      <c r="M665" s="68">
        <f>5451-2614</f>
        <v>2837</v>
      </c>
      <c r="N665" s="80">
        <v>800</v>
      </c>
      <c r="P665" s="104"/>
      <c r="Y665" s="104"/>
      <c r="Z665" s="104"/>
      <c r="AA665" s="104"/>
    </row>
    <row r="666" spans="1:27">
      <c r="A666" s="412"/>
      <c r="B666" s="28" t="s">
        <v>11</v>
      </c>
      <c r="C666" s="73">
        <f t="shared" ref="C666:I666" si="589">C665*33.72</f>
        <v>173826.6</v>
      </c>
      <c r="D666" s="73">
        <f t="shared" si="589"/>
        <v>109252.8</v>
      </c>
      <c r="E666" s="73">
        <f t="shared" si="589"/>
        <v>109151.64</v>
      </c>
      <c r="F666" s="73">
        <f t="shared" si="589"/>
        <v>322531.8</v>
      </c>
      <c r="G666" s="73">
        <f t="shared" si="589"/>
        <v>239378.28</v>
      </c>
      <c r="H666" s="73">
        <f t="shared" si="589"/>
        <v>414857.16</v>
      </c>
      <c r="I666" s="73">
        <f t="shared" si="589"/>
        <v>92628.84</v>
      </c>
      <c r="J666" s="73">
        <f>J665*33.72</f>
        <v>309987.95999999996</v>
      </c>
      <c r="K666" s="73">
        <f t="shared" ref="K666:N666" si="590">K665*33.72</f>
        <v>290329.2</v>
      </c>
      <c r="L666" s="73">
        <f t="shared" si="590"/>
        <v>128102.28</v>
      </c>
      <c r="M666" s="73">
        <f t="shared" si="590"/>
        <v>95663.64</v>
      </c>
      <c r="N666" s="84">
        <f t="shared" si="590"/>
        <v>26976</v>
      </c>
      <c r="P666" s="104"/>
      <c r="Y666" s="104"/>
      <c r="Z666" s="104"/>
      <c r="AA666" s="104"/>
    </row>
    <row r="667" spans="1:27">
      <c r="A667" s="412"/>
      <c r="B667" s="28" t="s">
        <v>79</v>
      </c>
      <c r="C667" s="73">
        <v>164000</v>
      </c>
      <c r="D667" s="73">
        <v>109880</v>
      </c>
      <c r="E667" s="73">
        <v>109880</v>
      </c>
      <c r="F667" s="73">
        <v>328000</v>
      </c>
      <c r="G667" s="73">
        <f>G662*2</f>
        <v>330905</v>
      </c>
      <c r="H667" s="73">
        <f>H662*2</f>
        <v>220143.8</v>
      </c>
      <c r="I667" s="73">
        <f>I662*2</f>
        <v>242663.6</v>
      </c>
      <c r="J667" s="73">
        <v>328000</v>
      </c>
      <c r="K667" s="73">
        <f>K662*2</f>
        <v>264264.40000000002</v>
      </c>
      <c r="L667" s="73">
        <v>328000</v>
      </c>
      <c r="M667" s="73">
        <f>2*M662</f>
        <v>352965.4</v>
      </c>
      <c r="N667" s="84">
        <f>2*N662</f>
        <v>109842</v>
      </c>
      <c r="P667" s="104"/>
      <c r="Y667" s="104"/>
      <c r="Z667" s="104"/>
      <c r="AA667" s="104"/>
    </row>
    <row r="668" spans="1:27">
      <c r="A668" s="412"/>
      <c r="B668" s="66" t="s">
        <v>8</v>
      </c>
      <c r="C668" s="98">
        <f>SUM(C665-273)</f>
        <v>4882</v>
      </c>
      <c r="D668" s="98">
        <f>SUM(D665-515)</f>
        <v>2725</v>
      </c>
      <c r="E668" s="98">
        <f>SUM(E665-526)</f>
        <v>2711</v>
      </c>
      <c r="F668" s="98">
        <f>SUM(F665-1138)</f>
        <v>8427</v>
      </c>
      <c r="G668" s="98">
        <f>SUM(G665-3773)</f>
        <v>3326</v>
      </c>
      <c r="H668" s="98">
        <f>SUM(H665-2073)</f>
        <v>10230</v>
      </c>
      <c r="I668" s="98">
        <f>SUM(I665-(2630-2000))</f>
        <v>2117</v>
      </c>
      <c r="J668" s="98">
        <f>SUM(J665-1312)</f>
        <v>7881</v>
      </c>
      <c r="K668" s="98">
        <f>SUM(K665-2034)</f>
        <v>6576</v>
      </c>
      <c r="L668" s="98">
        <f>SUM(L665-960)</f>
        <v>2839</v>
      </c>
      <c r="M668" s="98">
        <f>SUM(M665-(2837-2614))</f>
        <v>2614</v>
      </c>
      <c r="N668" s="103">
        <f>SUM(N665-46)</f>
        <v>754</v>
      </c>
      <c r="P668" s="14" t="s">
        <v>192</v>
      </c>
    </row>
    <row r="669" spans="1:27">
      <c r="A669" s="412"/>
      <c r="B669" s="29" t="s">
        <v>77</v>
      </c>
      <c r="C669" s="75">
        <f>C668*33.72</f>
        <v>164621.04</v>
      </c>
      <c r="D669" s="75">
        <f>D668*33.72</f>
        <v>91887</v>
      </c>
      <c r="E669" s="75">
        <f>E668*33.72</f>
        <v>91414.92</v>
      </c>
      <c r="F669" s="75">
        <f>F668*33.72</f>
        <v>284158.44</v>
      </c>
      <c r="G669" s="75">
        <f>G668*33.72*2</f>
        <v>224305.44</v>
      </c>
      <c r="H669" s="75">
        <f>H668*33.72</f>
        <v>344955.6</v>
      </c>
      <c r="I669" s="75">
        <f>I668*33.72</f>
        <v>71385.239999999991</v>
      </c>
      <c r="J669" s="75">
        <f>J668*33.72</f>
        <v>265747.32</v>
      </c>
      <c r="K669" s="75">
        <f>K668*33.72</f>
        <v>221742.72</v>
      </c>
      <c r="L669" s="75">
        <f>L668*33.72</f>
        <v>95731.08</v>
      </c>
      <c r="M669" s="75">
        <f>M668*33.72*2</f>
        <v>176288.16</v>
      </c>
      <c r="N669" s="11">
        <f>N668*33.72</f>
        <v>25424.879999999997</v>
      </c>
      <c r="P669" s="89">
        <f>344240-H669</f>
        <v>-715.59999999997672</v>
      </c>
      <c r="Q669" s="104" t="s">
        <v>193</v>
      </c>
    </row>
    <row r="670" spans="1:27" ht="15.75" thickBot="1">
      <c r="A670" s="412"/>
      <c r="B670" s="30" t="s">
        <v>10</v>
      </c>
      <c r="C670" s="72">
        <f>C669/C662</f>
        <v>1.1480473833304741</v>
      </c>
      <c r="D670" s="72">
        <f t="shared" ref="D670" si="591">D669/D662</f>
        <v>0.61048076015939856</v>
      </c>
      <c r="E670" s="72">
        <f t="shared" ref="E670" si="592">E669/E662</f>
        <v>0.60734434524481817</v>
      </c>
      <c r="F670" s="72">
        <f t="shared" ref="F670" si="593">F669/F662</f>
        <v>1.561328983097598</v>
      </c>
      <c r="G670" s="72">
        <f t="shared" ref="G670" si="594">G669/G662</f>
        <v>1.3557089799187079</v>
      </c>
      <c r="H670" s="72">
        <f t="shared" ref="H670" si="595">H669/H662</f>
        <v>3.1339115614430204</v>
      </c>
      <c r="I670" s="72">
        <f t="shared" ref="I670" si="596">I669/I662</f>
        <v>0.58834732526839617</v>
      </c>
      <c r="J670" s="72">
        <f t="shared" ref="J670" si="597">J669/J662</f>
        <v>1.5543724074035081</v>
      </c>
      <c r="K670" s="72">
        <f t="shared" ref="K670" si="598">K669/K662</f>
        <v>1.678188359839615</v>
      </c>
      <c r="L670" s="72">
        <f t="shared" ref="L670" si="599">L669/L662</f>
        <v>1.1572024857874703</v>
      </c>
      <c r="M670" s="72">
        <f t="shared" ref="M670" si="600">M669/M662</f>
        <v>0.99889768232240328</v>
      </c>
      <c r="N670" s="72">
        <f t="shared" ref="N670" si="601">N669/N662</f>
        <v>0.46293548915715294</v>
      </c>
      <c r="P670" s="175"/>
    </row>
    <row r="671" spans="1:27" ht="15.75" thickBot="1">
      <c r="A671" s="424" t="s">
        <v>83</v>
      </c>
      <c r="B671" s="425"/>
      <c r="C671" s="76">
        <f>MIN(2*C662,C667)-C669</f>
        <v>-621.04000000000815</v>
      </c>
      <c r="D671" s="76">
        <f t="shared" ref="D671:N671" si="602">MIN(2*D662,D667)-D669</f>
        <v>17993</v>
      </c>
      <c r="E671" s="76">
        <f t="shared" si="602"/>
        <v>18465.080000000002</v>
      </c>
      <c r="F671" s="76">
        <f t="shared" si="602"/>
        <v>43841.56</v>
      </c>
      <c r="G671" s="76">
        <f t="shared" si="602"/>
        <v>106599.56</v>
      </c>
      <c r="H671" s="76">
        <f t="shared" si="602"/>
        <v>-124811.79999999999</v>
      </c>
      <c r="I671" s="76">
        <f t="shared" si="602"/>
        <v>171278.36000000002</v>
      </c>
      <c r="J671" s="76">
        <f t="shared" si="602"/>
        <v>62252.679999999993</v>
      </c>
      <c r="K671" s="76">
        <f t="shared" si="602"/>
        <v>42521.680000000022</v>
      </c>
      <c r="L671" s="76">
        <f t="shared" si="602"/>
        <v>69721.52</v>
      </c>
      <c r="M671" s="76">
        <f t="shared" si="602"/>
        <v>176677.24000000002</v>
      </c>
      <c r="N671" s="22">
        <f t="shared" si="602"/>
        <v>84417.12</v>
      </c>
      <c r="P671" s="174"/>
    </row>
    <row r="672" spans="1:27" ht="15.75" thickBot="1">
      <c r="A672" s="368">
        <v>41144</v>
      </c>
      <c r="B672" s="368"/>
      <c r="C672" s="368"/>
      <c r="N672" s="15"/>
    </row>
    <row r="673" spans="1:27">
      <c r="A673" s="407" t="s">
        <v>1</v>
      </c>
      <c r="B673" s="420"/>
      <c r="C673" s="68" t="s">
        <v>12</v>
      </c>
      <c r="D673" s="68" t="s">
        <v>12</v>
      </c>
      <c r="E673" s="68" t="s">
        <v>13</v>
      </c>
      <c r="F673" s="68" t="s">
        <v>13</v>
      </c>
      <c r="G673" s="68" t="s">
        <v>13</v>
      </c>
      <c r="H673" s="68" t="s">
        <v>13</v>
      </c>
      <c r="I673" s="68" t="s">
        <v>13</v>
      </c>
      <c r="J673" s="68" t="s">
        <v>2</v>
      </c>
      <c r="K673" s="68" t="s">
        <v>2</v>
      </c>
      <c r="L673" s="68" t="s">
        <v>2</v>
      </c>
      <c r="M673" s="68" t="s">
        <v>2</v>
      </c>
      <c r="N673" s="4" t="s">
        <v>84</v>
      </c>
    </row>
    <row r="674" spans="1:27" ht="15.75" thickBot="1">
      <c r="A674" s="409" t="s">
        <v>0</v>
      </c>
      <c r="B674" s="414"/>
      <c r="C674" s="99" t="s">
        <v>102</v>
      </c>
      <c r="D674" s="99" t="s">
        <v>103</v>
      </c>
      <c r="E674" s="99" t="s">
        <v>104</v>
      </c>
      <c r="F674" s="99" t="s">
        <v>105</v>
      </c>
      <c r="G674" s="99" t="s">
        <v>100</v>
      </c>
      <c r="H674" s="99" t="s">
        <v>107</v>
      </c>
      <c r="I674" s="99" t="s">
        <v>106</v>
      </c>
      <c r="J674" s="99" t="s">
        <v>108</v>
      </c>
      <c r="K674" s="99" t="s">
        <v>110</v>
      </c>
      <c r="L674" s="99" t="s">
        <v>101</v>
      </c>
      <c r="M674" s="99" t="s">
        <v>109</v>
      </c>
      <c r="N674" s="101" t="s">
        <v>111</v>
      </c>
      <c r="Q674" s="14"/>
      <c r="R674" s="14"/>
      <c r="S674" s="14"/>
      <c r="T674" s="14"/>
      <c r="U674" s="14"/>
      <c r="V674" s="14"/>
      <c r="W674" s="14"/>
      <c r="X674" s="14"/>
      <c r="Y674" s="175"/>
      <c r="Z674" s="174"/>
      <c r="AA674" s="175"/>
    </row>
    <row r="675" spans="1:27">
      <c r="A675" s="421" t="s">
        <v>9</v>
      </c>
      <c r="B675" s="2" t="s">
        <v>4</v>
      </c>
      <c r="C675" s="96">
        <v>143392.20000000001</v>
      </c>
      <c r="D675" s="96">
        <v>150515.79999999999</v>
      </c>
      <c r="E675" s="96">
        <v>150515.79999999999</v>
      </c>
      <c r="F675" s="96">
        <v>181997.8</v>
      </c>
      <c r="G675" s="96">
        <v>165452.5</v>
      </c>
      <c r="H675" s="96">
        <v>110071.9</v>
      </c>
      <c r="I675" s="96">
        <v>121331.8</v>
      </c>
      <c r="J675" s="96">
        <v>170967.6</v>
      </c>
      <c r="K675" s="96">
        <v>132132.20000000001</v>
      </c>
      <c r="L675" s="96">
        <v>82726.3</v>
      </c>
      <c r="M675" s="96">
        <v>176482.7</v>
      </c>
      <c r="N675" s="100">
        <v>54921</v>
      </c>
      <c r="P675" s="104"/>
      <c r="Y675" s="104"/>
      <c r="Z675" s="104"/>
      <c r="AA675" s="104"/>
    </row>
    <row r="676" spans="1:27">
      <c r="A676" s="422"/>
      <c r="B676" s="63" t="s">
        <v>5</v>
      </c>
      <c r="C676" s="97">
        <v>89683.4</v>
      </c>
      <c r="D676" s="97">
        <v>69528.2</v>
      </c>
      <c r="E676" s="97">
        <v>70878.2</v>
      </c>
      <c r="F676" s="97">
        <v>157783.20000000001</v>
      </c>
      <c r="G676" s="97">
        <v>35329</v>
      </c>
      <c r="H676" s="97">
        <v>31442.7</v>
      </c>
      <c r="I676" s="97">
        <v>41618.1</v>
      </c>
      <c r="J676" s="97">
        <v>140278</v>
      </c>
      <c r="K676" s="97">
        <v>35896.199999999997</v>
      </c>
      <c r="L676" s="97">
        <v>21269.599999999999</v>
      </c>
      <c r="M676" s="97">
        <v>90758.9</v>
      </c>
      <c r="N676" s="102">
        <v>23028.3</v>
      </c>
      <c r="P676" s="104"/>
      <c r="Y676" s="104"/>
      <c r="Z676" s="104"/>
      <c r="AA676" s="104"/>
    </row>
    <row r="677" spans="1:27" ht="15.75" thickBot="1">
      <c r="A677" s="423"/>
      <c r="B677" s="3" t="s">
        <v>3</v>
      </c>
      <c r="C677" s="71">
        <f>C676/C675</f>
        <v>0.62544127225888146</v>
      </c>
      <c r="D677" s="72">
        <f t="shared" ref="D677:E677" si="603">D676/D675</f>
        <v>0.4619329000676341</v>
      </c>
      <c r="E677" s="72">
        <f t="shared" si="603"/>
        <v>0.47090205812280173</v>
      </c>
      <c r="F677" s="72">
        <f>F676/F675</f>
        <v>0.8669511389698118</v>
      </c>
      <c r="G677" s="72">
        <f>G676/G675</f>
        <v>0.21352956286547498</v>
      </c>
      <c r="H677" s="72">
        <f t="shared" ref="H677:N677" si="604">H676/H675</f>
        <v>0.28565601211571712</v>
      </c>
      <c r="I677" s="72">
        <f t="shared" si="604"/>
        <v>0.34301065343133458</v>
      </c>
      <c r="J677" s="72">
        <f t="shared" si="604"/>
        <v>0.82049464342951528</v>
      </c>
      <c r="K677" s="72">
        <f t="shared" si="604"/>
        <v>0.27166882864282887</v>
      </c>
      <c r="L677" s="72">
        <f t="shared" si="604"/>
        <v>0.25710807808399505</v>
      </c>
      <c r="M677" s="72">
        <f t="shared" si="604"/>
        <v>0.51426513760272241</v>
      </c>
      <c r="N677" s="83">
        <f t="shared" si="604"/>
        <v>0.41929862893974978</v>
      </c>
      <c r="P677" s="104"/>
      <c r="Y677" s="104"/>
      <c r="Z677" s="104"/>
      <c r="AA677" s="104"/>
    </row>
    <row r="678" spans="1:27">
      <c r="A678" s="411" t="s">
        <v>6</v>
      </c>
      <c r="B678" s="27" t="s">
        <v>7</v>
      </c>
      <c r="C678" s="68">
        <v>5155</v>
      </c>
      <c r="D678" s="68">
        <v>3240</v>
      </c>
      <c r="E678" s="68">
        <v>3237</v>
      </c>
      <c r="F678" s="68">
        <v>9565</v>
      </c>
      <c r="G678" s="68">
        <v>7099</v>
      </c>
      <c r="H678" s="68">
        <v>12303</v>
      </c>
      <c r="I678" s="68">
        <f>(4747-2000)</f>
        <v>2747</v>
      </c>
      <c r="J678" s="68">
        <v>9193</v>
      </c>
      <c r="K678" s="68">
        <v>8610</v>
      </c>
      <c r="L678" s="68">
        <v>3799</v>
      </c>
      <c r="M678" s="68">
        <f>5451-2614</f>
        <v>2837</v>
      </c>
      <c r="N678" s="80">
        <v>800</v>
      </c>
      <c r="P678" s="104"/>
      <c r="Y678" s="104"/>
      <c r="Z678" s="104"/>
      <c r="AA678" s="104"/>
    </row>
    <row r="679" spans="1:27">
      <c r="A679" s="412"/>
      <c r="B679" s="28" t="s">
        <v>11</v>
      </c>
      <c r="C679" s="73">
        <f t="shared" ref="C679:I679" si="605">C678*33.72</f>
        <v>173826.6</v>
      </c>
      <c r="D679" s="73">
        <f t="shared" si="605"/>
        <v>109252.8</v>
      </c>
      <c r="E679" s="73">
        <f t="shared" si="605"/>
        <v>109151.64</v>
      </c>
      <c r="F679" s="73">
        <f t="shared" si="605"/>
        <v>322531.8</v>
      </c>
      <c r="G679" s="73">
        <f t="shared" si="605"/>
        <v>239378.28</v>
      </c>
      <c r="H679" s="73">
        <f t="shared" si="605"/>
        <v>414857.16</v>
      </c>
      <c r="I679" s="73">
        <f t="shared" si="605"/>
        <v>92628.84</v>
      </c>
      <c r="J679" s="73">
        <f>J678*33.72</f>
        <v>309987.95999999996</v>
      </c>
      <c r="K679" s="73">
        <f t="shared" ref="K679:N679" si="606">K678*33.72</f>
        <v>290329.2</v>
      </c>
      <c r="L679" s="73">
        <f t="shared" si="606"/>
        <v>128102.28</v>
      </c>
      <c r="M679" s="73">
        <f t="shared" si="606"/>
        <v>95663.64</v>
      </c>
      <c r="N679" s="84">
        <f t="shared" si="606"/>
        <v>26976</v>
      </c>
      <c r="P679" s="104"/>
      <c r="Y679" s="104"/>
      <c r="Z679" s="104"/>
      <c r="AA679" s="104"/>
    </row>
    <row r="680" spans="1:27">
      <c r="A680" s="412"/>
      <c r="B680" s="28" t="s">
        <v>79</v>
      </c>
      <c r="C680" s="73">
        <v>164000</v>
      </c>
      <c r="D680" s="73">
        <v>109880</v>
      </c>
      <c r="E680" s="73">
        <v>109880</v>
      </c>
      <c r="F680" s="73">
        <v>328000</v>
      </c>
      <c r="G680" s="73">
        <f>G675*2</f>
        <v>330905</v>
      </c>
      <c r="H680" s="73">
        <f>H675*2</f>
        <v>220143.8</v>
      </c>
      <c r="I680" s="73">
        <f>I675*2</f>
        <v>242663.6</v>
      </c>
      <c r="J680" s="73">
        <v>328000</v>
      </c>
      <c r="K680" s="73">
        <f>K675*2</f>
        <v>264264.40000000002</v>
      </c>
      <c r="L680" s="73">
        <v>328000</v>
      </c>
      <c r="M680" s="73">
        <f>2*M675</f>
        <v>352965.4</v>
      </c>
      <c r="N680" s="84">
        <f>2*N675</f>
        <v>109842</v>
      </c>
      <c r="P680" s="104"/>
      <c r="Y680" s="104"/>
      <c r="Z680" s="104"/>
      <c r="AA680" s="104"/>
    </row>
    <row r="681" spans="1:27">
      <c r="A681" s="412"/>
      <c r="B681" s="66" t="s">
        <v>8</v>
      </c>
      <c r="C681" s="98">
        <f>SUM(C678-273)</f>
        <v>4882</v>
      </c>
      <c r="D681" s="98">
        <f>SUM(D678-508)</f>
        <v>2732</v>
      </c>
      <c r="E681" s="98">
        <f>SUM(E678-526)</f>
        <v>2711</v>
      </c>
      <c r="F681" s="98">
        <f>SUM(F678-1132)</f>
        <v>8433</v>
      </c>
      <c r="G681" s="98">
        <f>SUM(G678-4692)</f>
        <v>2407</v>
      </c>
      <c r="H681" s="98">
        <f>SUM(H678-2072)</f>
        <v>10231</v>
      </c>
      <c r="I681" s="98">
        <f>SUM(I678-(2360-2000))</f>
        <v>2387</v>
      </c>
      <c r="J681" s="98">
        <f>SUM(J678-1312)</f>
        <v>7881</v>
      </c>
      <c r="K681" s="98">
        <f>SUM(K678-2055)</f>
        <v>6555</v>
      </c>
      <c r="L681" s="98">
        <f>SUM(L678-960)</f>
        <v>2839</v>
      </c>
      <c r="M681" s="98">
        <f>SUM(M678-(2837-2614))</f>
        <v>2614</v>
      </c>
      <c r="N681" s="103">
        <f>SUM(N678-46)</f>
        <v>754</v>
      </c>
      <c r="P681" s="14" t="s">
        <v>192</v>
      </c>
    </row>
    <row r="682" spans="1:27">
      <c r="A682" s="412"/>
      <c r="B682" s="29" t="s">
        <v>77</v>
      </c>
      <c r="C682" s="75">
        <f>C681*33.72</f>
        <v>164621.04</v>
      </c>
      <c r="D682" s="75">
        <f>D681*33.72</f>
        <v>92123.04</v>
      </c>
      <c r="E682" s="75">
        <f>E681*33.72</f>
        <v>91414.92</v>
      </c>
      <c r="F682" s="75">
        <f>F681*33.72</f>
        <v>284360.76</v>
      </c>
      <c r="G682" s="75">
        <f>G681*33.72*2</f>
        <v>162328.07999999999</v>
      </c>
      <c r="H682" s="75">
        <f>H681*33.72</f>
        <v>344989.32</v>
      </c>
      <c r="I682" s="75">
        <f>I681*33.72</f>
        <v>80489.64</v>
      </c>
      <c r="J682" s="75">
        <f>J681*33.72</f>
        <v>265747.32</v>
      </c>
      <c r="K682" s="75">
        <f>K681*33.72</f>
        <v>221034.6</v>
      </c>
      <c r="L682" s="75">
        <f>L681*33.72</f>
        <v>95731.08</v>
      </c>
      <c r="M682" s="75">
        <f>M681*33.72*2</f>
        <v>176288.16</v>
      </c>
      <c r="N682" s="11">
        <f>N681*33.72</f>
        <v>25424.879999999997</v>
      </c>
      <c r="P682" s="89">
        <f>344240-H682</f>
        <v>-749.32000000000698</v>
      </c>
      <c r="Q682" s="104" t="s">
        <v>193</v>
      </c>
    </row>
    <row r="683" spans="1:27" ht="15.75" thickBot="1">
      <c r="A683" s="412"/>
      <c r="B683" s="30" t="s">
        <v>10</v>
      </c>
      <c r="C683" s="72">
        <f>C682/C675</f>
        <v>1.1480473833304741</v>
      </c>
      <c r="D683" s="72">
        <f t="shared" ref="D683" si="607">D682/D675</f>
        <v>0.6120489676166887</v>
      </c>
      <c r="E683" s="72">
        <f t="shared" ref="E683" si="608">E682/E675</f>
        <v>0.60734434524481817</v>
      </c>
      <c r="F683" s="72">
        <f t="shared" ref="F683" si="609">F682/F675</f>
        <v>1.5624406448869164</v>
      </c>
      <c r="G683" s="72">
        <f t="shared" ref="G683" si="610">G682/G675</f>
        <v>0.98111590939997873</v>
      </c>
      <c r="H683" s="72">
        <f t="shared" ref="H683" si="611">H682/H675</f>
        <v>3.1342179066591931</v>
      </c>
      <c r="I683" s="72">
        <f t="shared" ref="I683" si="612">I682/I675</f>
        <v>0.66338453727711943</v>
      </c>
      <c r="J683" s="72">
        <f t="shared" ref="J683" si="613">J682/J675</f>
        <v>1.5543724074035081</v>
      </c>
      <c r="K683" s="72">
        <f t="shared" ref="K683" si="614">K682/K675</f>
        <v>1.6728291816831928</v>
      </c>
      <c r="L683" s="72">
        <f t="shared" ref="L683" si="615">L682/L675</f>
        <v>1.1572024857874703</v>
      </c>
      <c r="M683" s="72">
        <f t="shared" ref="M683" si="616">M682/M675</f>
        <v>0.99889768232240328</v>
      </c>
      <c r="N683" s="72">
        <f t="shared" ref="N683" si="617">N682/N675</f>
        <v>0.46293548915715294</v>
      </c>
      <c r="P683" s="175"/>
    </row>
    <row r="684" spans="1:27" ht="15.75" thickBot="1">
      <c r="A684" s="424" t="s">
        <v>83</v>
      </c>
      <c r="B684" s="425"/>
      <c r="C684" s="76">
        <f>MIN(2*C675,C680)-C682</f>
        <v>-621.04000000000815</v>
      </c>
      <c r="D684" s="76">
        <f t="shared" ref="D684:N684" si="618">MIN(2*D675,D680)-D682</f>
        <v>17756.960000000006</v>
      </c>
      <c r="E684" s="76">
        <f t="shared" si="618"/>
        <v>18465.080000000002</v>
      </c>
      <c r="F684" s="76">
        <f t="shared" si="618"/>
        <v>43639.239999999991</v>
      </c>
      <c r="G684" s="76">
        <f t="shared" si="618"/>
        <v>168576.92</v>
      </c>
      <c r="H684" s="76">
        <f t="shared" si="618"/>
        <v>-124845.52000000002</v>
      </c>
      <c r="I684" s="76">
        <f t="shared" si="618"/>
        <v>162173.96000000002</v>
      </c>
      <c r="J684" s="76">
        <f t="shared" si="618"/>
        <v>62252.679999999993</v>
      </c>
      <c r="K684" s="76">
        <f t="shared" si="618"/>
        <v>43229.800000000017</v>
      </c>
      <c r="L684" s="76">
        <f t="shared" si="618"/>
        <v>69721.52</v>
      </c>
      <c r="M684" s="76">
        <f t="shared" si="618"/>
        <v>176677.24000000002</v>
      </c>
      <c r="N684" s="22">
        <f t="shared" si="618"/>
        <v>84417.12</v>
      </c>
      <c r="P684" s="174"/>
    </row>
    <row r="685" spans="1:27" ht="15.75" thickBot="1">
      <c r="A685" s="368">
        <v>41142</v>
      </c>
      <c r="B685" s="368"/>
      <c r="C685" s="368"/>
      <c r="N685" s="15"/>
    </row>
    <row r="686" spans="1:27">
      <c r="A686" s="407" t="s">
        <v>1</v>
      </c>
      <c r="B686" s="420"/>
      <c r="C686" s="68" t="s">
        <v>12</v>
      </c>
      <c r="D686" s="68" t="s">
        <v>12</v>
      </c>
      <c r="E686" s="68" t="s">
        <v>13</v>
      </c>
      <c r="F686" s="68" t="s">
        <v>13</v>
      </c>
      <c r="G686" s="68" t="s">
        <v>13</v>
      </c>
      <c r="H686" s="68" t="s">
        <v>13</v>
      </c>
      <c r="I686" s="68" t="s">
        <v>13</v>
      </c>
      <c r="J686" s="68" t="s">
        <v>2</v>
      </c>
      <c r="K686" s="68" t="s">
        <v>2</v>
      </c>
      <c r="L686" s="68" t="s">
        <v>2</v>
      </c>
      <c r="M686" s="68" t="s">
        <v>2</v>
      </c>
      <c r="N686" s="4" t="s">
        <v>84</v>
      </c>
    </row>
    <row r="687" spans="1:27" ht="15.75" thickBot="1">
      <c r="A687" s="409" t="s">
        <v>0</v>
      </c>
      <c r="B687" s="414"/>
      <c r="C687" s="99" t="s">
        <v>102</v>
      </c>
      <c r="D687" s="99" t="s">
        <v>103</v>
      </c>
      <c r="E687" s="99" t="s">
        <v>104</v>
      </c>
      <c r="F687" s="99" t="s">
        <v>105</v>
      </c>
      <c r="G687" s="99" t="s">
        <v>100</v>
      </c>
      <c r="H687" s="99" t="s">
        <v>107</v>
      </c>
      <c r="I687" s="99" t="s">
        <v>106</v>
      </c>
      <c r="J687" s="99" t="s">
        <v>108</v>
      </c>
      <c r="K687" s="99" t="s">
        <v>110</v>
      </c>
      <c r="L687" s="99" t="s">
        <v>101</v>
      </c>
      <c r="M687" s="99" t="s">
        <v>109</v>
      </c>
      <c r="N687" s="101" t="s">
        <v>111</v>
      </c>
      <c r="Q687" s="14"/>
      <c r="R687" s="14"/>
      <c r="S687" s="14"/>
      <c r="T687" s="14"/>
      <c r="U687" s="14"/>
      <c r="V687" s="14"/>
      <c r="W687" s="14"/>
      <c r="X687" s="14"/>
      <c r="Y687" s="175"/>
      <c r="Z687" s="174"/>
      <c r="AA687" s="175"/>
    </row>
    <row r="688" spans="1:27">
      <c r="A688" s="421" t="s">
        <v>9</v>
      </c>
      <c r="B688" s="2" t="s">
        <v>4</v>
      </c>
      <c r="C688" s="96">
        <v>143392.20000000001</v>
      </c>
      <c r="D688" s="96">
        <v>150515.79999999999</v>
      </c>
      <c r="E688" s="96">
        <v>150515.79999999999</v>
      </c>
      <c r="F688" s="96">
        <v>181997.8</v>
      </c>
      <c r="G688" s="96">
        <v>165452.5</v>
      </c>
      <c r="H688" s="96">
        <v>110071.9</v>
      </c>
      <c r="I688" s="96">
        <v>121331.8</v>
      </c>
      <c r="J688" s="96">
        <v>170967.6</v>
      </c>
      <c r="K688" s="96">
        <v>132132.20000000001</v>
      </c>
      <c r="L688" s="96">
        <v>82726.3</v>
      </c>
      <c r="M688" s="96">
        <v>176482.7</v>
      </c>
      <c r="N688" s="100">
        <v>54921</v>
      </c>
      <c r="P688" s="104"/>
      <c r="Y688" s="104"/>
      <c r="Z688" s="104"/>
      <c r="AA688" s="104"/>
    </row>
    <row r="689" spans="1:27">
      <c r="A689" s="422"/>
      <c r="B689" s="63" t="s">
        <v>5</v>
      </c>
      <c r="C689" s="97">
        <v>89777.600000000006</v>
      </c>
      <c r="D689" s="97">
        <v>69503.600000000006</v>
      </c>
      <c r="E689" s="97">
        <v>70859.399999999994</v>
      </c>
      <c r="F689" s="97">
        <v>157611.29999999999</v>
      </c>
      <c r="G689" s="97">
        <v>35099.5</v>
      </c>
      <c r="H689" s="97">
        <v>36266.9</v>
      </c>
      <c r="I689" s="97">
        <v>27031.1</v>
      </c>
      <c r="J689" s="97">
        <v>139969.20000000001</v>
      </c>
      <c r="K689" s="97">
        <v>40086.699999999997</v>
      </c>
      <c r="L689" s="97">
        <v>21135.4</v>
      </c>
      <c r="M689" s="97">
        <v>90607.1</v>
      </c>
      <c r="N689" s="102">
        <v>23270.2</v>
      </c>
      <c r="P689" s="104"/>
      <c r="Y689" s="104"/>
      <c r="Z689" s="104"/>
      <c r="AA689" s="104"/>
    </row>
    <row r="690" spans="1:27" ht="15.75" thickBot="1">
      <c r="A690" s="423"/>
      <c r="B690" s="3" t="s">
        <v>3</v>
      </c>
      <c r="C690" s="71">
        <f>C689/C688</f>
        <v>0.62609821175768277</v>
      </c>
      <c r="D690" s="72">
        <f t="shared" ref="D690:E690" si="619">D689/D688</f>
        <v>0.46176946207640668</v>
      </c>
      <c r="E690" s="72">
        <f t="shared" si="619"/>
        <v>0.47077715429210754</v>
      </c>
      <c r="F690" s="72">
        <f>F689/F688</f>
        <v>0.86600662205806878</v>
      </c>
      <c r="G690" s="72">
        <f>G689/G688</f>
        <v>0.21214245780511023</v>
      </c>
      <c r="H690" s="72">
        <f t="shared" ref="H690:N690" si="620">H689/H688</f>
        <v>0.32948372836300638</v>
      </c>
      <c r="I690" s="72">
        <f t="shared" si="620"/>
        <v>0.2227866066439301</v>
      </c>
      <c r="J690" s="72">
        <f t="shared" si="620"/>
        <v>0.81868845325079143</v>
      </c>
      <c r="K690" s="72">
        <f t="shared" si="620"/>
        <v>0.30338327826222522</v>
      </c>
      <c r="L690" s="72">
        <f t="shared" si="620"/>
        <v>0.25548586120737904</v>
      </c>
      <c r="M690" s="72">
        <f t="shared" si="620"/>
        <v>0.51340499663706418</v>
      </c>
      <c r="N690" s="83">
        <f t="shared" si="620"/>
        <v>0.42370313723348085</v>
      </c>
      <c r="P690" s="104"/>
      <c r="Y690" s="104"/>
      <c r="Z690" s="104"/>
      <c r="AA690" s="104"/>
    </row>
    <row r="691" spans="1:27">
      <c r="A691" s="411" t="s">
        <v>6</v>
      </c>
      <c r="B691" s="27" t="s">
        <v>7</v>
      </c>
      <c r="C691" s="68">
        <v>5155</v>
      </c>
      <c r="D691" s="68">
        <v>3240</v>
      </c>
      <c r="E691" s="68">
        <v>3237</v>
      </c>
      <c r="F691" s="68">
        <v>9568</v>
      </c>
      <c r="G691" s="68">
        <v>6099</v>
      </c>
      <c r="H691" s="68">
        <v>12304</v>
      </c>
      <c r="I691" s="68">
        <f>(3999-2000)</f>
        <v>1999</v>
      </c>
      <c r="J691" s="68">
        <v>9193</v>
      </c>
      <c r="K691" s="68">
        <v>8610</v>
      </c>
      <c r="L691" s="68">
        <v>3600</v>
      </c>
      <c r="M691" s="68">
        <f>5451-2614</f>
        <v>2837</v>
      </c>
      <c r="N691" s="80">
        <v>800</v>
      </c>
      <c r="P691" s="104"/>
      <c r="Y691" s="104"/>
      <c r="Z691" s="104"/>
      <c r="AA691" s="104"/>
    </row>
    <row r="692" spans="1:27">
      <c r="A692" s="412"/>
      <c r="B692" s="28" t="s">
        <v>11</v>
      </c>
      <c r="C692" s="73">
        <f t="shared" ref="C692:I692" si="621">C691*33.72</f>
        <v>173826.6</v>
      </c>
      <c r="D692" s="73">
        <f t="shared" si="621"/>
        <v>109252.8</v>
      </c>
      <c r="E692" s="73">
        <f t="shared" si="621"/>
        <v>109151.64</v>
      </c>
      <c r="F692" s="73">
        <f t="shared" si="621"/>
        <v>322632.95999999996</v>
      </c>
      <c r="G692" s="73">
        <f t="shared" si="621"/>
        <v>205658.28</v>
      </c>
      <c r="H692" s="73">
        <f t="shared" si="621"/>
        <v>414890.88</v>
      </c>
      <c r="I692" s="73">
        <f t="shared" si="621"/>
        <v>67406.28</v>
      </c>
      <c r="J692" s="73">
        <f>J691*33.72</f>
        <v>309987.95999999996</v>
      </c>
      <c r="K692" s="73">
        <f t="shared" ref="K692:N692" si="622">K691*33.72</f>
        <v>290329.2</v>
      </c>
      <c r="L692" s="73">
        <f t="shared" si="622"/>
        <v>121392</v>
      </c>
      <c r="M692" s="73">
        <f t="shared" si="622"/>
        <v>95663.64</v>
      </c>
      <c r="N692" s="84">
        <f t="shared" si="622"/>
        <v>26976</v>
      </c>
      <c r="P692" s="104"/>
      <c r="Y692" s="104"/>
      <c r="Z692" s="104"/>
      <c r="AA692" s="104"/>
    </row>
    <row r="693" spans="1:27">
      <c r="A693" s="412"/>
      <c r="B693" s="28" t="s">
        <v>79</v>
      </c>
      <c r="C693" s="73">
        <v>164000</v>
      </c>
      <c r="D693" s="73">
        <v>109880</v>
      </c>
      <c r="E693" s="73">
        <v>109880</v>
      </c>
      <c r="F693" s="73">
        <v>328000</v>
      </c>
      <c r="G693" s="73">
        <f>G688*2</f>
        <v>330905</v>
      </c>
      <c r="H693" s="73">
        <f>H688*2</f>
        <v>220143.8</v>
      </c>
      <c r="I693" s="73">
        <f>I688*2</f>
        <v>242663.6</v>
      </c>
      <c r="J693" s="73">
        <v>328000</v>
      </c>
      <c r="K693" s="73">
        <f>K688*2</f>
        <v>264264.40000000002</v>
      </c>
      <c r="L693" s="73">
        <v>328000</v>
      </c>
      <c r="M693" s="73">
        <f>2*M688</f>
        <v>352965.4</v>
      </c>
      <c r="N693" s="84">
        <f>2*N688</f>
        <v>109842</v>
      </c>
      <c r="P693" s="104"/>
      <c r="Y693" s="104"/>
      <c r="Z693" s="104"/>
      <c r="AA693" s="104"/>
    </row>
    <row r="694" spans="1:27">
      <c r="A694" s="412"/>
      <c r="B694" s="66" t="s">
        <v>8</v>
      </c>
      <c r="C694" s="98">
        <f>SUM(C691-334)</f>
        <v>4821</v>
      </c>
      <c r="D694" s="98">
        <f>SUM(D691-534)</f>
        <v>2706</v>
      </c>
      <c r="E694" s="98">
        <f>SUM(E691-552)</f>
        <v>2685</v>
      </c>
      <c r="F694" s="98">
        <f>SUM(F691-1141)</f>
        <v>8427</v>
      </c>
      <c r="G694" s="98">
        <f>SUM(G691-5010)</f>
        <v>1089</v>
      </c>
      <c r="H694" s="98">
        <f>SUM(H691-2096)</f>
        <v>10208</v>
      </c>
      <c r="I694" s="98">
        <f>SUM(I691-(2363-2000))</f>
        <v>1636</v>
      </c>
      <c r="J694" s="98">
        <f>SUM(J691-1312)</f>
        <v>7881</v>
      </c>
      <c r="K694" s="98">
        <f>SUM(K691-2067)</f>
        <v>6543</v>
      </c>
      <c r="L694" s="98">
        <f>SUM(L691-1427)</f>
        <v>2173</v>
      </c>
      <c r="M694" s="98">
        <f>SUM(M691-(2837-2614))</f>
        <v>2614</v>
      </c>
      <c r="N694" s="103">
        <f>SUM(N691-46)</f>
        <v>754</v>
      </c>
      <c r="P694" s="14" t="s">
        <v>192</v>
      </c>
    </row>
    <row r="695" spans="1:27">
      <c r="A695" s="412"/>
      <c r="B695" s="29" t="s">
        <v>77</v>
      </c>
      <c r="C695" s="75">
        <f>C694*33.72</f>
        <v>162564.12</v>
      </c>
      <c r="D695" s="75">
        <f>D694*33.72</f>
        <v>91246.319999999992</v>
      </c>
      <c r="E695" s="75">
        <f>E694*33.72</f>
        <v>90538.2</v>
      </c>
      <c r="F695" s="75">
        <f>F694*33.72</f>
        <v>284158.44</v>
      </c>
      <c r="G695" s="75">
        <f>G694*33.72*2</f>
        <v>73442.16</v>
      </c>
      <c r="H695" s="75">
        <f>H694*33.72</f>
        <v>344213.76000000001</v>
      </c>
      <c r="I695" s="75">
        <f>I694*33.72</f>
        <v>55165.919999999998</v>
      </c>
      <c r="J695" s="75">
        <f>J694*33.72</f>
        <v>265747.32</v>
      </c>
      <c r="K695" s="75">
        <f>K694*33.72</f>
        <v>220629.96</v>
      </c>
      <c r="L695" s="75">
        <f>L694*33.72</f>
        <v>73273.56</v>
      </c>
      <c r="M695" s="75">
        <f>M694*33.72*2</f>
        <v>176288.16</v>
      </c>
      <c r="N695" s="11">
        <f>N694*33.72</f>
        <v>25424.879999999997</v>
      </c>
      <c r="P695" s="89">
        <f>344240-H695</f>
        <v>26.239999999990687</v>
      </c>
      <c r="Q695" s="104" t="s">
        <v>193</v>
      </c>
    </row>
    <row r="696" spans="1:27" ht="15.75" thickBot="1">
      <c r="A696" s="412"/>
      <c r="B696" s="30" t="s">
        <v>10</v>
      </c>
      <c r="C696" s="72">
        <f>C695/C688</f>
        <v>1.1337026700197081</v>
      </c>
      <c r="D696" s="72">
        <f t="shared" ref="D696" si="623">D695/D688</f>
        <v>0.60622419706103947</v>
      </c>
      <c r="E696" s="72">
        <f t="shared" ref="E696" si="624">E695/E688</f>
        <v>0.60151957468916883</v>
      </c>
      <c r="F696" s="72">
        <f t="shared" ref="F696" si="625">F695/F688</f>
        <v>1.561328983097598</v>
      </c>
      <c r="G696" s="72">
        <f t="shared" ref="G696" si="626">G695/G688</f>
        <v>0.44388667442317281</v>
      </c>
      <c r="H696" s="72">
        <f t="shared" ref="H696" si="627">H695/H688</f>
        <v>3.1271719666872291</v>
      </c>
      <c r="I696" s="72">
        <f t="shared" ref="I696" si="628">I695/I688</f>
        <v>0.45466992165285602</v>
      </c>
      <c r="J696" s="72">
        <f t="shared" ref="J696" si="629">J695/J688</f>
        <v>1.5543724074035081</v>
      </c>
      <c r="K696" s="72">
        <f t="shared" ref="K696" si="630">K695/K688</f>
        <v>1.6697667941652374</v>
      </c>
      <c r="L696" s="72">
        <f t="shared" ref="L696" si="631">L695/L688</f>
        <v>0.88573476633186776</v>
      </c>
      <c r="M696" s="72">
        <f t="shared" ref="M696" si="632">M695/M688</f>
        <v>0.99889768232240328</v>
      </c>
      <c r="N696" s="72">
        <f t="shared" ref="N696" si="633">N695/N688</f>
        <v>0.46293548915715294</v>
      </c>
      <c r="P696" s="175"/>
    </row>
    <row r="697" spans="1:27" ht="15.75" thickBot="1">
      <c r="A697" s="424" t="s">
        <v>83</v>
      </c>
      <c r="B697" s="425"/>
      <c r="C697" s="76">
        <f>MIN(2*C688,C693)-C695</f>
        <v>1435.8800000000047</v>
      </c>
      <c r="D697" s="76">
        <f t="shared" ref="D697:N697" si="634">MIN(2*D688,D693)-D695</f>
        <v>18633.680000000008</v>
      </c>
      <c r="E697" s="76">
        <f t="shared" si="634"/>
        <v>19341.800000000003</v>
      </c>
      <c r="F697" s="76">
        <f t="shared" si="634"/>
        <v>43841.56</v>
      </c>
      <c r="G697" s="76">
        <f t="shared" si="634"/>
        <v>257462.84</v>
      </c>
      <c r="H697" s="76">
        <f t="shared" si="634"/>
        <v>-124069.96000000002</v>
      </c>
      <c r="I697" s="76">
        <f t="shared" si="634"/>
        <v>187497.68</v>
      </c>
      <c r="J697" s="76">
        <f t="shared" si="634"/>
        <v>62252.679999999993</v>
      </c>
      <c r="K697" s="76">
        <f t="shared" si="634"/>
        <v>43634.440000000031</v>
      </c>
      <c r="L697" s="76">
        <f t="shared" si="634"/>
        <v>92179.040000000008</v>
      </c>
      <c r="M697" s="76">
        <f t="shared" si="634"/>
        <v>176677.24000000002</v>
      </c>
      <c r="N697" s="22">
        <f t="shared" si="634"/>
        <v>84417.12</v>
      </c>
      <c r="P697" s="174"/>
    </row>
    <row r="698" spans="1:27" ht="15.75" thickBot="1">
      <c r="A698" s="368">
        <v>41138</v>
      </c>
      <c r="B698" s="368"/>
      <c r="C698" s="368"/>
      <c r="N698" s="15"/>
    </row>
    <row r="699" spans="1:27">
      <c r="A699" s="407" t="s">
        <v>1</v>
      </c>
      <c r="B699" s="420"/>
      <c r="C699" s="68" t="s">
        <v>12</v>
      </c>
      <c r="D699" s="68" t="s">
        <v>12</v>
      </c>
      <c r="E699" s="68" t="s">
        <v>13</v>
      </c>
      <c r="F699" s="68" t="s">
        <v>13</v>
      </c>
      <c r="G699" s="68" t="s">
        <v>13</v>
      </c>
      <c r="H699" s="68" t="s">
        <v>13</v>
      </c>
      <c r="I699" s="68" t="s">
        <v>13</v>
      </c>
      <c r="J699" s="68" t="s">
        <v>2</v>
      </c>
      <c r="K699" s="68" t="s">
        <v>2</v>
      </c>
      <c r="L699" s="68" t="s">
        <v>2</v>
      </c>
      <c r="M699" s="68" t="s">
        <v>2</v>
      </c>
      <c r="N699" s="4" t="s">
        <v>84</v>
      </c>
    </row>
    <row r="700" spans="1:27" ht="15.75" thickBot="1">
      <c r="A700" s="409" t="s">
        <v>0</v>
      </c>
      <c r="B700" s="414"/>
      <c r="C700" s="99" t="s">
        <v>102</v>
      </c>
      <c r="D700" s="99" t="s">
        <v>103</v>
      </c>
      <c r="E700" s="99" t="s">
        <v>104</v>
      </c>
      <c r="F700" s="99" t="s">
        <v>105</v>
      </c>
      <c r="G700" s="99" t="s">
        <v>100</v>
      </c>
      <c r="H700" s="99" t="s">
        <v>107</v>
      </c>
      <c r="I700" s="99" t="s">
        <v>106</v>
      </c>
      <c r="J700" s="99" t="s">
        <v>108</v>
      </c>
      <c r="K700" s="99" t="s">
        <v>110</v>
      </c>
      <c r="L700" s="99" t="s">
        <v>101</v>
      </c>
      <c r="M700" s="99" t="s">
        <v>109</v>
      </c>
      <c r="N700" s="101" t="s">
        <v>111</v>
      </c>
      <c r="Q700" s="14"/>
      <c r="R700" s="14"/>
      <c r="S700" s="14"/>
      <c r="T700" s="14"/>
      <c r="U700" s="14"/>
      <c r="V700" s="14"/>
      <c r="W700" s="14"/>
      <c r="X700" s="14"/>
      <c r="Y700" s="175"/>
      <c r="Z700" s="174"/>
      <c r="AA700" s="175"/>
    </row>
    <row r="701" spans="1:27">
      <c r="A701" s="421" t="s">
        <v>9</v>
      </c>
      <c r="B701" s="2" t="s">
        <v>4</v>
      </c>
      <c r="C701" s="96">
        <v>143392.20000000001</v>
      </c>
      <c r="D701" s="96">
        <v>150515.79999999999</v>
      </c>
      <c r="E701" s="96">
        <v>150515.79999999999</v>
      </c>
      <c r="F701" s="96">
        <v>181997.8</v>
      </c>
      <c r="G701" s="96">
        <v>165452.5</v>
      </c>
      <c r="H701" s="96">
        <v>110071.9</v>
      </c>
      <c r="I701" s="96">
        <v>121331.8</v>
      </c>
      <c r="J701" s="96">
        <v>170967.6</v>
      </c>
      <c r="K701" s="96">
        <v>132132.20000000001</v>
      </c>
      <c r="L701" s="96">
        <v>82726.3</v>
      </c>
      <c r="M701" s="96">
        <v>176482.7</v>
      </c>
      <c r="N701" s="100">
        <v>54921</v>
      </c>
      <c r="P701" s="104"/>
      <c r="Y701" s="104"/>
      <c r="Z701" s="104"/>
      <c r="AA701" s="104"/>
    </row>
    <row r="702" spans="1:27">
      <c r="A702" s="422"/>
      <c r="B702" s="63" t="s">
        <v>5</v>
      </c>
      <c r="C702" s="97">
        <v>89709.1</v>
      </c>
      <c r="D702" s="97">
        <v>69149.399999999994</v>
      </c>
      <c r="E702" s="97">
        <v>70507.8</v>
      </c>
      <c r="F702" s="97">
        <v>157381.20000000001</v>
      </c>
      <c r="G702" s="97">
        <v>34990.300000000003</v>
      </c>
      <c r="H702" s="97">
        <v>46112</v>
      </c>
      <c r="I702" s="97">
        <v>26870.2</v>
      </c>
      <c r="J702" s="97">
        <v>139961.70000000001</v>
      </c>
      <c r="K702" s="97">
        <v>41824.1</v>
      </c>
      <c r="L702" s="97">
        <v>21042.799999999999</v>
      </c>
      <c r="M702" s="97">
        <v>90304.6</v>
      </c>
      <c r="N702" s="102">
        <v>23270.2</v>
      </c>
      <c r="P702" s="104"/>
      <c r="Y702" s="104"/>
      <c r="Z702" s="104"/>
      <c r="AA702" s="104"/>
    </row>
    <row r="703" spans="1:27" ht="15.75" thickBot="1">
      <c r="A703" s="423"/>
      <c r="B703" s="3" t="s">
        <v>3</v>
      </c>
      <c r="C703" s="71">
        <f>C702/C701</f>
        <v>0.62562050097564581</v>
      </c>
      <c r="D703" s="72">
        <f t="shared" ref="D703:E703" si="635">D702/D701</f>
        <v>0.45941622075556188</v>
      </c>
      <c r="E703" s="72">
        <f t="shared" si="635"/>
        <v>0.46844118690529507</v>
      </c>
      <c r="F703" s="72">
        <f>F702/F701</f>
        <v>0.86474232106102389</v>
      </c>
      <c r="G703" s="72">
        <f>G702/G701</f>
        <v>0.2114824496456687</v>
      </c>
      <c r="H703" s="72">
        <f t="shared" ref="H703:N703" si="636">H702/H701</f>
        <v>0.41892617461859022</v>
      </c>
      <c r="I703" s="72">
        <f t="shared" si="636"/>
        <v>0.22146049098422674</v>
      </c>
      <c r="J703" s="72">
        <f t="shared" si="636"/>
        <v>0.81864458528984441</v>
      </c>
      <c r="K703" s="72">
        <f t="shared" si="636"/>
        <v>0.31653223059935426</v>
      </c>
      <c r="L703" s="72">
        <f t="shared" si="636"/>
        <v>0.25436650738640554</v>
      </c>
      <c r="M703" s="72">
        <f t="shared" si="636"/>
        <v>0.51169094761129563</v>
      </c>
      <c r="N703" s="83">
        <f t="shared" si="636"/>
        <v>0.42370313723348085</v>
      </c>
      <c r="P703" s="104"/>
      <c r="Y703" s="104"/>
      <c r="Z703" s="104"/>
      <c r="AA703" s="104"/>
    </row>
    <row r="704" spans="1:27">
      <c r="A704" s="411" t="s">
        <v>6</v>
      </c>
      <c r="B704" s="27" t="s">
        <v>7</v>
      </c>
      <c r="C704" s="68">
        <v>5155</v>
      </c>
      <c r="D704" s="68">
        <v>3240</v>
      </c>
      <c r="E704" s="68">
        <v>3237</v>
      </c>
      <c r="F704" s="68">
        <v>9568</v>
      </c>
      <c r="G704" s="68">
        <v>6099</v>
      </c>
      <c r="H704" s="68">
        <v>12304</v>
      </c>
      <c r="I704" s="68">
        <f>(3999-2000)</f>
        <v>1999</v>
      </c>
      <c r="J704" s="68">
        <v>9193</v>
      </c>
      <c r="K704" s="68">
        <v>8610</v>
      </c>
      <c r="L704" s="68">
        <v>3600</v>
      </c>
      <c r="M704" s="68">
        <f>5451-2614</f>
        <v>2837</v>
      </c>
      <c r="N704" s="80">
        <v>800</v>
      </c>
      <c r="P704" s="104"/>
      <c r="Y704" s="104"/>
      <c r="Z704" s="104"/>
      <c r="AA704" s="104"/>
    </row>
    <row r="705" spans="1:27">
      <c r="A705" s="412"/>
      <c r="B705" s="28" t="s">
        <v>11</v>
      </c>
      <c r="C705" s="73">
        <f t="shared" ref="C705:I705" si="637">C704*33.72</f>
        <v>173826.6</v>
      </c>
      <c r="D705" s="73">
        <f t="shared" si="637"/>
        <v>109252.8</v>
      </c>
      <c r="E705" s="73">
        <f t="shared" si="637"/>
        <v>109151.64</v>
      </c>
      <c r="F705" s="73">
        <f t="shared" si="637"/>
        <v>322632.95999999996</v>
      </c>
      <c r="G705" s="73">
        <f t="shared" si="637"/>
        <v>205658.28</v>
      </c>
      <c r="H705" s="73">
        <f t="shared" si="637"/>
        <v>414890.88</v>
      </c>
      <c r="I705" s="73">
        <f t="shared" si="637"/>
        <v>67406.28</v>
      </c>
      <c r="J705" s="73">
        <f>J704*33.72</f>
        <v>309987.95999999996</v>
      </c>
      <c r="K705" s="73">
        <f t="shared" ref="K705:N705" si="638">K704*33.72</f>
        <v>290329.2</v>
      </c>
      <c r="L705" s="73">
        <f t="shared" si="638"/>
        <v>121392</v>
      </c>
      <c r="M705" s="73">
        <f t="shared" si="638"/>
        <v>95663.64</v>
      </c>
      <c r="N705" s="84">
        <f t="shared" si="638"/>
        <v>26976</v>
      </c>
      <c r="P705" s="104"/>
      <c r="Y705" s="104"/>
      <c r="Z705" s="104"/>
      <c r="AA705" s="104"/>
    </row>
    <row r="706" spans="1:27">
      <c r="A706" s="412"/>
      <c r="B706" s="28" t="s">
        <v>79</v>
      </c>
      <c r="C706" s="73">
        <v>164000</v>
      </c>
      <c r="D706" s="73">
        <v>109880</v>
      </c>
      <c r="E706" s="73">
        <v>109880</v>
      </c>
      <c r="F706" s="73">
        <v>328000</v>
      </c>
      <c r="G706" s="73">
        <f>G701*2</f>
        <v>330905</v>
      </c>
      <c r="H706" s="73">
        <f>H701*2</f>
        <v>220143.8</v>
      </c>
      <c r="I706" s="73">
        <f>I701*2</f>
        <v>242663.6</v>
      </c>
      <c r="J706" s="73">
        <v>328000</v>
      </c>
      <c r="K706" s="73">
        <f>K701*2</f>
        <v>264264.40000000002</v>
      </c>
      <c r="L706" s="73">
        <v>328000</v>
      </c>
      <c r="M706" s="73">
        <f>2*M701</f>
        <v>352965.4</v>
      </c>
      <c r="N706" s="84">
        <f>2*N701</f>
        <v>109842</v>
      </c>
      <c r="P706" s="104"/>
      <c r="Y706" s="104"/>
      <c r="Z706" s="104"/>
      <c r="AA706" s="104"/>
    </row>
    <row r="707" spans="1:27">
      <c r="A707" s="412"/>
      <c r="B707" s="66" t="s">
        <v>8</v>
      </c>
      <c r="C707" s="98">
        <f>SUM(C704-334)</f>
        <v>4821</v>
      </c>
      <c r="D707" s="98">
        <f>SUM(D704-534)</f>
        <v>2706</v>
      </c>
      <c r="E707" s="98">
        <f>SUM(E704-552)</f>
        <v>2685</v>
      </c>
      <c r="F707" s="98">
        <f>SUM(F704-1141)</f>
        <v>8427</v>
      </c>
      <c r="G707" s="98">
        <f>SUM(G704-4810)</f>
        <v>1289</v>
      </c>
      <c r="H707" s="98">
        <f>SUM(H704-2096)</f>
        <v>10208</v>
      </c>
      <c r="I707" s="98">
        <f>SUM(I704-(2363-2000))</f>
        <v>1636</v>
      </c>
      <c r="J707" s="98">
        <f>SUM(J704-1408)</f>
        <v>7785</v>
      </c>
      <c r="K707" s="98">
        <f>SUM(K704-2067)</f>
        <v>6543</v>
      </c>
      <c r="L707" s="98">
        <f>SUM(L704-1227)</f>
        <v>2373</v>
      </c>
      <c r="M707" s="98">
        <f>SUM(M704-(2837-2614))</f>
        <v>2614</v>
      </c>
      <c r="N707" s="103">
        <f>SUM(N704-46)</f>
        <v>754</v>
      </c>
      <c r="P707" s="14" t="s">
        <v>192</v>
      </c>
    </row>
    <row r="708" spans="1:27">
      <c r="A708" s="412"/>
      <c r="B708" s="29" t="s">
        <v>77</v>
      </c>
      <c r="C708" s="75">
        <f>C707*33.72</f>
        <v>162564.12</v>
      </c>
      <c r="D708" s="75">
        <f>D707*33.72</f>
        <v>91246.319999999992</v>
      </c>
      <c r="E708" s="75">
        <f>E707*33.72</f>
        <v>90538.2</v>
      </c>
      <c r="F708" s="75">
        <f>F707*33.72</f>
        <v>284158.44</v>
      </c>
      <c r="G708" s="75">
        <f>G707*33.72*2</f>
        <v>86930.16</v>
      </c>
      <c r="H708" s="75">
        <f>H707*33.72</f>
        <v>344213.76000000001</v>
      </c>
      <c r="I708" s="75">
        <f>I707*33.72</f>
        <v>55165.919999999998</v>
      </c>
      <c r="J708" s="75">
        <f>J707*33.72</f>
        <v>262510.2</v>
      </c>
      <c r="K708" s="75">
        <f>K707*33.72</f>
        <v>220629.96</v>
      </c>
      <c r="L708" s="75">
        <f>L707*33.72</f>
        <v>80017.56</v>
      </c>
      <c r="M708" s="75">
        <f>M707*33.72*2</f>
        <v>176288.16</v>
      </c>
      <c r="N708" s="11">
        <f>N707*33.72</f>
        <v>25424.879999999997</v>
      </c>
      <c r="P708" s="89">
        <f>344240-H708</f>
        <v>26.239999999990687</v>
      </c>
      <c r="Q708" s="104" t="s">
        <v>193</v>
      </c>
    </row>
    <row r="709" spans="1:27" ht="15.75" thickBot="1">
      <c r="A709" s="412"/>
      <c r="B709" s="30" t="s">
        <v>10</v>
      </c>
      <c r="C709" s="72">
        <f>C708/C701</f>
        <v>1.1337026700197081</v>
      </c>
      <c r="D709" s="72">
        <f t="shared" ref="D709" si="639">D708/D701</f>
        <v>0.60622419706103947</v>
      </c>
      <c r="E709" s="72">
        <f t="shared" ref="E709" si="640">E708/E701</f>
        <v>0.60151957468916883</v>
      </c>
      <c r="F709" s="72">
        <f t="shared" ref="F709" si="641">F708/F701</f>
        <v>1.561328983097598</v>
      </c>
      <c r="G709" s="72">
        <f t="shared" ref="G709" si="642">G708/G701</f>
        <v>0.52540856136957736</v>
      </c>
      <c r="H709" s="72">
        <f t="shared" ref="H709" si="643">H708/H701</f>
        <v>3.1271719666872291</v>
      </c>
      <c r="I709" s="72">
        <f t="shared" ref="I709" si="644">I708/I701</f>
        <v>0.45466992165285602</v>
      </c>
      <c r="J709" s="72">
        <f t="shared" ref="J709" si="645">J708/J701</f>
        <v>1.5354382935714135</v>
      </c>
      <c r="K709" s="72">
        <f t="shared" ref="K709" si="646">K708/K701</f>
        <v>1.6697667941652374</v>
      </c>
      <c r="L709" s="72">
        <f t="shared" ref="L709" si="647">L708/L701</f>
        <v>0.96725660400622282</v>
      </c>
      <c r="M709" s="72">
        <f t="shared" ref="M709" si="648">M708/M701</f>
        <v>0.99889768232240328</v>
      </c>
      <c r="N709" s="72">
        <f t="shared" ref="N709" si="649">N708/N701</f>
        <v>0.46293548915715294</v>
      </c>
      <c r="P709" s="175"/>
    </row>
    <row r="710" spans="1:27" ht="15.75" thickBot="1">
      <c r="A710" s="424" t="s">
        <v>83</v>
      </c>
      <c r="B710" s="425"/>
      <c r="C710" s="76">
        <f>MIN(2*C701,C706)-C708</f>
        <v>1435.8800000000047</v>
      </c>
      <c r="D710" s="76">
        <f t="shared" ref="D710:N710" si="650">MIN(2*D701,D706)-D708</f>
        <v>18633.680000000008</v>
      </c>
      <c r="E710" s="76">
        <f t="shared" si="650"/>
        <v>19341.800000000003</v>
      </c>
      <c r="F710" s="76">
        <f t="shared" si="650"/>
        <v>43841.56</v>
      </c>
      <c r="G710" s="76">
        <f t="shared" si="650"/>
        <v>243974.84</v>
      </c>
      <c r="H710" s="76">
        <f t="shared" si="650"/>
        <v>-124069.96000000002</v>
      </c>
      <c r="I710" s="76">
        <f t="shared" si="650"/>
        <v>187497.68</v>
      </c>
      <c r="J710" s="76">
        <f t="shared" si="650"/>
        <v>65489.799999999988</v>
      </c>
      <c r="K710" s="76">
        <f t="shared" si="650"/>
        <v>43634.440000000031</v>
      </c>
      <c r="L710" s="76">
        <f t="shared" si="650"/>
        <v>85435.040000000008</v>
      </c>
      <c r="M710" s="76">
        <f t="shared" si="650"/>
        <v>176677.24000000002</v>
      </c>
      <c r="N710" s="22">
        <f t="shared" si="650"/>
        <v>84417.12</v>
      </c>
      <c r="P710" s="174"/>
    </row>
    <row r="711" spans="1:27" ht="15.75" thickBot="1">
      <c r="A711" s="368">
        <v>41137</v>
      </c>
      <c r="B711" s="368"/>
      <c r="C711" s="368"/>
      <c r="N711" s="15"/>
    </row>
    <row r="712" spans="1:27">
      <c r="A712" s="407" t="s">
        <v>1</v>
      </c>
      <c r="B712" s="420"/>
      <c r="C712" s="68" t="s">
        <v>12</v>
      </c>
      <c r="D712" s="68" t="s">
        <v>12</v>
      </c>
      <c r="E712" s="68" t="s">
        <v>13</v>
      </c>
      <c r="F712" s="68" t="s">
        <v>13</v>
      </c>
      <c r="G712" s="68" t="s">
        <v>13</v>
      </c>
      <c r="H712" s="68" t="s">
        <v>13</v>
      </c>
      <c r="I712" s="68" t="s">
        <v>13</v>
      </c>
      <c r="J712" s="68" t="s">
        <v>2</v>
      </c>
      <c r="K712" s="68" t="s">
        <v>2</v>
      </c>
      <c r="L712" s="68" t="s">
        <v>2</v>
      </c>
      <c r="M712" s="68" t="s">
        <v>2</v>
      </c>
      <c r="N712" s="4" t="s">
        <v>84</v>
      </c>
    </row>
    <row r="713" spans="1:27" ht="15.75" thickBot="1">
      <c r="A713" s="409" t="s">
        <v>0</v>
      </c>
      <c r="B713" s="414"/>
      <c r="C713" s="99" t="s">
        <v>102</v>
      </c>
      <c r="D713" s="99" t="s">
        <v>103</v>
      </c>
      <c r="E713" s="99" t="s">
        <v>104</v>
      </c>
      <c r="F713" s="99" t="s">
        <v>105</v>
      </c>
      <c r="G713" s="99" t="s">
        <v>100</v>
      </c>
      <c r="H713" s="99" t="s">
        <v>107</v>
      </c>
      <c r="I713" s="99" t="s">
        <v>106</v>
      </c>
      <c r="J713" s="99" t="s">
        <v>108</v>
      </c>
      <c r="K713" s="99" t="s">
        <v>110</v>
      </c>
      <c r="L713" s="99" t="s">
        <v>101</v>
      </c>
      <c r="M713" s="99" t="s">
        <v>109</v>
      </c>
      <c r="N713" s="101" t="s">
        <v>111</v>
      </c>
      <c r="Q713" s="14"/>
      <c r="R713" s="14"/>
      <c r="S713" s="14"/>
      <c r="T713" s="14"/>
      <c r="U713" s="14"/>
      <c r="V713" s="14"/>
      <c r="W713" s="14"/>
      <c r="X713" s="14"/>
      <c r="Y713" s="175"/>
      <c r="Z713" s="174"/>
      <c r="AA713" s="175"/>
    </row>
    <row r="714" spans="1:27">
      <c r="A714" s="421" t="s">
        <v>9</v>
      </c>
      <c r="B714" s="2" t="s">
        <v>4</v>
      </c>
      <c r="C714" s="96">
        <v>143392.20000000001</v>
      </c>
      <c r="D714" s="96">
        <v>150515.79999999999</v>
      </c>
      <c r="E714" s="96">
        <v>150515.79999999999</v>
      </c>
      <c r="F714" s="96">
        <v>181997.8</v>
      </c>
      <c r="G714" s="96">
        <v>165452.5</v>
      </c>
      <c r="H714" s="96">
        <v>110071.9</v>
      </c>
      <c r="I714" s="96">
        <v>121331.8</v>
      </c>
      <c r="J714" s="96">
        <v>170967.6</v>
      </c>
      <c r="K714" s="96">
        <v>132132.20000000001</v>
      </c>
      <c r="L714" s="96">
        <v>82726.3</v>
      </c>
      <c r="M714" s="96">
        <v>176482.7</v>
      </c>
      <c r="N714" s="100">
        <v>54921</v>
      </c>
      <c r="P714" s="104"/>
      <c r="Y714" s="104"/>
      <c r="Z714" s="104"/>
      <c r="AA714" s="104"/>
    </row>
    <row r="715" spans="1:27">
      <c r="A715" s="422"/>
      <c r="B715" s="63" t="s">
        <v>5</v>
      </c>
      <c r="C715" s="97">
        <v>89698.1</v>
      </c>
      <c r="D715" s="97">
        <v>69144.2</v>
      </c>
      <c r="E715" s="97">
        <v>70501.8</v>
      </c>
      <c r="F715" s="97">
        <v>157311.1</v>
      </c>
      <c r="G715" s="97">
        <v>34940.199999999997</v>
      </c>
      <c r="H715" s="97">
        <v>47925.4</v>
      </c>
      <c r="I715" s="97">
        <v>26235.4</v>
      </c>
      <c r="J715" s="97">
        <v>139874.79999999999</v>
      </c>
      <c r="K715" s="97">
        <v>46233.1</v>
      </c>
      <c r="L715" s="97">
        <v>20998.6</v>
      </c>
      <c r="M715" s="97">
        <v>90149.7</v>
      </c>
      <c r="N715" s="102">
        <v>23270.2</v>
      </c>
      <c r="P715" s="104"/>
      <c r="Y715" s="104"/>
      <c r="Z715" s="104"/>
      <c r="AA715" s="104"/>
    </row>
    <row r="716" spans="1:27" ht="15.75" thickBot="1">
      <c r="A716" s="423"/>
      <c r="B716" s="3" t="s">
        <v>3</v>
      </c>
      <c r="C716" s="71">
        <f>C715/C714</f>
        <v>0.62554378829531865</v>
      </c>
      <c r="D716" s="72">
        <f t="shared" ref="D716:E716" si="651">D715/D714</f>
        <v>0.45938167288749754</v>
      </c>
      <c r="E716" s="72">
        <f t="shared" si="651"/>
        <v>0.46840132398060541</v>
      </c>
      <c r="F716" s="72">
        <f>F715/F714</f>
        <v>0.86435715156996407</v>
      </c>
      <c r="G716" s="72">
        <f>G715/G714</f>
        <v>0.21117964370438644</v>
      </c>
      <c r="H716" s="72">
        <f t="shared" ref="H716:N716" si="652">H715/H714</f>
        <v>0.43540086071013584</v>
      </c>
      <c r="I716" s="72">
        <f t="shared" si="652"/>
        <v>0.21622855673450819</v>
      </c>
      <c r="J716" s="72">
        <f t="shared" si="652"/>
        <v>0.81813630184900521</v>
      </c>
      <c r="K716" s="72">
        <f t="shared" si="652"/>
        <v>0.34990032709665014</v>
      </c>
      <c r="L716" s="72">
        <f t="shared" si="652"/>
        <v>0.25383221538978534</v>
      </c>
      <c r="M716" s="72">
        <f t="shared" si="652"/>
        <v>0.51081324118454663</v>
      </c>
      <c r="N716" s="83">
        <f t="shared" si="652"/>
        <v>0.42370313723348085</v>
      </c>
      <c r="P716" s="104"/>
      <c r="Y716" s="104"/>
      <c r="Z716" s="104"/>
      <c r="AA716" s="104"/>
    </row>
    <row r="717" spans="1:27">
      <c r="A717" s="411" t="s">
        <v>6</v>
      </c>
      <c r="B717" s="27" t="s">
        <v>7</v>
      </c>
      <c r="C717" s="68">
        <v>5155</v>
      </c>
      <c r="D717" s="68">
        <v>3240</v>
      </c>
      <c r="E717" s="68">
        <v>3237</v>
      </c>
      <c r="F717" s="68">
        <v>9568</v>
      </c>
      <c r="G717" s="68">
        <v>5299</v>
      </c>
      <c r="H717" s="68">
        <v>11504</v>
      </c>
      <c r="I717" s="68">
        <f>(3999-2000)</f>
        <v>1999</v>
      </c>
      <c r="J717" s="68">
        <v>9193</v>
      </c>
      <c r="K717" s="68">
        <v>8610</v>
      </c>
      <c r="L717" s="68">
        <v>3600</v>
      </c>
      <c r="M717" s="68">
        <f>5451-2614</f>
        <v>2837</v>
      </c>
      <c r="N717" s="80">
        <v>800</v>
      </c>
      <c r="P717" s="104"/>
      <c r="Y717" s="104"/>
      <c r="Z717" s="104"/>
      <c r="AA717" s="104"/>
    </row>
    <row r="718" spans="1:27">
      <c r="A718" s="412"/>
      <c r="B718" s="28" t="s">
        <v>11</v>
      </c>
      <c r="C718" s="73">
        <f t="shared" ref="C718:I718" si="653">C717*33.72</f>
        <v>173826.6</v>
      </c>
      <c r="D718" s="73">
        <f t="shared" si="653"/>
        <v>109252.8</v>
      </c>
      <c r="E718" s="73">
        <f t="shared" si="653"/>
        <v>109151.64</v>
      </c>
      <c r="F718" s="73">
        <f t="shared" si="653"/>
        <v>322632.95999999996</v>
      </c>
      <c r="G718" s="73">
        <f t="shared" si="653"/>
        <v>178682.28</v>
      </c>
      <c r="H718" s="73">
        <f t="shared" si="653"/>
        <v>387914.88</v>
      </c>
      <c r="I718" s="73">
        <f t="shared" si="653"/>
        <v>67406.28</v>
      </c>
      <c r="J718" s="73">
        <f>J717*33.72</f>
        <v>309987.95999999996</v>
      </c>
      <c r="K718" s="73">
        <f t="shared" ref="K718:N718" si="654">K717*33.72</f>
        <v>290329.2</v>
      </c>
      <c r="L718" s="73">
        <f t="shared" si="654"/>
        <v>121392</v>
      </c>
      <c r="M718" s="73">
        <f t="shared" si="654"/>
        <v>95663.64</v>
      </c>
      <c r="N718" s="84">
        <f t="shared" si="654"/>
        <v>26976</v>
      </c>
      <c r="P718" s="104"/>
      <c r="Y718" s="104"/>
      <c r="Z718" s="104"/>
      <c r="AA718" s="104"/>
    </row>
    <row r="719" spans="1:27">
      <c r="A719" s="412"/>
      <c r="B719" s="28" t="s">
        <v>79</v>
      </c>
      <c r="C719" s="73">
        <v>164000</v>
      </c>
      <c r="D719" s="73">
        <v>109880</v>
      </c>
      <c r="E719" s="73">
        <v>109880</v>
      </c>
      <c r="F719" s="73">
        <v>328000</v>
      </c>
      <c r="G719" s="73">
        <f>G714*2</f>
        <v>330905</v>
      </c>
      <c r="H719" s="73">
        <f>H714*2</f>
        <v>220143.8</v>
      </c>
      <c r="I719" s="73">
        <f>I714*2</f>
        <v>242663.6</v>
      </c>
      <c r="J719" s="73">
        <v>328000</v>
      </c>
      <c r="K719" s="73">
        <f>K714*2</f>
        <v>264264.40000000002</v>
      </c>
      <c r="L719" s="73">
        <v>328000</v>
      </c>
      <c r="M719" s="73">
        <f>2*M714</f>
        <v>352965.4</v>
      </c>
      <c r="N719" s="84">
        <f>2*N714</f>
        <v>109842</v>
      </c>
      <c r="P719" s="104"/>
      <c r="Y719" s="104"/>
      <c r="Z719" s="104"/>
      <c r="AA719" s="104"/>
    </row>
    <row r="720" spans="1:27">
      <c r="A720" s="412"/>
      <c r="B720" s="66" t="s">
        <v>8</v>
      </c>
      <c r="C720" s="98">
        <f>SUM(C717-447)</f>
        <v>4708</v>
      </c>
      <c r="D720" s="98">
        <f>SUM(D717-534)</f>
        <v>2706</v>
      </c>
      <c r="E720" s="98">
        <f>SUM(E717-552)</f>
        <v>2685</v>
      </c>
      <c r="F720" s="98">
        <f>SUM(F717-1141)</f>
        <v>8427</v>
      </c>
      <c r="G720" s="98">
        <f>SUM(G717-4810)</f>
        <v>489</v>
      </c>
      <c r="H720" s="98">
        <f>SUM(H717-2210)</f>
        <v>9294</v>
      </c>
      <c r="I720" s="98">
        <f>SUM(I717-(2363-2000))</f>
        <v>1636</v>
      </c>
      <c r="J720" s="98">
        <f>SUM(J717-1380)</f>
        <v>7813</v>
      </c>
      <c r="K720" s="98">
        <f>SUM(K717-2067)</f>
        <v>6543</v>
      </c>
      <c r="L720" s="98">
        <f>SUM(L717-1227)</f>
        <v>2373</v>
      </c>
      <c r="M720" s="98">
        <f>SUM(M717-(2837-2614))</f>
        <v>2614</v>
      </c>
      <c r="N720" s="103">
        <f>SUM(N717-46)</f>
        <v>754</v>
      </c>
      <c r="P720" s="14" t="s">
        <v>192</v>
      </c>
    </row>
    <row r="721" spans="1:27">
      <c r="A721" s="412"/>
      <c r="B721" s="29" t="s">
        <v>77</v>
      </c>
      <c r="C721" s="75">
        <f>C720*33.72</f>
        <v>158753.75999999998</v>
      </c>
      <c r="D721" s="75">
        <f>D720*33.72</f>
        <v>91246.319999999992</v>
      </c>
      <c r="E721" s="75">
        <f>E720*33.72</f>
        <v>90538.2</v>
      </c>
      <c r="F721" s="75">
        <f>F720*33.72</f>
        <v>284158.44</v>
      </c>
      <c r="G721" s="75">
        <f>G720*33.72*2</f>
        <v>32978.159999999996</v>
      </c>
      <c r="H721" s="75">
        <f>H720*33.72</f>
        <v>313393.68</v>
      </c>
      <c r="I721" s="75">
        <f>I720*33.72</f>
        <v>55165.919999999998</v>
      </c>
      <c r="J721" s="75">
        <f>J720*33.72</f>
        <v>263454.36</v>
      </c>
      <c r="K721" s="75">
        <f>K720*33.72</f>
        <v>220629.96</v>
      </c>
      <c r="L721" s="75">
        <f>L720*33.72</f>
        <v>80017.56</v>
      </c>
      <c r="M721" s="75">
        <f>M720*33.72*2</f>
        <v>176288.16</v>
      </c>
      <c r="N721" s="11">
        <f>N720*33.72</f>
        <v>25424.879999999997</v>
      </c>
      <c r="P721" s="89">
        <f>334000-H721</f>
        <v>20606.320000000007</v>
      </c>
      <c r="Q721" s="104" t="s">
        <v>193</v>
      </c>
    </row>
    <row r="722" spans="1:27" ht="15.75" thickBot="1">
      <c r="A722" s="412"/>
      <c r="B722" s="30" t="s">
        <v>10</v>
      </c>
      <c r="C722" s="72">
        <f>C721/C714</f>
        <v>1.1071296765096008</v>
      </c>
      <c r="D722" s="72">
        <f t="shared" ref="D722" si="655">D721/D714</f>
        <v>0.60622419706103947</v>
      </c>
      <c r="E722" s="72">
        <f t="shared" ref="E722" si="656">E721/E714</f>
        <v>0.60151957468916883</v>
      </c>
      <c r="F722" s="72">
        <f t="shared" ref="F722" si="657">F721/F714</f>
        <v>1.561328983097598</v>
      </c>
      <c r="G722" s="72">
        <f t="shared" ref="G722" si="658">G721/G714</f>
        <v>0.19932101358395912</v>
      </c>
      <c r="H722" s="72">
        <f t="shared" ref="H722" si="659">H721/H714</f>
        <v>2.8471724391057118</v>
      </c>
      <c r="I722" s="72">
        <f t="shared" ref="I722" si="660">I721/I714</f>
        <v>0.45466992165285602</v>
      </c>
      <c r="J722" s="72">
        <f t="shared" ref="J722" si="661">J721/J714</f>
        <v>1.5409607434391077</v>
      </c>
      <c r="K722" s="72">
        <f t="shared" ref="K722" si="662">K721/K714</f>
        <v>1.6697667941652374</v>
      </c>
      <c r="L722" s="72">
        <f t="shared" ref="L722" si="663">L721/L714</f>
        <v>0.96725660400622282</v>
      </c>
      <c r="M722" s="72">
        <f t="shared" ref="M722" si="664">M721/M714</f>
        <v>0.99889768232240328</v>
      </c>
      <c r="N722" s="72">
        <f t="shared" ref="N722" si="665">N721/N714</f>
        <v>0.46293548915715294</v>
      </c>
      <c r="P722" s="175"/>
    </row>
    <row r="723" spans="1:27" ht="15.75" thickBot="1">
      <c r="A723" s="424" t="s">
        <v>83</v>
      </c>
      <c r="B723" s="425"/>
      <c r="C723" s="76">
        <f>MIN(2*C714,C719)-C721</f>
        <v>5246.2400000000198</v>
      </c>
      <c r="D723" s="76">
        <f t="shared" ref="D723:N723" si="666">MIN(2*D714,D719)-D721</f>
        <v>18633.680000000008</v>
      </c>
      <c r="E723" s="76">
        <f t="shared" si="666"/>
        <v>19341.800000000003</v>
      </c>
      <c r="F723" s="76">
        <f t="shared" si="666"/>
        <v>43841.56</v>
      </c>
      <c r="G723" s="76">
        <f t="shared" si="666"/>
        <v>297926.84000000003</v>
      </c>
      <c r="H723" s="76">
        <f t="shared" si="666"/>
        <v>-93249.88</v>
      </c>
      <c r="I723" s="76">
        <f t="shared" si="666"/>
        <v>187497.68</v>
      </c>
      <c r="J723" s="76">
        <f t="shared" si="666"/>
        <v>64545.640000000014</v>
      </c>
      <c r="K723" s="76">
        <f t="shared" si="666"/>
        <v>43634.440000000031</v>
      </c>
      <c r="L723" s="76">
        <f t="shared" si="666"/>
        <v>85435.040000000008</v>
      </c>
      <c r="M723" s="76">
        <f t="shared" si="666"/>
        <v>176677.24000000002</v>
      </c>
      <c r="N723" s="22">
        <f t="shared" si="666"/>
        <v>84417.12</v>
      </c>
      <c r="P723" s="174"/>
    </row>
    <row r="724" spans="1:27" ht="15.75" thickBot="1">
      <c r="A724" s="368">
        <v>41135</v>
      </c>
      <c r="B724" s="368"/>
      <c r="C724" s="368"/>
      <c r="N724" s="15"/>
    </row>
    <row r="725" spans="1:27">
      <c r="A725" s="407" t="s">
        <v>1</v>
      </c>
      <c r="B725" s="420"/>
      <c r="C725" s="68" t="s">
        <v>12</v>
      </c>
      <c r="D725" s="68" t="s">
        <v>12</v>
      </c>
      <c r="E725" s="68" t="s">
        <v>13</v>
      </c>
      <c r="F725" s="68" t="s">
        <v>13</v>
      </c>
      <c r="G725" s="68" t="s">
        <v>13</v>
      </c>
      <c r="H725" s="68" t="s">
        <v>13</v>
      </c>
      <c r="I725" s="68" t="s">
        <v>13</v>
      </c>
      <c r="J725" s="68" t="s">
        <v>2</v>
      </c>
      <c r="K725" s="68" t="s">
        <v>2</v>
      </c>
      <c r="L725" s="68" t="s">
        <v>2</v>
      </c>
      <c r="M725" s="68" t="s">
        <v>2</v>
      </c>
      <c r="N725" s="4" t="s">
        <v>84</v>
      </c>
    </row>
    <row r="726" spans="1:27" ht="15.75" thickBot="1">
      <c r="A726" s="409" t="s">
        <v>0</v>
      </c>
      <c r="B726" s="414"/>
      <c r="C726" s="99" t="s">
        <v>102</v>
      </c>
      <c r="D726" s="99" t="s">
        <v>103</v>
      </c>
      <c r="E726" s="99" t="s">
        <v>104</v>
      </c>
      <c r="F726" s="99" t="s">
        <v>105</v>
      </c>
      <c r="G726" s="99" t="s">
        <v>100</v>
      </c>
      <c r="H726" s="99" t="s">
        <v>107</v>
      </c>
      <c r="I726" s="99" t="s">
        <v>106</v>
      </c>
      <c r="J726" s="99" t="s">
        <v>108</v>
      </c>
      <c r="K726" s="99" t="s">
        <v>110</v>
      </c>
      <c r="L726" s="99" t="s">
        <v>101</v>
      </c>
      <c r="M726" s="99" t="s">
        <v>109</v>
      </c>
      <c r="N726" s="101" t="s">
        <v>111</v>
      </c>
      <c r="Q726" s="14"/>
      <c r="R726" s="14"/>
      <c r="S726" s="14"/>
      <c r="T726" s="14"/>
      <c r="U726" s="14"/>
      <c r="V726" s="14"/>
      <c r="W726" s="14"/>
      <c r="X726" s="14"/>
      <c r="Y726" s="175"/>
      <c r="Z726" s="174"/>
      <c r="AA726" s="175"/>
    </row>
    <row r="727" spans="1:27">
      <c r="A727" s="421" t="s">
        <v>9</v>
      </c>
      <c r="B727" s="2" t="s">
        <v>4</v>
      </c>
      <c r="C727" s="96">
        <v>143392.20000000001</v>
      </c>
      <c r="D727" s="96">
        <v>150515.79999999999</v>
      </c>
      <c r="E727" s="96">
        <v>150515.79999999999</v>
      </c>
      <c r="F727" s="96">
        <v>181997.8</v>
      </c>
      <c r="G727" s="96">
        <v>165452.5</v>
      </c>
      <c r="H727" s="96">
        <v>110071.9</v>
      </c>
      <c r="I727" s="96">
        <v>121331.8</v>
      </c>
      <c r="J727" s="96">
        <v>170967.6</v>
      </c>
      <c r="K727" s="96">
        <v>132132.20000000001</v>
      </c>
      <c r="L727" s="96">
        <v>82726.3</v>
      </c>
      <c r="M727" s="96">
        <v>176482.7</v>
      </c>
      <c r="N727" s="100">
        <v>54921</v>
      </c>
      <c r="P727" s="104"/>
      <c r="Y727" s="104"/>
      <c r="Z727" s="104"/>
      <c r="AA727" s="104"/>
    </row>
    <row r="728" spans="1:27">
      <c r="A728" s="422"/>
      <c r="B728" s="63" t="s">
        <v>5</v>
      </c>
      <c r="C728" s="97">
        <v>93063.6</v>
      </c>
      <c r="D728" s="97">
        <v>68909.100000000006</v>
      </c>
      <c r="E728" s="97">
        <v>70269.8</v>
      </c>
      <c r="F728" s="97">
        <v>155965.29999999999</v>
      </c>
      <c r="G728" s="97">
        <v>34819.1</v>
      </c>
      <c r="H728" s="97">
        <v>47616.800000000003</v>
      </c>
      <c r="I728" s="97">
        <v>26128.1</v>
      </c>
      <c r="J728" s="97">
        <v>139765.29999999999</v>
      </c>
      <c r="K728" s="97">
        <v>56660.1</v>
      </c>
      <c r="L728" s="97">
        <v>20918.900000000001</v>
      </c>
      <c r="M728" s="97">
        <v>89940</v>
      </c>
      <c r="N728" s="102">
        <v>23270.2</v>
      </c>
      <c r="P728" s="104"/>
      <c r="Y728" s="104"/>
      <c r="Z728" s="104"/>
      <c r="AA728" s="104"/>
    </row>
    <row r="729" spans="1:27" ht="15.75" thickBot="1">
      <c r="A729" s="423"/>
      <c r="B729" s="3" t="s">
        <v>3</v>
      </c>
      <c r="C729" s="71">
        <f>C728/C727</f>
        <v>0.64901438153539726</v>
      </c>
      <c r="D729" s="72">
        <f t="shared" ref="D729:E729" si="667">D728/D727</f>
        <v>0.45781971062174209</v>
      </c>
      <c r="E729" s="72">
        <f t="shared" si="667"/>
        <v>0.4668599575592729</v>
      </c>
      <c r="F729" s="72">
        <f>F728/F727</f>
        <v>0.85696255669024568</v>
      </c>
      <c r="G729" s="72">
        <f>G728/G727</f>
        <v>0.21044771157885192</v>
      </c>
      <c r="H729" s="72">
        <f t="shared" ref="H729:N729" si="668">H728/H727</f>
        <v>0.43259723871396794</v>
      </c>
      <c r="I729" s="72">
        <f t="shared" si="668"/>
        <v>0.21534420489929268</v>
      </c>
      <c r="J729" s="72">
        <f t="shared" si="668"/>
        <v>0.81749582961917922</v>
      </c>
      <c r="K729" s="72">
        <f t="shared" si="668"/>
        <v>0.42881371838204457</v>
      </c>
      <c r="L729" s="72">
        <f t="shared" si="668"/>
        <v>0.25286879746827795</v>
      </c>
      <c r="M729" s="72">
        <f t="shared" si="668"/>
        <v>0.50962502273593957</v>
      </c>
      <c r="N729" s="83">
        <f t="shared" si="668"/>
        <v>0.42370313723348085</v>
      </c>
      <c r="P729" s="104"/>
      <c r="Y729" s="104"/>
      <c r="Z729" s="104"/>
      <c r="AA729" s="104"/>
    </row>
    <row r="730" spans="1:27">
      <c r="A730" s="411" t="s">
        <v>6</v>
      </c>
      <c r="B730" s="27" t="s">
        <v>7</v>
      </c>
      <c r="C730" s="68">
        <v>5155</v>
      </c>
      <c r="D730" s="68">
        <v>3240</v>
      </c>
      <c r="E730" s="68">
        <v>3237</v>
      </c>
      <c r="F730" s="68">
        <v>9568</v>
      </c>
      <c r="G730" s="68">
        <v>5299</v>
      </c>
      <c r="H730" s="68">
        <v>11504</v>
      </c>
      <c r="I730" s="68">
        <f>(3999-2000)</f>
        <v>1999</v>
      </c>
      <c r="J730" s="68">
        <v>9193</v>
      </c>
      <c r="K730" s="68">
        <v>8610</v>
      </c>
      <c r="L730" s="68">
        <v>2800</v>
      </c>
      <c r="M730" s="68">
        <f>5451-2614</f>
        <v>2837</v>
      </c>
      <c r="N730" s="80">
        <v>800</v>
      </c>
      <c r="P730" s="104"/>
      <c r="Y730" s="104"/>
      <c r="Z730" s="104"/>
      <c r="AA730" s="104"/>
    </row>
    <row r="731" spans="1:27">
      <c r="A731" s="412"/>
      <c r="B731" s="28" t="s">
        <v>11</v>
      </c>
      <c r="C731" s="73">
        <f t="shared" ref="C731:I731" si="669">C730*33.72</f>
        <v>173826.6</v>
      </c>
      <c r="D731" s="73">
        <f t="shared" si="669"/>
        <v>109252.8</v>
      </c>
      <c r="E731" s="73">
        <f t="shared" si="669"/>
        <v>109151.64</v>
      </c>
      <c r="F731" s="73">
        <f t="shared" si="669"/>
        <v>322632.95999999996</v>
      </c>
      <c r="G731" s="73">
        <f t="shared" si="669"/>
        <v>178682.28</v>
      </c>
      <c r="H731" s="73">
        <f t="shared" si="669"/>
        <v>387914.88</v>
      </c>
      <c r="I731" s="73">
        <f t="shared" si="669"/>
        <v>67406.28</v>
      </c>
      <c r="J731" s="73">
        <f>J730*33.72</f>
        <v>309987.95999999996</v>
      </c>
      <c r="K731" s="73">
        <f t="shared" ref="K731:N731" si="670">K730*33.72</f>
        <v>290329.2</v>
      </c>
      <c r="L731" s="73">
        <f t="shared" si="670"/>
        <v>94416</v>
      </c>
      <c r="M731" s="73">
        <f t="shared" si="670"/>
        <v>95663.64</v>
      </c>
      <c r="N731" s="84">
        <f t="shared" si="670"/>
        <v>26976</v>
      </c>
      <c r="P731" s="104"/>
      <c r="Y731" s="104"/>
      <c r="Z731" s="104"/>
      <c r="AA731" s="104"/>
    </row>
    <row r="732" spans="1:27">
      <c r="A732" s="412"/>
      <c r="B732" s="28" t="s">
        <v>79</v>
      </c>
      <c r="C732" s="73">
        <v>164000</v>
      </c>
      <c r="D732" s="73">
        <v>109880</v>
      </c>
      <c r="E732" s="73">
        <v>109880</v>
      </c>
      <c r="F732" s="73">
        <v>328000</v>
      </c>
      <c r="G732" s="73">
        <f>G727*2</f>
        <v>330905</v>
      </c>
      <c r="H732" s="73">
        <f>H727*2</f>
        <v>220143.8</v>
      </c>
      <c r="I732" s="73">
        <f>I727*2</f>
        <v>242663.6</v>
      </c>
      <c r="J732" s="73">
        <v>328000</v>
      </c>
      <c r="K732" s="73">
        <f>K727*2</f>
        <v>264264.40000000002</v>
      </c>
      <c r="L732" s="73">
        <v>328000</v>
      </c>
      <c r="M732" s="73">
        <f>2*M727</f>
        <v>352965.4</v>
      </c>
      <c r="N732" s="84">
        <f>2*N727</f>
        <v>109842</v>
      </c>
      <c r="P732" s="104"/>
      <c r="Y732" s="104"/>
      <c r="Z732" s="104"/>
      <c r="AA732" s="104"/>
    </row>
    <row r="733" spans="1:27">
      <c r="A733" s="412"/>
      <c r="B733" s="66" t="s">
        <v>8</v>
      </c>
      <c r="C733" s="98">
        <f>SUM(C730-566)</f>
        <v>4589</v>
      </c>
      <c r="D733" s="98">
        <f>SUM(D730-544)</f>
        <v>2696</v>
      </c>
      <c r="E733" s="98">
        <f>SUM(E730-570)</f>
        <v>2667</v>
      </c>
      <c r="F733" s="98">
        <f>SUM(F730-1141)</f>
        <v>8427</v>
      </c>
      <c r="G733" s="98">
        <f>SUM(G730-3210)</f>
        <v>2089</v>
      </c>
      <c r="H733" s="98">
        <f>SUM(H730-1674)</f>
        <v>9830</v>
      </c>
      <c r="I733" s="98">
        <f>SUM(I730-(2396-2000))</f>
        <v>1603</v>
      </c>
      <c r="J733" s="98">
        <f>SUM(J730-1380)</f>
        <v>7813</v>
      </c>
      <c r="K733" s="98">
        <f>SUM(K730-2067)</f>
        <v>6543</v>
      </c>
      <c r="L733" s="98">
        <f>SUM(L730-427)</f>
        <v>2373</v>
      </c>
      <c r="M733" s="98">
        <f>SUM(M730-(2837-2614))</f>
        <v>2614</v>
      </c>
      <c r="N733" s="103">
        <f>SUM(N730-46)</f>
        <v>754</v>
      </c>
      <c r="P733" s="14" t="s">
        <v>192</v>
      </c>
    </row>
    <row r="734" spans="1:27">
      <c r="A734" s="412"/>
      <c r="B734" s="29" t="s">
        <v>77</v>
      </c>
      <c r="C734" s="75">
        <f>C733*33.72</f>
        <v>154741.07999999999</v>
      </c>
      <c r="D734" s="75">
        <f>D733*33.72</f>
        <v>90909.119999999995</v>
      </c>
      <c r="E734" s="75">
        <f>E733*33.72</f>
        <v>89931.239999999991</v>
      </c>
      <c r="F734" s="75">
        <f>F733*33.72</f>
        <v>284158.44</v>
      </c>
      <c r="G734" s="75">
        <f>G733*33.72*2</f>
        <v>140882.16</v>
      </c>
      <c r="H734" s="75">
        <f>H733*33.72</f>
        <v>331467.59999999998</v>
      </c>
      <c r="I734" s="75">
        <f>I733*33.72</f>
        <v>54053.159999999996</v>
      </c>
      <c r="J734" s="75">
        <f>J733*33.72</f>
        <v>263454.36</v>
      </c>
      <c r="K734" s="75">
        <f>K733*33.72</f>
        <v>220629.96</v>
      </c>
      <c r="L734" s="75">
        <f>L733*33.72</f>
        <v>80017.56</v>
      </c>
      <c r="M734" s="75">
        <f>M733*33.72*2</f>
        <v>176288.16</v>
      </c>
      <c r="N734" s="11">
        <f>N733*33.72</f>
        <v>25424.879999999997</v>
      </c>
      <c r="P734" s="89">
        <f>334000-H734</f>
        <v>2532.4000000000233</v>
      </c>
      <c r="Q734" s="104" t="s">
        <v>193</v>
      </c>
    </row>
    <row r="735" spans="1:27" ht="15.75" thickBot="1">
      <c r="A735" s="412"/>
      <c r="B735" s="30" t="s">
        <v>10</v>
      </c>
      <c r="C735" s="72">
        <f>C734/C727</f>
        <v>1.0791457275918772</v>
      </c>
      <c r="D735" s="72">
        <f t="shared" ref="D735" si="671">D734/D727</f>
        <v>0.60398390069348207</v>
      </c>
      <c r="E735" s="72">
        <f t="shared" ref="E735" si="672">E734/E727</f>
        <v>0.59748704122756546</v>
      </c>
      <c r="F735" s="72">
        <f t="shared" ref="F735" si="673">F734/F727</f>
        <v>1.561328983097598</v>
      </c>
      <c r="G735" s="72">
        <f t="shared" ref="G735" si="674">G734/G727</f>
        <v>0.85149610915519558</v>
      </c>
      <c r="H735" s="72">
        <f t="shared" ref="H735" si="675">H734/H727</f>
        <v>3.0113734749740853</v>
      </c>
      <c r="I735" s="72">
        <f t="shared" ref="I735" si="676">I734/I727</f>
        <v>0.44549870685178983</v>
      </c>
      <c r="J735" s="72">
        <f t="shared" ref="J735" si="677">J734/J727</f>
        <v>1.5409607434391077</v>
      </c>
      <c r="K735" s="72">
        <f t="shared" ref="K735" si="678">K734/K727</f>
        <v>1.6697667941652374</v>
      </c>
      <c r="L735" s="72">
        <f t="shared" ref="L735" si="679">L734/L727</f>
        <v>0.96725660400622282</v>
      </c>
      <c r="M735" s="72">
        <f t="shared" ref="M735" si="680">M734/M727</f>
        <v>0.99889768232240328</v>
      </c>
      <c r="N735" s="72">
        <f t="shared" ref="N735" si="681">N734/N727</f>
        <v>0.46293548915715294</v>
      </c>
      <c r="P735" s="175"/>
    </row>
    <row r="736" spans="1:27" ht="15.75" thickBot="1">
      <c r="A736" s="424" t="s">
        <v>83</v>
      </c>
      <c r="B736" s="425"/>
      <c r="C736" s="76">
        <f>MIN(2*C727,C732)-C734</f>
        <v>9258.9200000000128</v>
      </c>
      <c r="D736" s="76">
        <f t="shared" ref="D736:N736" si="682">MIN(2*D727,D732)-D734</f>
        <v>18970.880000000005</v>
      </c>
      <c r="E736" s="76">
        <f t="shared" si="682"/>
        <v>19948.760000000009</v>
      </c>
      <c r="F736" s="76">
        <f t="shared" si="682"/>
        <v>43841.56</v>
      </c>
      <c r="G736" s="76">
        <f t="shared" si="682"/>
        <v>190022.84</v>
      </c>
      <c r="H736" s="76">
        <f t="shared" si="682"/>
        <v>-111323.79999999999</v>
      </c>
      <c r="I736" s="76">
        <f t="shared" si="682"/>
        <v>188610.44</v>
      </c>
      <c r="J736" s="76">
        <f t="shared" si="682"/>
        <v>64545.640000000014</v>
      </c>
      <c r="K736" s="76">
        <f t="shared" si="682"/>
        <v>43634.440000000031</v>
      </c>
      <c r="L736" s="76">
        <f t="shared" si="682"/>
        <v>85435.040000000008</v>
      </c>
      <c r="M736" s="76">
        <f t="shared" si="682"/>
        <v>176677.24000000002</v>
      </c>
      <c r="N736" s="22">
        <f t="shared" si="682"/>
        <v>84417.12</v>
      </c>
      <c r="P736" s="174"/>
    </row>
    <row r="737" spans="1:27" ht="15.75" thickBot="1">
      <c r="A737" s="368">
        <v>41134</v>
      </c>
      <c r="B737" s="368"/>
      <c r="C737" s="368"/>
      <c r="N737" s="15"/>
    </row>
    <row r="738" spans="1:27">
      <c r="A738" s="407" t="s">
        <v>1</v>
      </c>
      <c r="B738" s="420"/>
      <c r="C738" s="68" t="s">
        <v>12</v>
      </c>
      <c r="D738" s="68" t="s">
        <v>12</v>
      </c>
      <c r="E738" s="68" t="s">
        <v>13</v>
      </c>
      <c r="F738" s="68" t="s">
        <v>13</v>
      </c>
      <c r="G738" s="68" t="s">
        <v>13</v>
      </c>
      <c r="H738" s="68" t="s">
        <v>13</v>
      </c>
      <c r="I738" s="68" t="s">
        <v>13</v>
      </c>
      <c r="J738" s="68" t="s">
        <v>2</v>
      </c>
      <c r="K738" s="68" t="s">
        <v>2</v>
      </c>
      <c r="L738" s="68" t="s">
        <v>2</v>
      </c>
      <c r="M738" s="68" t="s">
        <v>2</v>
      </c>
      <c r="N738" s="4" t="s">
        <v>84</v>
      </c>
    </row>
    <row r="739" spans="1:27" ht="15.75" thickBot="1">
      <c r="A739" s="409" t="s">
        <v>0</v>
      </c>
      <c r="B739" s="414"/>
      <c r="C739" s="99" t="s">
        <v>102</v>
      </c>
      <c r="D739" s="99" t="s">
        <v>103</v>
      </c>
      <c r="E739" s="99" t="s">
        <v>104</v>
      </c>
      <c r="F739" s="99" t="s">
        <v>105</v>
      </c>
      <c r="G739" s="99" t="s">
        <v>100</v>
      </c>
      <c r="H739" s="99" t="s">
        <v>107</v>
      </c>
      <c r="I739" s="99" t="s">
        <v>106</v>
      </c>
      <c r="J739" s="99" t="s">
        <v>108</v>
      </c>
      <c r="K739" s="99" t="s">
        <v>110</v>
      </c>
      <c r="L739" s="99" t="s">
        <v>101</v>
      </c>
      <c r="M739" s="99" t="s">
        <v>109</v>
      </c>
      <c r="N739" s="101" t="s">
        <v>111</v>
      </c>
      <c r="Q739" s="14"/>
      <c r="R739" s="14"/>
      <c r="S739" s="14"/>
      <c r="T739" s="14"/>
      <c r="U739" s="14"/>
      <c r="V739" s="14"/>
      <c r="W739" s="14"/>
      <c r="X739" s="14"/>
      <c r="Y739" s="175"/>
      <c r="Z739" s="174"/>
      <c r="AA739" s="175"/>
    </row>
    <row r="740" spans="1:27">
      <c r="A740" s="421" t="s">
        <v>9</v>
      </c>
      <c r="B740" s="2" t="s">
        <v>4</v>
      </c>
      <c r="C740" s="96">
        <v>143392.20000000001</v>
      </c>
      <c r="D740" s="96">
        <v>150515.79999999999</v>
      </c>
      <c r="E740" s="96">
        <v>150515.79999999999</v>
      </c>
      <c r="F740" s="96">
        <v>181997.8</v>
      </c>
      <c r="G740" s="96">
        <v>165452.5</v>
      </c>
      <c r="H740" s="96">
        <v>110071.9</v>
      </c>
      <c r="I740" s="96">
        <v>121331.8</v>
      </c>
      <c r="J740" s="96">
        <v>170967.6</v>
      </c>
      <c r="K740" s="96">
        <v>132132.20000000001</v>
      </c>
      <c r="L740" s="96">
        <v>82726.3</v>
      </c>
      <c r="M740" s="96">
        <v>176482.7</v>
      </c>
      <c r="N740" s="100">
        <v>54921</v>
      </c>
      <c r="P740" s="104"/>
      <c r="Y740" s="104"/>
      <c r="Z740" s="104"/>
      <c r="AA740" s="104"/>
    </row>
    <row r="741" spans="1:27">
      <c r="A741" s="422"/>
      <c r="B741" s="63" t="s">
        <v>5</v>
      </c>
      <c r="C741" s="97">
        <v>92932.800000000003</v>
      </c>
      <c r="D741" s="97">
        <v>68879.7</v>
      </c>
      <c r="E741" s="97">
        <v>70240.399999999994</v>
      </c>
      <c r="F741" s="97">
        <v>156125.79999999999</v>
      </c>
      <c r="G741" s="97">
        <v>34792.1</v>
      </c>
      <c r="H741" s="97">
        <v>47750.9</v>
      </c>
      <c r="I741" s="97">
        <v>26084.5</v>
      </c>
      <c r="J741" s="97">
        <v>140999.5</v>
      </c>
      <c r="K741" s="97">
        <v>56630.6</v>
      </c>
      <c r="L741" s="97">
        <v>20901.599999999999</v>
      </c>
      <c r="M741" s="97">
        <v>89858.7</v>
      </c>
      <c r="N741" s="102">
        <v>23270.2</v>
      </c>
      <c r="P741" s="104"/>
      <c r="Y741" s="104"/>
      <c r="Z741" s="104"/>
      <c r="AA741" s="104"/>
    </row>
    <row r="742" spans="1:27" ht="15.75" thickBot="1">
      <c r="A742" s="423"/>
      <c r="B742" s="3" t="s">
        <v>3</v>
      </c>
      <c r="C742" s="71">
        <f>C741/C740</f>
        <v>0.64810219802750779</v>
      </c>
      <c r="D742" s="72">
        <f t="shared" ref="D742:E742" si="683">D741/D740</f>
        <v>0.45762438229076285</v>
      </c>
      <c r="E742" s="72">
        <f t="shared" si="683"/>
        <v>0.46666462922829366</v>
      </c>
      <c r="F742" s="72">
        <f>F741/F740</f>
        <v>0.85784443548218714</v>
      </c>
      <c r="G742" s="72">
        <f>G741/G740</f>
        <v>0.21028452274822079</v>
      </c>
      <c r="H742" s="72">
        <f t="shared" ref="H742:N742" si="684">H741/H740</f>
        <v>0.43381553330141481</v>
      </c>
      <c r="I742" s="72">
        <f t="shared" si="684"/>
        <v>0.2149848596987764</v>
      </c>
      <c r="J742" s="72">
        <f t="shared" si="684"/>
        <v>0.82471474127261535</v>
      </c>
      <c r="K742" s="72">
        <f t="shared" si="684"/>
        <v>0.42859045713308336</v>
      </c>
      <c r="L742" s="72">
        <f t="shared" si="684"/>
        <v>0.25265967413023427</v>
      </c>
      <c r="M742" s="72">
        <f t="shared" si="684"/>
        <v>0.50916435435314622</v>
      </c>
      <c r="N742" s="83">
        <f t="shared" si="684"/>
        <v>0.42370313723348085</v>
      </c>
      <c r="P742" s="104"/>
      <c r="Y742" s="104"/>
      <c r="Z742" s="104"/>
      <c r="AA742" s="104"/>
    </row>
    <row r="743" spans="1:27">
      <c r="A743" s="411" t="s">
        <v>6</v>
      </c>
      <c r="B743" s="27" t="s">
        <v>7</v>
      </c>
      <c r="C743" s="68">
        <v>5155</v>
      </c>
      <c r="D743" s="68">
        <v>3240</v>
      </c>
      <c r="E743" s="68">
        <v>3237</v>
      </c>
      <c r="F743" s="68">
        <v>9568</v>
      </c>
      <c r="G743" s="68">
        <v>5299</v>
      </c>
      <c r="H743" s="68">
        <v>11504</v>
      </c>
      <c r="I743" s="68">
        <f>(3999-2000)</f>
        <v>1999</v>
      </c>
      <c r="J743" s="68">
        <v>9193</v>
      </c>
      <c r="K743" s="68">
        <v>8610</v>
      </c>
      <c r="L743" s="68">
        <v>2800</v>
      </c>
      <c r="M743" s="68">
        <f>5451-2614</f>
        <v>2837</v>
      </c>
      <c r="N743" s="80">
        <v>800</v>
      </c>
      <c r="P743" s="104"/>
      <c r="Y743" s="104"/>
      <c r="Z743" s="104"/>
      <c r="AA743" s="104"/>
    </row>
    <row r="744" spans="1:27">
      <c r="A744" s="412"/>
      <c r="B744" s="28" t="s">
        <v>11</v>
      </c>
      <c r="C744" s="73">
        <f t="shared" ref="C744:I744" si="685">C743*33.72</f>
        <v>173826.6</v>
      </c>
      <c r="D744" s="73">
        <f t="shared" si="685"/>
        <v>109252.8</v>
      </c>
      <c r="E744" s="73">
        <f t="shared" si="685"/>
        <v>109151.64</v>
      </c>
      <c r="F744" s="73">
        <f t="shared" si="685"/>
        <v>322632.95999999996</v>
      </c>
      <c r="G744" s="73">
        <f t="shared" si="685"/>
        <v>178682.28</v>
      </c>
      <c r="H744" s="73">
        <f t="shared" si="685"/>
        <v>387914.88</v>
      </c>
      <c r="I744" s="73">
        <f t="shared" si="685"/>
        <v>67406.28</v>
      </c>
      <c r="J744" s="73">
        <f>J743*33.72</f>
        <v>309987.95999999996</v>
      </c>
      <c r="K744" s="73">
        <f t="shared" ref="K744:N744" si="686">K743*33.72</f>
        <v>290329.2</v>
      </c>
      <c r="L744" s="73">
        <f t="shared" si="686"/>
        <v>94416</v>
      </c>
      <c r="M744" s="73">
        <f t="shared" si="686"/>
        <v>95663.64</v>
      </c>
      <c r="N744" s="84">
        <f t="shared" si="686"/>
        <v>26976</v>
      </c>
      <c r="P744" s="104"/>
      <c r="Y744" s="104"/>
      <c r="Z744" s="104"/>
      <c r="AA744" s="104"/>
    </row>
    <row r="745" spans="1:27">
      <c r="A745" s="412"/>
      <c r="B745" s="28" t="s">
        <v>79</v>
      </c>
      <c r="C745" s="73">
        <v>164000</v>
      </c>
      <c r="D745" s="73">
        <v>109880</v>
      </c>
      <c r="E745" s="73">
        <v>109880</v>
      </c>
      <c r="F745" s="73">
        <v>328000</v>
      </c>
      <c r="G745" s="73">
        <f>G740*2</f>
        <v>330905</v>
      </c>
      <c r="H745" s="73">
        <f>H740*2</f>
        <v>220143.8</v>
      </c>
      <c r="I745" s="73">
        <f>I740*2</f>
        <v>242663.6</v>
      </c>
      <c r="J745" s="73">
        <v>328000</v>
      </c>
      <c r="K745" s="73">
        <f>K740*2</f>
        <v>264264.40000000002</v>
      </c>
      <c r="L745" s="73">
        <v>328000</v>
      </c>
      <c r="M745" s="73">
        <f>2*M740</f>
        <v>352965.4</v>
      </c>
      <c r="N745" s="84">
        <f>2*N740</f>
        <v>109842</v>
      </c>
      <c r="P745" s="104"/>
      <c r="Y745" s="104"/>
      <c r="Z745" s="104"/>
      <c r="AA745" s="104"/>
    </row>
    <row r="746" spans="1:27">
      <c r="A746" s="412"/>
      <c r="B746" s="66" t="s">
        <v>8</v>
      </c>
      <c r="C746" s="98">
        <f>SUM(C743-566)</f>
        <v>4589</v>
      </c>
      <c r="D746" s="98">
        <f>SUM(D743-544)</f>
        <v>2696</v>
      </c>
      <c r="E746" s="98">
        <f>SUM(E743-570)</f>
        <v>2667</v>
      </c>
      <c r="F746" s="98">
        <f>SUM(F743-1144)</f>
        <v>8424</v>
      </c>
      <c r="G746" s="98">
        <f>SUM(G743-3210)</f>
        <v>2089</v>
      </c>
      <c r="H746" s="98">
        <f>SUM(H743-1675)</f>
        <v>9829</v>
      </c>
      <c r="I746" s="98">
        <f>SUM(I743-(2396-2000))</f>
        <v>1603</v>
      </c>
      <c r="J746" s="98">
        <f>SUM(J743-1380)</f>
        <v>7813</v>
      </c>
      <c r="K746" s="98">
        <f>SUM(K743-2067)</f>
        <v>6543</v>
      </c>
      <c r="L746" s="98">
        <f>SUM(L743-427)</f>
        <v>2373</v>
      </c>
      <c r="M746" s="98">
        <f>SUM(M743-(2837-2614))</f>
        <v>2614</v>
      </c>
      <c r="N746" s="103">
        <f>SUM(N743-46)</f>
        <v>754</v>
      </c>
      <c r="P746" s="14" t="s">
        <v>192</v>
      </c>
    </row>
    <row r="747" spans="1:27">
      <c r="A747" s="412"/>
      <c r="B747" s="29" t="s">
        <v>77</v>
      </c>
      <c r="C747" s="75">
        <f>C746*33.72</f>
        <v>154741.07999999999</v>
      </c>
      <c r="D747" s="75">
        <f>D746*33.72</f>
        <v>90909.119999999995</v>
      </c>
      <c r="E747" s="75">
        <f>E746*33.72</f>
        <v>89931.239999999991</v>
      </c>
      <c r="F747" s="75">
        <f>F746*33.72</f>
        <v>284057.27999999997</v>
      </c>
      <c r="G747" s="75">
        <f>G746*33.72*2</f>
        <v>140882.16</v>
      </c>
      <c r="H747" s="75">
        <f>H746*33.72</f>
        <v>331433.88</v>
      </c>
      <c r="I747" s="75">
        <f>I746*33.72</f>
        <v>54053.159999999996</v>
      </c>
      <c r="J747" s="75">
        <f>J746*33.72</f>
        <v>263454.36</v>
      </c>
      <c r="K747" s="75">
        <f>K746*33.72</f>
        <v>220629.96</v>
      </c>
      <c r="L747" s="75">
        <f>L746*33.72</f>
        <v>80017.56</v>
      </c>
      <c r="M747" s="75">
        <f>M746*33.72*2</f>
        <v>176288.16</v>
      </c>
      <c r="N747" s="11">
        <f>N746*33.72</f>
        <v>25424.879999999997</v>
      </c>
      <c r="P747" s="89">
        <f>334000-H747</f>
        <v>2566.1199999999953</v>
      </c>
      <c r="Q747" s="104" t="s">
        <v>193</v>
      </c>
    </row>
    <row r="748" spans="1:27" ht="15.75" thickBot="1">
      <c r="A748" s="412"/>
      <c r="B748" s="30" t="s">
        <v>10</v>
      </c>
      <c r="C748" s="72">
        <f>C747/C740</f>
        <v>1.0791457275918772</v>
      </c>
      <c r="D748" s="72">
        <f t="shared" ref="D748" si="687">D747/D740</f>
        <v>0.60398390069348207</v>
      </c>
      <c r="E748" s="72">
        <f t="shared" ref="E748" si="688">E747/E740</f>
        <v>0.59748704122756546</v>
      </c>
      <c r="F748" s="72">
        <f t="shared" ref="F748" si="689">F747/F740</f>
        <v>1.5607731522029387</v>
      </c>
      <c r="G748" s="72">
        <f t="shared" ref="G748" si="690">G747/G740</f>
        <v>0.85149610915519558</v>
      </c>
      <c r="H748" s="72">
        <f t="shared" ref="H748" si="691">H747/H740</f>
        <v>3.011067129757913</v>
      </c>
      <c r="I748" s="72">
        <f t="shared" ref="I748" si="692">I747/I740</f>
        <v>0.44549870685178983</v>
      </c>
      <c r="J748" s="72">
        <f t="shared" ref="J748" si="693">J747/J740</f>
        <v>1.5409607434391077</v>
      </c>
      <c r="K748" s="72">
        <f t="shared" ref="K748" si="694">K747/K740</f>
        <v>1.6697667941652374</v>
      </c>
      <c r="L748" s="72">
        <f t="shared" ref="L748" si="695">L747/L740</f>
        <v>0.96725660400622282</v>
      </c>
      <c r="M748" s="72">
        <f t="shared" ref="M748" si="696">M747/M740</f>
        <v>0.99889768232240328</v>
      </c>
      <c r="N748" s="72">
        <f t="shared" ref="N748" si="697">N747/N740</f>
        <v>0.46293548915715294</v>
      </c>
      <c r="P748" s="175"/>
    </row>
    <row r="749" spans="1:27" ht="15.75" thickBot="1">
      <c r="A749" s="424" t="s">
        <v>83</v>
      </c>
      <c r="B749" s="425"/>
      <c r="C749" s="76">
        <f>MIN(2*C740,C745)-C747</f>
        <v>9258.9200000000128</v>
      </c>
      <c r="D749" s="76">
        <f t="shared" ref="D749:N749" si="698">MIN(2*D740,D745)-D747</f>
        <v>18970.880000000005</v>
      </c>
      <c r="E749" s="76">
        <f t="shared" si="698"/>
        <v>19948.760000000009</v>
      </c>
      <c r="F749" s="76">
        <f t="shared" si="698"/>
        <v>43942.72000000003</v>
      </c>
      <c r="G749" s="76">
        <f t="shared" si="698"/>
        <v>190022.84</v>
      </c>
      <c r="H749" s="76">
        <f t="shared" si="698"/>
        <v>-111290.08000000002</v>
      </c>
      <c r="I749" s="76">
        <f t="shared" si="698"/>
        <v>188610.44</v>
      </c>
      <c r="J749" s="76">
        <f t="shared" si="698"/>
        <v>64545.640000000014</v>
      </c>
      <c r="K749" s="76">
        <f t="shared" si="698"/>
        <v>43634.440000000031</v>
      </c>
      <c r="L749" s="76">
        <f t="shared" si="698"/>
        <v>85435.040000000008</v>
      </c>
      <c r="M749" s="76">
        <f t="shared" si="698"/>
        <v>176677.24000000002</v>
      </c>
      <c r="N749" s="22">
        <f t="shared" si="698"/>
        <v>84417.12</v>
      </c>
      <c r="P749" s="174"/>
    </row>
    <row r="750" spans="1:27" ht="15.75" thickBot="1">
      <c r="A750" s="368">
        <v>41131</v>
      </c>
      <c r="B750" s="368"/>
      <c r="C750" s="368"/>
      <c r="N750" s="15"/>
    </row>
    <row r="751" spans="1:27">
      <c r="A751" s="407" t="s">
        <v>1</v>
      </c>
      <c r="B751" s="420"/>
      <c r="C751" s="68" t="s">
        <v>12</v>
      </c>
      <c r="D751" s="68" t="s">
        <v>12</v>
      </c>
      <c r="E751" s="68" t="s">
        <v>13</v>
      </c>
      <c r="F751" s="68" t="s">
        <v>13</v>
      </c>
      <c r="G751" s="68" t="s">
        <v>13</v>
      </c>
      <c r="H751" s="68" t="s">
        <v>13</v>
      </c>
      <c r="I751" s="68" t="s">
        <v>13</v>
      </c>
      <c r="J751" s="68" t="s">
        <v>2</v>
      </c>
      <c r="K751" s="68" t="s">
        <v>2</v>
      </c>
      <c r="L751" s="68" t="s">
        <v>2</v>
      </c>
      <c r="M751" s="68" t="s">
        <v>2</v>
      </c>
      <c r="N751" s="4" t="s">
        <v>84</v>
      </c>
    </row>
    <row r="752" spans="1:27" ht="15.75" thickBot="1">
      <c r="A752" s="409" t="s">
        <v>0</v>
      </c>
      <c r="B752" s="414"/>
      <c r="C752" s="99" t="s">
        <v>102</v>
      </c>
      <c r="D752" s="99" t="s">
        <v>103</v>
      </c>
      <c r="E752" s="99" t="s">
        <v>104</v>
      </c>
      <c r="F752" s="99" t="s">
        <v>105</v>
      </c>
      <c r="G752" s="99" t="s">
        <v>100</v>
      </c>
      <c r="H752" s="99" t="s">
        <v>107</v>
      </c>
      <c r="I752" s="99" t="s">
        <v>106</v>
      </c>
      <c r="J752" s="99" t="s">
        <v>108</v>
      </c>
      <c r="K752" s="99" t="s">
        <v>110</v>
      </c>
      <c r="L752" s="99" t="s">
        <v>101</v>
      </c>
      <c r="M752" s="99" t="s">
        <v>109</v>
      </c>
      <c r="N752" s="101" t="s">
        <v>111</v>
      </c>
      <c r="Q752" s="14"/>
      <c r="R752" s="14"/>
      <c r="S752" s="14"/>
      <c r="T752" s="14"/>
      <c r="U752" s="14"/>
      <c r="V752" s="14"/>
      <c r="W752" s="14"/>
      <c r="X752" s="14"/>
      <c r="Y752" s="175"/>
      <c r="Z752" s="174"/>
      <c r="AA752" s="175"/>
    </row>
    <row r="753" spans="1:27">
      <c r="A753" s="421" t="s">
        <v>9</v>
      </c>
      <c r="B753" s="2" t="s">
        <v>4</v>
      </c>
      <c r="C753" s="96">
        <v>143392.20000000001</v>
      </c>
      <c r="D753" s="96">
        <v>150515.79999999999</v>
      </c>
      <c r="E753" s="96">
        <v>150515.79999999999</v>
      </c>
      <c r="F753" s="96">
        <v>181997.8</v>
      </c>
      <c r="G753" s="96">
        <v>165452.5</v>
      </c>
      <c r="H753" s="96">
        <v>110071.9</v>
      </c>
      <c r="I753" s="96">
        <v>121331.8</v>
      </c>
      <c r="J753" s="96">
        <v>170967.6</v>
      </c>
      <c r="K753" s="96">
        <v>132132.20000000001</v>
      </c>
      <c r="L753" s="96">
        <v>82726.3</v>
      </c>
      <c r="M753" s="96">
        <v>176482.7</v>
      </c>
      <c r="N753" s="100">
        <v>54921</v>
      </c>
      <c r="P753" s="104"/>
      <c r="Y753" s="104"/>
      <c r="Z753" s="104"/>
      <c r="AA753" s="104"/>
    </row>
    <row r="754" spans="1:27">
      <c r="A754" s="422"/>
      <c r="B754" s="63" t="s">
        <v>5</v>
      </c>
      <c r="C754" s="97">
        <v>92814.399999999994</v>
      </c>
      <c r="D754" s="97">
        <v>68787.3</v>
      </c>
      <c r="E754" s="97">
        <v>70156.100000000006</v>
      </c>
      <c r="F754" s="97">
        <v>155922.5</v>
      </c>
      <c r="G754" s="97">
        <v>34582.699999999997</v>
      </c>
      <c r="H754" s="97">
        <v>47733.599999999999</v>
      </c>
      <c r="I754" s="97">
        <v>23580.799999999999</v>
      </c>
      <c r="J754" s="97">
        <v>140904.29999999999</v>
      </c>
      <c r="K754" s="97">
        <v>55931.7</v>
      </c>
      <c r="L754" s="97">
        <v>20760</v>
      </c>
      <c r="M754" s="97">
        <v>84991.1</v>
      </c>
      <c r="N754" s="102">
        <v>23270.2</v>
      </c>
      <c r="P754" s="104"/>
      <c r="Y754" s="104"/>
      <c r="Z754" s="104"/>
      <c r="AA754" s="104"/>
    </row>
    <row r="755" spans="1:27" ht="15.75" thickBot="1">
      <c r="A755" s="423"/>
      <c r="B755" s="3" t="s">
        <v>3</v>
      </c>
      <c r="C755" s="71">
        <f>C754/C753</f>
        <v>0.64727649063198689</v>
      </c>
      <c r="D755" s="72">
        <f t="shared" ref="D755:E755" si="699">D754/D753</f>
        <v>0.45701049325054255</v>
      </c>
      <c r="E755" s="72">
        <f t="shared" si="699"/>
        <v>0.46610455513640436</v>
      </c>
      <c r="F755" s="72">
        <f>F754/F753</f>
        <v>0.85672738901239476</v>
      </c>
      <c r="G755" s="72">
        <f>G754/G753</f>
        <v>0.20901890270621476</v>
      </c>
      <c r="H755" s="72">
        <f t="shared" ref="H755:N755" si="700">H754/H753</f>
        <v>0.43365836330616625</v>
      </c>
      <c r="I755" s="72">
        <f t="shared" si="700"/>
        <v>0.19434970881500149</v>
      </c>
      <c r="J755" s="72">
        <f t="shared" si="700"/>
        <v>0.82415791062166155</v>
      </c>
      <c r="K755" s="72">
        <f t="shared" si="700"/>
        <v>0.423301057577184</v>
      </c>
      <c r="L755" s="72">
        <f t="shared" si="700"/>
        <v>0.25094800565237413</v>
      </c>
      <c r="M755" s="72">
        <f t="shared" si="700"/>
        <v>0.4815831806743664</v>
      </c>
      <c r="N755" s="83">
        <f t="shared" si="700"/>
        <v>0.42370313723348085</v>
      </c>
      <c r="P755" s="104"/>
      <c r="Y755" s="104"/>
      <c r="Z755" s="104"/>
      <c r="AA755" s="104"/>
    </row>
    <row r="756" spans="1:27">
      <c r="A756" s="411" t="s">
        <v>6</v>
      </c>
      <c r="B756" s="27" t="s">
        <v>7</v>
      </c>
      <c r="C756" s="68">
        <v>5155</v>
      </c>
      <c r="D756" s="68">
        <v>3240</v>
      </c>
      <c r="E756" s="68">
        <v>3237</v>
      </c>
      <c r="F756" s="68">
        <v>9568</v>
      </c>
      <c r="G756" s="68">
        <v>5299</v>
      </c>
      <c r="H756" s="68">
        <v>11504</v>
      </c>
      <c r="I756" s="68">
        <f>(3999-2000)</f>
        <v>1999</v>
      </c>
      <c r="J756" s="68">
        <v>9193</v>
      </c>
      <c r="K756" s="68">
        <v>8610</v>
      </c>
      <c r="L756" s="68">
        <v>2800</v>
      </c>
      <c r="M756" s="68">
        <f>5451-2614</f>
        <v>2837</v>
      </c>
      <c r="N756" s="80">
        <v>800</v>
      </c>
      <c r="P756" s="104"/>
      <c r="Y756" s="104"/>
      <c r="Z756" s="104"/>
      <c r="AA756" s="104"/>
    </row>
    <row r="757" spans="1:27">
      <c r="A757" s="412"/>
      <c r="B757" s="28" t="s">
        <v>11</v>
      </c>
      <c r="C757" s="73">
        <f t="shared" ref="C757:I757" si="701">C756*33.72</f>
        <v>173826.6</v>
      </c>
      <c r="D757" s="73">
        <f t="shared" si="701"/>
        <v>109252.8</v>
      </c>
      <c r="E757" s="73">
        <f t="shared" si="701"/>
        <v>109151.64</v>
      </c>
      <c r="F757" s="73">
        <f t="shared" si="701"/>
        <v>322632.95999999996</v>
      </c>
      <c r="G757" s="73">
        <f t="shared" si="701"/>
        <v>178682.28</v>
      </c>
      <c r="H757" s="73">
        <f t="shared" si="701"/>
        <v>387914.88</v>
      </c>
      <c r="I757" s="73">
        <f t="shared" si="701"/>
        <v>67406.28</v>
      </c>
      <c r="J757" s="73">
        <f>J756*33.72</f>
        <v>309987.95999999996</v>
      </c>
      <c r="K757" s="73">
        <f t="shared" ref="K757:N757" si="702">K756*33.72</f>
        <v>290329.2</v>
      </c>
      <c r="L757" s="73">
        <f t="shared" si="702"/>
        <v>94416</v>
      </c>
      <c r="M757" s="73">
        <f t="shared" si="702"/>
        <v>95663.64</v>
      </c>
      <c r="N757" s="84">
        <f t="shared" si="702"/>
        <v>26976</v>
      </c>
      <c r="P757" s="104"/>
      <c r="Y757" s="104"/>
      <c r="Z757" s="104"/>
      <c r="AA757" s="104"/>
    </row>
    <row r="758" spans="1:27">
      <c r="A758" s="412"/>
      <c r="B758" s="28" t="s">
        <v>79</v>
      </c>
      <c r="C758" s="73">
        <v>164000</v>
      </c>
      <c r="D758" s="73">
        <v>109880</v>
      </c>
      <c r="E758" s="73">
        <v>109880</v>
      </c>
      <c r="F758" s="73">
        <v>328000</v>
      </c>
      <c r="G758" s="73">
        <f>G753*2</f>
        <v>330905</v>
      </c>
      <c r="H758" s="73">
        <f>H753*2</f>
        <v>220143.8</v>
      </c>
      <c r="I758" s="73">
        <f>I753*2</f>
        <v>242663.6</v>
      </c>
      <c r="J758" s="73">
        <v>328000</v>
      </c>
      <c r="K758" s="73">
        <f>K753*2</f>
        <v>264264.40000000002</v>
      </c>
      <c r="L758" s="73">
        <v>328000</v>
      </c>
      <c r="M758" s="73">
        <f>2*M753</f>
        <v>352965.4</v>
      </c>
      <c r="N758" s="84">
        <f>2*N753</f>
        <v>109842</v>
      </c>
      <c r="P758" s="104"/>
      <c r="Y758" s="104"/>
      <c r="Z758" s="104"/>
      <c r="AA758" s="104"/>
    </row>
    <row r="759" spans="1:27">
      <c r="A759" s="412"/>
      <c r="B759" s="66" t="s">
        <v>8</v>
      </c>
      <c r="C759" s="98">
        <f>SUM(C756-566)</f>
        <v>4589</v>
      </c>
      <c r="D759" s="98">
        <f>SUM(D756-544)</f>
        <v>2696</v>
      </c>
      <c r="E759" s="98">
        <f>SUM(E756-570)</f>
        <v>2667</v>
      </c>
      <c r="F759" s="98">
        <f>SUM(F756-1144)</f>
        <v>8424</v>
      </c>
      <c r="G759" s="98">
        <f>SUM(G756-3210)</f>
        <v>2089</v>
      </c>
      <c r="H759" s="98">
        <f>SUM(H756-1675)</f>
        <v>9829</v>
      </c>
      <c r="I759" s="98">
        <f>SUM(I756-(2396-2000))</f>
        <v>1603</v>
      </c>
      <c r="J759" s="98">
        <f>SUM(J756-1380)</f>
        <v>7813</v>
      </c>
      <c r="K759" s="98">
        <f>SUM(K756-2108)</f>
        <v>6502</v>
      </c>
      <c r="L759" s="98">
        <f>SUM(L756-427)</f>
        <v>2373</v>
      </c>
      <c r="M759" s="98">
        <f>SUM(M756-(2837-2614))</f>
        <v>2614</v>
      </c>
      <c r="N759" s="103">
        <f>SUM(N756-46)</f>
        <v>754</v>
      </c>
    </row>
    <row r="760" spans="1:27">
      <c r="A760" s="412"/>
      <c r="B760" s="29" t="s">
        <v>77</v>
      </c>
      <c r="C760" s="75">
        <f>C759*33.72</f>
        <v>154741.07999999999</v>
      </c>
      <c r="D760" s="75">
        <f>D759*33.72</f>
        <v>90909.119999999995</v>
      </c>
      <c r="E760" s="75">
        <f>E759*33.72</f>
        <v>89931.239999999991</v>
      </c>
      <c r="F760" s="75">
        <f>F759*33.72</f>
        <v>284057.27999999997</v>
      </c>
      <c r="G760" s="75">
        <f>G759*33.72*2</f>
        <v>140882.16</v>
      </c>
      <c r="H760" s="75">
        <f>H759*33.72</f>
        <v>331433.88</v>
      </c>
      <c r="I760" s="75">
        <f>I759*33.72</f>
        <v>54053.159999999996</v>
      </c>
      <c r="J760" s="75">
        <f>J759*33.72</f>
        <v>263454.36</v>
      </c>
      <c r="K760" s="75">
        <f>K759*33.72</f>
        <v>219247.44</v>
      </c>
      <c r="L760" s="75">
        <f>L759*33.72</f>
        <v>80017.56</v>
      </c>
      <c r="M760" s="75">
        <f>M759*33.72*2</f>
        <v>176288.16</v>
      </c>
      <c r="N760" s="11">
        <f>N759*33.72</f>
        <v>25424.879999999997</v>
      </c>
    </row>
    <row r="761" spans="1:27" ht="15.75" thickBot="1">
      <c r="A761" s="412"/>
      <c r="B761" s="30" t="s">
        <v>10</v>
      </c>
      <c r="C761" s="72">
        <f>C760/C753</f>
        <v>1.0791457275918772</v>
      </c>
      <c r="D761" s="72">
        <f t="shared" ref="D761" si="703">D760/D753</f>
        <v>0.60398390069348207</v>
      </c>
      <c r="E761" s="72">
        <f t="shared" ref="E761" si="704">E760/E753</f>
        <v>0.59748704122756546</v>
      </c>
      <c r="F761" s="72">
        <f t="shared" ref="F761" si="705">F760/F753</f>
        <v>1.5607731522029387</v>
      </c>
      <c r="G761" s="72">
        <f t="shared" ref="G761" si="706">G760/G753</f>
        <v>0.85149610915519558</v>
      </c>
      <c r="H761" s="72">
        <f t="shared" ref="H761" si="707">H760/H753</f>
        <v>3.011067129757913</v>
      </c>
      <c r="I761" s="72">
        <f t="shared" ref="I761" si="708">I760/I753</f>
        <v>0.44549870685178983</v>
      </c>
      <c r="J761" s="72">
        <f t="shared" ref="J761" si="709">J760/J753</f>
        <v>1.5409607434391077</v>
      </c>
      <c r="K761" s="72">
        <f t="shared" ref="K761" si="710">K760/K753</f>
        <v>1.6593036368122227</v>
      </c>
      <c r="L761" s="72">
        <f t="shared" ref="L761" si="711">L760/L753</f>
        <v>0.96725660400622282</v>
      </c>
      <c r="M761" s="72">
        <f t="shared" ref="M761" si="712">M760/M753</f>
        <v>0.99889768232240328</v>
      </c>
      <c r="N761" s="72">
        <f t="shared" ref="N761" si="713">N760/N753</f>
        <v>0.46293548915715294</v>
      </c>
      <c r="P761" s="175"/>
    </row>
    <row r="762" spans="1:27" ht="15.75" thickBot="1">
      <c r="A762" s="424" t="s">
        <v>83</v>
      </c>
      <c r="B762" s="425"/>
      <c r="C762" s="76">
        <f>MIN(2*C753,C758)-C760</f>
        <v>9258.9200000000128</v>
      </c>
      <c r="D762" s="76">
        <f t="shared" ref="D762:N762" si="714">MIN(2*D753,D758)-D760</f>
        <v>18970.880000000005</v>
      </c>
      <c r="E762" s="76">
        <f t="shared" si="714"/>
        <v>19948.760000000009</v>
      </c>
      <c r="F762" s="76">
        <f t="shared" si="714"/>
        <v>43942.72000000003</v>
      </c>
      <c r="G762" s="76">
        <f t="shared" si="714"/>
        <v>190022.84</v>
      </c>
      <c r="H762" s="76">
        <f t="shared" si="714"/>
        <v>-111290.08000000002</v>
      </c>
      <c r="I762" s="76">
        <f t="shared" si="714"/>
        <v>188610.44</v>
      </c>
      <c r="J762" s="76">
        <f t="shared" si="714"/>
        <v>64545.640000000014</v>
      </c>
      <c r="K762" s="76">
        <f t="shared" si="714"/>
        <v>45016.960000000021</v>
      </c>
      <c r="L762" s="76">
        <f t="shared" si="714"/>
        <v>85435.040000000008</v>
      </c>
      <c r="M762" s="76">
        <f t="shared" si="714"/>
        <v>176677.24000000002</v>
      </c>
      <c r="N762" s="22">
        <f t="shared" si="714"/>
        <v>84417.12</v>
      </c>
      <c r="P762" s="174"/>
    </row>
    <row r="763" spans="1:27" ht="15.75" thickBot="1">
      <c r="A763" s="368">
        <v>41130</v>
      </c>
      <c r="B763" s="368"/>
      <c r="C763" s="368"/>
      <c r="N763" s="15"/>
    </row>
    <row r="764" spans="1:27">
      <c r="A764" s="407" t="s">
        <v>1</v>
      </c>
      <c r="B764" s="420"/>
      <c r="C764" s="68" t="s">
        <v>12</v>
      </c>
      <c r="D764" s="68" t="s">
        <v>12</v>
      </c>
      <c r="E764" s="68" t="s">
        <v>13</v>
      </c>
      <c r="F764" s="68" t="s">
        <v>13</v>
      </c>
      <c r="G764" s="68" t="s">
        <v>13</v>
      </c>
      <c r="H764" s="68" t="s">
        <v>13</v>
      </c>
      <c r="I764" s="68" t="s">
        <v>13</v>
      </c>
      <c r="J764" s="68" t="s">
        <v>2</v>
      </c>
      <c r="K764" s="68" t="s">
        <v>2</v>
      </c>
      <c r="L764" s="68" t="s">
        <v>2</v>
      </c>
      <c r="M764" s="68" t="s">
        <v>2</v>
      </c>
      <c r="N764" s="4" t="s">
        <v>84</v>
      </c>
    </row>
    <row r="765" spans="1:27" ht="15.75" thickBot="1">
      <c r="A765" s="409" t="s">
        <v>0</v>
      </c>
      <c r="B765" s="414"/>
      <c r="C765" s="99" t="s">
        <v>102</v>
      </c>
      <c r="D765" s="99" t="s">
        <v>103</v>
      </c>
      <c r="E765" s="99" t="s">
        <v>104</v>
      </c>
      <c r="F765" s="99" t="s">
        <v>105</v>
      </c>
      <c r="G765" s="99" t="s">
        <v>100</v>
      </c>
      <c r="H765" s="99" t="s">
        <v>107</v>
      </c>
      <c r="I765" s="99" t="s">
        <v>106</v>
      </c>
      <c r="J765" s="99" t="s">
        <v>108</v>
      </c>
      <c r="K765" s="99" t="s">
        <v>110</v>
      </c>
      <c r="L765" s="99" t="s">
        <v>101</v>
      </c>
      <c r="M765" s="99" t="s">
        <v>109</v>
      </c>
      <c r="N765" s="101" t="s">
        <v>111</v>
      </c>
      <c r="Q765" s="14"/>
      <c r="R765" s="14"/>
      <c r="S765" s="14"/>
      <c r="T765" s="14"/>
      <c r="U765" s="14"/>
      <c r="V765" s="14"/>
      <c r="W765" s="14"/>
      <c r="X765" s="14"/>
      <c r="Y765" s="175"/>
      <c r="Z765" s="174"/>
      <c r="AA765" s="175"/>
    </row>
    <row r="766" spans="1:27">
      <c r="A766" s="421" t="s">
        <v>9</v>
      </c>
      <c r="B766" s="2" t="s">
        <v>4</v>
      </c>
      <c r="C766" s="96">
        <v>143392.20000000001</v>
      </c>
      <c r="D766" s="96">
        <v>150515.79999999999</v>
      </c>
      <c r="E766" s="96">
        <v>150515.79999999999</v>
      </c>
      <c r="F766" s="96">
        <v>181997.8</v>
      </c>
      <c r="G766" s="96">
        <v>165452.5</v>
      </c>
      <c r="H766" s="96">
        <v>110071.9</v>
      </c>
      <c r="I766" s="96">
        <v>121331.8</v>
      </c>
      <c r="J766" s="96">
        <v>170967.6</v>
      </c>
      <c r="K766" s="96">
        <v>132132.20000000001</v>
      </c>
      <c r="L766" s="96">
        <v>82726.3</v>
      </c>
      <c r="M766" s="96">
        <v>176482.7</v>
      </c>
      <c r="N766" s="100">
        <v>54921</v>
      </c>
      <c r="P766" s="104"/>
      <c r="Y766" s="104"/>
      <c r="Z766" s="104"/>
      <c r="AA766" s="104"/>
    </row>
    <row r="767" spans="1:27">
      <c r="A767" s="422"/>
      <c r="B767" s="63" t="s">
        <v>5</v>
      </c>
      <c r="C767" s="97">
        <v>92807.9</v>
      </c>
      <c r="D767" s="97">
        <v>68775.899999999994</v>
      </c>
      <c r="E767" s="97">
        <v>70144.7</v>
      </c>
      <c r="F767" s="97">
        <v>155472</v>
      </c>
      <c r="G767" s="97">
        <v>34507.199999999997</v>
      </c>
      <c r="H767" s="97">
        <v>47714.8</v>
      </c>
      <c r="I767" s="97">
        <v>23563.5</v>
      </c>
      <c r="J767" s="97">
        <v>140865.29999999999</v>
      </c>
      <c r="K767" s="97">
        <v>55703.4</v>
      </c>
      <c r="L767" s="97">
        <v>20703</v>
      </c>
      <c r="M767" s="97">
        <v>84961.4</v>
      </c>
      <c r="N767" s="102">
        <v>23270.2</v>
      </c>
      <c r="P767" s="104"/>
      <c r="Y767" s="104"/>
      <c r="Z767" s="104"/>
      <c r="AA767" s="104"/>
    </row>
    <row r="768" spans="1:27" ht="15.75" thickBot="1">
      <c r="A768" s="423"/>
      <c r="B768" s="3" t="s">
        <v>3</v>
      </c>
      <c r="C768" s="71">
        <f>C767/C766</f>
        <v>0.64723116041179363</v>
      </c>
      <c r="D768" s="72">
        <f t="shared" ref="D768:E768" si="715">D767/D766</f>
        <v>0.45693475369363218</v>
      </c>
      <c r="E768" s="72">
        <f t="shared" si="715"/>
        <v>0.46602881557949399</v>
      </c>
      <c r="F768" s="72">
        <f>F767/F766</f>
        <v>0.85425208436585498</v>
      </c>
      <c r="G768" s="72">
        <f>G767/G766</f>
        <v>0.20856257838352396</v>
      </c>
      <c r="H768" s="72">
        <f t="shared" ref="H768:N768" si="716">H767/H766</f>
        <v>0.43348756585468229</v>
      </c>
      <c r="I768" s="72">
        <f t="shared" si="716"/>
        <v>0.19420712459553061</v>
      </c>
      <c r="J768" s="72">
        <f t="shared" si="716"/>
        <v>0.82392979722473725</v>
      </c>
      <c r="K768" s="72">
        <f t="shared" si="716"/>
        <v>0.42157324255556178</v>
      </c>
      <c r="L768" s="72">
        <f t="shared" si="716"/>
        <v>0.25025898656171014</v>
      </c>
      <c r="M768" s="72">
        <f t="shared" si="716"/>
        <v>0.48141489222456357</v>
      </c>
      <c r="N768" s="83">
        <f t="shared" si="716"/>
        <v>0.42370313723348085</v>
      </c>
      <c r="P768" s="104"/>
      <c r="Y768" s="104"/>
      <c r="Z768" s="104"/>
      <c r="AA768" s="104"/>
    </row>
    <row r="769" spans="1:27">
      <c r="A769" s="411" t="s">
        <v>6</v>
      </c>
      <c r="B769" s="27" t="s">
        <v>7</v>
      </c>
      <c r="C769" s="68">
        <v>5155</v>
      </c>
      <c r="D769" s="68">
        <v>3240</v>
      </c>
      <c r="E769" s="68">
        <v>3237</v>
      </c>
      <c r="F769" s="68">
        <v>9568</v>
      </c>
      <c r="G769" s="68">
        <v>5299</v>
      </c>
      <c r="H769" s="68">
        <v>11504</v>
      </c>
      <c r="I769" s="68">
        <f>(3999-2000)</f>
        <v>1999</v>
      </c>
      <c r="J769" s="68">
        <v>9193</v>
      </c>
      <c r="K769" s="68">
        <v>8610</v>
      </c>
      <c r="L769" s="68">
        <v>2800</v>
      </c>
      <c r="M769" s="68">
        <f>5451-2614</f>
        <v>2837</v>
      </c>
      <c r="N769" s="80">
        <v>800</v>
      </c>
      <c r="P769" s="104"/>
      <c r="Y769" s="104"/>
      <c r="Z769" s="104"/>
      <c r="AA769" s="104"/>
    </row>
    <row r="770" spans="1:27">
      <c r="A770" s="412"/>
      <c r="B770" s="28" t="s">
        <v>11</v>
      </c>
      <c r="C770" s="73">
        <f t="shared" ref="C770:I770" si="717">C769*33.72</f>
        <v>173826.6</v>
      </c>
      <c r="D770" s="73">
        <f t="shared" si="717"/>
        <v>109252.8</v>
      </c>
      <c r="E770" s="73">
        <f t="shared" si="717"/>
        <v>109151.64</v>
      </c>
      <c r="F770" s="73">
        <f t="shared" si="717"/>
        <v>322632.95999999996</v>
      </c>
      <c r="G770" s="73">
        <f t="shared" si="717"/>
        <v>178682.28</v>
      </c>
      <c r="H770" s="73">
        <f t="shared" si="717"/>
        <v>387914.88</v>
      </c>
      <c r="I770" s="73">
        <f t="shared" si="717"/>
        <v>67406.28</v>
      </c>
      <c r="J770" s="73">
        <f>J769*33.72</f>
        <v>309987.95999999996</v>
      </c>
      <c r="K770" s="73">
        <f t="shared" ref="K770:N770" si="718">K769*33.72</f>
        <v>290329.2</v>
      </c>
      <c r="L770" s="73">
        <f t="shared" si="718"/>
        <v>94416</v>
      </c>
      <c r="M770" s="73">
        <f t="shared" si="718"/>
        <v>95663.64</v>
      </c>
      <c r="N770" s="84">
        <f t="shared" si="718"/>
        <v>26976</v>
      </c>
      <c r="P770" s="104"/>
      <c r="Y770" s="104"/>
      <c r="Z770" s="104"/>
      <c r="AA770" s="104"/>
    </row>
    <row r="771" spans="1:27">
      <c r="A771" s="412"/>
      <c r="B771" s="28" t="s">
        <v>79</v>
      </c>
      <c r="C771" s="73">
        <v>164000</v>
      </c>
      <c r="D771" s="73">
        <v>109880</v>
      </c>
      <c r="E771" s="73">
        <v>109880</v>
      </c>
      <c r="F771" s="73">
        <v>328000</v>
      </c>
      <c r="G771" s="73">
        <f>G766*2</f>
        <v>330905</v>
      </c>
      <c r="H771" s="73">
        <f>H766*2</f>
        <v>220143.8</v>
      </c>
      <c r="I771" s="73">
        <f>I766*2</f>
        <v>242663.6</v>
      </c>
      <c r="J771" s="73">
        <v>328000</v>
      </c>
      <c r="K771" s="73">
        <f>K766*2</f>
        <v>264264.40000000002</v>
      </c>
      <c r="L771" s="73">
        <v>328000</v>
      </c>
      <c r="M771" s="73">
        <f>2*M766</f>
        <v>352965.4</v>
      </c>
      <c r="N771" s="84">
        <f>2*N766</f>
        <v>109842</v>
      </c>
      <c r="P771" s="104"/>
      <c r="Y771" s="104"/>
      <c r="Z771" s="104"/>
      <c r="AA771" s="104"/>
    </row>
    <row r="772" spans="1:27">
      <c r="A772" s="412"/>
      <c r="B772" s="66" t="s">
        <v>8</v>
      </c>
      <c r="C772" s="98">
        <f>SUM(C769-566)</f>
        <v>4589</v>
      </c>
      <c r="D772" s="98">
        <f>SUM(D769-544)</f>
        <v>2696</v>
      </c>
      <c r="E772" s="98">
        <f>SUM(E769-570)</f>
        <v>2667</v>
      </c>
      <c r="F772" s="98">
        <f>SUM(F769-1144)</f>
        <v>8424</v>
      </c>
      <c r="G772" s="98">
        <f>SUM(G769-3210)</f>
        <v>2089</v>
      </c>
      <c r="H772" s="98">
        <f>SUM(H769-1675)</f>
        <v>9829</v>
      </c>
      <c r="I772" s="98">
        <f>SUM(I769-(2396-2000))</f>
        <v>1603</v>
      </c>
      <c r="J772" s="98">
        <f>SUM(J769-1380)</f>
        <v>7813</v>
      </c>
      <c r="K772" s="98">
        <f>SUM(K769-2117)</f>
        <v>6493</v>
      </c>
      <c r="L772" s="98">
        <f>SUM(L769-427)</f>
        <v>2373</v>
      </c>
      <c r="M772" s="98">
        <f>SUM(M769-(2837-2614))</f>
        <v>2614</v>
      </c>
      <c r="N772" s="103">
        <f>SUM(N769-46)</f>
        <v>754</v>
      </c>
    </row>
    <row r="773" spans="1:27">
      <c r="A773" s="412"/>
      <c r="B773" s="29" t="s">
        <v>77</v>
      </c>
      <c r="C773" s="75">
        <f>C772*33.72</f>
        <v>154741.07999999999</v>
      </c>
      <c r="D773" s="75">
        <f>D772*33.72</f>
        <v>90909.119999999995</v>
      </c>
      <c r="E773" s="75">
        <f>E772*33.72</f>
        <v>89931.239999999991</v>
      </c>
      <c r="F773" s="75">
        <f>F772*33.72</f>
        <v>284057.27999999997</v>
      </c>
      <c r="G773" s="75">
        <f>G772*33.72*2</f>
        <v>140882.16</v>
      </c>
      <c r="H773" s="75">
        <f>H772*33.72</f>
        <v>331433.88</v>
      </c>
      <c r="I773" s="75">
        <f>I772*33.72</f>
        <v>54053.159999999996</v>
      </c>
      <c r="J773" s="75">
        <f>J772*33.72</f>
        <v>263454.36</v>
      </c>
      <c r="K773" s="75">
        <f>K772*33.72</f>
        <v>218943.96</v>
      </c>
      <c r="L773" s="75">
        <f>L772*33.72</f>
        <v>80017.56</v>
      </c>
      <c r="M773" s="75">
        <f>M772*33.72*2</f>
        <v>176288.16</v>
      </c>
      <c r="N773" s="11">
        <f>N772*33.72</f>
        <v>25424.879999999997</v>
      </c>
    </row>
    <row r="774" spans="1:27" ht="15.75" thickBot="1">
      <c r="A774" s="412"/>
      <c r="B774" s="30" t="s">
        <v>10</v>
      </c>
      <c r="C774" s="72">
        <f>C773/C766</f>
        <v>1.0791457275918772</v>
      </c>
      <c r="D774" s="72">
        <f t="shared" ref="D774" si="719">D773/D766</f>
        <v>0.60398390069348207</v>
      </c>
      <c r="E774" s="72">
        <f t="shared" ref="E774" si="720">E773/E766</f>
        <v>0.59748704122756546</v>
      </c>
      <c r="F774" s="72">
        <f t="shared" ref="F774" si="721">F773/F766</f>
        <v>1.5607731522029387</v>
      </c>
      <c r="G774" s="72">
        <f t="shared" ref="G774" si="722">G773/G766</f>
        <v>0.85149610915519558</v>
      </c>
      <c r="H774" s="72">
        <f t="shared" ref="H774" si="723">H773/H766</f>
        <v>3.011067129757913</v>
      </c>
      <c r="I774" s="72">
        <f t="shared" ref="I774" si="724">I773/I766</f>
        <v>0.44549870685178983</v>
      </c>
      <c r="J774" s="72">
        <f t="shared" ref="J774" si="725">J773/J766</f>
        <v>1.5409607434391077</v>
      </c>
      <c r="K774" s="72">
        <f t="shared" ref="K774" si="726">K773/K766</f>
        <v>1.6570068461737562</v>
      </c>
      <c r="L774" s="72">
        <f t="shared" ref="L774" si="727">L773/L766</f>
        <v>0.96725660400622282</v>
      </c>
      <c r="M774" s="72">
        <f t="shared" ref="M774" si="728">M773/M766</f>
        <v>0.99889768232240328</v>
      </c>
      <c r="N774" s="72">
        <f t="shared" ref="N774" si="729">N773/N766</f>
        <v>0.46293548915715294</v>
      </c>
      <c r="P774" s="175"/>
    </row>
    <row r="775" spans="1:27" ht="15.75" thickBot="1">
      <c r="A775" s="424" t="s">
        <v>83</v>
      </c>
      <c r="B775" s="425"/>
      <c r="C775" s="76">
        <f>MIN(2*C766,C771)-C773</f>
        <v>9258.9200000000128</v>
      </c>
      <c r="D775" s="76">
        <f t="shared" ref="D775:N775" si="730">MIN(2*D766,D771)-D773</f>
        <v>18970.880000000005</v>
      </c>
      <c r="E775" s="76">
        <f t="shared" si="730"/>
        <v>19948.760000000009</v>
      </c>
      <c r="F775" s="76">
        <f t="shared" si="730"/>
        <v>43942.72000000003</v>
      </c>
      <c r="G775" s="76">
        <f t="shared" si="730"/>
        <v>190022.84</v>
      </c>
      <c r="H775" s="76">
        <f t="shared" si="730"/>
        <v>-111290.08000000002</v>
      </c>
      <c r="I775" s="76">
        <f t="shared" si="730"/>
        <v>188610.44</v>
      </c>
      <c r="J775" s="76">
        <f t="shared" si="730"/>
        <v>64545.640000000014</v>
      </c>
      <c r="K775" s="76">
        <f t="shared" si="730"/>
        <v>45320.440000000031</v>
      </c>
      <c r="L775" s="76">
        <f t="shared" si="730"/>
        <v>85435.040000000008</v>
      </c>
      <c r="M775" s="76">
        <f t="shared" si="730"/>
        <v>176677.24000000002</v>
      </c>
      <c r="N775" s="22">
        <f t="shared" si="730"/>
        <v>84417.12</v>
      </c>
      <c r="P775" s="174"/>
    </row>
    <row r="776" spans="1:27" ht="15.75" thickBot="1">
      <c r="A776" s="368">
        <v>41129</v>
      </c>
      <c r="B776" s="368"/>
      <c r="C776" s="368"/>
      <c r="N776" s="15"/>
    </row>
    <row r="777" spans="1:27">
      <c r="A777" s="407" t="s">
        <v>1</v>
      </c>
      <c r="B777" s="420"/>
      <c r="C777" s="68" t="s">
        <v>12</v>
      </c>
      <c r="D777" s="68" t="s">
        <v>12</v>
      </c>
      <c r="E777" s="68" t="s">
        <v>13</v>
      </c>
      <c r="F777" s="68" t="s">
        <v>13</v>
      </c>
      <c r="G777" s="68" t="s">
        <v>13</v>
      </c>
      <c r="H777" s="68" t="s">
        <v>13</v>
      </c>
      <c r="I777" s="68" t="s">
        <v>13</v>
      </c>
      <c r="J777" s="68" t="s">
        <v>2</v>
      </c>
      <c r="K777" s="68" t="s">
        <v>2</v>
      </c>
      <c r="L777" s="68" t="s">
        <v>2</v>
      </c>
      <c r="M777" s="68" t="s">
        <v>2</v>
      </c>
      <c r="N777" s="4" t="s">
        <v>84</v>
      </c>
    </row>
    <row r="778" spans="1:27" ht="15.75" thickBot="1">
      <c r="A778" s="409" t="s">
        <v>0</v>
      </c>
      <c r="B778" s="414"/>
      <c r="C778" s="99" t="s">
        <v>102</v>
      </c>
      <c r="D778" s="99" t="s">
        <v>103</v>
      </c>
      <c r="E778" s="99" t="s">
        <v>104</v>
      </c>
      <c r="F778" s="99" t="s">
        <v>105</v>
      </c>
      <c r="G778" s="99" t="s">
        <v>100</v>
      </c>
      <c r="H778" s="99" t="s">
        <v>107</v>
      </c>
      <c r="I778" s="99" t="s">
        <v>106</v>
      </c>
      <c r="J778" s="99" t="s">
        <v>108</v>
      </c>
      <c r="K778" s="99" t="s">
        <v>110</v>
      </c>
      <c r="L778" s="99" t="s">
        <v>101</v>
      </c>
      <c r="M778" s="99" t="s">
        <v>109</v>
      </c>
      <c r="N778" s="101" t="s">
        <v>111</v>
      </c>
      <c r="Q778" s="14"/>
      <c r="R778" s="14"/>
      <c r="S778" s="14"/>
      <c r="T778" s="14"/>
      <c r="U778" s="14"/>
      <c r="V778" s="14"/>
      <c r="W778" s="14"/>
      <c r="X778" s="14"/>
      <c r="Y778" s="175"/>
      <c r="Z778" s="174"/>
      <c r="AA778" s="175"/>
    </row>
    <row r="779" spans="1:27">
      <c r="A779" s="421" t="s">
        <v>9</v>
      </c>
      <c r="B779" s="2" t="s">
        <v>4</v>
      </c>
      <c r="C779" s="96">
        <v>143392.20000000001</v>
      </c>
      <c r="D779" s="96">
        <v>150515.79999999999</v>
      </c>
      <c r="E779" s="96">
        <v>150515.79999999999</v>
      </c>
      <c r="F779" s="96">
        <v>181997.8</v>
      </c>
      <c r="G779" s="96">
        <v>165452.5</v>
      </c>
      <c r="H779" s="96">
        <v>110071.9</v>
      </c>
      <c r="I779" s="96">
        <v>121331.8</v>
      </c>
      <c r="J779" s="96">
        <v>170967.6</v>
      </c>
      <c r="K779" s="96">
        <v>132132.20000000001</v>
      </c>
      <c r="L779" s="96">
        <v>82726.3</v>
      </c>
      <c r="M779" s="96">
        <v>176482.7</v>
      </c>
      <c r="N779" s="100">
        <v>54921</v>
      </c>
      <c r="P779" s="104"/>
      <c r="Y779" s="104"/>
      <c r="Z779" s="104"/>
      <c r="AA779" s="104"/>
    </row>
    <row r="780" spans="1:27">
      <c r="A780" s="422"/>
      <c r="B780" s="63" t="s">
        <v>5</v>
      </c>
      <c r="C780" s="97">
        <v>92809.2</v>
      </c>
      <c r="D780" s="97">
        <v>68767.3</v>
      </c>
      <c r="E780" s="97">
        <v>70140.899999999994</v>
      </c>
      <c r="F780" s="97">
        <v>155431.9</v>
      </c>
      <c r="G780" s="97">
        <v>34441.599999999999</v>
      </c>
      <c r="H780" s="97">
        <v>47709.5</v>
      </c>
      <c r="I780" s="97">
        <v>23522.5</v>
      </c>
      <c r="J780" s="97">
        <v>140798.9</v>
      </c>
      <c r="K780" s="97">
        <v>55847.3</v>
      </c>
      <c r="L780" s="97">
        <v>20651.099999999999</v>
      </c>
      <c r="M780" s="97">
        <v>84883</v>
      </c>
      <c r="N780" s="102">
        <v>23270.2</v>
      </c>
      <c r="P780" s="104"/>
      <c r="Y780" s="104"/>
      <c r="Z780" s="104"/>
      <c r="AA780" s="104"/>
    </row>
    <row r="781" spans="1:27" ht="15.75" thickBot="1">
      <c r="A781" s="423"/>
      <c r="B781" s="3" t="s">
        <v>3</v>
      </c>
      <c r="C781" s="71">
        <f>C780/C779</f>
        <v>0.64724022645583223</v>
      </c>
      <c r="D781" s="72">
        <f t="shared" ref="D781:E781" si="731">D780/D779</f>
        <v>0.4568776168349104</v>
      </c>
      <c r="E781" s="72">
        <f t="shared" si="731"/>
        <v>0.46600356906052387</v>
      </c>
      <c r="F781" s="72">
        <f>F780/F779</f>
        <v>0.85403175203216741</v>
      </c>
      <c r="G781" s="72">
        <f>G780/G779</f>
        <v>0.20816608996539793</v>
      </c>
      <c r="H781" s="72">
        <f t="shared" ref="H781:N781" si="732">H780/H779</f>
        <v>0.43343941550931714</v>
      </c>
      <c r="I781" s="72">
        <f t="shared" si="732"/>
        <v>0.19386920823724696</v>
      </c>
      <c r="J781" s="72">
        <f t="shared" si="732"/>
        <v>0.82354141954381999</v>
      </c>
      <c r="K781" s="72">
        <f t="shared" si="732"/>
        <v>0.42266230335981692</v>
      </c>
      <c r="L781" s="72">
        <f t="shared" si="732"/>
        <v>0.24963161654757915</v>
      </c>
      <c r="M781" s="72">
        <f t="shared" si="732"/>
        <v>0.4809706560473066</v>
      </c>
      <c r="N781" s="83">
        <f t="shared" si="732"/>
        <v>0.42370313723348085</v>
      </c>
      <c r="P781" s="104"/>
      <c r="Y781" s="104"/>
      <c r="Z781" s="104"/>
      <c r="AA781" s="104"/>
    </row>
    <row r="782" spans="1:27">
      <c r="A782" s="411" t="s">
        <v>6</v>
      </c>
      <c r="B782" s="27" t="s">
        <v>7</v>
      </c>
      <c r="C782" s="68">
        <v>5155</v>
      </c>
      <c r="D782" s="68">
        <v>3240</v>
      </c>
      <c r="E782" s="68">
        <v>3237</v>
      </c>
      <c r="F782" s="68">
        <v>9568</v>
      </c>
      <c r="G782" s="68">
        <v>5299</v>
      </c>
      <c r="H782" s="68">
        <v>11504</v>
      </c>
      <c r="I782" s="68">
        <f>(3999-2000)</f>
        <v>1999</v>
      </c>
      <c r="J782" s="68">
        <v>9193</v>
      </c>
      <c r="K782" s="68">
        <v>8610</v>
      </c>
      <c r="L782" s="68">
        <v>2800</v>
      </c>
      <c r="M782" s="68">
        <f>5451-2614</f>
        <v>2837</v>
      </c>
      <c r="N782" s="80">
        <v>800</v>
      </c>
      <c r="P782" s="104"/>
      <c r="Y782" s="104"/>
      <c r="Z782" s="104"/>
      <c r="AA782" s="104"/>
    </row>
    <row r="783" spans="1:27">
      <c r="A783" s="412"/>
      <c r="B783" s="28" t="s">
        <v>11</v>
      </c>
      <c r="C783" s="73">
        <f t="shared" ref="C783" si="733">C782*33.72</f>
        <v>173826.6</v>
      </c>
      <c r="D783" s="73">
        <f t="shared" ref="D783:I783" si="734">D782*33.72</f>
        <v>109252.8</v>
      </c>
      <c r="E783" s="73">
        <f t="shared" si="734"/>
        <v>109151.64</v>
      </c>
      <c r="F783" s="73">
        <f t="shared" si="734"/>
        <v>322632.95999999996</v>
      </c>
      <c r="G783" s="73">
        <f t="shared" si="734"/>
        <v>178682.28</v>
      </c>
      <c r="H783" s="73">
        <f t="shared" si="734"/>
        <v>387914.88</v>
      </c>
      <c r="I783" s="73">
        <f t="shared" si="734"/>
        <v>67406.28</v>
      </c>
      <c r="J783" s="73">
        <f>J782*33.72</f>
        <v>309987.95999999996</v>
      </c>
      <c r="K783" s="73">
        <f t="shared" ref="K783:N783" si="735">K782*33.72</f>
        <v>290329.2</v>
      </c>
      <c r="L783" s="73">
        <f t="shared" si="735"/>
        <v>94416</v>
      </c>
      <c r="M783" s="73">
        <f t="shared" si="735"/>
        <v>95663.64</v>
      </c>
      <c r="N783" s="84">
        <f t="shared" si="735"/>
        <v>26976</v>
      </c>
      <c r="P783" s="104"/>
      <c r="Y783" s="104"/>
      <c r="Z783" s="104"/>
      <c r="AA783" s="104"/>
    </row>
    <row r="784" spans="1:27">
      <c r="A784" s="412"/>
      <c r="B784" s="28" t="s">
        <v>79</v>
      </c>
      <c r="C784" s="73">
        <v>164000</v>
      </c>
      <c r="D784" s="73">
        <v>109880</v>
      </c>
      <c r="E784" s="73">
        <v>109880</v>
      </c>
      <c r="F784" s="73">
        <v>328000</v>
      </c>
      <c r="G784" s="73">
        <f>G779*2</f>
        <v>330905</v>
      </c>
      <c r="H784" s="73">
        <f>H779*2</f>
        <v>220143.8</v>
      </c>
      <c r="I784" s="73">
        <f>I779*2</f>
        <v>242663.6</v>
      </c>
      <c r="J784" s="73">
        <v>328000</v>
      </c>
      <c r="K784" s="73">
        <f>K779*2</f>
        <v>264264.40000000002</v>
      </c>
      <c r="L784" s="73">
        <v>328000</v>
      </c>
      <c r="M784" s="73">
        <f>2*M779</f>
        <v>352965.4</v>
      </c>
      <c r="N784" s="84">
        <f>2*N779</f>
        <v>109842</v>
      </c>
      <c r="P784" s="104"/>
      <c r="Y784" s="104"/>
      <c r="Z784" s="104"/>
      <c r="AA784" s="104"/>
    </row>
    <row r="785" spans="1:27">
      <c r="A785" s="412"/>
      <c r="B785" s="66" t="s">
        <v>8</v>
      </c>
      <c r="C785" s="98">
        <f>SUM(C782-566)</f>
        <v>4589</v>
      </c>
      <c r="D785" s="98">
        <f>SUM(D782-544)</f>
        <v>2696</v>
      </c>
      <c r="E785" s="98">
        <f>SUM(E782-570)</f>
        <v>2667</v>
      </c>
      <c r="F785" s="98">
        <f>SUM(F782-1144)</f>
        <v>8424</v>
      </c>
      <c r="G785" s="98">
        <f>SUM(G782-3210)</f>
        <v>2089</v>
      </c>
      <c r="H785" s="98">
        <f>SUM(H782-1705)</f>
        <v>9799</v>
      </c>
      <c r="I785" s="98">
        <f>SUM(I782-(2396-2000))</f>
        <v>1603</v>
      </c>
      <c r="J785" s="98">
        <f>SUM(J782-1380)</f>
        <v>7813</v>
      </c>
      <c r="K785" s="98">
        <f>SUM(K782-2117)</f>
        <v>6493</v>
      </c>
      <c r="L785" s="98">
        <f>SUM(L782-427)</f>
        <v>2373</v>
      </c>
      <c r="M785" s="98">
        <f>SUM(M782-(2837-2614))</f>
        <v>2614</v>
      </c>
      <c r="N785" s="103">
        <f>SUM(N782-46)</f>
        <v>754</v>
      </c>
    </row>
    <row r="786" spans="1:27">
      <c r="A786" s="412"/>
      <c r="B786" s="29" t="s">
        <v>77</v>
      </c>
      <c r="C786" s="75">
        <f>C785*33.72</f>
        <v>154741.07999999999</v>
      </c>
      <c r="D786" s="75">
        <f>D785*33.72</f>
        <v>90909.119999999995</v>
      </c>
      <c r="E786" s="75">
        <f>E785*33.72</f>
        <v>89931.239999999991</v>
      </c>
      <c r="F786" s="75">
        <f>F785*33.72</f>
        <v>284057.27999999997</v>
      </c>
      <c r="G786" s="75">
        <f>G785*33.72*2</f>
        <v>140882.16</v>
      </c>
      <c r="H786" s="75">
        <f>H785*33.72</f>
        <v>330422.27999999997</v>
      </c>
      <c r="I786" s="75">
        <f>I785*33.72</f>
        <v>54053.159999999996</v>
      </c>
      <c r="J786" s="75">
        <f>J785*33.72</f>
        <v>263454.36</v>
      </c>
      <c r="K786" s="75">
        <f>K785*33.72</f>
        <v>218943.96</v>
      </c>
      <c r="L786" s="75">
        <f>L785*33.72</f>
        <v>80017.56</v>
      </c>
      <c r="M786" s="75">
        <f>M785*33.72*2</f>
        <v>176288.16</v>
      </c>
      <c r="N786" s="11">
        <f>N785*33.72</f>
        <v>25424.879999999997</v>
      </c>
    </row>
    <row r="787" spans="1:27" ht="15.75" thickBot="1">
      <c r="A787" s="412"/>
      <c r="B787" s="30" t="s">
        <v>10</v>
      </c>
      <c r="C787" s="72">
        <f>C786/C779</f>
        <v>1.0791457275918772</v>
      </c>
      <c r="D787" s="72">
        <f t="shared" ref="D787" si="736">D786/D779</f>
        <v>0.60398390069348207</v>
      </c>
      <c r="E787" s="72">
        <f t="shared" ref="E787" si="737">E786/E779</f>
        <v>0.59748704122756546</v>
      </c>
      <c r="F787" s="72">
        <f t="shared" ref="F787" si="738">F786/F779</f>
        <v>1.5607731522029387</v>
      </c>
      <c r="G787" s="72">
        <f t="shared" ref="G787" si="739">G786/G779</f>
        <v>0.85149610915519558</v>
      </c>
      <c r="H787" s="72">
        <f t="shared" ref="H787" si="740">H786/H779</f>
        <v>3.0018767732727425</v>
      </c>
      <c r="I787" s="72">
        <f t="shared" ref="I787" si="741">I786/I779</f>
        <v>0.44549870685178983</v>
      </c>
      <c r="J787" s="72">
        <f t="shared" ref="J787" si="742">J786/J779</f>
        <v>1.5409607434391077</v>
      </c>
      <c r="K787" s="72">
        <f t="shared" ref="K787" si="743">K786/K779</f>
        <v>1.6570068461737562</v>
      </c>
      <c r="L787" s="72">
        <f t="shared" ref="L787" si="744">L786/L779</f>
        <v>0.96725660400622282</v>
      </c>
      <c r="M787" s="72">
        <f t="shared" ref="M787" si="745">M786/M779</f>
        <v>0.99889768232240328</v>
      </c>
      <c r="N787" s="72">
        <f t="shared" ref="N787" si="746">N786/N779</f>
        <v>0.46293548915715294</v>
      </c>
      <c r="P787" s="175"/>
    </row>
    <row r="788" spans="1:27" ht="15.75" thickBot="1">
      <c r="A788" s="424" t="s">
        <v>83</v>
      </c>
      <c r="B788" s="425"/>
      <c r="C788" s="76">
        <f>MIN(2*C779,C784)-C786</f>
        <v>9258.9200000000128</v>
      </c>
      <c r="D788" s="76">
        <f t="shared" ref="D788:N788" si="747">MIN(2*D779,D784)-D786</f>
        <v>18970.880000000005</v>
      </c>
      <c r="E788" s="76">
        <f t="shared" si="747"/>
        <v>19948.760000000009</v>
      </c>
      <c r="F788" s="76">
        <f t="shared" si="747"/>
        <v>43942.72000000003</v>
      </c>
      <c r="G788" s="76">
        <f t="shared" si="747"/>
        <v>190022.84</v>
      </c>
      <c r="H788" s="76">
        <f t="shared" si="747"/>
        <v>-110278.47999999998</v>
      </c>
      <c r="I788" s="76">
        <f t="shared" si="747"/>
        <v>188610.44</v>
      </c>
      <c r="J788" s="76">
        <f t="shared" si="747"/>
        <v>64545.640000000014</v>
      </c>
      <c r="K788" s="76">
        <f t="shared" si="747"/>
        <v>45320.440000000031</v>
      </c>
      <c r="L788" s="76">
        <f t="shared" si="747"/>
        <v>85435.040000000008</v>
      </c>
      <c r="M788" s="76">
        <f t="shared" si="747"/>
        <v>176677.24000000002</v>
      </c>
      <c r="N788" s="22">
        <f t="shared" si="747"/>
        <v>84417.12</v>
      </c>
      <c r="P788" s="174"/>
    </row>
    <row r="789" spans="1:27" ht="15.75" thickBot="1">
      <c r="A789" s="368">
        <v>41128</v>
      </c>
      <c r="B789" s="368"/>
      <c r="C789" s="368"/>
      <c r="N789" s="15"/>
    </row>
    <row r="790" spans="1:27">
      <c r="A790" s="407" t="s">
        <v>1</v>
      </c>
      <c r="B790" s="420"/>
      <c r="C790" s="68" t="s">
        <v>12</v>
      </c>
      <c r="D790" s="68" t="s">
        <v>12</v>
      </c>
      <c r="E790" s="68" t="s">
        <v>13</v>
      </c>
      <c r="F790" s="68" t="s">
        <v>13</v>
      </c>
      <c r="G790" s="68" t="s">
        <v>13</v>
      </c>
      <c r="H790" s="68" t="s">
        <v>13</v>
      </c>
      <c r="I790" s="68" t="s">
        <v>13</v>
      </c>
      <c r="J790" s="68" t="s">
        <v>2</v>
      </c>
      <c r="K790" s="68" t="s">
        <v>2</v>
      </c>
      <c r="L790" s="68" t="s">
        <v>2</v>
      </c>
      <c r="M790" s="68" t="s">
        <v>2</v>
      </c>
      <c r="N790" s="4" t="s">
        <v>84</v>
      </c>
    </row>
    <row r="791" spans="1:27" ht="15.75" thickBot="1">
      <c r="A791" s="409" t="s">
        <v>0</v>
      </c>
      <c r="B791" s="414"/>
      <c r="C791" s="99" t="s">
        <v>102</v>
      </c>
      <c r="D791" s="99" t="s">
        <v>103</v>
      </c>
      <c r="E791" s="99" t="s">
        <v>104</v>
      </c>
      <c r="F791" s="99" t="s">
        <v>105</v>
      </c>
      <c r="G791" s="99" t="s">
        <v>100</v>
      </c>
      <c r="H791" s="99" t="s">
        <v>107</v>
      </c>
      <c r="I791" s="99" t="s">
        <v>106</v>
      </c>
      <c r="J791" s="99" t="s">
        <v>108</v>
      </c>
      <c r="K791" s="99" t="s">
        <v>110</v>
      </c>
      <c r="L791" s="99" t="s">
        <v>101</v>
      </c>
      <c r="M791" s="99" t="s">
        <v>109</v>
      </c>
      <c r="N791" s="101" t="s">
        <v>111</v>
      </c>
      <c r="Q791" s="14"/>
      <c r="R791" s="14"/>
      <c r="S791" s="14"/>
      <c r="T791" s="14"/>
      <c r="U791" s="14"/>
      <c r="V791" s="14"/>
      <c r="W791" s="14"/>
      <c r="X791" s="14"/>
      <c r="Y791" s="175"/>
      <c r="Z791" s="174"/>
      <c r="AA791" s="175"/>
    </row>
    <row r="792" spans="1:27">
      <c r="A792" s="421" t="s">
        <v>9</v>
      </c>
      <c r="B792" s="2" t="s">
        <v>4</v>
      </c>
      <c r="C792" s="96">
        <v>143392.20000000001</v>
      </c>
      <c r="D792" s="96">
        <v>150515.79999999999</v>
      </c>
      <c r="E792" s="96">
        <v>150515.79999999999</v>
      </c>
      <c r="F792" s="96">
        <v>181997.8</v>
      </c>
      <c r="G792" s="96">
        <v>165452.5</v>
      </c>
      <c r="H792" s="96">
        <v>110071.9</v>
      </c>
      <c r="I792" s="96">
        <v>121331.8</v>
      </c>
      <c r="J792" s="96">
        <v>170967.6</v>
      </c>
      <c r="K792" s="96">
        <v>132132.20000000001</v>
      </c>
      <c r="L792" s="96">
        <v>82726.3</v>
      </c>
      <c r="M792" s="96">
        <v>176482.7</v>
      </c>
      <c r="N792" s="100">
        <v>54921</v>
      </c>
      <c r="P792" s="104"/>
      <c r="Y792" s="104"/>
      <c r="Z792" s="104"/>
      <c r="AA792" s="104"/>
    </row>
    <row r="793" spans="1:27">
      <c r="A793" s="422"/>
      <c r="B793" s="63" t="s">
        <v>5</v>
      </c>
      <c r="C793" s="97">
        <v>93007.4</v>
      </c>
      <c r="D793" s="97">
        <v>68754.399999999994</v>
      </c>
      <c r="E793" s="97">
        <v>70131.7</v>
      </c>
      <c r="F793" s="97">
        <v>155197.20000000001</v>
      </c>
      <c r="G793" s="97">
        <v>34243.5</v>
      </c>
      <c r="H793" s="97">
        <v>47441.599999999999</v>
      </c>
      <c r="I793" s="97">
        <v>23506.400000000001</v>
      </c>
      <c r="J793" s="97">
        <v>140672.4</v>
      </c>
      <c r="K793" s="97">
        <v>55818.2</v>
      </c>
      <c r="L793" s="97">
        <v>20445.2</v>
      </c>
      <c r="M793" s="97">
        <v>84862.5</v>
      </c>
      <c r="N793" s="102">
        <v>23270.2</v>
      </c>
      <c r="P793" s="104"/>
      <c r="Y793" s="104"/>
      <c r="Z793" s="104"/>
      <c r="AA793" s="104"/>
    </row>
    <row r="794" spans="1:27" ht="15.75" thickBot="1">
      <c r="A794" s="423"/>
      <c r="B794" s="3" t="s">
        <v>3</v>
      </c>
      <c r="C794" s="71">
        <f>C793/C792</f>
        <v>0.64862244947772607</v>
      </c>
      <c r="D794" s="72">
        <f t="shared" ref="D794:E794" si="748">D793/D792</f>
        <v>0.45679191154682763</v>
      </c>
      <c r="E794" s="72">
        <f t="shared" si="748"/>
        <v>0.46594244590933315</v>
      </c>
      <c r="F794" s="72">
        <f>F793/F792</f>
        <v>0.85274217600432545</v>
      </c>
      <c r="G794" s="72">
        <f>G793/G792</f>
        <v>0.20696876747102644</v>
      </c>
      <c r="H794" s="72">
        <f t="shared" ref="H794:N794" si="749">H793/H792</f>
        <v>0.4310055518256703</v>
      </c>
      <c r="I794" s="72">
        <f t="shared" si="749"/>
        <v>0.19373651425265265</v>
      </c>
      <c r="J794" s="72">
        <f t="shared" si="749"/>
        <v>0.82280151326918072</v>
      </c>
      <c r="K794" s="72">
        <f t="shared" si="749"/>
        <v>0.42244206938202794</v>
      </c>
      <c r="L794" s="72">
        <f t="shared" si="749"/>
        <v>0.24714268618323315</v>
      </c>
      <c r="M794" s="72">
        <f t="shared" si="749"/>
        <v>0.48085449735299829</v>
      </c>
      <c r="N794" s="83">
        <f t="shared" si="749"/>
        <v>0.42370313723348085</v>
      </c>
      <c r="P794" s="104"/>
      <c r="Y794" s="104"/>
      <c r="Z794" s="104"/>
      <c r="AA794" s="104"/>
    </row>
    <row r="795" spans="1:27">
      <c r="A795" s="411" t="s">
        <v>6</v>
      </c>
      <c r="B795" s="27" t="s">
        <v>7</v>
      </c>
      <c r="C795" s="68">
        <v>5155</v>
      </c>
      <c r="D795" s="68">
        <v>3240</v>
      </c>
      <c r="E795" s="68">
        <v>3237</v>
      </c>
      <c r="F795" s="68">
        <v>9568</v>
      </c>
      <c r="G795" s="68">
        <v>5300</v>
      </c>
      <c r="H795" s="68">
        <v>11504</v>
      </c>
      <c r="I795" s="68">
        <f>(3999-2000)</f>
        <v>1999</v>
      </c>
      <c r="J795" s="68">
        <v>9193</v>
      </c>
      <c r="K795" s="68">
        <v>8610</v>
      </c>
      <c r="L795" s="68">
        <v>2800</v>
      </c>
      <c r="M795" s="68">
        <f>5451-2614</f>
        <v>2837</v>
      </c>
      <c r="N795" s="80">
        <v>800</v>
      </c>
      <c r="P795" s="104"/>
      <c r="Y795" s="104"/>
      <c r="Z795" s="104"/>
      <c r="AA795" s="104"/>
    </row>
    <row r="796" spans="1:27">
      <c r="A796" s="412"/>
      <c r="B796" s="28" t="s">
        <v>11</v>
      </c>
      <c r="C796" s="73">
        <f t="shared" ref="C796:I796" si="750">C795*33.72</f>
        <v>173826.6</v>
      </c>
      <c r="D796" s="73">
        <f t="shared" si="750"/>
        <v>109252.8</v>
      </c>
      <c r="E796" s="73">
        <f t="shared" si="750"/>
        <v>109151.64</v>
      </c>
      <c r="F796" s="73">
        <f t="shared" si="750"/>
        <v>322632.95999999996</v>
      </c>
      <c r="G796" s="73">
        <f t="shared" si="750"/>
        <v>178716</v>
      </c>
      <c r="H796" s="73">
        <f t="shared" si="750"/>
        <v>387914.88</v>
      </c>
      <c r="I796" s="73">
        <f t="shared" si="750"/>
        <v>67406.28</v>
      </c>
      <c r="J796" s="73">
        <f>J795*33.72</f>
        <v>309987.95999999996</v>
      </c>
      <c r="K796" s="73">
        <f t="shared" ref="K796:N796" si="751">K795*33.72</f>
        <v>290329.2</v>
      </c>
      <c r="L796" s="73">
        <f t="shared" si="751"/>
        <v>94416</v>
      </c>
      <c r="M796" s="73">
        <f t="shared" si="751"/>
        <v>95663.64</v>
      </c>
      <c r="N796" s="84">
        <f t="shared" si="751"/>
        <v>26976</v>
      </c>
      <c r="P796" s="104"/>
      <c r="Y796" s="104"/>
      <c r="Z796" s="104"/>
      <c r="AA796" s="104"/>
    </row>
    <row r="797" spans="1:27">
      <c r="A797" s="412"/>
      <c r="B797" s="28" t="s">
        <v>79</v>
      </c>
      <c r="C797" s="73">
        <v>164000</v>
      </c>
      <c r="D797" s="73">
        <v>109880</v>
      </c>
      <c r="E797" s="73">
        <v>109880</v>
      </c>
      <c r="F797" s="73">
        <v>328000</v>
      </c>
      <c r="G797" s="73">
        <f>G792*2</f>
        <v>330905</v>
      </c>
      <c r="H797" s="73">
        <f>H792*2</f>
        <v>220143.8</v>
      </c>
      <c r="I797" s="73">
        <f>I792*2</f>
        <v>242663.6</v>
      </c>
      <c r="J797" s="73">
        <v>328000</v>
      </c>
      <c r="K797" s="73">
        <f>K792*2</f>
        <v>264264.40000000002</v>
      </c>
      <c r="L797" s="73">
        <v>328000</v>
      </c>
      <c r="M797" s="73">
        <f>2*M792</f>
        <v>352965.4</v>
      </c>
      <c r="N797" s="84">
        <f>2*N792</f>
        <v>109842</v>
      </c>
      <c r="P797" s="104"/>
      <c r="Y797" s="104"/>
      <c r="Z797" s="104"/>
      <c r="AA797" s="104"/>
    </row>
    <row r="798" spans="1:27">
      <c r="A798" s="412"/>
      <c r="B798" s="66" t="s">
        <v>8</v>
      </c>
      <c r="C798" s="98">
        <f>SUM(C795-566)</f>
        <v>4589</v>
      </c>
      <c r="D798" s="98">
        <f>SUM(D795-546)</f>
        <v>2694</v>
      </c>
      <c r="E798" s="98">
        <f>SUM(E795-572)</f>
        <v>2665</v>
      </c>
      <c r="F798" s="98">
        <f>SUM(F795-1144)</f>
        <v>8424</v>
      </c>
      <c r="G798" s="98">
        <f>SUM(G795-3293)</f>
        <v>2007</v>
      </c>
      <c r="H798" s="98">
        <f>SUM(H795-1711)</f>
        <v>9793</v>
      </c>
      <c r="I798" s="98">
        <f>SUM(I795-(2408-2000))</f>
        <v>1591</v>
      </c>
      <c r="J798" s="98">
        <f>SUM(J795-1380)</f>
        <v>7813</v>
      </c>
      <c r="K798" s="98">
        <f>SUM(K795-2135)</f>
        <v>6475</v>
      </c>
      <c r="L798" s="98">
        <f>SUM(L795-427)</f>
        <v>2373</v>
      </c>
      <c r="M798" s="98">
        <f>SUM(M795-(2849-2614))</f>
        <v>2602</v>
      </c>
      <c r="N798" s="103">
        <f>SUM(N795-46)</f>
        <v>754</v>
      </c>
    </row>
    <row r="799" spans="1:27">
      <c r="A799" s="412"/>
      <c r="B799" s="29" t="s">
        <v>77</v>
      </c>
      <c r="C799" s="75">
        <f>C798*33.72</f>
        <v>154741.07999999999</v>
      </c>
      <c r="D799" s="75">
        <f>D798*33.72</f>
        <v>90841.68</v>
      </c>
      <c r="E799" s="75">
        <f>E798*33.72</f>
        <v>89863.8</v>
      </c>
      <c r="F799" s="75">
        <f>F798*33.72</f>
        <v>284057.27999999997</v>
      </c>
      <c r="G799" s="75">
        <f>G798*33.72*2</f>
        <v>135352.07999999999</v>
      </c>
      <c r="H799" s="75">
        <f>H798*33.72</f>
        <v>330219.95999999996</v>
      </c>
      <c r="I799" s="75">
        <f>I798*33.72</f>
        <v>53648.52</v>
      </c>
      <c r="J799" s="75">
        <f>J798*33.72</f>
        <v>263454.36</v>
      </c>
      <c r="K799" s="75">
        <f>K798*33.72</f>
        <v>218337</v>
      </c>
      <c r="L799" s="75">
        <f>L798*33.72</f>
        <v>80017.56</v>
      </c>
      <c r="M799" s="75">
        <f>M798*33.72*2</f>
        <v>175478.88</v>
      </c>
      <c r="N799" s="11">
        <f>N798*33.72</f>
        <v>25424.879999999997</v>
      </c>
    </row>
    <row r="800" spans="1:27" ht="15.75" thickBot="1">
      <c r="A800" s="412"/>
      <c r="B800" s="30" t="s">
        <v>10</v>
      </c>
      <c r="C800" s="72">
        <f>C799/C792</f>
        <v>1.0791457275918772</v>
      </c>
      <c r="D800" s="72">
        <f t="shared" ref="D800" si="752">D799/D792</f>
        <v>0.60353584141997052</v>
      </c>
      <c r="E800" s="72">
        <f t="shared" ref="E800" si="753">E799/E792</f>
        <v>0.59703898195405403</v>
      </c>
      <c r="F800" s="72">
        <f t="shared" ref="F800" si="754">F799/F792</f>
        <v>1.5607731522029387</v>
      </c>
      <c r="G800" s="72">
        <f t="shared" ref="G800" si="755">G799/G792</f>
        <v>0.81807213550716962</v>
      </c>
      <c r="H800" s="72">
        <f t="shared" ref="H800" si="756">H799/H792</f>
        <v>3.0000387019757082</v>
      </c>
      <c r="I800" s="72">
        <f t="shared" ref="I800" si="757">I799/I792</f>
        <v>0.44216371965140217</v>
      </c>
      <c r="J800" s="72">
        <f t="shared" ref="J800" si="758">J799/J792</f>
        <v>1.5409607434391077</v>
      </c>
      <c r="K800" s="72">
        <f t="shared" ref="K800" si="759">K799/K792</f>
        <v>1.6524132648968228</v>
      </c>
      <c r="L800" s="72">
        <f t="shared" ref="L800" si="760">L799/L792</f>
        <v>0.96725660400622282</v>
      </c>
      <c r="M800" s="72">
        <f t="shared" ref="M800" si="761">M799/M792</f>
        <v>0.99431207704777858</v>
      </c>
      <c r="N800" s="72">
        <f t="shared" ref="N800" si="762">N799/N792</f>
        <v>0.46293548915715294</v>
      </c>
      <c r="P800" s="175"/>
    </row>
    <row r="801" spans="1:27" ht="15.75" thickBot="1">
      <c r="A801" s="424" t="s">
        <v>83</v>
      </c>
      <c r="B801" s="425"/>
      <c r="C801" s="76">
        <f>MIN(2*C792,C797)-C799</f>
        <v>9258.9200000000128</v>
      </c>
      <c r="D801" s="76">
        <f t="shared" ref="D801:N801" si="763">MIN(2*D792,D797)-D799</f>
        <v>19038.320000000007</v>
      </c>
      <c r="E801" s="76">
        <f t="shared" si="763"/>
        <v>20016.199999999997</v>
      </c>
      <c r="F801" s="76">
        <f t="shared" si="763"/>
        <v>43942.72000000003</v>
      </c>
      <c r="G801" s="76">
        <f t="shared" si="763"/>
        <v>195552.92</v>
      </c>
      <c r="H801" s="76">
        <f t="shared" si="763"/>
        <v>-110076.15999999997</v>
      </c>
      <c r="I801" s="76">
        <f t="shared" si="763"/>
        <v>189015.08000000002</v>
      </c>
      <c r="J801" s="76">
        <f t="shared" si="763"/>
        <v>64545.640000000014</v>
      </c>
      <c r="K801" s="76">
        <f t="shared" si="763"/>
        <v>45927.400000000023</v>
      </c>
      <c r="L801" s="76">
        <f t="shared" si="763"/>
        <v>85435.040000000008</v>
      </c>
      <c r="M801" s="76">
        <f t="shared" si="763"/>
        <v>177486.52000000002</v>
      </c>
      <c r="N801" s="22">
        <f t="shared" si="763"/>
        <v>84417.12</v>
      </c>
      <c r="P801" s="174"/>
    </row>
    <row r="802" spans="1:27" ht="15.75" thickBot="1">
      <c r="A802" s="368">
        <v>41124</v>
      </c>
      <c r="B802" s="368"/>
      <c r="C802" s="368"/>
      <c r="N802" s="15"/>
    </row>
    <row r="803" spans="1:27">
      <c r="A803" s="407" t="s">
        <v>1</v>
      </c>
      <c r="B803" s="420"/>
      <c r="C803" s="68" t="s">
        <v>12</v>
      </c>
      <c r="D803" s="68" t="s">
        <v>12</v>
      </c>
      <c r="E803" s="68" t="s">
        <v>13</v>
      </c>
      <c r="F803" s="68" t="s">
        <v>13</v>
      </c>
      <c r="G803" s="68" t="s">
        <v>13</v>
      </c>
      <c r="H803" s="68" t="s">
        <v>13</v>
      </c>
      <c r="I803" s="68" t="s">
        <v>13</v>
      </c>
      <c r="J803" s="68" t="s">
        <v>2</v>
      </c>
      <c r="K803" s="68" t="s">
        <v>2</v>
      </c>
      <c r="L803" s="68" t="s">
        <v>2</v>
      </c>
      <c r="M803" s="68" t="s">
        <v>2</v>
      </c>
      <c r="N803" s="4" t="s">
        <v>84</v>
      </c>
    </row>
    <row r="804" spans="1:27" ht="15.75" thickBot="1">
      <c r="A804" s="409" t="s">
        <v>0</v>
      </c>
      <c r="B804" s="414"/>
      <c r="C804" s="99" t="s">
        <v>102</v>
      </c>
      <c r="D804" s="99" t="s">
        <v>103</v>
      </c>
      <c r="E804" s="99" t="s">
        <v>104</v>
      </c>
      <c r="F804" s="99" t="s">
        <v>105</v>
      </c>
      <c r="G804" s="99" t="s">
        <v>100</v>
      </c>
      <c r="H804" s="99" t="s">
        <v>107</v>
      </c>
      <c r="I804" s="99" t="s">
        <v>106</v>
      </c>
      <c r="J804" s="99" t="s">
        <v>108</v>
      </c>
      <c r="K804" s="99" t="s">
        <v>110</v>
      </c>
      <c r="L804" s="99" t="s">
        <v>101</v>
      </c>
      <c r="M804" s="99" t="s">
        <v>109</v>
      </c>
      <c r="N804" s="101" t="s">
        <v>111</v>
      </c>
      <c r="Q804" s="14"/>
      <c r="R804" s="14"/>
      <c r="S804" s="14"/>
      <c r="T804" s="14"/>
      <c r="U804" s="14"/>
      <c r="V804" s="14"/>
      <c r="W804" s="14"/>
      <c r="X804" s="14"/>
      <c r="Y804" s="175"/>
      <c r="Z804" s="174"/>
      <c r="AA804" s="175"/>
    </row>
    <row r="805" spans="1:27">
      <c r="A805" s="421" t="s">
        <v>9</v>
      </c>
      <c r="B805" s="2" t="s">
        <v>4</v>
      </c>
      <c r="C805" s="96">
        <v>143392.20000000001</v>
      </c>
      <c r="D805" s="96">
        <v>150515.79999999999</v>
      </c>
      <c r="E805" s="96">
        <v>150515.79999999999</v>
      </c>
      <c r="F805" s="96">
        <v>181997.8</v>
      </c>
      <c r="G805" s="96">
        <v>165452.5</v>
      </c>
      <c r="H805" s="96">
        <v>110071.9</v>
      </c>
      <c r="I805" s="96">
        <v>121331.8</v>
      </c>
      <c r="J805" s="96">
        <v>170967.6</v>
      </c>
      <c r="K805" s="96">
        <v>132132.20000000001</v>
      </c>
      <c r="L805" s="96">
        <v>82726.3</v>
      </c>
      <c r="M805" s="96">
        <v>176482.7</v>
      </c>
      <c r="N805" s="100">
        <v>54921</v>
      </c>
      <c r="P805" s="104"/>
      <c r="Y805" s="104"/>
      <c r="Z805" s="104"/>
      <c r="AA805" s="104"/>
    </row>
    <row r="806" spans="1:27">
      <c r="A806" s="422"/>
      <c r="B806" s="63" t="s">
        <v>5</v>
      </c>
      <c r="C806" s="97">
        <v>93013.7</v>
      </c>
      <c r="D806" s="97">
        <v>68752.7</v>
      </c>
      <c r="E806" s="97">
        <v>70129.899999999994</v>
      </c>
      <c r="F806" s="97">
        <v>155136.4</v>
      </c>
      <c r="G806" s="97">
        <v>34243.5</v>
      </c>
      <c r="H806" s="97">
        <v>47356.7</v>
      </c>
      <c r="I806" s="97">
        <v>23463.3</v>
      </c>
      <c r="J806" s="97">
        <v>140600.79999999999</v>
      </c>
      <c r="K806" s="97">
        <v>55708.1</v>
      </c>
      <c r="L806" s="97">
        <v>20379.400000000001</v>
      </c>
      <c r="M806" s="97">
        <v>84789.9</v>
      </c>
      <c r="N806" s="102">
        <v>23270.2</v>
      </c>
      <c r="P806" s="104"/>
      <c r="Y806" s="104"/>
      <c r="Z806" s="104"/>
      <c r="AA806" s="104"/>
    </row>
    <row r="807" spans="1:27" ht="15.75" thickBot="1">
      <c r="A807" s="423"/>
      <c r="B807" s="3" t="s">
        <v>3</v>
      </c>
      <c r="C807" s="71">
        <f>C806/C805</f>
        <v>0.64866638492191342</v>
      </c>
      <c r="D807" s="72">
        <f t="shared" ref="D807:E807" si="764">D806/D805</f>
        <v>0.45678061705149892</v>
      </c>
      <c r="E807" s="72">
        <f t="shared" si="764"/>
        <v>0.46593048703192619</v>
      </c>
      <c r="F807" s="72">
        <f>F806/F805</f>
        <v>0.85240810603205097</v>
      </c>
      <c r="G807" s="72">
        <f>G806/G805</f>
        <v>0.20696876747102644</v>
      </c>
      <c r="H807" s="72">
        <f t="shared" ref="H807:N807" si="765">H806/H805</f>
        <v>0.43023423780274528</v>
      </c>
      <c r="I807" s="72">
        <f t="shared" si="765"/>
        <v>0.19338128998333495</v>
      </c>
      <c r="J807" s="72">
        <f t="shared" si="765"/>
        <v>0.82238272046867356</v>
      </c>
      <c r="K807" s="72">
        <f t="shared" si="765"/>
        <v>0.42160881299183689</v>
      </c>
      <c r="L807" s="72">
        <f t="shared" si="765"/>
        <v>0.24634729221541396</v>
      </c>
      <c r="M807" s="72">
        <f t="shared" si="765"/>
        <v>0.48044312558681385</v>
      </c>
      <c r="N807" s="83">
        <f t="shared" si="765"/>
        <v>0.42370313723348085</v>
      </c>
      <c r="P807" s="104"/>
      <c r="Y807" s="104"/>
      <c r="Z807" s="104"/>
      <c r="AA807" s="104"/>
    </row>
    <row r="808" spans="1:27">
      <c r="A808" s="411" t="s">
        <v>6</v>
      </c>
      <c r="B808" s="27" t="s">
        <v>7</v>
      </c>
      <c r="C808" s="68">
        <v>5155</v>
      </c>
      <c r="D808" s="68">
        <v>3240</v>
      </c>
      <c r="E808" s="68">
        <v>3237</v>
      </c>
      <c r="F808" s="68">
        <v>9568</v>
      </c>
      <c r="G808" s="68">
        <v>5300</v>
      </c>
      <c r="H808" s="68">
        <v>11504</v>
      </c>
      <c r="I808" s="68">
        <f>(4000-2000)</f>
        <v>2000</v>
      </c>
      <c r="J808" s="68">
        <v>9193</v>
      </c>
      <c r="K808" s="68">
        <v>8610</v>
      </c>
      <c r="L808" s="68">
        <v>2800</v>
      </c>
      <c r="M808" s="68">
        <f>5451-2614</f>
        <v>2837</v>
      </c>
      <c r="N808" s="80">
        <v>830</v>
      </c>
      <c r="P808" s="104"/>
      <c r="Y808" s="104"/>
      <c r="Z808" s="104"/>
      <c r="AA808" s="104"/>
    </row>
    <row r="809" spans="1:27">
      <c r="A809" s="412"/>
      <c r="B809" s="28" t="s">
        <v>11</v>
      </c>
      <c r="C809" s="73">
        <f t="shared" ref="C809:I809" si="766">C808*33.72</f>
        <v>173826.6</v>
      </c>
      <c r="D809" s="73">
        <f t="shared" si="766"/>
        <v>109252.8</v>
      </c>
      <c r="E809" s="73">
        <f t="shared" si="766"/>
        <v>109151.64</v>
      </c>
      <c r="F809" s="73">
        <f t="shared" si="766"/>
        <v>322632.95999999996</v>
      </c>
      <c r="G809" s="73">
        <f t="shared" si="766"/>
        <v>178716</v>
      </c>
      <c r="H809" s="73">
        <f t="shared" si="766"/>
        <v>387914.88</v>
      </c>
      <c r="I809" s="73">
        <f t="shared" si="766"/>
        <v>67440</v>
      </c>
      <c r="J809" s="73">
        <f>J808*33.72</f>
        <v>309987.95999999996</v>
      </c>
      <c r="K809" s="73">
        <f t="shared" ref="K809:N809" si="767">K808*33.72</f>
        <v>290329.2</v>
      </c>
      <c r="L809" s="73">
        <f t="shared" si="767"/>
        <v>94416</v>
      </c>
      <c r="M809" s="73">
        <f t="shared" si="767"/>
        <v>95663.64</v>
      </c>
      <c r="N809" s="84">
        <f t="shared" si="767"/>
        <v>27987.599999999999</v>
      </c>
      <c r="P809" s="104"/>
      <c r="Y809" s="104"/>
      <c r="Z809" s="104"/>
      <c r="AA809" s="104"/>
    </row>
    <row r="810" spans="1:27">
      <c r="A810" s="412"/>
      <c r="B810" s="28" t="s">
        <v>79</v>
      </c>
      <c r="C810" s="73">
        <v>164000</v>
      </c>
      <c r="D810" s="73">
        <v>109880</v>
      </c>
      <c r="E810" s="73">
        <v>109880</v>
      </c>
      <c r="F810" s="73">
        <v>328000</v>
      </c>
      <c r="G810" s="73">
        <f>G805*2</f>
        <v>330905</v>
      </c>
      <c r="H810" s="73">
        <f>H805*2</f>
        <v>220143.8</v>
      </c>
      <c r="I810" s="73">
        <f>I805*2</f>
        <v>242663.6</v>
      </c>
      <c r="J810" s="73">
        <v>328000</v>
      </c>
      <c r="K810" s="73">
        <f>K805*2</f>
        <v>264264.40000000002</v>
      </c>
      <c r="L810" s="73">
        <v>328000</v>
      </c>
      <c r="M810" s="73">
        <f>2*M805</f>
        <v>352965.4</v>
      </c>
      <c r="N810" s="84">
        <f>2*N805</f>
        <v>109842</v>
      </c>
      <c r="P810" s="104"/>
      <c r="Y810" s="104"/>
      <c r="Z810" s="104"/>
      <c r="AA810" s="104"/>
    </row>
    <row r="811" spans="1:27">
      <c r="A811" s="412"/>
      <c r="B811" s="66" t="s">
        <v>8</v>
      </c>
      <c r="C811" s="98">
        <f>SUM(C808-0)</f>
        <v>5155</v>
      </c>
      <c r="D811" s="98">
        <f>SUM(D808-546)</f>
        <v>2694</v>
      </c>
      <c r="E811" s="98">
        <f>SUM(E808-572)</f>
        <v>2665</v>
      </c>
      <c r="F811" s="98">
        <f>SUM(F808-1144)</f>
        <v>8424</v>
      </c>
      <c r="G811" s="98">
        <f>SUM(G808-3293)</f>
        <v>2007</v>
      </c>
      <c r="H811" s="98">
        <f>SUM(H808-1711)</f>
        <v>9793</v>
      </c>
      <c r="I811" s="98">
        <f>SUM(I808-(2408-2000))</f>
        <v>1592</v>
      </c>
      <c r="J811" s="98">
        <f>SUM(J808-1380)</f>
        <v>7813</v>
      </c>
      <c r="K811" s="98">
        <f>SUM(K808-2135)</f>
        <v>6475</v>
      </c>
      <c r="L811" s="98">
        <f>SUM(L808-427)</f>
        <v>2373</v>
      </c>
      <c r="M811" s="98">
        <f>SUM(M808-(2849-2614))</f>
        <v>2602</v>
      </c>
      <c r="N811" s="103">
        <f>SUM(N808-46)</f>
        <v>784</v>
      </c>
    </row>
    <row r="812" spans="1:27">
      <c r="A812" s="412"/>
      <c r="B812" s="29" t="s">
        <v>77</v>
      </c>
      <c r="C812" s="75">
        <f>C811*33.72</f>
        <v>173826.6</v>
      </c>
      <c r="D812" s="75">
        <f>D811*33.72</f>
        <v>90841.68</v>
      </c>
      <c r="E812" s="75">
        <f>E811*33.72</f>
        <v>89863.8</v>
      </c>
      <c r="F812" s="75">
        <f>F811*33.72</f>
        <v>284057.27999999997</v>
      </c>
      <c r="G812" s="75">
        <f>G811*33.72*2</f>
        <v>135352.07999999999</v>
      </c>
      <c r="H812" s="75">
        <f>H811*33.72</f>
        <v>330219.95999999996</v>
      </c>
      <c r="I812" s="75">
        <f>I811*33.72</f>
        <v>53682.239999999998</v>
      </c>
      <c r="J812" s="75">
        <f>J811*33.72</f>
        <v>263454.36</v>
      </c>
      <c r="K812" s="75">
        <f>K811*33.72</f>
        <v>218337</v>
      </c>
      <c r="L812" s="75">
        <f>L811*33.72</f>
        <v>80017.56</v>
      </c>
      <c r="M812" s="75">
        <f>M811*33.72*2</f>
        <v>175478.88</v>
      </c>
      <c r="N812" s="11">
        <f>N811*33.72</f>
        <v>26436.48</v>
      </c>
    </row>
    <row r="813" spans="1:27" ht="15.75" thickBot="1">
      <c r="A813" s="412"/>
      <c r="B813" s="30" t="s">
        <v>10</v>
      </c>
      <c r="C813" s="72">
        <f>C812/C805</f>
        <v>1.2122458543770163</v>
      </c>
      <c r="D813" s="72">
        <f t="shared" ref="D813" si="768">D812/D805</f>
        <v>0.60353584141997052</v>
      </c>
      <c r="E813" s="72">
        <f t="shared" ref="E813" si="769">E812/E805</f>
        <v>0.59703898195405403</v>
      </c>
      <c r="F813" s="72">
        <f t="shared" ref="F813" si="770">F812/F805</f>
        <v>1.5607731522029387</v>
      </c>
      <c r="G813" s="72">
        <f t="shared" ref="G813" si="771">G812/G805</f>
        <v>0.81807213550716962</v>
      </c>
      <c r="H813" s="72">
        <f t="shared" ref="H813" si="772">H812/H805</f>
        <v>3.0000387019757082</v>
      </c>
      <c r="I813" s="72">
        <f t="shared" ref="I813" si="773">I812/I805</f>
        <v>0.44244163525143448</v>
      </c>
      <c r="J813" s="72">
        <f t="shared" ref="J813" si="774">J812/J805</f>
        <v>1.5409607434391077</v>
      </c>
      <c r="K813" s="72">
        <f t="shared" ref="K813" si="775">K812/K805</f>
        <v>1.6524132648968228</v>
      </c>
      <c r="L813" s="72">
        <f t="shared" ref="L813" si="776">L812/L805</f>
        <v>0.96725660400622282</v>
      </c>
      <c r="M813" s="72">
        <f t="shared" ref="M813" si="777">M812/M805</f>
        <v>0.99431207704777858</v>
      </c>
      <c r="N813" s="72">
        <f t="shared" ref="N813" si="778">N812/N805</f>
        <v>0.4813546730758726</v>
      </c>
      <c r="P813" s="175"/>
    </row>
    <row r="814" spans="1:27" ht="15.75" thickBot="1">
      <c r="A814" s="424" t="s">
        <v>83</v>
      </c>
      <c r="B814" s="425"/>
      <c r="C814" s="76">
        <f>MIN(2*C805,C810)-C812</f>
        <v>-9826.6000000000058</v>
      </c>
      <c r="D814" s="76">
        <f t="shared" ref="D814:N814" si="779">MIN(2*D805,D810)-D812</f>
        <v>19038.320000000007</v>
      </c>
      <c r="E814" s="76">
        <f t="shared" si="779"/>
        <v>20016.199999999997</v>
      </c>
      <c r="F814" s="76">
        <f t="shared" si="779"/>
        <v>43942.72000000003</v>
      </c>
      <c r="G814" s="76">
        <f t="shared" si="779"/>
        <v>195552.92</v>
      </c>
      <c r="H814" s="76">
        <f t="shared" si="779"/>
        <v>-110076.15999999997</v>
      </c>
      <c r="I814" s="76">
        <f t="shared" si="779"/>
        <v>188981.36000000002</v>
      </c>
      <c r="J814" s="76">
        <f t="shared" si="779"/>
        <v>64545.640000000014</v>
      </c>
      <c r="K814" s="76">
        <f t="shared" si="779"/>
        <v>45927.400000000023</v>
      </c>
      <c r="L814" s="76">
        <f t="shared" si="779"/>
        <v>85435.040000000008</v>
      </c>
      <c r="M814" s="76">
        <f t="shared" si="779"/>
        <v>177486.52000000002</v>
      </c>
      <c r="N814" s="22">
        <f t="shared" si="779"/>
        <v>83405.52</v>
      </c>
      <c r="P814" s="174"/>
    </row>
    <row r="815" spans="1:27" ht="15.75" thickBot="1">
      <c r="A815" s="368">
        <v>41123</v>
      </c>
      <c r="B815" s="368"/>
      <c r="C815" s="368"/>
      <c r="N815" s="15"/>
    </row>
    <row r="816" spans="1:27">
      <c r="A816" s="407" t="s">
        <v>1</v>
      </c>
      <c r="B816" s="420"/>
      <c r="C816" s="68" t="s">
        <v>12</v>
      </c>
      <c r="D816" s="68" t="s">
        <v>12</v>
      </c>
      <c r="E816" s="68" t="s">
        <v>13</v>
      </c>
      <c r="F816" s="68" t="s">
        <v>13</v>
      </c>
      <c r="G816" s="68" t="s">
        <v>13</v>
      </c>
      <c r="H816" s="68" t="s">
        <v>13</v>
      </c>
      <c r="I816" s="68" t="s">
        <v>13</v>
      </c>
      <c r="J816" s="68" t="s">
        <v>2</v>
      </c>
      <c r="K816" s="68" t="s">
        <v>2</v>
      </c>
      <c r="L816" s="68" t="s">
        <v>2</v>
      </c>
      <c r="M816" s="68" t="s">
        <v>2</v>
      </c>
      <c r="N816" s="4" t="s">
        <v>84</v>
      </c>
    </row>
    <row r="817" spans="1:27" ht="15.75" thickBot="1">
      <c r="A817" s="409" t="s">
        <v>0</v>
      </c>
      <c r="B817" s="414"/>
      <c r="C817" s="99" t="s">
        <v>102</v>
      </c>
      <c r="D817" s="99" t="s">
        <v>103</v>
      </c>
      <c r="E817" s="99" t="s">
        <v>104</v>
      </c>
      <c r="F817" s="99" t="s">
        <v>105</v>
      </c>
      <c r="G817" s="99" t="s">
        <v>100</v>
      </c>
      <c r="H817" s="99" t="s">
        <v>107</v>
      </c>
      <c r="I817" s="99" t="s">
        <v>106</v>
      </c>
      <c r="J817" s="99" t="s">
        <v>108</v>
      </c>
      <c r="K817" s="99" t="s">
        <v>110</v>
      </c>
      <c r="L817" s="99" t="s">
        <v>101</v>
      </c>
      <c r="M817" s="99" t="s">
        <v>109</v>
      </c>
      <c r="N817" s="101" t="s">
        <v>111</v>
      </c>
      <c r="Q817" s="14"/>
      <c r="R817" s="14"/>
      <c r="S817" s="14"/>
      <c r="T817" s="14"/>
      <c r="U817" s="14"/>
      <c r="V817" s="14"/>
      <c r="W817" s="14"/>
      <c r="X817" s="14"/>
      <c r="Y817" s="175"/>
      <c r="Z817" s="174"/>
      <c r="AA817" s="175"/>
    </row>
    <row r="818" spans="1:27">
      <c r="A818" s="421" t="s">
        <v>9</v>
      </c>
      <c r="B818" s="2" t="s">
        <v>4</v>
      </c>
      <c r="C818" s="96">
        <v>143392.20000000001</v>
      </c>
      <c r="D818" s="96">
        <v>150515.79999999999</v>
      </c>
      <c r="E818" s="96">
        <v>150515.79999999999</v>
      </c>
      <c r="F818" s="96">
        <v>181997.8</v>
      </c>
      <c r="G818" s="96">
        <v>165452.5</v>
      </c>
      <c r="H818" s="96">
        <v>110071.9</v>
      </c>
      <c r="I818" s="96">
        <v>121331.8</v>
      </c>
      <c r="J818" s="96">
        <v>170967.6</v>
      </c>
      <c r="K818" s="96">
        <v>132132.20000000001</v>
      </c>
      <c r="L818" s="96">
        <v>82726.3</v>
      </c>
      <c r="M818" s="96">
        <v>176482.7</v>
      </c>
      <c r="N818" s="100">
        <v>54921</v>
      </c>
      <c r="P818" s="104"/>
      <c r="Y818" s="104"/>
      <c r="Z818" s="104"/>
      <c r="AA818" s="104"/>
    </row>
    <row r="819" spans="1:27">
      <c r="A819" s="422"/>
      <c r="B819" s="63" t="s">
        <v>5</v>
      </c>
      <c r="C819" s="97">
        <v>93210.2</v>
      </c>
      <c r="D819" s="97">
        <v>68703.899999999994</v>
      </c>
      <c r="E819" s="97">
        <v>70084.3</v>
      </c>
      <c r="F819" s="97">
        <v>154770</v>
      </c>
      <c r="G819" s="97">
        <v>33713.5</v>
      </c>
      <c r="H819" s="97">
        <v>46368.2</v>
      </c>
      <c r="I819" s="97">
        <v>23358.6</v>
      </c>
      <c r="J819" s="97">
        <v>140387.70000000001</v>
      </c>
      <c r="K819" s="97">
        <v>55832.6</v>
      </c>
      <c r="L819" s="97">
        <v>20025.7</v>
      </c>
      <c r="M819" s="97">
        <v>84634.7</v>
      </c>
      <c r="N819" s="102">
        <v>23270.2</v>
      </c>
      <c r="P819" s="104"/>
      <c r="Y819" s="104"/>
      <c r="Z819" s="104"/>
      <c r="AA819" s="104"/>
    </row>
    <row r="820" spans="1:27" ht="15.75" thickBot="1">
      <c r="A820" s="423"/>
      <c r="B820" s="3" t="s">
        <v>3</v>
      </c>
      <c r="C820" s="71">
        <f>C819/C818</f>
        <v>0.6500367523477566</v>
      </c>
      <c r="D820" s="72">
        <f t="shared" ref="D820:E820" si="780">D819/D818</f>
        <v>0.45645639859735654</v>
      </c>
      <c r="E820" s="72">
        <f t="shared" si="780"/>
        <v>0.46562752880428504</v>
      </c>
      <c r="F820" s="72">
        <f>F819/F818</f>
        <v>0.85039489488334474</v>
      </c>
      <c r="G820" s="72">
        <f>G819/G818</f>
        <v>0.20376543116604465</v>
      </c>
      <c r="H820" s="72">
        <f t="shared" ref="H820:N820" si="781">H819/H818</f>
        <v>0.42125374414360067</v>
      </c>
      <c r="I820" s="72">
        <f t="shared" si="781"/>
        <v>0.19251836699035205</v>
      </c>
      <c r="J820" s="72">
        <f t="shared" si="781"/>
        <v>0.82113628547163331</v>
      </c>
      <c r="K820" s="72">
        <f t="shared" si="781"/>
        <v>0.42255105114423275</v>
      </c>
      <c r="L820" s="72">
        <f t="shared" si="781"/>
        <v>0.2420717474370303</v>
      </c>
      <c r="M820" s="72">
        <f t="shared" si="781"/>
        <v>0.47956371927673358</v>
      </c>
      <c r="N820" s="83">
        <f t="shared" si="781"/>
        <v>0.42370313723348085</v>
      </c>
      <c r="P820" s="104"/>
      <c r="Y820" s="104"/>
      <c r="Z820" s="104"/>
      <c r="AA820" s="104"/>
    </row>
    <row r="821" spans="1:27">
      <c r="A821" s="411" t="s">
        <v>6</v>
      </c>
      <c r="B821" s="27" t="s">
        <v>7</v>
      </c>
      <c r="C821" s="68">
        <v>5155</v>
      </c>
      <c r="D821" s="68">
        <v>3240</v>
      </c>
      <c r="E821" s="68">
        <v>3237</v>
      </c>
      <c r="F821" s="68">
        <v>9568</v>
      </c>
      <c r="G821" s="68">
        <v>5300</v>
      </c>
      <c r="H821" s="68">
        <v>11504</v>
      </c>
      <c r="I821" s="68">
        <f>(4000-2000)</f>
        <v>2000</v>
      </c>
      <c r="J821" s="68">
        <v>9193</v>
      </c>
      <c r="K821" s="68">
        <v>8610</v>
      </c>
      <c r="L821" s="68">
        <v>2800</v>
      </c>
      <c r="M821" s="68">
        <f>5451-2614</f>
        <v>2837</v>
      </c>
      <c r="N821" s="80">
        <v>830</v>
      </c>
      <c r="P821" s="104"/>
      <c r="Y821" s="104"/>
      <c r="Z821" s="104"/>
      <c r="AA821" s="104"/>
    </row>
    <row r="822" spans="1:27">
      <c r="A822" s="412"/>
      <c r="B822" s="28" t="s">
        <v>11</v>
      </c>
      <c r="C822" s="73">
        <f t="shared" ref="C822:I822" si="782">C821*33.72</f>
        <v>173826.6</v>
      </c>
      <c r="D822" s="73">
        <f t="shared" si="782"/>
        <v>109252.8</v>
      </c>
      <c r="E822" s="73">
        <f t="shared" si="782"/>
        <v>109151.64</v>
      </c>
      <c r="F822" s="73">
        <f t="shared" si="782"/>
        <v>322632.95999999996</v>
      </c>
      <c r="G822" s="73">
        <f t="shared" si="782"/>
        <v>178716</v>
      </c>
      <c r="H822" s="73">
        <f t="shared" si="782"/>
        <v>387914.88</v>
      </c>
      <c r="I822" s="73">
        <f t="shared" si="782"/>
        <v>67440</v>
      </c>
      <c r="J822" s="73">
        <f>J821*33.72</f>
        <v>309987.95999999996</v>
      </c>
      <c r="K822" s="73">
        <f t="shared" ref="K822:N822" si="783">K821*33.72</f>
        <v>290329.2</v>
      </c>
      <c r="L822" s="73">
        <f t="shared" si="783"/>
        <v>94416</v>
      </c>
      <c r="M822" s="73">
        <f t="shared" si="783"/>
        <v>95663.64</v>
      </c>
      <c r="N822" s="84">
        <f t="shared" si="783"/>
        <v>27987.599999999999</v>
      </c>
      <c r="P822" s="104"/>
      <c r="Y822" s="104"/>
      <c r="Z822" s="104"/>
      <c r="AA822" s="104"/>
    </row>
    <row r="823" spans="1:27">
      <c r="A823" s="412"/>
      <c r="B823" s="28" t="s">
        <v>79</v>
      </c>
      <c r="C823" s="73">
        <v>164000</v>
      </c>
      <c r="D823" s="73">
        <v>109880</v>
      </c>
      <c r="E823" s="73">
        <v>109880</v>
      </c>
      <c r="F823" s="73">
        <v>328000</v>
      </c>
      <c r="G823" s="73">
        <f>G818*2</f>
        <v>330905</v>
      </c>
      <c r="H823" s="73">
        <f>H818*2</f>
        <v>220143.8</v>
      </c>
      <c r="I823" s="73">
        <f>I818*2</f>
        <v>242663.6</v>
      </c>
      <c r="J823" s="73">
        <v>328000</v>
      </c>
      <c r="K823" s="73">
        <f>K818*2</f>
        <v>264264.40000000002</v>
      </c>
      <c r="L823" s="73">
        <v>328000</v>
      </c>
      <c r="M823" s="73">
        <f>2*M818</f>
        <v>352965.4</v>
      </c>
      <c r="N823" s="84">
        <f>2*N818</f>
        <v>109842</v>
      </c>
      <c r="P823" s="104"/>
      <c r="Y823" s="104"/>
      <c r="Z823" s="104"/>
      <c r="AA823" s="104"/>
    </row>
    <row r="824" spans="1:27">
      <c r="A824" s="412"/>
      <c r="B824" s="66" t="s">
        <v>8</v>
      </c>
      <c r="C824" s="98">
        <f>SUM(C821-0)</f>
        <v>5155</v>
      </c>
      <c r="D824" s="98">
        <f>SUM(D821-604)</f>
        <v>2636</v>
      </c>
      <c r="E824" s="98">
        <f>SUM(E821-635)</f>
        <v>2602</v>
      </c>
      <c r="F824" s="98">
        <f>SUM(F821-1140)</f>
        <v>8428</v>
      </c>
      <c r="G824" s="98">
        <f>SUM(G821-3293)</f>
        <v>2007</v>
      </c>
      <c r="H824" s="98">
        <f>SUM(H821-1721)</f>
        <v>9783</v>
      </c>
      <c r="I824" s="98">
        <f>SUM(I821-(2408-2000))</f>
        <v>1592</v>
      </c>
      <c r="J824" s="98">
        <f>SUM(J821-1316)</f>
        <v>7877</v>
      </c>
      <c r="K824" s="98">
        <f>SUM(K821-2139)</f>
        <v>6471</v>
      </c>
      <c r="L824" s="98">
        <f>SUM(L821-433)</f>
        <v>2367</v>
      </c>
      <c r="M824" s="98">
        <f>SUM(M821-(2849-2614))</f>
        <v>2602</v>
      </c>
      <c r="N824" s="103">
        <f>SUM(N821-46)</f>
        <v>784</v>
      </c>
    </row>
    <row r="825" spans="1:27">
      <c r="A825" s="412"/>
      <c r="B825" s="29" t="s">
        <v>77</v>
      </c>
      <c r="C825" s="75">
        <f>C824*33.72</f>
        <v>173826.6</v>
      </c>
      <c r="D825" s="75">
        <f>D824*33.72</f>
        <v>88885.92</v>
      </c>
      <c r="E825" s="75">
        <f>E824*33.72</f>
        <v>87739.44</v>
      </c>
      <c r="F825" s="75">
        <f>F824*33.72</f>
        <v>284192.15999999997</v>
      </c>
      <c r="G825" s="75">
        <f>G824*33.72*2</f>
        <v>135352.07999999999</v>
      </c>
      <c r="H825" s="75">
        <f>H824*33.72</f>
        <v>329882.76</v>
      </c>
      <c r="I825" s="75">
        <f>I824*33.72</f>
        <v>53682.239999999998</v>
      </c>
      <c r="J825" s="75">
        <f>J824*33.72</f>
        <v>265612.44</v>
      </c>
      <c r="K825" s="75">
        <f>K824*33.72</f>
        <v>218202.12</v>
      </c>
      <c r="L825" s="75">
        <f>L824*33.72</f>
        <v>79815.239999999991</v>
      </c>
      <c r="M825" s="75">
        <f>M824*33.72*2</f>
        <v>175478.88</v>
      </c>
      <c r="N825" s="11">
        <f>N824*33.72</f>
        <v>26436.48</v>
      </c>
    </row>
    <row r="826" spans="1:27" ht="15.75" thickBot="1">
      <c r="A826" s="412"/>
      <c r="B826" s="30" t="s">
        <v>10</v>
      </c>
      <c r="C826" s="72">
        <f>C825/C818</f>
        <v>1.2122458543770163</v>
      </c>
      <c r="D826" s="72">
        <f t="shared" ref="D826" si="784">D825/D818</f>
        <v>0.59054212248813753</v>
      </c>
      <c r="E826" s="72">
        <f t="shared" ref="E826" si="785">E825/E818</f>
        <v>0.58292511483844223</v>
      </c>
      <c r="F826" s="72">
        <f t="shared" ref="F826" si="786">F825/F818</f>
        <v>1.5615142600624843</v>
      </c>
      <c r="G826" s="72">
        <f t="shared" ref="G826" si="787">G825/G818</f>
        <v>0.81807213550716962</v>
      </c>
      <c r="H826" s="72">
        <f t="shared" ref="H826" si="788">H825/H818</f>
        <v>2.9969752498139854</v>
      </c>
      <c r="I826" s="72">
        <f t="shared" ref="I826" si="789">I825/I818</f>
        <v>0.44244163525143448</v>
      </c>
      <c r="J826" s="72">
        <f t="shared" ref="J826" si="790">J825/J818</f>
        <v>1.5535834859938373</v>
      </c>
      <c r="K826" s="72">
        <f t="shared" ref="K826" si="791">K825/K818</f>
        <v>1.6513924690575044</v>
      </c>
      <c r="L826" s="72">
        <f t="shared" ref="L826" si="792">L825/L818</f>
        <v>0.96481094887599217</v>
      </c>
      <c r="M826" s="72">
        <f t="shared" ref="M826" si="793">M825/M818</f>
        <v>0.99431207704777858</v>
      </c>
      <c r="N826" s="72">
        <f t="shared" ref="N826" si="794">N825/N818</f>
        <v>0.4813546730758726</v>
      </c>
      <c r="P826" s="175"/>
    </row>
    <row r="827" spans="1:27" ht="15.75" thickBot="1">
      <c r="A827" s="424" t="s">
        <v>83</v>
      </c>
      <c r="B827" s="425"/>
      <c r="C827" s="76">
        <f>MIN(2*C818,C823)-C825</f>
        <v>-9826.6000000000058</v>
      </c>
      <c r="D827" s="76">
        <f t="shared" ref="D827:N827" si="795">MIN(2*D818,D823)-D825</f>
        <v>20994.080000000002</v>
      </c>
      <c r="E827" s="76">
        <f t="shared" si="795"/>
        <v>22140.559999999998</v>
      </c>
      <c r="F827" s="76">
        <f t="shared" si="795"/>
        <v>43807.840000000026</v>
      </c>
      <c r="G827" s="76">
        <f t="shared" si="795"/>
        <v>195552.92</v>
      </c>
      <c r="H827" s="76">
        <f t="shared" si="795"/>
        <v>-109738.96000000002</v>
      </c>
      <c r="I827" s="76">
        <f t="shared" si="795"/>
        <v>188981.36000000002</v>
      </c>
      <c r="J827" s="76">
        <f t="shared" si="795"/>
        <v>62387.56</v>
      </c>
      <c r="K827" s="76">
        <f t="shared" si="795"/>
        <v>46062.280000000028</v>
      </c>
      <c r="L827" s="76">
        <f t="shared" si="795"/>
        <v>85637.360000000015</v>
      </c>
      <c r="M827" s="76">
        <f t="shared" si="795"/>
        <v>177486.52000000002</v>
      </c>
      <c r="N827" s="22">
        <f t="shared" si="795"/>
        <v>83405.52</v>
      </c>
      <c r="P827" s="174"/>
    </row>
    <row r="828" spans="1:27" ht="15.75" thickBot="1">
      <c r="A828" s="368">
        <v>41120</v>
      </c>
      <c r="B828" s="368"/>
      <c r="C828" s="368"/>
      <c r="N828" s="15"/>
    </row>
    <row r="829" spans="1:27">
      <c r="A829" s="407" t="s">
        <v>1</v>
      </c>
      <c r="B829" s="420"/>
      <c r="C829" s="68" t="s">
        <v>12</v>
      </c>
      <c r="D829" s="68" t="s">
        <v>12</v>
      </c>
      <c r="E829" s="68" t="s">
        <v>13</v>
      </c>
      <c r="F829" s="68" t="s">
        <v>13</v>
      </c>
      <c r="G829" s="68" t="s">
        <v>13</v>
      </c>
      <c r="H829" s="68" t="s">
        <v>13</v>
      </c>
      <c r="I829" s="68" t="s">
        <v>13</v>
      </c>
      <c r="J829" s="68" t="s">
        <v>2</v>
      </c>
      <c r="K829" s="68" t="s">
        <v>2</v>
      </c>
      <c r="L829" s="68" t="s">
        <v>2</v>
      </c>
      <c r="M829" s="68" t="s">
        <v>2</v>
      </c>
      <c r="N829" s="4" t="s">
        <v>84</v>
      </c>
    </row>
    <row r="830" spans="1:27" ht="15.75" thickBot="1">
      <c r="A830" s="409" t="s">
        <v>0</v>
      </c>
      <c r="B830" s="414"/>
      <c r="C830" s="99" t="s">
        <v>102</v>
      </c>
      <c r="D830" s="99" t="s">
        <v>103</v>
      </c>
      <c r="E830" s="99" t="s">
        <v>104</v>
      </c>
      <c r="F830" s="99" t="s">
        <v>105</v>
      </c>
      <c r="G830" s="99" t="s">
        <v>100</v>
      </c>
      <c r="H830" s="99" t="s">
        <v>107</v>
      </c>
      <c r="I830" s="99" t="s">
        <v>106</v>
      </c>
      <c r="J830" s="99" t="s">
        <v>108</v>
      </c>
      <c r="K830" s="99" t="s">
        <v>110</v>
      </c>
      <c r="L830" s="99" t="s">
        <v>101</v>
      </c>
      <c r="M830" s="99" t="s">
        <v>109</v>
      </c>
      <c r="N830" s="101" t="s">
        <v>111</v>
      </c>
      <c r="Q830" s="14"/>
      <c r="R830" s="14"/>
      <c r="S830" s="14"/>
      <c r="T830" s="14"/>
      <c r="U830" s="14"/>
      <c r="V830" s="14"/>
      <c r="W830" s="14"/>
      <c r="X830" s="14"/>
      <c r="Y830" s="175"/>
      <c r="Z830" s="174"/>
      <c r="AA830" s="175"/>
    </row>
    <row r="831" spans="1:27">
      <c r="A831" s="421" t="s">
        <v>9</v>
      </c>
      <c r="B831" s="2" t="s">
        <v>4</v>
      </c>
      <c r="C831" s="96">
        <v>143392.20000000001</v>
      </c>
      <c r="D831" s="96">
        <v>150515.79999999999</v>
      </c>
      <c r="E831" s="96">
        <v>150515.79999999999</v>
      </c>
      <c r="F831" s="96">
        <v>181997.8</v>
      </c>
      <c r="G831" s="96">
        <v>121331.8</v>
      </c>
      <c r="H831" s="96">
        <v>110071.9</v>
      </c>
      <c r="I831" s="96">
        <v>121331.8</v>
      </c>
      <c r="J831" s="96">
        <v>170967.6</v>
      </c>
      <c r="K831" s="96">
        <v>132132.20000000001</v>
      </c>
      <c r="L831" s="96">
        <v>82726.3</v>
      </c>
      <c r="M831" s="96">
        <v>176482.7</v>
      </c>
      <c r="N831" s="100">
        <v>54921</v>
      </c>
      <c r="P831" s="104"/>
      <c r="Y831" s="104"/>
      <c r="Z831" s="104"/>
      <c r="AA831" s="104"/>
    </row>
    <row r="832" spans="1:27">
      <c r="A832" s="422"/>
      <c r="B832" s="63" t="s">
        <v>5</v>
      </c>
      <c r="C832" s="97">
        <v>93028.7</v>
      </c>
      <c r="D832" s="97">
        <v>68609.3</v>
      </c>
      <c r="E832" s="97">
        <v>70008</v>
      </c>
      <c r="F832" s="97">
        <v>154630.39999999999</v>
      </c>
      <c r="G832" s="97">
        <v>33713.5</v>
      </c>
      <c r="H832" s="97">
        <v>46240.6</v>
      </c>
      <c r="I832" s="97">
        <v>23301.7</v>
      </c>
      <c r="J832" s="97">
        <v>140216.9</v>
      </c>
      <c r="K832" s="97">
        <v>54764.3</v>
      </c>
      <c r="L832" s="97">
        <v>19797.599999999999</v>
      </c>
      <c r="M832" s="97">
        <v>84533.3</v>
      </c>
      <c r="N832" s="102">
        <v>23269.7</v>
      </c>
      <c r="P832" s="104"/>
      <c r="Y832" s="104"/>
      <c r="Z832" s="104"/>
      <c r="AA832" s="104"/>
    </row>
    <row r="833" spans="1:27" ht="15.75" thickBot="1">
      <c r="A833" s="423"/>
      <c r="B833" s="3" t="s">
        <v>3</v>
      </c>
      <c r="C833" s="71">
        <f>C832/C831</f>
        <v>0.64877099312235942</v>
      </c>
      <c r="D833" s="72">
        <f t="shared" ref="D833:E833" si="796">D832/D831</f>
        <v>0.4558278931514167</v>
      </c>
      <c r="E833" s="72">
        <f t="shared" si="796"/>
        <v>0.46512060527864851</v>
      </c>
      <c r="F833" s="72">
        <f>F832/F831</f>
        <v>0.84962785264437268</v>
      </c>
      <c r="G833" s="72">
        <f>G832/G831</f>
        <v>0.27786202792672654</v>
      </c>
      <c r="H833" s="72">
        <f t="shared" ref="H833:N833" si="797">H832/H831</f>
        <v>0.42009450186650726</v>
      </c>
      <c r="I833" s="72">
        <f t="shared" si="797"/>
        <v>0.19204940501995355</v>
      </c>
      <c r="J833" s="72">
        <f t="shared" si="797"/>
        <v>0.82013726577433377</v>
      </c>
      <c r="K833" s="72">
        <f t="shared" si="797"/>
        <v>0.41446596666066254</v>
      </c>
      <c r="L833" s="72">
        <f t="shared" si="797"/>
        <v>0.23931446226895192</v>
      </c>
      <c r="M833" s="72">
        <f t="shared" si="797"/>
        <v>0.47898915871074049</v>
      </c>
      <c r="N833" s="83">
        <f t="shared" si="797"/>
        <v>0.4236940332477559</v>
      </c>
      <c r="P833" s="104"/>
      <c r="Y833" s="104"/>
      <c r="Z833" s="104"/>
      <c r="AA833" s="104"/>
    </row>
    <row r="834" spans="1:27">
      <c r="A834" s="411" t="s">
        <v>6</v>
      </c>
      <c r="B834" s="27" t="s">
        <v>7</v>
      </c>
      <c r="C834" s="68">
        <v>5155</v>
      </c>
      <c r="D834" s="68">
        <v>3240</v>
      </c>
      <c r="E834" s="68">
        <v>3237</v>
      </c>
      <c r="F834" s="68">
        <v>9568</v>
      </c>
      <c r="G834" s="68">
        <v>5300</v>
      </c>
      <c r="H834" s="68">
        <v>11504</v>
      </c>
      <c r="I834" s="68">
        <f>(4000-2000)</f>
        <v>2000</v>
      </c>
      <c r="J834" s="68">
        <v>9193</v>
      </c>
      <c r="K834" s="68">
        <v>8610</v>
      </c>
      <c r="L834" s="68">
        <v>2800</v>
      </c>
      <c r="M834" s="68">
        <f>5451-2614</f>
        <v>2837</v>
      </c>
      <c r="N834" s="80">
        <v>830</v>
      </c>
      <c r="P834" s="104"/>
      <c r="Y834" s="104"/>
      <c r="Z834" s="104"/>
      <c r="AA834" s="104"/>
    </row>
    <row r="835" spans="1:27">
      <c r="A835" s="412"/>
      <c r="B835" s="28" t="s">
        <v>11</v>
      </c>
      <c r="C835" s="73">
        <f t="shared" ref="C835:I835" si="798">C834*33.72</f>
        <v>173826.6</v>
      </c>
      <c r="D835" s="73">
        <f t="shared" si="798"/>
        <v>109252.8</v>
      </c>
      <c r="E835" s="73">
        <f t="shared" si="798"/>
        <v>109151.64</v>
      </c>
      <c r="F835" s="73">
        <f t="shared" si="798"/>
        <v>322632.95999999996</v>
      </c>
      <c r="G835" s="73">
        <f t="shared" si="798"/>
        <v>178716</v>
      </c>
      <c r="H835" s="73">
        <f t="shared" si="798"/>
        <v>387914.88</v>
      </c>
      <c r="I835" s="73">
        <f t="shared" si="798"/>
        <v>67440</v>
      </c>
      <c r="J835" s="73">
        <f>J834*33.72</f>
        <v>309987.95999999996</v>
      </c>
      <c r="K835" s="73">
        <f t="shared" ref="K835:N835" si="799">K834*33.72</f>
        <v>290329.2</v>
      </c>
      <c r="L835" s="73">
        <f t="shared" si="799"/>
        <v>94416</v>
      </c>
      <c r="M835" s="73">
        <f t="shared" si="799"/>
        <v>95663.64</v>
      </c>
      <c r="N835" s="84">
        <f t="shared" si="799"/>
        <v>27987.599999999999</v>
      </c>
      <c r="P835" s="104"/>
      <c r="Y835" s="104"/>
      <c r="Z835" s="104"/>
      <c r="AA835" s="104"/>
    </row>
    <row r="836" spans="1:27">
      <c r="A836" s="412"/>
      <c r="B836" s="28" t="s">
        <v>79</v>
      </c>
      <c r="C836" s="73">
        <v>164000</v>
      </c>
      <c r="D836" s="73">
        <v>109880</v>
      </c>
      <c r="E836" s="73">
        <v>109880</v>
      </c>
      <c r="F836" s="73">
        <v>328000</v>
      </c>
      <c r="G836" s="73">
        <f>G831*2</f>
        <v>242663.6</v>
      </c>
      <c r="H836" s="73">
        <f>H831*2</f>
        <v>220143.8</v>
      </c>
      <c r="I836" s="73">
        <f>I831*2</f>
        <v>242663.6</v>
      </c>
      <c r="J836" s="73">
        <v>328000</v>
      </c>
      <c r="K836" s="73">
        <f>K831*2</f>
        <v>264264.40000000002</v>
      </c>
      <c r="L836" s="73">
        <v>328000</v>
      </c>
      <c r="M836" s="73">
        <f>2*M831</f>
        <v>352965.4</v>
      </c>
      <c r="N836" s="84">
        <f>2*N831</f>
        <v>109842</v>
      </c>
      <c r="P836" s="104"/>
      <c r="Y836" s="104"/>
      <c r="Z836" s="104"/>
      <c r="AA836" s="104"/>
    </row>
    <row r="837" spans="1:27">
      <c r="A837" s="412"/>
      <c r="B837" s="66" t="s">
        <v>8</v>
      </c>
      <c r="C837" s="98">
        <f>SUM(C834-595)</f>
        <v>4560</v>
      </c>
      <c r="D837" s="98">
        <f>SUM(D834-671)</f>
        <v>2569</v>
      </c>
      <c r="E837" s="98">
        <f>SUM(E834-729)</f>
        <v>2508</v>
      </c>
      <c r="F837" s="98">
        <f>SUM(F834-1140)</f>
        <v>8428</v>
      </c>
      <c r="G837" s="98">
        <f>SUM(G834-3293)</f>
        <v>2007</v>
      </c>
      <c r="H837" s="98">
        <f>SUM(H834-1724)</f>
        <v>9780</v>
      </c>
      <c r="I837" s="98">
        <f>SUM(I834-(2408-2000))</f>
        <v>1592</v>
      </c>
      <c r="J837" s="98">
        <f>SUM(J834-1316)</f>
        <v>7877</v>
      </c>
      <c r="K837" s="98">
        <f>SUM(K834-2139)</f>
        <v>6471</v>
      </c>
      <c r="L837" s="98">
        <f>SUM(L834-433)</f>
        <v>2367</v>
      </c>
      <c r="M837" s="98">
        <f>SUM(M834-(2849-2614))</f>
        <v>2602</v>
      </c>
      <c r="N837" s="103">
        <f>SUM(N834-46)</f>
        <v>784</v>
      </c>
    </row>
    <row r="838" spans="1:27">
      <c r="A838" s="412"/>
      <c r="B838" s="29" t="s">
        <v>77</v>
      </c>
      <c r="C838" s="75">
        <f>C837*33.72</f>
        <v>153763.19999999998</v>
      </c>
      <c r="D838" s="75">
        <f>D837*33.72</f>
        <v>86626.68</v>
      </c>
      <c r="E838" s="75">
        <f>E837*33.72</f>
        <v>84569.76</v>
      </c>
      <c r="F838" s="75">
        <f>F837*33.72</f>
        <v>284192.15999999997</v>
      </c>
      <c r="G838" s="75">
        <f>G837*33.72*2</f>
        <v>135352.07999999999</v>
      </c>
      <c r="H838" s="75">
        <f>H837*33.72</f>
        <v>329781.59999999998</v>
      </c>
      <c r="I838" s="75">
        <f>I837*33.72</f>
        <v>53682.239999999998</v>
      </c>
      <c r="J838" s="75">
        <f>J837*33.72</f>
        <v>265612.44</v>
      </c>
      <c r="K838" s="75">
        <f>K837*33.72</f>
        <v>218202.12</v>
      </c>
      <c r="L838" s="75">
        <f>L837*33.72</f>
        <v>79815.239999999991</v>
      </c>
      <c r="M838" s="75">
        <f>M837*33.72*2</f>
        <v>175478.88</v>
      </c>
      <c r="N838" s="11">
        <f>N837*33.72</f>
        <v>26436.48</v>
      </c>
    </row>
    <row r="839" spans="1:27" ht="15.75" thickBot="1">
      <c r="A839" s="412"/>
      <c r="B839" s="30" t="s">
        <v>10</v>
      </c>
      <c r="C839" s="72">
        <f>C838/C831</f>
        <v>1.0723261097883983</v>
      </c>
      <c r="D839" s="72">
        <f t="shared" ref="D839" si="800">D838/D831</f>
        <v>0.57553213682550275</v>
      </c>
      <c r="E839" s="72">
        <f t="shared" ref="E839" si="801">E838/E831</f>
        <v>0.56186632898340239</v>
      </c>
      <c r="F839" s="72">
        <f t="shared" ref="F839" si="802">F838/F831</f>
        <v>1.5615142600624843</v>
      </c>
      <c r="G839" s="72">
        <f t="shared" ref="G839" si="803">G838/G831</f>
        <v>1.1155532185296846</v>
      </c>
      <c r="H839" s="72">
        <f t="shared" ref="H839" si="804">H838/H831</f>
        <v>2.9960562141654683</v>
      </c>
      <c r="I839" s="72">
        <f t="shared" ref="I839" si="805">I838/I831</f>
        <v>0.44244163525143448</v>
      </c>
      <c r="J839" s="72">
        <f t="shared" ref="J839" si="806">J838/J831</f>
        <v>1.5535834859938373</v>
      </c>
      <c r="K839" s="72">
        <f t="shared" ref="K839" si="807">K838/K831</f>
        <v>1.6513924690575044</v>
      </c>
      <c r="L839" s="72">
        <f t="shared" ref="L839" si="808">L838/L831</f>
        <v>0.96481094887599217</v>
      </c>
      <c r="M839" s="72">
        <f t="shared" ref="M839" si="809">M838/M831</f>
        <v>0.99431207704777858</v>
      </c>
      <c r="N839" s="72">
        <f t="shared" ref="N839" si="810">N838/N831</f>
        <v>0.4813546730758726</v>
      </c>
      <c r="P839" s="175"/>
    </row>
    <row r="840" spans="1:27" ht="15.75" thickBot="1">
      <c r="A840" s="424" t="s">
        <v>83</v>
      </c>
      <c r="B840" s="425"/>
      <c r="C840" s="76">
        <f>MIN(2*C831,C836)-C838</f>
        <v>10236.800000000017</v>
      </c>
      <c r="D840" s="76">
        <f t="shared" ref="D840:N840" si="811">MIN(2*D831,D836)-D838</f>
        <v>23253.320000000007</v>
      </c>
      <c r="E840" s="76">
        <f t="shared" si="811"/>
        <v>25310.240000000005</v>
      </c>
      <c r="F840" s="76">
        <f t="shared" si="811"/>
        <v>43807.840000000026</v>
      </c>
      <c r="G840" s="76">
        <f t="shared" si="811"/>
        <v>107311.52000000002</v>
      </c>
      <c r="H840" s="76">
        <f t="shared" si="811"/>
        <v>-109637.79999999999</v>
      </c>
      <c r="I840" s="76">
        <f t="shared" si="811"/>
        <v>188981.36000000002</v>
      </c>
      <c r="J840" s="76">
        <f t="shared" si="811"/>
        <v>62387.56</v>
      </c>
      <c r="K840" s="76">
        <f t="shared" si="811"/>
        <v>46062.280000000028</v>
      </c>
      <c r="L840" s="76">
        <f t="shared" si="811"/>
        <v>85637.360000000015</v>
      </c>
      <c r="M840" s="76">
        <f t="shared" si="811"/>
        <v>177486.52000000002</v>
      </c>
      <c r="N840" s="22">
        <f t="shared" si="811"/>
        <v>83405.52</v>
      </c>
      <c r="P840" s="174"/>
    </row>
    <row r="841" spans="1:27" ht="15.75" thickBot="1">
      <c r="A841" s="368">
        <v>41117</v>
      </c>
      <c r="B841" s="368"/>
      <c r="C841" s="368"/>
      <c r="N841" s="15"/>
    </row>
    <row r="842" spans="1:27">
      <c r="A842" s="407" t="s">
        <v>1</v>
      </c>
      <c r="B842" s="420"/>
      <c r="C842" s="68" t="s">
        <v>12</v>
      </c>
      <c r="D842" s="68" t="s">
        <v>12</v>
      </c>
      <c r="E842" s="68" t="s">
        <v>13</v>
      </c>
      <c r="F842" s="68" t="s">
        <v>13</v>
      </c>
      <c r="G842" s="68" t="s">
        <v>13</v>
      </c>
      <c r="H842" s="68" t="s">
        <v>13</v>
      </c>
      <c r="I842" s="68" t="s">
        <v>13</v>
      </c>
      <c r="J842" s="68" t="s">
        <v>2</v>
      </c>
      <c r="K842" s="68" t="s">
        <v>2</v>
      </c>
      <c r="L842" s="68" t="s">
        <v>2</v>
      </c>
      <c r="M842" s="68" t="s">
        <v>2</v>
      </c>
      <c r="N842" s="4" t="s">
        <v>84</v>
      </c>
    </row>
    <row r="843" spans="1:27" ht="15.75" thickBot="1">
      <c r="A843" s="409" t="s">
        <v>0</v>
      </c>
      <c r="B843" s="414"/>
      <c r="C843" s="99" t="s">
        <v>102</v>
      </c>
      <c r="D843" s="99" t="s">
        <v>103</v>
      </c>
      <c r="E843" s="99" t="s">
        <v>104</v>
      </c>
      <c r="F843" s="99" t="s">
        <v>105</v>
      </c>
      <c r="G843" s="99" t="s">
        <v>100</v>
      </c>
      <c r="H843" s="99" t="s">
        <v>107</v>
      </c>
      <c r="I843" s="99" t="s">
        <v>106</v>
      </c>
      <c r="J843" s="99" t="s">
        <v>108</v>
      </c>
      <c r="K843" s="99" t="s">
        <v>110</v>
      </c>
      <c r="L843" s="99" t="s">
        <v>101</v>
      </c>
      <c r="M843" s="99" t="s">
        <v>109</v>
      </c>
      <c r="N843" s="101" t="s">
        <v>111</v>
      </c>
      <c r="Q843" s="14"/>
      <c r="R843" s="14"/>
      <c r="S843" s="14"/>
      <c r="T843" s="14"/>
      <c r="U843" s="14"/>
      <c r="V843" s="14"/>
      <c r="W843" s="14"/>
      <c r="X843" s="14"/>
      <c r="Y843" s="175"/>
      <c r="Z843" s="174"/>
      <c r="AA843" s="175"/>
    </row>
    <row r="844" spans="1:27">
      <c r="A844" s="421" t="s">
        <v>9</v>
      </c>
      <c r="B844" s="2" t="s">
        <v>4</v>
      </c>
      <c r="C844" s="96">
        <v>115816.8</v>
      </c>
      <c r="D844" s="96">
        <v>99041.7</v>
      </c>
      <c r="E844" s="96">
        <v>99041.7</v>
      </c>
      <c r="F844" s="96">
        <v>181997.8</v>
      </c>
      <c r="G844" s="96">
        <v>121331.8</v>
      </c>
      <c r="H844" s="96">
        <v>110071.9</v>
      </c>
      <c r="I844" s="96">
        <v>121331.8</v>
      </c>
      <c r="J844" s="96">
        <v>170967.6</v>
      </c>
      <c r="K844" s="96">
        <v>132132.20000000001</v>
      </c>
      <c r="L844" s="96">
        <v>60665.9</v>
      </c>
      <c r="M844" s="96">
        <v>176482.7</v>
      </c>
      <c r="N844" s="100">
        <v>54921</v>
      </c>
      <c r="P844" s="104"/>
      <c r="Y844" s="104"/>
      <c r="Z844" s="104"/>
      <c r="AA844" s="104"/>
    </row>
    <row r="845" spans="1:27">
      <c r="A845" s="422"/>
      <c r="B845" s="63" t="s">
        <v>5</v>
      </c>
      <c r="C845" s="97">
        <v>92869.6</v>
      </c>
      <c r="D845" s="97">
        <v>68591.3</v>
      </c>
      <c r="E845" s="97">
        <v>69999.399999999994</v>
      </c>
      <c r="F845" s="97">
        <v>154454.70000000001</v>
      </c>
      <c r="G845" s="97">
        <v>33573.199999999997</v>
      </c>
      <c r="H845" s="97">
        <v>46260.7</v>
      </c>
      <c r="I845" s="97">
        <v>23291.1</v>
      </c>
      <c r="J845" s="97">
        <v>139910</v>
      </c>
      <c r="K845" s="97">
        <v>54875.1</v>
      </c>
      <c r="L845" s="97">
        <v>19711.099999999999</v>
      </c>
      <c r="M845" s="97">
        <v>84515.199999999997</v>
      </c>
      <c r="N845" s="102">
        <v>23269.7</v>
      </c>
      <c r="P845" s="104"/>
      <c r="Y845" s="104"/>
      <c r="Z845" s="104"/>
      <c r="AA845" s="104"/>
    </row>
    <row r="846" spans="1:27" ht="15.75" thickBot="1">
      <c r="A846" s="423"/>
      <c r="B846" s="3" t="s">
        <v>3</v>
      </c>
      <c r="C846" s="71">
        <f>C845/C844</f>
        <v>0.80186639589420539</v>
      </c>
      <c r="D846" s="72">
        <f t="shared" ref="D846:E846" si="812">D845/D844</f>
        <v>0.69254970381162684</v>
      </c>
      <c r="E846" s="72">
        <f t="shared" si="812"/>
        <v>0.70676694765942016</v>
      </c>
      <c r="F846" s="72">
        <f>F845/F844</f>
        <v>0.84866245635936266</v>
      </c>
      <c r="G846" s="72">
        <f>G845/G844</f>
        <v>0.27670569463240469</v>
      </c>
      <c r="H846" s="72">
        <f t="shared" ref="H846:N846" si="813">H845/H844</f>
        <v>0.42027710978006194</v>
      </c>
      <c r="I846" s="72">
        <f t="shared" si="813"/>
        <v>0.1919620412785436</v>
      </c>
      <c r="J846" s="72">
        <f t="shared" si="813"/>
        <v>0.81834218881238319</v>
      </c>
      <c r="K846" s="72">
        <f t="shared" si="813"/>
        <v>0.41530452077540519</v>
      </c>
      <c r="L846" s="72">
        <f t="shared" si="813"/>
        <v>0.32491234779340616</v>
      </c>
      <c r="M846" s="72">
        <f t="shared" si="813"/>
        <v>0.4788865990830829</v>
      </c>
      <c r="N846" s="83">
        <f t="shared" si="813"/>
        <v>0.4236940332477559</v>
      </c>
      <c r="P846" s="104"/>
      <c r="Y846" s="104"/>
      <c r="Z846" s="104"/>
      <c r="AA846" s="104"/>
    </row>
    <row r="847" spans="1:27">
      <c r="A847" s="411" t="s">
        <v>6</v>
      </c>
      <c r="B847" s="27" t="s">
        <v>7</v>
      </c>
      <c r="C847" s="68">
        <v>5155</v>
      </c>
      <c r="D847" s="68">
        <v>3240</v>
      </c>
      <c r="E847" s="68">
        <v>3237</v>
      </c>
      <c r="F847" s="68">
        <v>9568</v>
      </c>
      <c r="G847" s="68">
        <v>5300</v>
      </c>
      <c r="H847" s="68">
        <v>11504</v>
      </c>
      <c r="I847" s="68">
        <f>(4000-2000)</f>
        <v>2000</v>
      </c>
      <c r="J847" s="68">
        <v>9193</v>
      </c>
      <c r="K847" s="68">
        <v>8610</v>
      </c>
      <c r="L847" s="68">
        <v>2800</v>
      </c>
      <c r="M847" s="68">
        <f>5451-2614</f>
        <v>2837</v>
      </c>
      <c r="N847" s="80">
        <v>830</v>
      </c>
      <c r="P847" s="104"/>
      <c r="Y847" s="104"/>
      <c r="Z847" s="104"/>
      <c r="AA847" s="104"/>
    </row>
    <row r="848" spans="1:27">
      <c r="A848" s="412"/>
      <c r="B848" s="28" t="s">
        <v>11</v>
      </c>
      <c r="C848" s="73">
        <f t="shared" ref="C848:I848" si="814">C847*33.72</f>
        <v>173826.6</v>
      </c>
      <c r="D848" s="73">
        <f t="shared" si="814"/>
        <v>109252.8</v>
      </c>
      <c r="E848" s="73">
        <f t="shared" si="814"/>
        <v>109151.64</v>
      </c>
      <c r="F848" s="73">
        <f t="shared" si="814"/>
        <v>322632.95999999996</v>
      </c>
      <c r="G848" s="73">
        <f t="shared" si="814"/>
        <v>178716</v>
      </c>
      <c r="H848" s="73">
        <f t="shared" si="814"/>
        <v>387914.88</v>
      </c>
      <c r="I848" s="73">
        <f t="shared" si="814"/>
        <v>67440</v>
      </c>
      <c r="J848" s="73">
        <f>J847*33.72</f>
        <v>309987.95999999996</v>
      </c>
      <c r="K848" s="73">
        <f t="shared" ref="K848:N848" si="815">K847*33.72</f>
        <v>290329.2</v>
      </c>
      <c r="L848" s="73">
        <f t="shared" si="815"/>
        <v>94416</v>
      </c>
      <c r="M848" s="73">
        <f t="shared" si="815"/>
        <v>95663.64</v>
      </c>
      <c r="N848" s="84">
        <f t="shared" si="815"/>
        <v>27987.599999999999</v>
      </c>
      <c r="P848" s="104"/>
      <c r="Y848" s="104"/>
      <c r="Z848" s="104"/>
      <c r="AA848" s="104"/>
    </row>
    <row r="849" spans="1:27">
      <c r="A849" s="412"/>
      <c r="B849" s="28" t="s">
        <v>79</v>
      </c>
      <c r="C849" s="73">
        <v>164000</v>
      </c>
      <c r="D849" s="73">
        <v>109880</v>
      </c>
      <c r="E849" s="73">
        <v>109880</v>
      </c>
      <c r="F849" s="73">
        <v>328000</v>
      </c>
      <c r="G849" s="73">
        <f>G844*2</f>
        <v>242663.6</v>
      </c>
      <c r="H849" s="73">
        <f>H844*2</f>
        <v>220143.8</v>
      </c>
      <c r="I849" s="73">
        <f>I844*2</f>
        <v>242663.6</v>
      </c>
      <c r="J849" s="73">
        <v>328000</v>
      </c>
      <c r="K849" s="73">
        <f>K844*2</f>
        <v>264264.40000000002</v>
      </c>
      <c r="L849" s="73">
        <v>328000</v>
      </c>
      <c r="M849" s="73">
        <f>2*M844</f>
        <v>352965.4</v>
      </c>
      <c r="N849" s="84">
        <f>2*N844</f>
        <v>109842</v>
      </c>
      <c r="P849" s="104"/>
      <c r="Y849" s="104"/>
      <c r="Z849" s="104"/>
      <c r="AA849" s="104"/>
    </row>
    <row r="850" spans="1:27">
      <c r="A850" s="412"/>
      <c r="B850" s="66" t="s">
        <v>8</v>
      </c>
      <c r="C850" s="98">
        <f>SUM(C847-595)</f>
        <v>4560</v>
      </c>
      <c r="D850" s="98">
        <f>SUM(D847-671)</f>
        <v>2569</v>
      </c>
      <c r="E850" s="98">
        <f>SUM(E847-729)</f>
        <v>2508</v>
      </c>
      <c r="F850" s="98">
        <f>SUM(F847-1140)</f>
        <v>8428</v>
      </c>
      <c r="G850" s="98">
        <f>SUM(G847-3293)</f>
        <v>2007</v>
      </c>
      <c r="H850" s="98">
        <f>SUM(H847-1724)</f>
        <v>9780</v>
      </c>
      <c r="I850" s="98">
        <f>SUM(I847-(2408-2000))</f>
        <v>1592</v>
      </c>
      <c r="J850" s="98">
        <f>SUM(J847-1316)</f>
        <v>7877</v>
      </c>
      <c r="K850" s="98">
        <f>SUM(K847-2139)</f>
        <v>6471</v>
      </c>
      <c r="L850" s="98">
        <f>SUM(L847-433)</f>
        <v>2367</v>
      </c>
      <c r="M850" s="98">
        <f>SUM(M847-(2849-2614))</f>
        <v>2602</v>
      </c>
      <c r="N850" s="103">
        <f>SUM(N847-46)</f>
        <v>784</v>
      </c>
    </row>
    <row r="851" spans="1:27">
      <c r="A851" s="412"/>
      <c r="B851" s="29" t="s">
        <v>77</v>
      </c>
      <c r="C851" s="75">
        <f>C850*33.72</f>
        <v>153763.19999999998</v>
      </c>
      <c r="D851" s="75">
        <f>D850*33.72</f>
        <v>86626.68</v>
      </c>
      <c r="E851" s="75">
        <f>E850*33.72</f>
        <v>84569.76</v>
      </c>
      <c r="F851" s="75">
        <f>F850*33.72</f>
        <v>284192.15999999997</v>
      </c>
      <c r="G851" s="75">
        <f>G850*33.72*2</f>
        <v>135352.07999999999</v>
      </c>
      <c r="H851" s="75">
        <f>H850*33.72</f>
        <v>329781.59999999998</v>
      </c>
      <c r="I851" s="75">
        <f>I850*33.72</f>
        <v>53682.239999999998</v>
      </c>
      <c r="J851" s="75">
        <f>J850*33.72</f>
        <v>265612.44</v>
      </c>
      <c r="K851" s="75">
        <f>K850*33.72</f>
        <v>218202.12</v>
      </c>
      <c r="L851" s="75">
        <f>L850*33.72</f>
        <v>79815.239999999991</v>
      </c>
      <c r="M851" s="75">
        <f>M850*33.72*2</f>
        <v>175478.88</v>
      </c>
      <c r="N851" s="11">
        <f>N850*33.72</f>
        <v>26436.48</v>
      </c>
    </row>
    <row r="852" spans="1:27" ht="15.75" thickBot="1">
      <c r="A852" s="412"/>
      <c r="B852" s="30" t="s">
        <v>10</v>
      </c>
      <c r="C852" s="72">
        <f>C851/C844</f>
        <v>1.3276415856766892</v>
      </c>
      <c r="D852" s="72">
        <f t="shared" ref="D852" si="816">D851/D844</f>
        <v>0.87464855712290879</v>
      </c>
      <c r="E852" s="72">
        <f t="shared" ref="E852" si="817">E851/E844</f>
        <v>0.85388033525272689</v>
      </c>
      <c r="F852" s="72">
        <f t="shared" ref="F852" si="818">F851/F844</f>
        <v>1.5615142600624843</v>
      </c>
      <c r="G852" s="72">
        <f t="shared" ref="G852" si="819">G851/G844</f>
        <v>1.1155532185296846</v>
      </c>
      <c r="H852" s="72">
        <f t="shared" ref="H852" si="820">H851/H844</f>
        <v>2.9960562141654683</v>
      </c>
      <c r="I852" s="72">
        <f t="shared" ref="I852" si="821">I851/I844</f>
        <v>0.44244163525143448</v>
      </c>
      <c r="J852" s="72">
        <f t="shared" ref="J852" si="822">J851/J844</f>
        <v>1.5535834859938373</v>
      </c>
      <c r="K852" s="72">
        <f t="shared" ref="K852" si="823">K851/K844</f>
        <v>1.6513924690575044</v>
      </c>
      <c r="L852" s="72">
        <f t="shared" ref="L852" si="824">L851/L844</f>
        <v>1.3156524505529463</v>
      </c>
      <c r="M852" s="72">
        <f t="shared" ref="M852" si="825">M851/M844</f>
        <v>0.99431207704777858</v>
      </c>
      <c r="N852" s="72">
        <f t="shared" ref="N852" si="826">N851/N844</f>
        <v>0.4813546730758726</v>
      </c>
      <c r="P852" s="175"/>
    </row>
    <row r="853" spans="1:27" ht="15.75" thickBot="1">
      <c r="A853" s="424" t="s">
        <v>83</v>
      </c>
      <c r="B853" s="425"/>
      <c r="C853" s="76">
        <f>MIN(2*C844,C849)-C851</f>
        <v>10236.800000000017</v>
      </c>
      <c r="D853" s="76">
        <f t="shared" ref="D853:N853" si="827">MIN(2*D844,D849)-D851</f>
        <v>23253.320000000007</v>
      </c>
      <c r="E853" s="76">
        <f t="shared" si="827"/>
        <v>25310.240000000005</v>
      </c>
      <c r="F853" s="76">
        <f t="shared" si="827"/>
        <v>43807.840000000026</v>
      </c>
      <c r="G853" s="76">
        <f t="shared" si="827"/>
        <v>107311.52000000002</v>
      </c>
      <c r="H853" s="76">
        <f t="shared" si="827"/>
        <v>-109637.79999999999</v>
      </c>
      <c r="I853" s="76">
        <f t="shared" si="827"/>
        <v>188981.36000000002</v>
      </c>
      <c r="J853" s="76">
        <f t="shared" si="827"/>
        <v>62387.56</v>
      </c>
      <c r="K853" s="76">
        <f t="shared" si="827"/>
        <v>46062.280000000028</v>
      </c>
      <c r="L853" s="76">
        <f t="shared" si="827"/>
        <v>41516.560000000012</v>
      </c>
      <c r="M853" s="76">
        <f t="shared" si="827"/>
        <v>177486.52000000002</v>
      </c>
      <c r="N853" s="22">
        <f t="shared" si="827"/>
        <v>83405.52</v>
      </c>
      <c r="P853" s="174"/>
    </row>
    <row r="854" spans="1:27" ht="15.75" thickBot="1">
      <c r="A854" s="368">
        <v>41115</v>
      </c>
      <c r="B854" s="368"/>
      <c r="C854" s="368"/>
      <c r="N854" s="15"/>
    </row>
    <row r="855" spans="1:27">
      <c r="A855" s="407" t="s">
        <v>1</v>
      </c>
      <c r="B855" s="420"/>
      <c r="C855" s="68" t="s">
        <v>12</v>
      </c>
      <c r="D855" s="68" t="s">
        <v>12</v>
      </c>
      <c r="E855" s="68" t="s">
        <v>13</v>
      </c>
      <c r="F855" s="68" t="s">
        <v>13</v>
      </c>
      <c r="G855" s="68" t="s">
        <v>13</v>
      </c>
      <c r="H855" s="68" t="s">
        <v>13</v>
      </c>
      <c r="I855" s="68" t="s">
        <v>13</v>
      </c>
      <c r="J855" s="68" t="s">
        <v>2</v>
      </c>
      <c r="K855" s="68" t="s">
        <v>2</v>
      </c>
      <c r="L855" s="68" t="s">
        <v>2</v>
      </c>
      <c r="M855" s="68" t="s">
        <v>2</v>
      </c>
      <c r="N855" s="4" t="s">
        <v>84</v>
      </c>
    </row>
    <row r="856" spans="1:27" ht="15.75" thickBot="1">
      <c r="A856" s="409" t="s">
        <v>0</v>
      </c>
      <c r="B856" s="414"/>
      <c r="C856" s="99" t="s">
        <v>102</v>
      </c>
      <c r="D856" s="99" t="s">
        <v>103</v>
      </c>
      <c r="E856" s="99" t="s">
        <v>104</v>
      </c>
      <c r="F856" s="99" t="s">
        <v>105</v>
      </c>
      <c r="G856" s="99" t="s">
        <v>100</v>
      </c>
      <c r="H856" s="99" t="s">
        <v>107</v>
      </c>
      <c r="I856" s="99" t="s">
        <v>106</v>
      </c>
      <c r="J856" s="99" t="s">
        <v>108</v>
      </c>
      <c r="K856" s="99" t="s">
        <v>110</v>
      </c>
      <c r="L856" s="99" t="s">
        <v>101</v>
      </c>
      <c r="M856" s="99" t="s">
        <v>109</v>
      </c>
      <c r="N856" s="101" t="s">
        <v>111</v>
      </c>
      <c r="Q856" s="14"/>
      <c r="R856" s="14"/>
      <c r="S856" s="14"/>
      <c r="T856" s="14"/>
      <c r="U856" s="14"/>
      <c r="V856" s="14"/>
      <c r="W856" s="14"/>
      <c r="X856" s="14"/>
      <c r="Y856" s="175"/>
      <c r="Z856" s="174"/>
      <c r="AA856" s="175"/>
    </row>
    <row r="857" spans="1:27">
      <c r="A857" s="421" t="s">
        <v>9</v>
      </c>
      <c r="B857" s="2" t="s">
        <v>4</v>
      </c>
      <c r="C857" s="96">
        <v>115816.8</v>
      </c>
      <c r="D857" s="96">
        <v>99041.7</v>
      </c>
      <c r="E857" s="96">
        <v>99041.7</v>
      </c>
      <c r="F857" s="96">
        <v>181997.8</v>
      </c>
      <c r="G857" s="96">
        <v>121331.8</v>
      </c>
      <c r="H857" s="96">
        <v>110071.9</v>
      </c>
      <c r="I857" s="96">
        <v>121331.8</v>
      </c>
      <c r="J857" s="96">
        <v>170967.6</v>
      </c>
      <c r="K857" s="96">
        <v>132132.20000000001</v>
      </c>
      <c r="L857" s="96">
        <v>60665.9</v>
      </c>
      <c r="M857" s="96">
        <v>176482.7</v>
      </c>
      <c r="N857" s="100">
        <v>54921</v>
      </c>
      <c r="P857" s="104"/>
      <c r="Y857" s="104"/>
      <c r="Z857" s="104"/>
      <c r="AA857" s="104"/>
    </row>
    <row r="858" spans="1:27">
      <c r="A858" s="422"/>
      <c r="B858" s="63" t="s">
        <v>5</v>
      </c>
      <c r="C858" s="97">
        <v>92791.1</v>
      </c>
      <c r="D858" s="97">
        <v>68531.199999999997</v>
      </c>
      <c r="E858" s="97">
        <v>69948.399999999994</v>
      </c>
      <c r="F858" s="97">
        <v>154325.79999999999</v>
      </c>
      <c r="G858" s="97">
        <v>30515.599999999999</v>
      </c>
      <c r="H858" s="97">
        <v>46090.9</v>
      </c>
      <c r="I858" s="97">
        <v>23264.7</v>
      </c>
      <c r="J858" s="97">
        <v>139385.4</v>
      </c>
      <c r="K858" s="97">
        <v>51989.5</v>
      </c>
      <c r="L858" s="97">
        <v>19579.099999999999</v>
      </c>
      <c r="M858" s="97">
        <v>84483.199999999997</v>
      </c>
      <c r="N858" s="102">
        <v>24017.599999999999</v>
      </c>
      <c r="P858" s="104"/>
      <c r="Y858" s="104"/>
      <c r="Z858" s="104"/>
      <c r="AA858" s="104"/>
    </row>
    <row r="859" spans="1:27" ht="15.75" thickBot="1">
      <c r="A859" s="423"/>
      <c r="B859" s="3" t="s">
        <v>3</v>
      </c>
      <c r="C859" s="71">
        <f>C858/C857</f>
        <v>0.80118860130827307</v>
      </c>
      <c r="D859" s="72">
        <f t="shared" ref="D859:E859" si="828">D858/D857</f>
        <v>0.69194288870243548</v>
      </c>
      <c r="E859" s="72">
        <f t="shared" si="828"/>
        <v>0.70625201304097163</v>
      </c>
      <c r="F859" s="72">
        <f>F858/F857</f>
        <v>0.84795420603985316</v>
      </c>
      <c r="G859" s="72">
        <f>G858/G857</f>
        <v>0.25150537616684165</v>
      </c>
      <c r="H859" s="72">
        <f t="shared" ref="H859:N859" si="829">H858/H857</f>
        <v>0.41873448173421196</v>
      </c>
      <c r="I859" s="72">
        <f t="shared" si="829"/>
        <v>0.19174445611125854</v>
      </c>
      <c r="J859" s="72">
        <f t="shared" si="829"/>
        <v>0.8152737711706779</v>
      </c>
      <c r="K859" s="72">
        <f t="shared" si="829"/>
        <v>0.39346578653802777</v>
      </c>
      <c r="L859" s="72">
        <f t="shared" si="829"/>
        <v>0.32273649612055533</v>
      </c>
      <c r="M859" s="72">
        <f t="shared" si="829"/>
        <v>0.47870527819440656</v>
      </c>
      <c r="N859" s="83">
        <f t="shared" si="829"/>
        <v>0.43731177509513663</v>
      </c>
      <c r="P859" s="104"/>
      <c r="Y859" s="104"/>
      <c r="Z859" s="104"/>
      <c r="AA859" s="104"/>
    </row>
    <row r="860" spans="1:27">
      <c r="A860" s="411" t="s">
        <v>6</v>
      </c>
      <c r="B860" s="27" t="s">
        <v>7</v>
      </c>
      <c r="C860" s="68">
        <v>5155</v>
      </c>
      <c r="D860" s="68">
        <v>3240</v>
      </c>
      <c r="E860" s="68">
        <v>3237</v>
      </c>
      <c r="F860" s="68">
        <v>9568</v>
      </c>
      <c r="G860" s="68">
        <v>5300</v>
      </c>
      <c r="H860" s="68">
        <v>11504</v>
      </c>
      <c r="I860" s="68">
        <f>(4000-2000)</f>
        <v>2000</v>
      </c>
      <c r="J860" s="68">
        <v>9193</v>
      </c>
      <c r="K860" s="68">
        <v>8610</v>
      </c>
      <c r="L860" s="68">
        <v>2800</v>
      </c>
      <c r="M860" s="68">
        <f>5451-2614</f>
        <v>2837</v>
      </c>
      <c r="N860" s="80">
        <v>830</v>
      </c>
      <c r="P860" s="104"/>
      <c r="Y860" s="104"/>
      <c r="Z860" s="104"/>
      <c r="AA860" s="104"/>
    </row>
    <row r="861" spans="1:27">
      <c r="A861" s="412"/>
      <c r="B861" s="28" t="s">
        <v>11</v>
      </c>
      <c r="C861" s="73">
        <f t="shared" ref="C861:I861" si="830">C860*33.72</f>
        <v>173826.6</v>
      </c>
      <c r="D861" s="73">
        <f t="shared" si="830"/>
        <v>109252.8</v>
      </c>
      <c r="E861" s="73">
        <f t="shared" si="830"/>
        <v>109151.64</v>
      </c>
      <c r="F861" s="73">
        <f t="shared" si="830"/>
        <v>322632.95999999996</v>
      </c>
      <c r="G861" s="73">
        <f t="shared" si="830"/>
        <v>178716</v>
      </c>
      <c r="H861" s="73">
        <f t="shared" si="830"/>
        <v>387914.88</v>
      </c>
      <c r="I861" s="73">
        <f t="shared" si="830"/>
        <v>67440</v>
      </c>
      <c r="J861" s="73">
        <f>J860*33.72</f>
        <v>309987.95999999996</v>
      </c>
      <c r="K861" s="73">
        <f t="shared" ref="K861:N861" si="831">K860*33.72</f>
        <v>290329.2</v>
      </c>
      <c r="L861" s="73">
        <f t="shared" si="831"/>
        <v>94416</v>
      </c>
      <c r="M861" s="73">
        <f t="shared" si="831"/>
        <v>95663.64</v>
      </c>
      <c r="N861" s="73">
        <f t="shared" si="831"/>
        <v>27987.599999999999</v>
      </c>
      <c r="P861" s="104"/>
      <c r="Y861" s="104"/>
      <c r="Z861" s="104"/>
      <c r="AA861" s="104"/>
    </row>
    <row r="862" spans="1:27">
      <c r="A862" s="412"/>
      <c r="B862" s="28" t="s">
        <v>79</v>
      </c>
      <c r="C862" s="73">
        <v>164000</v>
      </c>
      <c r="D862" s="73">
        <v>109880</v>
      </c>
      <c r="E862" s="73">
        <v>109880</v>
      </c>
      <c r="F862" s="73">
        <v>328000</v>
      </c>
      <c r="G862" s="73">
        <f>G857*2</f>
        <v>242663.6</v>
      </c>
      <c r="H862" s="73">
        <f>H857*2</f>
        <v>220143.8</v>
      </c>
      <c r="I862" s="73">
        <f>I857*2</f>
        <v>242663.6</v>
      </c>
      <c r="J862" s="73">
        <v>328000</v>
      </c>
      <c r="K862" s="73">
        <f>K857*2</f>
        <v>264264.40000000002</v>
      </c>
      <c r="L862" s="73">
        <v>328000</v>
      </c>
      <c r="M862" s="73">
        <f>2*M857</f>
        <v>352965.4</v>
      </c>
      <c r="N862" s="84">
        <f>2*N857</f>
        <v>109842</v>
      </c>
      <c r="P862" s="104"/>
      <c r="Y862" s="104"/>
      <c r="Z862" s="104"/>
      <c r="AA862" s="104"/>
    </row>
    <row r="863" spans="1:27">
      <c r="A863" s="412"/>
      <c r="B863" s="66" t="s">
        <v>8</v>
      </c>
      <c r="C863" s="98">
        <f>SUM(C860-0)</f>
        <v>5155</v>
      </c>
      <c r="D863" s="98">
        <f>SUM(D860-671)</f>
        <v>2569</v>
      </c>
      <c r="E863" s="98">
        <f>SUM(E860-729)</f>
        <v>2508</v>
      </c>
      <c r="F863" s="98">
        <f>SUM(F860-1140)</f>
        <v>8428</v>
      </c>
      <c r="G863" s="98">
        <f>SUM(G860-3302)</f>
        <v>1998</v>
      </c>
      <c r="H863" s="98">
        <f>SUM(H860-1756)</f>
        <v>9748</v>
      </c>
      <c r="I863" s="98">
        <f>SUM(I860-(2408-2000))</f>
        <v>1592</v>
      </c>
      <c r="J863" s="98">
        <f>SUM(J860-1316)</f>
        <v>7877</v>
      </c>
      <c r="K863" s="98">
        <f>SUM(K860-2203)</f>
        <v>6407</v>
      </c>
      <c r="L863" s="98">
        <f>SUM(L860-525)</f>
        <v>2275</v>
      </c>
      <c r="M863" s="98">
        <f>SUM(M860-(2849-2614))</f>
        <v>2602</v>
      </c>
      <c r="N863" s="103">
        <f>SUM(N860-46)</f>
        <v>784</v>
      </c>
    </row>
    <row r="864" spans="1:27">
      <c r="A864" s="412"/>
      <c r="B864" s="29" t="s">
        <v>77</v>
      </c>
      <c r="C864" s="75">
        <f>C863*33.72</f>
        <v>173826.6</v>
      </c>
      <c r="D864" s="75">
        <f>D863*33.72</f>
        <v>86626.68</v>
      </c>
      <c r="E864" s="75">
        <f>E863*33.72</f>
        <v>84569.76</v>
      </c>
      <c r="F864" s="75">
        <f>F863*33.72</f>
        <v>284192.15999999997</v>
      </c>
      <c r="G864" s="75">
        <f>G863*33.72*2</f>
        <v>134745.12</v>
      </c>
      <c r="H864" s="75">
        <f>H863*33.72</f>
        <v>328702.56</v>
      </c>
      <c r="I864" s="75">
        <f>I863*33.72</f>
        <v>53682.239999999998</v>
      </c>
      <c r="J864" s="75">
        <f>J863*33.72</f>
        <v>265612.44</v>
      </c>
      <c r="K864" s="75">
        <f>K863*33.72</f>
        <v>216044.03999999998</v>
      </c>
      <c r="L864" s="75">
        <f>L863*33.72</f>
        <v>76713</v>
      </c>
      <c r="M864" s="75">
        <f>M863*33.72*2</f>
        <v>175478.88</v>
      </c>
      <c r="N864" s="11">
        <f>N863*33.72</f>
        <v>26436.48</v>
      </c>
    </row>
    <row r="865" spans="1:27" ht="15.75" thickBot="1">
      <c r="A865" s="412"/>
      <c r="B865" s="30" t="s">
        <v>10</v>
      </c>
      <c r="C865" s="72">
        <f>C864/C857</f>
        <v>1.5008755206498539</v>
      </c>
      <c r="D865" s="72">
        <f t="shared" ref="D865" si="832">D864/D857</f>
        <v>0.87464855712290879</v>
      </c>
      <c r="E865" s="72">
        <f t="shared" ref="E865" si="833">E864/E857</f>
        <v>0.85388033525272689</v>
      </c>
      <c r="F865" s="72">
        <f t="shared" ref="F865" si="834">F864/F857</f>
        <v>1.5615142600624843</v>
      </c>
      <c r="G865" s="72">
        <f t="shared" ref="G865" si="835">G864/G857</f>
        <v>1.1105507377291031</v>
      </c>
      <c r="H865" s="72">
        <f t="shared" ref="H865" si="836">H864/H857</f>
        <v>2.9862531672479533</v>
      </c>
      <c r="I865" s="72">
        <f t="shared" ref="I865" si="837">I864/I857</f>
        <v>0.44244163525143448</v>
      </c>
      <c r="J865" s="72">
        <f t="shared" ref="J865" si="838">J864/J857</f>
        <v>1.5535834859938373</v>
      </c>
      <c r="K865" s="72">
        <f t="shared" ref="K865" si="839">K864/K857</f>
        <v>1.6350597356284082</v>
      </c>
      <c r="L865" s="72">
        <f t="shared" ref="L865" si="840">L864/L857</f>
        <v>1.2645159801470018</v>
      </c>
      <c r="M865" s="72">
        <f t="shared" ref="M865" si="841">M864/M857</f>
        <v>0.99431207704777858</v>
      </c>
      <c r="N865" s="72">
        <f t="shared" ref="N865" si="842">N864/N857</f>
        <v>0.4813546730758726</v>
      </c>
      <c r="P865" s="175"/>
    </row>
    <row r="866" spans="1:27" ht="15.75" thickBot="1">
      <c r="A866" s="424" t="s">
        <v>83</v>
      </c>
      <c r="B866" s="425"/>
      <c r="C866" s="76">
        <f>MIN(2*C857,C862)-C864</f>
        <v>-9826.6000000000058</v>
      </c>
      <c r="D866" s="76">
        <f t="shared" ref="D866:N866" si="843">MIN(2*D857,D862)-D864</f>
        <v>23253.320000000007</v>
      </c>
      <c r="E866" s="76">
        <f t="shared" si="843"/>
        <v>25310.240000000005</v>
      </c>
      <c r="F866" s="76">
        <f t="shared" si="843"/>
        <v>43807.840000000026</v>
      </c>
      <c r="G866" s="76">
        <f t="shared" si="843"/>
        <v>107918.48000000001</v>
      </c>
      <c r="H866" s="76">
        <f t="shared" si="843"/>
        <v>-108558.76000000001</v>
      </c>
      <c r="I866" s="76">
        <f t="shared" si="843"/>
        <v>188981.36000000002</v>
      </c>
      <c r="J866" s="76">
        <f t="shared" si="843"/>
        <v>62387.56</v>
      </c>
      <c r="K866" s="76">
        <f t="shared" si="843"/>
        <v>48220.360000000044</v>
      </c>
      <c r="L866" s="76">
        <f t="shared" si="843"/>
        <v>44618.8</v>
      </c>
      <c r="M866" s="76">
        <f t="shared" si="843"/>
        <v>177486.52000000002</v>
      </c>
      <c r="N866" s="22">
        <f t="shared" si="843"/>
        <v>83405.52</v>
      </c>
      <c r="P866" s="174"/>
    </row>
    <row r="867" spans="1:27" ht="15.75" thickBot="1">
      <c r="A867" s="368">
        <v>41113</v>
      </c>
      <c r="B867" s="368"/>
      <c r="C867" s="368"/>
      <c r="N867" s="15"/>
    </row>
    <row r="868" spans="1:27">
      <c r="A868" s="407" t="s">
        <v>1</v>
      </c>
      <c r="B868" s="420"/>
      <c r="C868" s="68" t="s">
        <v>12</v>
      </c>
      <c r="D868" s="68" t="s">
        <v>12</v>
      </c>
      <c r="E868" s="68" t="s">
        <v>13</v>
      </c>
      <c r="F868" s="68" t="s">
        <v>13</v>
      </c>
      <c r="G868" s="68" t="s">
        <v>13</v>
      </c>
      <c r="H868" s="68" t="s">
        <v>13</v>
      </c>
      <c r="I868" s="68" t="s">
        <v>13</v>
      </c>
      <c r="J868" s="68" t="s">
        <v>2</v>
      </c>
      <c r="K868" s="68" t="s">
        <v>2</v>
      </c>
      <c r="L868" s="68" t="s">
        <v>2</v>
      </c>
      <c r="M868" s="68" t="s">
        <v>2</v>
      </c>
      <c r="N868" s="4" t="s">
        <v>84</v>
      </c>
    </row>
    <row r="869" spans="1:27" ht="15.75" thickBot="1">
      <c r="A869" s="409" t="s">
        <v>0</v>
      </c>
      <c r="B869" s="414"/>
      <c r="C869" s="99" t="s">
        <v>102</v>
      </c>
      <c r="D869" s="99" t="s">
        <v>103</v>
      </c>
      <c r="E869" s="99" t="s">
        <v>104</v>
      </c>
      <c r="F869" s="99" t="s">
        <v>105</v>
      </c>
      <c r="G869" s="99" t="s">
        <v>100</v>
      </c>
      <c r="H869" s="99" t="s">
        <v>107</v>
      </c>
      <c r="I869" s="99" t="s">
        <v>106</v>
      </c>
      <c r="J869" s="99" t="s">
        <v>108</v>
      </c>
      <c r="K869" s="99" t="s">
        <v>110</v>
      </c>
      <c r="L869" s="99" t="s">
        <v>101</v>
      </c>
      <c r="M869" s="99" t="s">
        <v>109</v>
      </c>
      <c r="N869" s="101" t="s">
        <v>111</v>
      </c>
      <c r="Q869" s="14"/>
      <c r="R869" s="14"/>
      <c r="S869" s="14"/>
      <c r="T869" s="14"/>
      <c r="U869" s="14"/>
      <c r="V869" s="14"/>
      <c r="W869" s="14"/>
      <c r="X869" s="14"/>
      <c r="Y869" s="175"/>
      <c r="Z869" s="174"/>
      <c r="AA869" s="175"/>
    </row>
    <row r="870" spans="1:27">
      <c r="A870" s="421" t="s">
        <v>9</v>
      </c>
      <c r="B870" s="2" t="s">
        <v>4</v>
      </c>
      <c r="C870" s="96">
        <v>115816.8</v>
      </c>
      <c r="D870" s="96">
        <v>99041.7</v>
      </c>
      <c r="E870" s="96">
        <v>99041.7</v>
      </c>
      <c r="F870" s="96">
        <v>181997.8</v>
      </c>
      <c r="G870" s="96">
        <v>121331.8</v>
      </c>
      <c r="H870" s="96">
        <v>110071.9</v>
      </c>
      <c r="I870" s="96">
        <v>121331.8</v>
      </c>
      <c r="J870" s="96">
        <v>170967.6</v>
      </c>
      <c r="K870" s="96">
        <v>132132.20000000001</v>
      </c>
      <c r="L870" s="96">
        <v>60665.9</v>
      </c>
      <c r="M870" s="96">
        <v>176482.7</v>
      </c>
      <c r="N870" s="100">
        <v>54921</v>
      </c>
      <c r="P870" s="104"/>
      <c r="Y870" s="104"/>
      <c r="Z870" s="104"/>
      <c r="AA870" s="104"/>
    </row>
    <row r="871" spans="1:27">
      <c r="A871" s="422"/>
      <c r="B871" s="63" t="s">
        <v>5</v>
      </c>
      <c r="C871" s="97">
        <v>92693.2</v>
      </c>
      <c r="D871" s="97">
        <v>68489.2</v>
      </c>
      <c r="E871" s="97">
        <v>69910</v>
      </c>
      <c r="F871" s="97">
        <v>154213.1</v>
      </c>
      <c r="G871" s="97">
        <v>30474.799999999999</v>
      </c>
      <c r="H871" s="97">
        <v>46332.6</v>
      </c>
      <c r="I871" s="97">
        <v>23246.7</v>
      </c>
      <c r="J871" s="97">
        <v>139082.4</v>
      </c>
      <c r="K871" s="97">
        <v>51930.2</v>
      </c>
      <c r="L871" s="97">
        <v>19506.7</v>
      </c>
      <c r="M871" s="97">
        <v>84451.3</v>
      </c>
      <c r="N871" s="102">
        <v>24017.599999999999</v>
      </c>
      <c r="P871" s="104"/>
      <c r="Y871" s="104"/>
      <c r="Z871" s="104"/>
      <c r="AA871" s="104"/>
    </row>
    <row r="872" spans="1:27" ht="15.75" thickBot="1">
      <c r="A872" s="423"/>
      <c r="B872" s="3" t="s">
        <v>3</v>
      </c>
      <c r="C872" s="71">
        <f>C871/C870</f>
        <v>0.80034330079919314</v>
      </c>
      <c r="D872" s="72">
        <f t="shared" ref="D872:E872" si="844">D871/D870</f>
        <v>0.69151882489900718</v>
      </c>
      <c r="E872" s="72">
        <f t="shared" si="844"/>
        <v>0.70586429756355151</v>
      </c>
      <c r="F872" s="72">
        <f>F871/F870</f>
        <v>0.84733496778532491</v>
      </c>
      <c r="G872" s="72">
        <f>G871/G870</f>
        <v>0.25116910818103744</v>
      </c>
      <c r="H872" s="72">
        <f t="shared" ref="H872:N872" si="845">H871/H870</f>
        <v>0.42093031918227997</v>
      </c>
      <c r="I872" s="72">
        <f t="shared" si="845"/>
        <v>0.19159610258810963</v>
      </c>
      <c r="J872" s="72">
        <f t="shared" si="845"/>
        <v>0.8135015055484196</v>
      </c>
      <c r="K872" s="72">
        <f t="shared" si="845"/>
        <v>0.39301699358672598</v>
      </c>
      <c r="L872" s="72">
        <f t="shared" si="845"/>
        <v>0.32154307444544628</v>
      </c>
      <c r="M872" s="72">
        <f t="shared" si="845"/>
        <v>0.47852452393350736</v>
      </c>
      <c r="N872" s="83">
        <f t="shared" si="845"/>
        <v>0.43731177509513663</v>
      </c>
      <c r="P872" s="104"/>
      <c r="Y872" s="104"/>
      <c r="Z872" s="104"/>
      <c r="AA872" s="104"/>
    </row>
    <row r="873" spans="1:27">
      <c r="A873" s="411" t="s">
        <v>6</v>
      </c>
      <c r="B873" s="27" t="s">
        <v>7</v>
      </c>
      <c r="C873" s="68">
        <v>5155</v>
      </c>
      <c r="D873" s="68">
        <v>3240</v>
      </c>
      <c r="E873" s="68">
        <v>3223</v>
      </c>
      <c r="F873" s="68">
        <v>9553</v>
      </c>
      <c r="G873" s="68">
        <v>5300</v>
      </c>
      <c r="H873" s="68">
        <v>11504</v>
      </c>
      <c r="I873" s="68">
        <f>(4000-2000)</f>
        <v>2000</v>
      </c>
      <c r="J873" s="68">
        <v>9193</v>
      </c>
      <c r="K873" s="68">
        <v>8610</v>
      </c>
      <c r="L873" s="68">
        <v>2800</v>
      </c>
      <c r="M873" s="68">
        <f>5451-2614</f>
        <v>2837</v>
      </c>
      <c r="N873" s="80">
        <v>830</v>
      </c>
      <c r="P873" s="104"/>
      <c r="Y873" s="104"/>
      <c r="Z873" s="104"/>
      <c r="AA873" s="104"/>
    </row>
    <row r="874" spans="1:27">
      <c r="A874" s="412"/>
      <c r="B874" s="28" t="s">
        <v>11</v>
      </c>
      <c r="C874" s="73">
        <f t="shared" ref="C874:I874" si="846">C873*33.72</f>
        <v>173826.6</v>
      </c>
      <c r="D874" s="73">
        <f t="shared" si="846"/>
        <v>109252.8</v>
      </c>
      <c r="E874" s="73">
        <f t="shared" si="846"/>
        <v>108679.56</v>
      </c>
      <c r="F874" s="73">
        <f t="shared" si="846"/>
        <v>322127.15999999997</v>
      </c>
      <c r="G874" s="73">
        <f t="shared" si="846"/>
        <v>178716</v>
      </c>
      <c r="H874" s="73">
        <f t="shared" si="846"/>
        <v>387914.88</v>
      </c>
      <c r="I874" s="73">
        <f t="shared" si="846"/>
        <v>67440</v>
      </c>
      <c r="J874" s="73">
        <f>J873*33.72</f>
        <v>309987.95999999996</v>
      </c>
      <c r="K874" s="73">
        <f t="shared" ref="K874:N874" si="847">K873*33.72</f>
        <v>290329.2</v>
      </c>
      <c r="L874" s="73">
        <f t="shared" si="847"/>
        <v>94416</v>
      </c>
      <c r="M874" s="73">
        <f t="shared" si="847"/>
        <v>95663.64</v>
      </c>
      <c r="N874" s="73">
        <f t="shared" si="847"/>
        <v>27987.599999999999</v>
      </c>
      <c r="P874" s="104"/>
      <c r="Y874" s="104"/>
      <c r="Z874" s="104"/>
      <c r="AA874" s="104"/>
    </row>
    <row r="875" spans="1:27">
      <c r="A875" s="412"/>
      <c r="B875" s="28" t="s">
        <v>79</v>
      </c>
      <c r="C875" s="73">
        <v>164000</v>
      </c>
      <c r="D875" s="73">
        <v>109880</v>
      </c>
      <c r="E875" s="73">
        <v>109880</v>
      </c>
      <c r="F875" s="73">
        <v>328000</v>
      </c>
      <c r="G875" s="73">
        <f>G870*2</f>
        <v>242663.6</v>
      </c>
      <c r="H875" s="73">
        <f>H870*2</f>
        <v>220143.8</v>
      </c>
      <c r="I875" s="73">
        <f>I870*2</f>
        <v>242663.6</v>
      </c>
      <c r="J875" s="73">
        <v>328000</v>
      </c>
      <c r="K875" s="73">
        <f>K870*2</f>
        <v>264264.40000000002</v>
      </c>
      <c r="L875" s="73">
        <v>328000</v>
      </c>
      <c r="M875" s="73">
        <f>2*M870</f>
        <v>352965.4</v>
      </c>
      <c r="N875" s="84">
        <f>2*N870</f>
        <v>109842</v>
      </c>
      <c r="P875" s="104"/>
      <c r="Y875" s="104"/>
      <c r="Z875" s="104"/>
      <c r="AA875" s="104"/>
    </row>
    <row r="876" spans="1:27">
      <c r="A876" s="412"/>
      <c r="B876" s="66" t="s">
        <v>8</v>
      </c>
      <c r="C876" s="98">
        <f>SUM(C873-595)</f>
        <v>4560</v>
      </c>
      <c r="D876" s="98">
        <f>SUM(D873-671)</f>
        <v>2569</v>
      </c>
      <c r="E876" s="98">
        <f>SUM(E873-729)</f>
        <v>2494</v>
      </c>
      <c r="F876" s="98">
        <f>SUM(F873-1140)</f>
        <v>8413</v>
      </c>
      <c r="G876" s="98">
        <f>SUM(G873-3302)</f>
        <v>1998</v>
      </c>
      <c r="H876" s="98">
        <f>SUM(H873-1756)</f>
        <v>9748</v>
      </c>
      <c r="I876" s="98">
        <f>SUM(I873-(2408-2000))</f>
        <v>1592</v>
      </c>
      <c r="J876" s="98">
        <f>SUM(J873-1316)</f>
        <v>7877</v>
      </c>
      <c r="K876" s="98">
        <f>SUM(K873-2203)</f>
        <v>6407</v>
      </c>
      <c r="L876" s="98">
        <f>SUM(L873-525)</f>
        <v>2275</v>
      </c>
      <c r="M876" s="98">
        <f>SUM(M873-(2849-2614))</f>
        <v>2602</v>
      </c>
      <c r="N876" s="103">
        <f>SUM(N873-46)</f>
        <v>784</v>
      </c>
    </row>
    <row r="877" spans="1:27">
      <c r="A877" s="412"/>
      <c r="B877" s="29" t="s">
        <v>77</v>
      </c>
      <c r="C877" s="75">
        <f>C876*33.72</f>
        <v>153763.19999999998</v>
      </c>
      <c r="D877" s="75">
        <f>D876*33.72</f>
        <v>86626.68</v>
      </c>
      <c r="E877" s="75">
        <f>E876*33.72</f>
        <v>84097.68</v>
      </c>
      <c r="F877" s="75">
        <f>F876*33.72</f>
        <v>283686.36</v>
      </c>
      <c r="G877" s="75">
        <f>G876*33.72*2</f>
        <v>134745.12</v>
      </c>
      <c r="H877" s="75">
        <f>H876*33.72</f>
        <v>328702.56</v>
      </c>
      <c r="I877" s="75">
        <f>I876*33.72</f>
        <v>53682.239999999998</v>
      </c>
      <c r="J877" s="75">
        <f>J876*33.72</f>
        <v>265612.44</v>
      </c>
      <c r="K877" s="75">
        <f>K876*33.72</f>
        <v>216044.03999999998</v>
      </c>
      <c r="L877" s="75">
        <f>L876*33.72</f>
        <v>76713</v>
      </c>
      <c r="M877" s="75">
        <f>M876*33.72*2</f>
        <v>175478.88</v>
      </c>
      <c r="N877" s="11">
        <f>N876*33.72</f>
        <v>26436.48</v>
      </c>
    </row>
    <row r="878" spans="1:27" ht="15.75" thickBot="1">
      <c r="A878" s="412"/>
      <c r="B878" s="30" t="s">
        <v>10</v>
      </c>
      <c r="C878" s="71">
        <f>C876*33.7/C870</f>
        <v>1.326854135151377</v>
      </c>
      <c r="D878" s="71">
        <f t="shared" ref="D878:N878" si="848">D876*33.7/D870</f>
        <v>0.87412978573671496</v>
      </c>
      <c r="E878" s="78">
        <f t="shared" si="848"/>
        <v>0.84861023185183615</v>
      </c>
      <c r="F878" s="78">
        <f t="shared" si="848"/>
        <v>1.5578105889192071</v>
      </c>
      <c r="G878" s="78">
        <f t="shared" si="848"/>
        <v>0.55494602404316107</v>
      </c>
      <c r="H878" s="78">
        <f t="shared" si="848"/>
        <v>2.9844819613361815</v>
      </c>
      <c r="I878" s="78">
        <f t="shared" si="848"/>
        <v>0.44217921435270885</v>
      </c>
      <c r="J878" s="78">
        <f t="shared" si="848"/>
        <v>1.5526620248514924</v>
      </c>
      <c r="K878" s="78">
        <f t="shared" si="848"/>
        <v>1.6340899493083443</v>
      </c>
      <c r="L878" s="78">
        <f t="shared" si="848"/>
        <v>1.26376597066886</v>
      </c>
      <c r="M878" s="79">
        <f t="shared" si="848"/>
        <v>0.49686116542867942</v>
      </c>
      <c r="N878" s="26">
        <f t="shared" si="848"/>
        <v>0.48106917208353822</v>
      </c>
      <c r="P878" s="175"/>
    </row>
    <row r="879" spans="1:27" ht="15.75" thickBot="1">
      <c r="A879" s="424" t="s">
        <v>83</v>
      </c>
      <c r="B879" s="425"/>
      <c r="C879" s="76">
        <f>MIN(2*C870,C875)-C877</f>
        <v>10236.800000000017</v>
      </c>
      <c r="D879" s="76">
        <f t="shared" ref="D879:N879" si="849">MIN(2*D870,D875)-D877</f>
        <v>23253.320000000007</v>
      </c>
      <c r="E879" s="76">
        <f t="shared" si="849"/>
        <v>25782.320000000007</v>
      </c>
      <c r="F879" s="76">
        <f t="shared" si="849"/>
        <v>44313.640000000014</v>
      </c>
      <c r="G879" s="76">
        <f t="shared" si="849"/>
        <v>107918.48000000001</v>
      </c>
      <c r="H879" s="76">
        <f t="shared" si="849"/>
        <v>-108558.76000000001</v>
      </c>
      <c r="I879" s="76">
        <f t="shared" si="849"/>
        <v>188981.36000000002</v>
      </c>
      <c r="J879" s="76">
        <f t="shared" si="849"/>
        <v>62387.56</v>
      </c>
      <c r="K879" s="76">
        <f t="shared" si="849"/>
        <v>48220.360000000044</v>
      </c>
      <c r="L879" s="76">
        <f t="shared" si="849"/>
        <v>44618.8</v>
      </c>
      <c r="M879" s="76">
        <f t="shared" si="849"/>
        <v>177486.52000000002</v>
      </c>
      <c r="N879" s="22">
        <f t="shared" si="849"/>
        <v>83405.52</v>
      </c>
      <c r="P879" s="174"/>
    </row>
    <row r="880" spans="1:27" ht="15.75" thickBot="1">
      <c r="A880" s="368">
        <v>41110</v>
      </c>
      <c r="B880" s="368"/>
      <c r="C880" s="368"/>
      <c r="N880" s="15"/>
    </row>
    <row r="881" spans="1:31">
      <c r="A881" s="407" t="s">
        <v>1</v>
      </c>
      <c r="B881" s="420"/>
      <c r="C881" s="68" t="s">
        <v>12</v>
      </c>
      <c r="D881" s="68" t="s">
        <v>12</v>
      </c>
      <c r="E881" s="68" t="s">
        <v>13</v>
      </c>
      <c r="F881" s="68" t="s">
        <v>13</v>
      </c>
      <c r="G881" s="68" t="s">
        <v>13</v>
      </c>
      <c r="H881" s="68" t="s">
        <v>13</v>
      </c>
      <c r="I881" s="68" t="s">
        <v>13</v>
      </c>
      <c r="J881" s="68" t="s">
        <v>2</v>
      </c>
      <c r="K881" s="68" t="s">
        <v>2</v>
      </c>
      <c r="L881" s="68" t="s">
        <v>2</v>
      </c>
      <c r="M881" s="68" t="s">
        <v>2</v>
      </c>
      <c r="N881" s="4" t="s">
        <v>84</v>
      </c>
    </row>
    <row r="882" spans="1:31" ht="15.75" thickBot="1">
      <c r="A882" s="409" t="s">
        <v>0</v>
      </c>
      <c r="B882" s="414"/>
      <c r="C882" s="99" t="s">
        <v>102</v>
      </c>
      <c r="D882" s="99" t="s">
        <v>103</v>
      </c>
      <c r="E882" s="99" t="s">
        <v>104</v>
      </c>
      <c r="F882" s="99" t="s">
        <v>105</v>
      </c>
      <c r="G882" s="99" t="s">
        <v>100</v>
      </c>
      <c r="H882" s="99" t="s">
        <v>107</v>
      </c>
      <c r="I882" s="99" t="s">
        <v>106</v>
      </c>
      <c r="J882" s="99" t="s">
        <v>108</v>
      </c>
      <c r="K882" s="99" t="s">
        <v>110</v>
      </c>
      <c r="L882" s="99" t="s">
        <v>101</v>
      </c>
      <c r="M882" s="99" t="s">
        <v>109</v>
      </c>
      <c r="N882" s="101" t="s">
        <v>111</v>
      </c>
      <c r="Q882" s="14"/>
      <c r="R882" s="14"/>
      <c r="S882" s="14"/>
      <c r="T882" s="14"/>
      <c r="U882" s="14"/>
      <c r="V882" s="14"/>
      <c r="W882" s="14"/>
      <c r="X882" s="14"/>
      <c r="Y882" s="175"/>
      <c r="Z882" s="174"/>
      <c r="AA882" s="175"/>
    </row>
    <row r="883" spans="1:31">
      <c r="A883" s="421" t="s">
        <v>9</v>
      </c>
      <c r="B883" s="2" t="s">
        <v>4</v>
      </c>
      <c r="C883" s="96">
        <v>115816.8</v>
      </c>
      <c r="D883" s="96">
        <v>99041.7</v>
      </c>
      <c r="E883" s="96">
        <v>99041.7</v>
      </c>
      <c r="F883" s="96">
        <v>181997.8</v>
      </c>
      <c r="G883" s="96">
        <v>121331.8</v>
      </c>
      <c r="H883" s="96">
        <v>110071.9</v>
      </c>
      <c r="I883" s="96">
        <v>121331.8</v>
      </c>
      <c r="J883" s="96">
        <v>170967.6</v>
      </c>
      <c r="K883" s="96">
        <v>132132.20000000001</v>
      </c>
      <c r="L883" s="96">
        <v>60665.9</v>
      </c>
      <c r="M883" s="96">
        <v>176482.7</v>
      </c>
      <c r="N883" s="100">
        <v>54921</v>
      </c>
      <c r="P883" s="104"/>
      <c r="Y883" s="104"/>
      <c r="Z883" s="104"/>
      <c r="AA883" s="104"/>
    </row>
    <row r="884" spans="1:31">
      <c r="A884" s="422"/>
      <c r="B884" s="63" t="s">
        <v>5</v>
      </c>
      <c r="C884" s="97">
        <v>92660.2</v>
      </c>
      <c r="D884" s="97">
        <v>68458.7</v>
      </c>
      <c r="E884" s="97">
        <v>69879.5</v>
      </c>
      <c r="F884" s="97">
        <v>154008.79999999999</v>
      </c>
      <c r="G884" s="97">
        <v>30447.3</v>
      </c>
      <c r="H884" s="97">
        <v>46368.2</v>
      </c>
      <c r="I884" s="97">
        <v>23141.599999999999</v>
      </c>
      <c r="J884" s="97">
        <v>138733.5</v>
      </c>
      <c r="K884" s="97">
        <v>51870.400000000001</v>
      </c>
      <c r="L884" s="97">
        <v>19468.599999999999</v>
      </c>
      <c r="M884" s="97">
        <v>84321.5</v>
      </c>
      <c r="N884" s="102">
        <v>24017.4</v>
      </c>
      <c r="P884" s="104"/>
      <c r="Y884" s="104"/>
      <c r="Z884" s="104"/>
      <c r="AA884" s="104"/>
    </row>
    <row r="885" spans="1:31" ht="15.75" thickBot="1">
      <c r="A885" s="423"/>
      <c r="B885" s="3" t="s">
        <v>3</v>
      </c>
      <c r="C885" s="71">
        <f>C884/C883</f>
        <v>0.80005836804332353</v>
      </c>
      <c r="D885" s="72">
        <f t="shared" ref="D885:E885" si="850">D884/D883</f>
        <v>0.69121087380366042</v>
      </c>
      <c r="E885" s="72">
        <f t="shared" si="850"/>
        <v>0.70555634646820486</v>
      </c>
      <c r="F885" s="72">
        <f>F884/F883</f>
        <v>0.84621242674361996</v>
      </c>
      <c r="G885" s="72">
        <f>G884/G883</f>
        <v>0.25094245696511547</v>
      </c>
      <c r="H885" s="72">
        <f t="shared" ref="H885:N885" si="851">H884/H883</f>
        <v>0.42125374414360067</v>
      </c>
      <c r="I885" s="72">
        <f t="shared" si="851"/>
        <v>0.19072988285016787</v>
      </c>
      <c r="J885" s="72">
        <f t="shared" si="851"/>
        <v>0.81146076800516587</v>
      </c>
      <c r="K885" s="72">
        <f t="shared" si="851"/>
        <v>0.39256441654645874</v>
      </c>
      <c r="L885" s="72">
        <f t="shared" si="851"/>
        <v>0.32091504453078251</v>
      </c>
      <c r="M885" s="72">
        <f t="shared" si="851"/>
        <v>0.47778904107881393</v>
      </c>
      <c r="N885" s="83">
        <f t="shared" si="851"/>
        <v>0.43730813350084669</v>
      </c>
      <c r="P885" s="104"/>
      <c r="Y885" s="104"/>
      <c r="Z885" s="104"/>
      <c r="AA885" s="104"/>
    </row>
    <row r="886" spans="1:31">
      <c r="A886" s="411" t="s">
        <v>6</v>
      </c>
      <c r="B886" s="27" t="s">
        <v>7</v>
      </c>
      <c r="C886" s="68">
        <v>5155</v>
      </c>
      <c r="D886" s="68">
        <v>3240</v>
      </c>
      <c r="E886" s="68">
        <v>3223</v>
      </c>
      <c r="F886" s="68">
        <v>9553</v>
      </c>
      <c r="G886" s="68">
        <v>5300</v>
      </c>
      <c r="H886" s="68">
        <v>11504</v>
      </c>
      <c r="I886" s="68">
        <f>(4000-2000)</f>
        <v>2000</v>
      </c>
      <c r="J886" s="68">
        <v>9193</v>
      </c>
      <c r="K886" s="68">
        <v>8610</v>
      </c>
      <c r="L886" s="68">
        <v>2800</v>
      </c>
      <c r="M886" s="68">
        <f>5451-2614</f>
        <v>2837</v>
      </c>
      <c r="N886" s="80">
        <v>830</v>
      </c>
      <c r="P886" s="104"/>
      <c r="Y886" s="104"/>
      <c r="Z886" s="104"/>
      <c r="AA886" s="104"/>
    </row>
    <row r="887" spans="1:31">
      <c r="A887" s="412"/>
      <c r="B887" s="28" t="s">
        <v>11</v>
      </c>
      <c r="C887" s="73">
        <f t="shared" ref="C887:I887" si="852">C886*33.72</f>
        <v>173826.6</v>
      </c>
      <c r="D887" s="73">
        <f t="shared" si="852"/>
        <v>109252.8</v>
      </c>
      <c r="E887" s="73">
        <f t="shared" si="852"/>
        <v>108679.56</v>
      </c>
      <c r="F887" s="73">
        <f t="shared" si="852"/>
        <v>322127.15999999997</v>
      </c>
      <c r="G887" s="73">
        <f t="shared" si="852"/>
        <v>178716</v>
      </c>
      <c r="H887" s="73">
        <f t="shared" si="852"/>
        <v>387914.88</v>
      </c>
      <c r="I887" s="73">
        <f t="shared" si="852"/>
        <v>67440</v>
      </c>
      <c r="J887" s="73">
        <f>J886*33.72</f>
        <v>309987.95999999996</v>
      </c>
      <c r="K887" s="73">
        <f t="shared" ref="K887:N887" si="853">K886*33.72</f>
        <v>290329.2</v>
      </c>
      <c r="L887" s="73">
        <f t="shared" si="853"/>
        <v>94416</v>
      </c>
      <c r="M887" s="73">
        <f t="shared" si="853"/>
        <v>95663.64</v>
      </c>
      <c r="N887" s="73">
        <f t="shared" si="853"/>
        <v>27987.599999999999</v>
      </c>
      <c r="P887" s="104"/>
      <c r="Y887" s="104"/>
      <c r="Z887" s="104"/>
      <c r="AA887" s="104"/>
    </row>
    <row r="888" spans="1:31">
      <c r="A888" s="412"/>
      <c r="B888" s="28" t="s">
        <v>79</v>
      </c>
      <c r="C888" s="73">
        <v>164000</v>
      </c>
      <c r="D888" s="73">
        <v>109880</v>
      </c>
      <c r="E888" s="73">
        <v>109880</v>
      </c>
      <c r="F888" s="73">
        <v>328000</v>
      </c>
      <c r="G888" s="73">
        <f>G883*2</f>
        <v>242663.6</v>
      </c>
      <c r="H888" s="73">
        <f>H883*2</f>
        <v>220143.8</v>
      </c>
      <c r="I888" s="73">
        <f>I883*2</f>
        <v>242663.6</v>
      </c>
      <c r="J888" s="73">
        <v>328000</v>
      </c>
      <c r="K888" s="73">
        <f>K883*2</f>
        <v>264264.40000000002</v>
      </c>
      <c r="L888" s="73">
        <v>328000</v>
      </c>
      <c r="M888" s="73">
        <f>2*M883</f>
        <v>352965.4</v>
      </c>
      <c r="N888" s="84">
        <f>2*N883</f>
        <v>109842</v>
      </c>
      <c r="P888" s="104"/>
      <c r="Y888" s="104"/>
      <c r="Z888" s="104"/>
      <c r="AA888" s="104"/>
    </row>
    <row r="889" spans="1:31">
      <c r="A889" s="412"/>
      <c r="B889" s="66" t="s">
        <v>8</v>
      </c>
      <c r="C889" s="98">
        <f>SUM(C886-595)</f>
        <v>4560</v>
      </c>
      <c r="D889" s="98">
        <f>SUM(D886-678)</f>
        <v>2562</v>
      </c>
      <c r="E889" s="98">
        <f>SUM(E886-715)</f>
        <v>2508</v>
      </c>
      <c r="F889" s="98">
        <f>SUM(F886-1140)</f>
        <v>8413</v>
      </c>
      <c r="G889" s="98">
        <f>SUM(G886-3302)</f>
        <v>1998</v>
      </c>
      <c r="H889" s="98">
        <f>SUM(H886-1756)</f>
        <v>9748</v>
      </c>
      <c r="I889" s="98">
        <f>SUM(I886-(2408-2000))</f>
        <v>1592</v>
      </c>
      <c r="J889" s="98">
        <f>SUM(J886-1316)</f>
        <v>7877</v>
      </c>
      <c r="K889" s="98">
        <f>SUM(K886-2330)</f>
        <v>6280</v>
      </c>
      <c r="L889" s="98">
        <f>SUM(L886-525)</f>
        <v>2275</v>
      </c>
      <c r="M889" s="98">
        <f>SUM(M886-(2849-2614))</f>
        <v>2602</v>
      </c>
      <c r="N889" s="103">
        <f>SUM(N886-46)</f>
        <v>784</v>
      </c>
    </row>
    <row r="890" spans="1:31">
      <c r="A890" s="412"/>
      <c r="B890" s="29" t="s">
        <v>77</v>
      </c>
      <c r="C890" s="75">
        <f>C889*33.72</f>
        <v>153763.19999999998</v>
      </c>
      <c r="D890" s="75">
        <f>D889*33.72</f>
        <v>86390.64</v>
      </c>
      <c r="E890" s="75">
        <f>E889*33.72</f>
        <v>84569.76</v>
      </c>
      <c r="F890" s="75">
        <f>F889*33.72</f>
        <v>283686.36</v>
      </c>
      <c r="G890" s="75">
        <f>G889*33.72*2</f>
        <v>134745.12</v>
      </c>
      <c r="H890" s="75">
        <f>H889*33.72</f>
        <v>328702.56</v>
      </c>
      <c r="I890" s="75">
        <f>I889*33.72</f>
        <v>53682.239999999998</v>
      </c>
      <c r="J890" s="75">
        <f>J889*33.72</f>
        <v>265612.44</v>
      </c>
      <c r="K890" s="75">
        <f>K889*33.72</f>
        <v>211761.6</v>
      </c>
      <c r="L890" s="75">
        <f>L889*33.72</f>
        <v>76713</v>
      </c>
      <c r="M890" s="75">
        <f>M889*33.72*2</f>
        <v>175478.88</v>
      </c>
      <c r="N890" s="11">
        <f>N889*33.72</f>
        <v>26436.48</v>
      </c>
    </row>
    <row r="891" spans="1:31" ht="15.75" thickBot="1">
      <c r="A891" s="412"/>
      <c r="B891" s="30" t="s">
        <v>10</v>
      </c>
      <c r="C891" s="71">
        <f>C889*33.7/C883</f>
        <v>1.326854135151377</v>
      </c>
      <c r="D891" s="71">
        <f t="shared" ref="D891:N891" si="854">D889*33.7/D883</f>
        <v>0.87174796070745975</v>
      </c>
      <c r="E891" s="78">
        <f t="shared" si="854"/>
        <v>0.85337388191034691</v>
      </c>
      <c r="F891" s="78">
        <f t="shared" si="854"/>
        <v>1.5578105889192071</v>
      </c>
      <c r="G891" s="78">
        <f t="shared" si="854"/>
        <v>0.55494602404316107</v>
      </c>
      <c r="H891" s="78">
        <f t="shared" si="854"/>
        <v>2.9844819613361815</v>
      </c>
      <c r="I891" s="78">
        <f t="shared" si="854"/>
        <v>0.44217921435270885</v>
      </c>
      <c r="J891" s="78">
        <f t="shared" si="854"/>
        <v>1.5526620248514924</v>
      </c>
      <c r="K891" s="78">
        <f t="shared" si="854"/>
        <v>1.6016989045819263</v>
      </c>
      <c r="L891" s="78">
        <f t="shared" si="854"/>
        <v>1.26376597066886</v>
      </c>
      <c r="M891" s="79">
        <f t="shared" si="854"/>
        <v>0.49686116542867942</v>
      </c>
      <c r="N891" s="26">
        <f t="shared" si="854"/>
        <v>0.48106917208353822</v>
      </c>
      <c r="P891" s="175"/>
    </row>
    <row r="892" spans="1:31" ht="15.75" thickBot="1">
      <c r="A892" s="424" t="s">
        <v>83</v>
      </c>
      <c r="B892" s="425"/>
      <c r="C892" s="76">
        <f>MIN(2*C883,C888)-C890</f>
        <v>10236.800000000017</v>
      </c>
      <c r="D892" s="76">
        <f t="shared" ref="D892:N892" si="855">MIN(2*D883,D888)-D890</f>
        <v>23489.360000000001</v>
      </c>
      <c r="E892" s="76">
        <f t="shared" si="855"/>
        <v>25310.240000000005</v>
      </c>
      <c r="F892" s="76">
        <f t="shared" si="855"/>
        <v>44313.640000000014</v>
      </c>
      <c r="G892" s="76">
        <f t="shared" si="855"/>
        <v>107918.48000000001</v>
      </c>
      <c r="H892" s="76">
        <f t="shared" si="855"/>
        <v>-108558.76000000001</v>
      </c>
      <c r="I892" s="76">
        <f t="shared" si="855"/>
        <v>188981.36000000002</v>
      </c>
      <c r="J892" s="76">
        <f t="shared" si="855"/>
        <v>62387.56</v>
      </c>
      <c r="K892" s="76">
        <f t="shared" si="855"/>
        <v>52502.800000000017</v>
      </c>
      <c r="L892" s="76">
        <f t="shared" si="855"/>
        <v>44618.8</v>
      </c>
      <c r="M892" s="76">
        <f t="shared" si="855"/>
        <v>177486.52000000002</v>
      </c>
      <c r="N892" s="22">
        <f t="shared" si="855"/>
        <v>83405.52</v>
      </c>
      <c r="P892" s="174"/>
    </row>
    <row r="893" spans="1:31" ht="15.75" thickBot="1">
      <c r="A893" s="368">
        <v>41109</v>
      </c>
      <c r="B893" s="368"/>
      <c r="C893" s="368"/>
      <c r="N893" s="15"/>
      <c r="P893" s="175"/>
      <c r="X893" s="67"/>
    </row>
    <row r="894" spans="1:31">
      <c r="A894" s="407" t="s">
        <v>1</v>
      </c>
      <c r="B894" s="420"/>
      <c r="C894" s="68" t="s">
        <v>12</v>
      </c>
      <c r="D894" s="68" t="s">
        <v>12</v>
      </c>
      <c r="E894" s="68" t="s">
        <v>13</v>
      </c>
      <c r="F894" s="68" t="s">
        <v>13</v>
      </c>
      <c r="G894" s="68" t="s">
        <v>13</v>
      </c>
      <c r="H894" s="68" t="s">
        <v>13</v>
      </c>
      <c r="I894" s="68" t="s">
        <v>13</v>
      </c>
      <c r="J894" s="68" t="s">
        <v>2</v>
      </c>
      <c r="K894" s="68" t="s">
        <v>2</v>
      </c>
      <c r="L894" s="68" t="s">
        <v>2</v>
      </c>
      <c r="M894" s="68" t="s">
        <v>2</v>
      </c>
      <c r="N894" s="4" t="s">
        <v>84</v>
      </c>
      <c r="Q894" s="142"/>
      <c r="R894" s="14"/>
      <c r="S894" s="14"/>
      <c r="T894" s="14"/>
      <c r="U894" s="14"/>
      <c r="W894" s="14"/>
      <c r="X894" s="14"/>
      <c r="AA894" s="14"/>
      <c r="AD894" s="142"/>
      <c r="AE894" s="142"/>
    </row>
    <row r="895" spans="1:31" ht="15.75" thickBot="1">
      <c r="A895" s="409" t="s">
        <v>0</v>
      </c>
      <c r="B895" s="414"/>
      <c r="C895" s="99" t="s">
        <v>102</v>
      </c>
      <c r="D895" s="99" t="s">
        <v>103</v>
      </c>
      <c r="E895" s="99" t="s">
        <v>104</v>
      </c>
      <c r="F895" s="99" t="s">
        <v>105</v>
      </c>
      <c r="G895" s="99" t="s">
        <v>100</v>
      </c>
      <c r="H895" s="99" t="s">
        <v>107</v>
      </c>
      <c r="I895" s="99" t="s">
        <v>106</v>
      </c>
      <c r="J895" s="99" t="s">
        <v>108</v>
      </c>
      <c r="K895" s="99" t="s">
        <v>110</v>
      </c>
      <c r="L895" s="99" t="s">
        <v>101</v>
      </c>
      <c r="M895" s="99" t="s">
        <v>109</v>
      </c>
      <c r="N895" s="101" t="s">
        <v>111</v>
      </c>
      <c r="Q895" s="14"/>
      <c r="R895" s="14"/>
      <c r="S895" s="14"/>
      <c r="T895" s="14"/>
      <c r="U895" s="14"/>
      <c r="V895" s="14"/>
      <c r="W895" s="14"/>
      <c r="X895" s="14"/>
      <c r="Y895" s="175"/>
      <c r="Z895" s="174"/>
      <c r="AA895" s="175"/>
      <c r="AD895" s="64"/>
      <c r="AE895" s="104"/>
    </row>
    <row r="896" spans="1:31">
      <c r="A896" s="421" t="s">
        <v>9</v>
      </c>
      <c r="B896" s="2" t="s">
        <v>4</v>
      </c>
      <c r="C896" s="96">
        <v>115816.8</v>
      </c>
      <c r="D896" s="96">
        <v>99041.7</v>
      </c>
      <c r="E896" s="96">
        <v>99041.7</v>
      </c>
      <c r="F896" s="96">
        <v>181997.8</v>
      </c>
      <c r="G896" s="96">
        <v>121331.8</v>
      </c>
      <c r="H896" s="96">
        <v>110071.9</v>
      </c>
      <c r="I896" s="96">
        <v>121331.8</v>
      </c>
      <c r="J896" s="96">
        <v>170967.6</v>
      </c>
      <c r="K896" s="96">
        <v>132132.20000000001</v>
      </c>
      <c r="L896" s="96">
        <v>60665.9</v>
      </c>
      <c r="M896" s="96">
        <v>176482.7</v>
      </c>
      <c r="N896" s="100">
        <v>54921</v>
      </c>
      <c r="P896" s="104"/>
      <c r="Y896" s="104"/>
      <c r="Z896" s="104"/>
      <c r="AA896" s="104"/>
      <c r="AD896" s="64"/>
      <c r="AE896" s="104"/>
    </row>
    <row r="897" spans="1:31">
      <c r="A897" s="422"/>
      <c r="B897" s="63" t="s">
        <v>5</v>
      </c>
      <c r="C897" s="97">
        <v>92653.8</v>
      </c>
      <c r="D897" s="97">
        <v>69626.8</v>
      </c>
      <c r="E897" s="97">
        <v>71047.399999999994</v>
      </c>
      <c r="F897" s="97">
        <v>153910.6</v>
      </c>
      <c r="G897" s="97">
        <v>29208.6</v>
      </c>
      <c r="H897" s="97">
        <v>46079.4</v>
      </c>
      <c r="I897" s="97">
        <v>23095.200000000001</v>
      </c>
      <c r="J897" s="97">
        <v>138652.6</v>
      </c>
      <c r="K897" s="97">
        <v>51750.2</v>
      </c>
      <c r="L897" s="97">
        <v>19408.2</v>
      </c>
      <c r="M897" s="97">
        <v>84233.7</v>
      </c>
      <c r="N897" s="102">
        <v>24017.1</v>
      </c>
      <c r="P897" s="104"/>
      <c r="Y897" s="104"/>
      <c r="Z897" s="104"/>
      <c r="AA897" s="104"/>
      <c r="AD897" s="64"/>
      <c r="AE897" s="104"/>
    </row>
    <row r="898" spans="1:31" ht="15.75" thickBot="1">
      <c r="A898" s="423"/>
      <c r="B898" s="3" t="s">
        <v>3</v>
      </c>
      <c r="C898" s="71">
        <f>C897/C896</f>
        <v>0.80000310835733679</v>
      </c>
      <c r="D898" s="72">
        <f t="shared" ref="D898:E898" si="856">D897/D896</f>
        <v>0.7030048959175782</v>
      </c>
      <c r="E898" s="72">
        <f t="shared" si="856"/>
        <v>0.71734834923067758</v>
      </c>
      <c r="F898" s="72">
        <f>F897/F896</f>
        <v>0.84567285978182161</v>
      </c>
      <c r="G898" s="72">
        <f>G897/G896</f>
        <v>0.2407332620137507</v>
      </c>
      <c r="H898" s="72">
        <f t="shared" ref="H898:N898" si="857">H897/H896</f>
        <v>0.41863000456974037</v>
      </c>
      <c r="I898" s="72">
        <f t="shared" si="857"/>
        <v>0.19034746043493955</v>
      </c>
      <c r="J898" s="72">
        <f t="shared" si="857"/>
        <v>0.81098757893308437</v>
      </c>
      <c r="K898" s="72">
        <f t="shared" si="857"/>
        <v>0.3916547215591657</v>
      </c>
      <c r="L898" s="72">
        <f t="shared" si="857"/>
        <v>0.31991942755320535</v>
      </c>
      <c r="M898" s="72">
        <f t="shared" si="857"/>
        <v>0.47729154189050821</v>
      </c>
      <c r="N898" s="83">
        <f t="shared" si="857"/>
        <v>0.43730267110941168</v>
      </c>
      <c r="P898" s="104"/>
      <c r="Y898" s="104"/>
      <c r="Z898" s="104"/>
      <c r="AA898" s="104"/>
      <c r="AD898" s="64"/>
      <c r="AE898" s="104"/>
    </row>
    <row r="899" spans="1:31">
      <c r="A899" s="411" t="s">
        <v>6</v>
      </c>
      <c r="B899" s="27" t="s">
        <v>7</v>
      </c>
      <c r="C899" s="68">
        <v>5155</v>
      </c>
      <c r="D899" s="68">
        <v>3240</v>
      </c>
      <c r="E899" s="68">
        <v>3223</v>
      </c>
      <c r="F899" s="68">
        <v>9553</v>
      </c>
      <c r="G899" s="68">
        <v>5300</v>
      </c>
      <c r="H899" s="68">
        <v>11504</v>
      </c>
      <c r="I899" s="68">
        <f>(4000-2000)</f>
        <v>2000</v>
      </c>
      <c r="J899" s="68">
        <v>9193</v>
      </c>
      <c r="K899" s="68">
        <v>8610</v>
      </c>
      <c r="L899" s="68">
        <v>2800</v>
      </c>
      <c r="M899" s="68">
        <f>5451-2614</f>
        <v>2837</v>
      </c>
      <c r="N899" s="80">
        <v>830</v>
      </c>
      <c r="P899" s="104"/>
      <c r="Y899" s="104"/>
      <c r="Z899" s="104"/>
      <c r="AA899" s="104"/>
      <c r="AD899" s="64"/>
      <c r="AE899" s="104"/>
    </row>
    <row r="900" spans="1:31">
      <c r="A900" s="412"/>
      <c r="B900" s="28" t="s">
        <v>11</v>
      </c>
      <c r="C900" s="73">
        <f t="shared" ref="C900:I900" si="858">C899*33.72</f>
        <v>173826.6</v>
      </c>
      <c r="D900" s="73">
        <f t="shared" si="858"/>
        <v>109252.8</v>
      </c>
      <c r="E900" s="73">
        <f t="shared" si="858"/>
        <v>108679.56</v>
      </c>
      <c r="F900" s="73">
        <f t="shared" si="858"/>
        <v>322127.15999999997</v>
      </c>
      <c r="G900" s="73">
        <f t="shared" si="858"/>
        <v>178716</v>
      </c>
      <c r="H900" s="73">
        <f t="shared" si="858"/>
        <v>387914.88</v>
      </c>
      <c r="I900" s="73">
        <f t="shared" si="858"/>
        <v>67440</v>
      </c>
      <c r="J900" s="73">
        <f>J899*33.72</f>
        <v>309987.95999999996</v>
      </c>
      <c r="K900" s="73">
        <f t="shared" ref="K900:N900" si="859">K899*33.72</f>
        <v>290329.2</v>
      </c>
      <c r="L900" s="73">
        <f t="shared" si="859"/>
        <v>94416</v>
      </c>
      <c r="M900" s="73">
        <f t="shared" si="859"/>
        <v>95663.64</v>
      </c>
      <c r="N900" s="73">
        <f t="shared" si="859"/>
        <v>27987.599999999999</v>
      </c>
      <c r="P900" s="104"/>
      <c r="Y900" s="104"/>
      <c r="Z900" s="104"/>
      <c r="AA900" s="104"/>
      <c r="AD900" s="64"/>
      <c r="AE900" s="104"/>
    </row>
    <row r="901" spans="1:31">
      <c r="A901" s="412"/>
      <c r="B901" s="28" t="s">
        <v>79</v>
      </c>
      <c r="C901" s="73">
        <v>164000</v>
      </c>
      <c r="D901" s="73">
        <v>109880</v>
      </c>
      <c r="E901" s="73">
        <v>109880</v>
      </c>
      <c r="F901" s="73">
        <v>328000</v>
      </c>
      <c r="G901" s="73">
        <f>G896*2</f>
        <v>242663.6</v>
      </c>
      <c r="H901" s="73">
        <f>H896*2</f>
        <v>220143.8</v>
      </c>
      <c r="I901" s="73">
        <f>I896*2</f>
        <v>242663.6</v>
      </c>
      <c r="J901" s="73">
        <v>328000</v>
      </c>
      <c r="K901" s="73">
        <f>K896*2</f>
        <v>264264.40000000002</v>
      </c>
      <c r="L901" s="73">
        <v>328000</v>
      </c>
      <c r="M901" s="73">
        <f>2*M896</f>
        <v>352965.4</v>
      </c>
      <c r="N901" s="84">
        <f>2*N896</f>
        <v>109842</v>
      </c>
      <c r="P901" s="104"/>
      <c r="Y901" s="104"/>
      <c r="Z901" s="104"/>
      <c r="AA901" s="104"/>
      <c r="AD901" s="64"/>
      <c r="AE901" s="104"/>
    </row>
    <row r="902" spans="1:31">
      <c r="A902" s="412"/>
      <c r="B902" s="66" t="s">
        <v>8</v>
      </c>
      <c r="C902" s="98">
        <f>SUM(C899-600)</f>
        <v>4555</v>
      </c>
      <c r="D902" s="98">
        <f>SUM(D899-714)</f>
        <v>2526</v>
      </c>
      <c r="E902" s="98">
        <f>SUM(E899-715)</f>
        <v>2508</v>
      </c>
      <c r="F902" s="98">
        <f>SUM(F899-1140)</f>
        <v>8413</v>
      </c>
      <c r="G902" s="98">
        <f>SUM(G899-3405)</f>
        <v>1895</v>
      </c>
      <c r="H902" s="98">
        <f>SUM(H899-1756)</f>
        <v>9748</v>
      </c>
      <c r="I902" s="98">
        <f>SUM(I899-(2408-2000))</f>
        <v>1592</v>
      </c>
      <c r="J902" s="98">
        <f>SUM(J899-1316)</f>
        <v>7877</v>
      </c>
      <c r="K902" s="98">
        <f>SUM(K899-2345)</f>
        <v>6265</v>
      </c>
      <c r="L902" s="98">
        <f>SUM(L899-585)</f>
        <v>2215</v>
      </c>
      <c r="M902" s="98">
        <f>SUM(M899-(2849-2614))</f>
        <v>2602</v>
      </c>
      <c r="N902" s="103">
        <f>SUM(N899-46)</f>
        <v>784</v>
      </c>
      <c r="Z902" s="104"/>
    </row>
    <row r="903" spans="1:31">
      <c r="A903" s="412"/>
      <c r="B903" s="29" t="s">
        <v>77</v>
      </c>
      <c r="C903" s="75">
        <f>C902*33.72</f>
        <v>153594.6</v>
      </c>
      <c r="D903" s="75">
        <f>D902*33.72</f>
        <v>85176.72</v>
      </c>
      <c r="E903" s="75">
        <f>E902*33.72</f>
        <v>84569.76</v>
      </c>
      <c r="F903" s="75">
        <f>F902*33.72</f>
        <v>283686.36</v>
      </c>
      <c r="G903" s="75">
        <f>G902*33.72*2</f>
        <v>127798.8</v>
      </c>
      <c r="H903" s="75">
        <f>H902*33.72</f>
        <v>328702.56</v>
      </c>
      <c r="I903" s="75">
        <f>I902*33.72</f>
        <v>53682.239999999998</v>
      </c>
      <c r="J903" s="75">
        <f>J902*33.72</f>
        <v>265612.44</v>
      </c>
      <c r="K903" s="75">
        <f>K902*33.72</f>
        <v>211255.8</v>
      </c>
      <c r="L903" s="75">
        <f>L902*33.72</f>
        <v>74689.8</v>
      </c>
      <c r="M903" s="75">
        <f>M902*33.72*2</f>
        <v>175478.88</v>
      </c>
      <c r="N903" s="11">
        <f>N902*33.72</f>
        <v>26436.48</v>
      </c>
    </row>
    <row r="904" spans="1:31" ht="15.75" thickBot="1">
      <c r="A904" s="412"/>
      <c r="B904" s="30" t="s">
        <v>10</v>
      </c>
      <c r="C904" s="71">
        <f>C902*33.7/C896</f>
        <v>1.3253992512312549</v>
      </c>
      <c r="D904" s="71">
        <f t="shared" ref="D904:N904" si="860">D902*33.7/D896</f>
        <v>0.85949857484271786</v>
      </c>
      <c r="E904" s="78">
        <f t="shared" si="860"/>
        <v>0.85337388191034691</v>
      </c>
      <c r="F904" s="78">
        <f t="shared" si="860"/>
        <v>1.5578105889192071</v>
      </c>
      <c r="G904" s="78">
        <f t="shared" si="860"/>
        <v>0.52633769547637144</v>
      </c>
      <c r="H904" s="78">
        <f t="shared" si="860"/>
        <v>2.9844819613361815</v>
      </c>
      <c r="I904" s="78">
        <f t="shared" si="860"/>
        <v>0.44217921435270885</v>
      </c>
      <c r="J904" s="78">
        <f t="shared" si="860"/>
        <v>1.5526620248514924</v>
      </c>
      <c r="K904" s="78">
        <f t="shared" si="860"/>
        <v>1.5978731906378612</v>
      </c>
      <c r="L904" s="78">
        <f t="shared" si="860"/>
        <v>1.2304358791347363</v>
      </c>
      <c r="M904" s="79">
        <f t="shared" si="860"/>
        <v>0.49686116542867942</v>
      </c>
      <c r="N904" s="26">
        <f t="shared" si="860"/>
        <v>0.48106917208353822</v>
      </c>
    </row>
    <row r="905" spans="1:31" ht="15.75" thickBot="1">
      <c r="A905" s="424" t="s">
        <v>83</v>
      </c>
      <c r="B905" s="425"/>
      <c r="C905" s="76">
        <f>MIN(2*C896,C901)-C903</f>
        <v>10405.399999999994</v>
      </c>
      <c r="D905" s="76">
        <f t="shared" ref="D905:N905" si="861">MIN(2*D896,D901)-D903</f>
        <v>24703.279999999999</v>
      </c>
      <c r="E905" s="76">
        <f t="shared" si="861"/>
        <v>25310.240000000005</v>
      </c>
      <c r="F905" s="76">
        <f t="shared" si="861"/>
        <v>44313.640000000014</v>
      </c>
      <c r="G905" s="76">
        <f t="shared" si="861"/>
        <v>114864.8</v>
      </c>
      <c r="H905" s="76">
        <f t="shared" si="861"/>
        <v>-108558.76000000001</v>
      </c>
      <c r="I905" s="76">
        <f t="shared" si="861"/>
        <v>188981.36000000002</v>
      </c>
      <c r="J905" s="76">
        <f t="shared" si="861"/>
        <v>62387.56</v>
      </c>
      <c r="K905" s="76">
        <f t="shared" si="861"/>
        <v>53008.600000000035</v>
      </c>
      <c r="L905" s="76">
        <f t="shared" si="861"/>
        <v>46642</v>
      </c>
      <c r="M905" s="76">
        <f t="shared" si="861"/>
        <v>177486.52000000002</v>
      </c>
      <c r="N905" s="22">
        <f t="shared" si="861"/>
        <v>83405.52</v>
      </c>
    </row>
    <row r="906" spans="1:31" ht="15.75" thickBot="1">
      <c r="A906" s="368">
        <v>41108</v>
      </c>
      <c r="B906" s="368"/>
      <c r="C906" s="368"/>
      <c r="N906" s="15"/>
    </row>
    <row r="907" spans="1:31">
      <c r="A907" s="407" t="s">
        <v>1</v>
      </c>
      <c r="B907" s="420"/>
      <c r="C907" s="68" t="s">
        <v>12</v>
      </c>
      <c r="D907" s="68" t="s">
        <v>12</v>
      </c>
      <c r="E907" s="68" t="s">
        <v>13</v>
      </c>
      <c r="F907" s="68" t="s">
        <v>13</v>
      </c>
      <c r="G907" s="68" t="s">
        <v>13</v>
      </c>
      <c r="H907" s="68" t="s">
        <v>13</v>
      </c>
      <c r="I907" s="68" t="s">
        <v>13</v>
      </c>
      <c r="J907" s="68" t="s">
        <v>2</v>
      </c>
      <c r="K907" s="68" t="s">
        <v>2</v>
      </c>
      <c r="L907" s="68" t="s">
        <v>2</v>
      </c>
      <c r="M907" s="68" t="s">
        <v>2</v>
      </c>
      <c r="N907" s="4" t="s">
        <v>84</v>
      </c>
      <c r="P907" s="174"/>
      <c r="Q907" s="175"/>
      <c r="R907" s="174"/>
      <c r="S907" s="175"/>
      <c r="T907" s="142"/>
      <c r="AA907" s="142"/>
      <c r="AB907" s="142"/>
    </row>
    <row r="908" spans="1:31" ht="15.75" thickBot="1">
      <c r="A908" s="409" t="s">
        <v>0</v>
      </c>
      <c r="B908" s="414"/>
      <c r="C908" s="99" t="s">
        <v>102</v>
      </c>
      <c r="D908" s="99" t="s">
        <v>103</v>
      </c>
      <c r="E908" s="99" t="s">
        <v>104</v>
      </c>
      <c r="F908" s="99" t="s">
        <v>105</v>
      </c>
      <c r="G908" s="99" t="s">
        <v>100</v>
      </c>
      <c r="H908" s="99" t="s">
        <v>107</v>
      </c>
      <c r="I908" s="99" t="s">
        <v>106</v>
      </c>
      <c r="J908" s="99" t="s">
        <v>108</v>
      </c>
      <c r="K908" s="99" t="s">
        <v>110</v>
      </c>
      <c r="L908" s="99" t="s">
        <v>101</v>
      </c>
      <c r="M908" s="99" t="s">
        <v>109</v>
      </c>
      <c r="N908" s="101" t="s">
        <v>111</v>
      </c>
      <c r="P908" s="175"/>
      <c r="Q908" s="221"/>
      <c r="R908" s="222"/>
      <c r="S908" s="105"/>
      <c r="T908" s="105"/>
      <c r="AA908" s="104"/>
      <c r="AB908" s="104"/>
    </row>
    <row r="909" spans="1:31" ht="15" customHeight="1">
      <c r="A909" s="421" t="s">
        <v>9</v>
      </c>
      <c r="B909" s="2" t="s">
        <v>4</v>
      </c>
      <c r="C909" s="96">
        <v>115816.8</v>
      </c>
      <c r="D909" s="96">
        <v>99041.7</v>
      </c>
      <c r="E909" s="96">
        <v>99041.7</v>
      </c>
      <c r="F909" s="96">
        <v>181997.8</v>
      </c>
      <c r="G909" s="96">
        <v>121331.8</v>
      </c>
      <c r="H909" s="96">
        <v>110071.9</v>
      </c>
      <c r="I909" s="96">
        <v>121331.8</v>
      </c>
      <c r="J909" s="96">
        <v>170967.6</v>
      </c>
      <c r="K909" s="96">
        <v>132132.20000000001</v>
      </c>
      <c r="L909" s="96">
        <v>60665.9</v>
      </c>
      <c r="M909" s="96">
        <v>176482.7</v>
      </c>
      <c r="N909" s="100">
        <v>54921</v>
      </c>
      <c r="O909" s="12"/>
      <c r="AA909" s="104"/>
      <c r="AB909" s="104"/>
    </row>
    <row r="910" spans="1:31" s="64" customFormat="1">
      <c r="A910" s="422"/>
      <c r="B910" s="63" t="s">
        <v>5</v>
      </c>
      <c r="C910" s="97">
        <v>92654.9</v>
      </c>
      <c r="D910" s="97">
        <v>69584.899999999994</v>
      </c>
      <c r="E910" s="97">
        <v>71002.5</v>
      </c>
      <c r="F910" s="97">
        <v>153703.4</v>
      </c>
      <c r="G910" s="97">
        <v>29153.4</v>
      </c>
      <c r="H910" s="97">
        <v>46060.3</v>
      </c>
      <c r="I910" s="97">
        <v>23046</v>
      </c>
      <c r="J910" s="97">
        <v>138501.29999999999</v>
      </c>
      <c r="K910" s="97">
        <v>51360.3</v>
      </c>
      <c r="L910" s="97">
        <v>19370.400000000001</v>
      </c>
      <c r="M910" s="97">
        <v>84138.6</v>
      </c>
      <c r="N910" s="102">
        <v>24016.9</v>
      </c>
      <c r="O910" s="12"/>
      <c r="P910" s="175"/>
      <c r="Q910" s="67"/>
      <c r="R910" s="175"/>
      <c r="S910" s="104"/>
      <c r="T910" s="104"/>
      <c r="AA910" s="104"/>
      <c r="AB910" s="104"/>
    </row>
    <row r="911" spans="1:31" ht="15.75" thickBot="1">
      <c r="A911" s="423"/>
      <c r="B911" s="3" t="s">
        <v>3</v>
      </c>
      <c r="C911" s="71">
        <f>C910/C909</f>
        <v>0.80001260611586567</v>
      </c>
      <c r="D911" s="72">
        <f t="shared" ref="D911:E911" si="862">D910/D909</f>
        <v>0.70258184178987226</v>
      </c>
      <c r="E911" s="72">
        <f t="shared" si="862"/>
        <v>0.71689500483129831</v>
      </c>
      <c r="F911" s="72">
        <f>F910/F909</f>
        <v>0.8445343844815707</v>
      </c>
      <c r="G911" s="72">
        <f>G910/G909</f>
        <v>0.24027831120942739</v>
      </c>
      <c r="H911" s="72">
        <f t="shared" ref="H911:N911" si="863">H910/H909</f>
        <v>0.41845648162700932</v>
      </c>
      <c r="I911" s="72">
        <f t="shared" si="863"/>
        <v>0.18994196080499917</v>
      </c>
      <c r="J911" s="72">
        <f t="shared" si="863"/>
        <v>0.81010261593424715</v>
      </c>
      <c r="K911" s="72">
        <f t="shared" si="863"/>
        <v>0.38870388898391156</v>
      </c>
      <c r="L911" s="72">
        <f t="shared" si="863"/>
        <v>0.3192963427559799</v>
      </c>
      <c r="M911" s="72">
        <f t="shared" si="863"/>
        <v>0.47675267887447326</v>
      </c>
      <c r="N911" s="83">
        <f t="shared" si="863"/>
        <v>0.43729902951512173</v>
      </c>
      <c r="O911" s="12"/>
      <c r="P911" s="175"/>
      <c r="Q911" s="67"/>
      <c r="R911" s="175"/>
      <c r="AA911" s="104"/>
      <c r="AB911" s="104"/>
    </row>
    <row r="912" spans="1:31" ht="15" customHeight="1">
      <c r="A912" s="411" t="s">
        <v>6</v>
      </c>
      <c r="B912" s="27" t="s">
        <v>7</v>
      </c>
      <c r="C912" s="68">
        <v>5155</v>
      </c>
      <c r="D912" s="68">
        <v>3240</v>
      </c>
      <c r="E912" s="68">
        <v>3223</v>
      </c>
      <c r="F912" s="68">
        <v>9553</v>
      </c>
      <c r="G912" s="68">
        <v>5300</v>
      </c>
      <c r="H912" s="68">
        <v>11504</v>
      </c>
      <c r="I912" s="68">
        <f>(4000-2000)</f>
        <v>2000</v>
      </c>
      <c r="J912" s="68">
        <v>9193</v>
      </c>
      <c r="K912" s="68">
        <v>8610</v>
      </c>
      <c r="L912" s="68">
        <v>2800</v>
      </c>
      <c r="M912" s="68">
        <f>5451-2614</f>
        <v>2837</v>
      </c>
      <c r="N912" s="80">
        <v>830</v>
      </c>
      <c r="O912" s="12"/>
      <c r="P912" s="175"/>
      <c r="Q912" s="224"/>
      <c r="R912" s="225"/>
      <c r="S912" s="223"/>
      <c r="T912" s="223"/>
      <c r="AA912" s="104"/>
      <c r="AB912" s="104"/>
    </row>
    <row r="913" spans="1:34">
      <c r="A913" s="412"/>
      <c r="B913" s="28" t="s">
        <v>11</v>
      </c>
      <c r="C913" s="73">
        <f t="shared" ref="C913:I913" si="864">C912*33.72</f>
        <v>173826.6</v>
      </c>
      <c r="D913" s="73">
        <f t="shared" si="864"/>
        <v>109252.8</v>
      </c>
      <c r="E913" s="73">
        <f t="shared" si="864"/>
        <v>108679.56</v>
      </c>
      <c r="F913" s="73">
        <f t="shared" si="864"/>
        <v>322127.15999999997</v>
      </c>
      <c r="G913" s="73">
        <f t="shared" si="864"/>
        <v>178716</v>
      </c>
      <c r="H913" s="73">
        <f t="shared" si="864"/>
        <v>387914.88</v>
      </c>
      <c r="I913" s="73">
        <f t="shared" si="864"/>
        <v>67440</v>
      </c>
      <c r="J913" s="73">
        <f>J912*33.72</f>
        <v>309987.95999999996</v>
      </c>
      <c r="K913" s="73">
        <f t="shared" ref="K913:N913" si="865">K912*33.72</f>
        <v>290329.2</v>
      </c>
      <c r="L913" s="73">
        <f t="shared" si="865"/>
        <v>94416</v>
      </c>
      <c r="M913" s="73">
        <f t="shared" si="865"/>
        <v>95663.64</v>
      </c>
      <c r="N913" s="73">
        <f t="shared" si="865"/>
        <v>27987.599999999999</v>
      </c>
      <c r="O913" s="12"/>
      <c r="AA913" s="104"/>
      <c r="AB913" s="104"/>
    </row>
    <row r="914" spans="1:34">
      <c r="A914" s="412"/>
      <c r="B914" s="28" t="s">
        <v>79</v>
      </c>
      <c r="C914" s="73">
        <v>164000</v>
      </c>
      <c r="D914" s="73">
        <v>109880</v>
      </c>
      <c r="E914" s="73">
        <v>109880</v>
      </c>
      <c r="F914" s="73">
        <v>328000</v>
      </c>
      <c r="G914" s="73">
        <f>G909*2</f>
        <v>242663.6</v>
      </c>
      <c r="H914" s="73">
        <f>H909*2</f>
        <v>220143.8</v>
      </c>
      <c r="I914" s="73">
        <f>I909*2</f>
        <v>242663.6</v>
      </c>
      <c r="J914" s="73">
        <v>328000</v>
      </c>
      <c r="K914" s="73">
        <f>K909*2</f>
        <v>264264.40000000002</v>
      </c>
      <c r="L914" s="73">
        <v>328000</v>
      </c>
      <c r="M914" s="73">
        <f>2*M909</f>
        <v>352965.4</v>
      </c>
      <c r="N914" s="84">
        <f>2*N909</f>
        <v>109842</v>
      </c>
      <c r="O914" s="12"/>
      <c r="AA914" s="104"/>
      <c r="AB914" s="104"/>
    </row>
    <row r="915" spans="1:34" s="64" customFormat="1">
      <c r="A915" s="412"/>
      <c r="B915" s="66" t="s">
        <v>8</v>
      </c>
      <c r="C915" s="98">
        <f>SUM(C912-600)</f>
        <v>4555</v>
      </c>
      <c r="D915" s="98">
        <f>SUM(D912-714)</f>
        <v>2526</v>
      </c>
      <c r="E915" s="98">
        <f>SUM(E912-715)</f>
        <v>2508</v>
      </c>
      <c r="F915" s="98">
        <f>SUM(F912-1140)</f>
        <v>8413</v>
      </c>
      <c r="G915" s="98">
        <f>SUM(G912-3405)</f>
        <v>1895</v>
      </c>
      <c r="H915" s="98">
        <f>SUM(H912-1756)</f>
        <v>9748</v>
      </c>
      <c r="I915" s="98">
        <f>SUM(I912-(2408-2000))</f>
        <v>1592</v>
      </c>
      <c r="J915" s="98">
        <f>SUM(J912-1316)</f>
        <v>7877</v>
      </c>
      <c r="K915" s="98">
        <f>SUM(K912-2345)</f>
        <v>6265</v>
      </c>
      <c r="L915" s="98">
        <f>SUM(L912-585)</f>
        <v>2215</v>
      </c>
      <c r="M915" s="98">
        <f>SUM(M912-(2879-2614))</f>
        <v>2572</v>
      </c>
      <c r="N915" s="103">
        <f>SUM(N912-46)</f>
        <v>784</v>
      </c>
      <c r="O915" s="12"/>
      <c r="P915" s="14"/>
      <c r="Q915" s="104"/>
      <c r="R915" s="104"/>
      <c r="S915" s="104"/>
      <c r="T915" s="104"/>
      <c r="U915" s="104"/>
      <c r="V915" s="104"/>
      <c r="W915" s="104"/>
      <c r="X915" s="104"/>
      <c r="Y915" s="67"/>
      <c r="Z915" s="67"/>
    </row>
    <row r="916" spans="1:34">
      <c r="A916" s="412"/>
      <c r="B916" s="29" t="s">
        <v>77</v>
      </c>
      <c r="C916" s="75">
        <f>C915*33.72</f>
        <v>153594.6</v>
      </c>
      <c r="D916" s="75">
        <f>D915*33.72</f>
        <v>85176.72</v>
      </c>
      <c r="E916" s="75">
        <f>E915*33.72</f>
        <v>84569.76</v>
      </c>
      <c r="F916" s="75">
        <f>F915*33.72</f>
        <v>283686.36</v>
      </c>
      <c r="G916" s="75">
        <f>G915*33.72*2</f>
        <v>127798.8</v>
      </c>
      <c r="H916" s="75">
        <f>H915*33.72</f>
        <v>328702.56</v>
      </c>
      <c r="I916" s="75">
        <f>I915*33.72</f>
        <v>53682.239999999998</v>
      </c>
      <c r="J916" s="75">
        <f>J915*33.72</f>
        <v>265612.44</v>
      </c>
      <c r="K916" s="75">
        <f>K915*33.72</f>
        <v>211255.8</v>
      </c>
      <c r="L916" s="75">
        <f>L915*33.72</f>
        <v>74689.8</v>
      </c>
      <c r="M916" s="75">
        <f>M915*33.72*2</f>
        <v>173455.68</v>
      </c>
      <c r="N916" s="11">
        <f>N915*33.72</f>
        <v>26436.48</v>
      </c>
      <c r="O916" s="12"/>
    </row>
    <row r="917" spans="1:34" ht="15.75" thickBot="1">
      <c r="A917" s="412"/>
      <c r="B917" s="30" t="s">
        <v>10</v>
      </c>
      <c r="C917" s="71">
        <f>C915*33.7/C909</f>
        <v>1.3253992512312549</v>
      </c>
      <c r="D917" s="71">
        <f t="shared" ref="D917:N917" si="866">D915*33.7/D909</f>
        <v>0.85949857484271786</v>
      </c>
      <c r="E917" s="78">
        <f t="shared" si="866"/>
        <v>0.85337388191034691</v>
      </c>
      <c r="F917" s="78">
        <f t="shared" si="866"/>
        <v>1.5578105889192071</v>
      </c>
      <c r="G917" s="78">
        <f t="shared" si="866"/>
        <v>0.52633769547637144</v>
      </c>
      <c r="H917" s="78">
        <f t="shared" si="866"/>
        <v>2.9844819613361815</v>
      </c>
      <c r="I917" s="78">
        <f t="shared" si="866"/>
        <v>0.44217921435270885</v>
      </c>
      <c r="J917" s="78">
        <f t="shared" si="866"/>
        <v>1.5526620248514924</v>
      </c>
      <c r="K917" s="78">
        <f t="shared" si="866"/>
        <v>1.5978731906378612</v>
      </c>
      <c r="L917" s="78">
        <f t="shared" si="866"/>
        <v>1.2304358791347363</v>
      </c>
      <c r="M917" s="79">
        <f t="shared" si="866"/>
        <v>0.49113255860206129</v>
      </c>
      <c r="N917" s="26">
        <f t="shared" si="866"/>
        <v>0.48106917208353822</v>
      </c>
      <c r="O917" s="12"/>
    </row>
    <row r="918" spans="1:34" ht="15.75" customHeight="1" thickBot="1">
      <c r="A918" s="424" t="s">
        <v>83</v>
      </c>
      <c r="B918" s="425"/>
      <c r="C918" s="76">
        <f>MIN(2*C909,C914)-C916</f>
        <v>10405.399999999994</v>
      </c>
      <c r="D918" s="76">
        <f t="shared" ref="D918:N918" si="867">MIN(2*D909,D914)-D916</f>
        <v>24703.279999999999</v>
      </c>
      <c r="E918" s="76">
        <f t="shared" si="867"/>
        <v>25310.240000000005</v>
      </c>
      <c r="F918" s="76">
        <f t="shared" si="867"/>
        <v>44313.640000000014</v>
      </c>
      <c r="G918" s="76">
        <f t="shared" si="867"/>
        <v>114864.8</v>
      </c>
      <c r="H918" s="76">
        <f t="shared" si="867"/>
        <v>-108558.76000000001</v>
      </c>
      <c r="I918" s="76">
        <f t="shared" si="867"/>
        <v>188981.36000000002</v>
      </c>
      <c r="J918" s="76">
        <f t="shared" si="867"/>
        <v>62387.56</v>
      </c>
      <c r="K918" s="76">
        <f t="shared" si="867"/>
        <v>53008.600000000035</v>
      </c>
      <c r="L918" s="76">
        <f t="shared" si="867"/>
        <v>46642</v>
      </c>
      <c r="M918" s="76">
        <f t="shared" si="867"/>
        <v>179509.72000000003</v>
      </c>
      <c r="N918" s="22">
        <f t="shared" si="867"/>
        <v>83405.52</v>
      </c>
      <c r="O918" s="12"/>
    </row>
    <row r="919" spans="1:34" ht="15.75" thickBot="1">
      <c r="A919" s="368">
        <v>41106</v>
      </c>
      <c r="B919" s="368"/>
      <c r="C919" s="368"/>
      <c r="N919" s="15"/>
    </row>
    <row r="920" spans="1:34">
      <c r="A920" s="407" t="s">
        <v>1</v>
      </c>
      <c r="B920" s="420"/>
      <c r="C920" s="68" t="s">
        <v>12</v>
      </c>
      <c r="D920" s="68" t="s">
        <v>12</v>
      </c>
      <c r="E920" s="68" t="s">
        <v>13</v>
      </c>
      <c r="F920" s="68" t="s">
        <v>13</v>
      </c>
      <c r="G920" s="68" t="s">
        <v>13</v>
      </c>
      <c r="H920" s="68" t="s">
        <v>13</v>
      </c>
      <c r="I920" s="68" t="s">
        <v>13</v>
      </c>
      <c r="J920" s="68" t="s">
        <v>2</v>
      </c>
      <c r="K920" s="68" t="s">
        <v>2</v>
      </c>
      <c r="L920" s="68" t="s">
        <v>2</v>
      </c>
      <c r="M920" s="68" t="s">
        <v>2</v>
      </c>
      <c r="N920" s="4" t="s">
        <v>84</v>
      </c>
      <c r="X920" s="175"/>
      <c r="Y920" s="174"/>
      <c r="Z920" s="175"/>
      <c r="AA920" s="175"/>
    </row>
    <row r="921" spans="1:34" ht="15.75" thickBot="1">
      <c r="A921" s="409" t="s">
        <v>0</v>
      </c>
      <c r="B921" s="414"/>
      <c r="C921" s="99" t="s">
        <v>102</v>
      </c>
      <c r="D921" s="99" t="s">
        <v>103</v>
      </c>
      <c r="E921" s="99" t="s">
        <v>104</v>
      </c>
      <c r="F921" s="99" t="s">
        <v>105</v>
      </c>
      <c r="G921" s="99" t="s">
        <v>100</v>
      </c>
      <c r="H921" s="99" t="s">
        <v>107</v>
      </c>
      <c r="I921" s="99" t="s">
        <v>106</v>
      </c>
      <c r="J921" s="99" t="s">
        <v>108</v>
      </c>
      <c r="K921" s="99" t="s">
        <v>110</v>
      </c>
      <c r="L921" s="99" t="s">
        <v>101</v>
      </c>
      <c r="M921" s="99" t="s">
        <v>109</v>
      </c>
      <c r="N921" s="101" t="s">
        <v>111</v>
      </c>
    </row>
    <row r="922" spans="1:34" ht="15" customHeight="1">
      <c r="A922" s="421" t="s">
        <v>9</v>
      </c>
      <c r="B922" s="2" t="s">
        <v>4</v>
      </c>
      <c r="C922" s="96">
        <v>115816.8</v>
      </c>
      <c r="D922" s="96">
        <v>99041.7</v>
      </c>
      <c r="E922" s="96">
        <v>99041.7</v>
      </c>
      <c r="F922" s="96">
        <v>181997.8</v>
      </c>
      <c r="G922" s="96">
        <v>121331.8</v>
      </c>
      <c r="H922" s="96">
        <v>110071.9</v>
      </c>
      <c r="I922" s="96">
        <v>121331.8</v>
      </c>
      <c r="J922" s="96">
        <v>170967.6</v>
      </c>
      <c r="K922" s="96">
        <v>132132.20000000001</v>
      </c>
      <c r="L922" s="96">
        <v>60665.9</v>
      </c>
      <c r="M922" s="96">
        <v>176482.7</v>
      </c>
      <c r="N922" s="100">
        <v>54921</v>
      </c>
      <c r="O922" s="12"/>
    </row>
    <row r="923" spans="1:34" s="64" customFormat="1">
      <c r="A923" s="422"/>
      <c r="B923" s="63" t="s">
        <v>5</v>
      </c>
      <c r="C923" s="97">
        <v>92451.1</v>
      </c>
      <c r="D923" s="97">
        <v>69557.3</v>
      </c>
      <c r="E923" s="97">
        <v>70978</v>
      </c>
      <c r="F923" s="97">
        <v>153152.6</v>
      </c>
      <c r="G923" s="97">
        <v>28558.7</v>
      </c>
      <c r="H923" s="97">
        <v>45586.5</v>
      </c>
      <c r="I923" s="97">
        <v>22531.7</v>
      </c>
      <c r="J923" s="97">
        <v>137789.20000000001</v>
      </c>
      <c r="K923" s="97">
        <v>49627.4</v>
      </c>
      <c r="L923" s="97">
        <v>19234.5</v>
      </c>
      <c r="M923" s="97">
        <v>83053.7</v>
      </c>
      <c r="N923" s="102">
        <v>24008.6</v>
      </c>
      <c r="O923" s="12"/>
      <c r="P923" s="14"/>
    </row>
    <row r="924" spans="1:34" ht="15.75" thickBot="1">
      <c r="A924" s="423"/>
      <c r="B924" s="3" t="s">
        <v>3</v>
      </c>
      <c r="C924" s="71">
        <f>C923/C922</f>
        <v>0.7982529304902225</v>
      </c>
      <c r="D924" s="72">
        <f t="shared" ref="D924:E924" si="868">D923/D922</f>
        <v>0.7023031712904767</v>
      </c>
      <c r="E924" s="72">
        <f t="shared" si="868"/>
        <v>0.71664763427929856</v>
      </c>
      <c r="F924" s="72">
        <f>F923/F922</f>
        <v>0.84150797427221657</v>
      </c>
      <c r="G924" s="72">
        <f>G923/G922</f>
        <v>0.23537687564183504</v>
      </c>
      <c r="H924" s="72">
        <f t="shared" ref="H924:N924" si="869">H923/H922</f>
        <v>0.41415202245077992</v>
      </c>
      <c r="I924" s="72">
        <f t="shared" si="869"/>
        <v>0.18570317097413869</v>
      </c>
      <c r="J924" s="72">
        <f t="shared" si="869"/>
        <v>0.80593749926886737</v>
      </c>
      <c r="K924" s="72">
        <f t="shared" si="869"/>
        <v>0.37558899344747154</v>
      </c>
      <c r="L924" s="72">
        <f t="shared" si="869"/>
        <v>0.31705620455643119</v>
      </c>
      <c r="M924" s="72">
        <f t="shared" si="869"/>
        <v>0.47060533412056815</v>
      </c>
      <c r="N924" s="83">
        <f t="shared" si="869"/>
        <v>0.43714790335208753</v>
      </c>
      <c r="O924" s="12"/>
      <c r="P924" s="175"/>
    </row>
    <row r="925" spans="1:34" ht="15" customHeight="1">
      <c r="A925" s="411" t="s">
        <v>6</v>
      </c>
      <c r="B925" s="27" t="s">
        <v>7</v>
      </c>
      <c r="C925" s="68">
        <v>5155</v>
      </c>
      <c r="D925" s="68">
        <v>3240</v>
      </c>
      <c r="E925" s="68">
        <v>3223</v>
      </c>
      <c r="F925" s="68">
        <v>9568</v>
      </c>
      <c r="G925" s="68">
        <v>5000</v>
      </c>
      <c r="H925" s="68">
        <v>11504</v>
      </c>
      <c r="I925" s="68">
        <f>(4000-2000)</f>
        <v>2000</v>
      </c>
      <c r="J925" s="68">
        <v>9193</v>
      </c>
      <c r="K925" s="68">
        <v>8610</v>
      </c>
      <c r="L925" s="68">
        <v>2500</v>
      </c>
      <c r="M925" s="68">
        <f>5451-2614</f>
        <v>2837</v>
      </c>
      <c r="N925" s="80">
        <v>830</v>
      </c>
      <c r="O925" s="12"/>
      <c r="P925" s="142"/>
    </row>
    <row r="926" spans="1:34">
      <c r="A926" s="412"/>
      <c r="B926" s="28" t="s">
        <v>11</v>
      </c>
      <c r="C926" s="73">
        <f t="shared" ref="C926:I926" si="870">C925*33.72</f>
        <v>173826.6</v>
      </c>
      <c r="D926" s="73">
        <f t="shared" si="870"/>
        <v>109252.8</v>
      </c>
      <c r="E926" s="73">
        <f t="shared" si="870"/>
        <v>108679.56</v>
      </c>
      <c r="F926" s="73">
        <f t="shared" si="870"/>
        <v>322632.95999999996</v>
      </c>
      <c r="G926" s="73">
        <f t="shared" si="870"/>
        <v>168600</v>
      </c>
      <c r="H926" s="73">
        <f t="shared" si="870"/>
        <v>387914.88</v>
      </c>
      <c r="I926" s="73">
        <f t="shared" si="870"/>
        <v>67440</v>
      </c>
      <c r="J926" s="73">
        <f>J925*33.72</f>
        <v>309987.95999999996</v>
      </c>
      <c r="K926" s="73">
        <f t="shared" ref="K926:N926" si="871">K925*33.72</f>
        <v>290329.2</v>
      </c>
      <c r="L926" s="73">
        <f t="shared" si="871"/>
        <v>84300</v>
      </c>
      <c r="M926" s="73">
        <f t="shared" si="871"/>
        <v>95663.64</v>
      </c>
      <c r="N926" s="73">
        <f t="shared" si="871"/>
        <v>27987.599999999999</v>
      </c>
      <c r="O926" s="12"/>
    </row>
    <row r="927" spans="1:34">
      <c r="A927" s="412"/>
      <c r="B927" s="28" t="s">
        <v>79</v>
      </c>
      <c r="C927" s="73">
        <v>164000</v>
      </c>
      <c r="D927" s="73">
        <v>109880</v>
      </c>
      <c r="E927" s="73">
        <v>109880</v>
      </c>
      <c r="F927" s="73">
        <v>328000</v>
      </c>
      <c r="G927" s="73">
        <f>G922*2</f>
        <v>242663.6</v>
      </c>
      <c r="H927" s="73">
        <f>H922*2</f>
        <v>220143.8</v>
      </c>
      <c r="I927" s="73">
        <f>I922*2</f>
        <v>242663.6</v>
      </c>
      <c r="J927" s="73">
        <v>328000</v>
      </c>
      <c r="K927" s="73">
        <f>K922*2</f>
        <v>264264.40000000002</v>
      </c>
      <c r="L927" s="73">
        <v>328000</v>
      </c>
      <c r="M927" s="73">
        <f>2*M922</f>
        <v>352965.4</v>
      </c>
      <c r="N927" s="84">
        <f>2*N922</f>
        <v>109842</v>
      </c>
      <c r="O927" s="12"/>
      <c r="P927" s="142"/>
      <c r="AC927" s="174"/>
      <c r="AD927" s="142"/>
      <c r="AE927" s="142"/>
      <c r="AF927" s="142"/>
      <c r="AG927" s="14"/>
      <c r="AH927" s="142"/>
    </row>
    <row r="928" spans="1:34" s="64" customFormat="1">
      <c r="A928" s="412"/>
      <c r="B928" s="66" t="s">
        <v>8</v>
      </c>
      <c r="C928" s="98">
        <f>SUM(C925-600)</f>
        <v>4555</v>
      </c>
      <c r="D928" s="98">
        <f>SUM(D925-714)</f>
        <v>2526</v>
      </c>
      <c r="E928" s="98">
        <f>SUM(E925-715)</f>
        <v>2508</v>
      </c>
      <c r="F928" s="98">
        <f>SUM(F925-1140)</f>
        <v>8428</v>
      </c>
      <c r="G928" s="98">
        <f>SUM(G925-3105)</f>
        <v>1895</v>
      </c>
      <c r="H928" s="98">
        <f>SUM(H925-1756)</f>
        <v>9748</v>
      </c>
      <c r="I928" s="98">
        <f>SUM(I925-(2408-2000))</f>
        <v>1592</v>
      </c>
      <c r="J928" s="98">
        <f>SUM(J925-1316)</f>
        <v>7877</v>
      </c>
      <c r="K928" s="98">
        <f>SUM(K925-2345)</f>
        <v>6265</v>
      </c>
      <c r="L928" s="98">
        <f>SUM(L925-285)</f>
        <v>2215</v>
      </c>
      <c r="M928" s="98">
        <f>SUM(M925-(2879-2614))</f>
        <v>2572</v>
      </c>
      <c r="N928" s="103">
        <f>SUM(N925-46)</f>
        <v>784</v>
      </c>
      <c r="O928" s="12"/>
      <c r="P928" s="142"/>
      <c r="AC928" s="175"/>
      <c r="AD928" s="104"/>
      <c r="AE928" s="104"/>
      <c r="AF928" s="104"/>
      <c r="AG928" s="104"/>
      <c r="AH928" s="104"/>
    </row>
    <row r="929" spans="1:34">
      <c r="A929" s="412"/>
      <c r="B929" s="29" t="s">
        <v>77</v>
      </c>
      <c r="C929" s="75">
        <f>C928*33.72</f>
        <v>153594.6</v>
      </c>
      <c r="D929" s="75">
        <f>D928*33.72</f>
        <v>85176.72</v>
      </c>
      <c r="E929" s="75">
        <f>E928*33.72</f>
        <v>84569.76</v>
      </c>
      <c r="F929" s="75">
        <f>F928*33.72</f>
        <v>284192.15999999997</v>
      </c>
      <c r="G929" s="75">
        <f>G928*33.72*2</f>
        <v>127798.8</v>
      </c>
      <c r="H929" s="75">
        <f>H928*33.72</f>
        <v>328702.56</v>
      </c>
      <c r="I929" s="75">
        <f>I928*33.72</f>
        <v>53682.239999999998</v>
      </c>
      <c r="J929" s="75">
        <f>J928*33.72</f>
        <v>265612.44</v>
      </c>
      <c r="K929" s="75">
        <f>K928*33.72</f>
        <v>211255.8</v>
      </c>
      <c r="L929" s="75">
        <f>L928*33.72</f>
        <v>74689.8</v>
      </c>
      <c r="M929" s="75">
        <f>M928*33.72*2</f>
        <v>173455.68</v>
      </c>
      <c r="N929" s="11">
        <f>N928*33.72</f>
        <v>26436.48</v>
      </c>
      <c r="O929" s="12"/>
      <c r="P929" s="142"/>
      <c r="X929" s="64"/>
      <c r="Y929" s="104"/>
      <c r="Z929" s="104"/>
      <c r="AA929" s="104"/>
      <c r="AB929" s="104"/>
      <c r="AC929" s="175"/>
      <c r="AD929" s="104"/>
      <c r="AE929" s="104"/>
      <c r="AF929" s="104"/>
      <c r="AG929" s="104"/>
      <c r="AH929" s="104"/>
    </row>
    <row r="930" spans="1:34" ht="15.75" thickBot="1">
      <c r="A930" s="412"/>
      <c r="B930" s="30" t="s">
        <v>10</v>
      </c>
      <c r="C930" s="71">
        <f>C928*33.7/C922</f>
        <v>1.3253992512312549</v>
      </c>
      <c r="D930" s="71">
        <f t="shared" ref="D930:N930" si="872">D928*33.7/D922</f>
        <v>0.85949857484271786</v>
      </c>
      <c r="E930" s="78">
        <f t="shared" si="872"/>
        <v>0.85337388191034691</v>
      </c>
      <c r="F930" s="78">
        <f t="shared" si="872"/>
        <v>1.5605880950209292</v>
      </c>
      <c r="G930" s="78">
        <f t="shared" si="872"/>
        <v>0.52633769547637144</v>
      </c>
      <c r="H930" s="78">
        <f t="shared" si="872"/>
        <v>2.9844819613361815</v>
      </c>
      <c r="I930" s="78">
        <f t="shared" si="872"/>
        <v>0.44217921435270885</v>
      </c>
      <c r="J930" s="78">
        <f t="shared" si="872"/>
        <v>1.5526620248514924</v>
      </c>
      <c r="K930" s="78">
        <f t="shared" si="872"/>
        <v>1.5978731906378612</v>
      </c>
      <c r="L930" s="78">
        <f t="shared" si="872"/>
        <v>1.2304358791347363</v>
      </c>
      <c r="M930" s="79">
        <f t="shared" si="872"/>
        <v>0.49113255860206129</v>
      </c>
      <c r="N930" s="26">
        <f t="shared" si="872"/>
        <v>0.48106917208353822</v>
      </c>
      <c r="O930" s="12"/>
      <c r="X930" s="64"/>
      <c r="Y930" s="104"/>
      <c r="Z930" s="104"/>
      <c r="AA930" s="104"/>
      <c r="AB930" s="104"/>
      <c r="AC930" s="175"/>
      <c r="AD930" s="104"/>
      <c r="AE930" s="104"/>
      <c r="AF930" s="104"/>
      <c r="AG930" s="104"/>
      <c r="AH930" s="104"/>
    </row>
    <row r="931" spans="1:34" ht="15.75" customHeight="1" thickBot="1">
      <c r="A931" s="424" t="s">
        <v>83</v>
      </c>
      <c r="B931" s="425"/>
      <c r="C931" s="76">
        <f>MIN(2*C922,C927)-C929</f>
        <v>10405.399999999994</v>
      </c>
      <c r="D931" s="76">
        <f t="shared" ref="D931:N931" si="873">MIN(2*D922,D927)-D929</f>
        <v>24703.279999999999</v>
      </c>
      <c r="E931" s="76">
        <f t="shared" si="873"/>
        <v>25310.240000000005</v>
      </c>
      <c r="F931" s="76">
        <f t="shared" si="873"/>
        <v>43807.840000000026</v>
      </c>
      <c r="G931" s="76">
        <f t="shared" si="873"/>
        <v>114864.8</v>
      </c>
      <c r="H931" s="76">
        <f t="shared" si="873"/>
        <v>-108558.76000000001</v>
      </c>
      <c r="I931" s="76">
        <f t="shared" si="873"/>
        <v>188981.36000000002</v>
      </c>
      <c r="J931" s="76">
        <f t="shared" si="873"/>
        <v>62387.56</v>
      </c>
      <c r="K931" s="76">
        <f t="shared" si="873"/>
        <v>53008.600000000035</v>
      </c>
      <c r="L931" s="76">
        <f t="shared" si="873"/>
        <v>46642</v>
      </c>
      <c r="M931" s="76">
        <f t="shared" si="873"/>
        <v>179509.72000000003</v>
      </c>
      <c r="N931" s="22">
        <f t="shared" si="873"/>
        <v>83405.52</v>
      </c>
      <c r="O931" s="12"/>
      <c r="X931" s="64"/>
      <c r="Y931" s="104"/>
      <c r="Z931" s="104"/>
      <c r="AA931" s="104"/>
      <c r="AB931" s="104"/>
      <c r="AC931" s="175"/>
      <c r="AD931" s="104"/>
      <c r="AE931" s="104"/>
      <c r="AF931" s="104"/>
      <c r="AG931" s="104"/>
      <c r="AH931" s="104"/>
    </row>
    <row r="932" spans="1:34" ht="15.75" thickBot="1">
      <c r="A932" s="368">
        <v>41103</v>
      </c>
      <c r="B932" s="368"/>
      <c r="C932" s="368"/>
      <c r="N932" s="15"/>
      <c r="P932" s="142"/>
      <c r="X932" s="64"/>
      <c r="Y932" s="104"/>
      <c r="Z932" s="104"/>
      <c r="AA932" s="104"/>
      <c r="AB932" s="104"/>
      <c r="AC932" s="175"/>
      <c r="AD932" s="104"/>
      <c r="AE932" s="104"/>
      <c r="AF932" s="104"/>
      <c r="AG932" s="104"/>
      <c r="AH932" s="104"/>
    </row>
    <row r="933" spans="1:34">
      <c r="A933" s="407" t="s">
        <v>1</v>
      </c>
      <c r="B933" s="420"/>
      <c r="C933" s="68" t="s">
        <v>12</v>
      </c>
      <c r="D933" s="68" t="s">
        <v>12</v>
      </c>
      <c r="E933" s="68" t="s">
        <v>13</v>
      </c>
      <c r="F933" s="68" t="s">
        <v>13</v>
      </c>
      <c r="G933" s="68" t="s">
        <v>13</v>
      </c>
      <c r="H933" s="68" t="s">
        <v>13</v>
      </c>
      <c r="I933" s="68" t="s">
        <v>13</v>
      </c>
      <c r="J933" s="68" t="s">
        <v>2</v>
      </c>
      <c r="K933" s="68" t="s">
        <v>2</v>
      </c>
      <c r="L933" s="68" t="s">
        <v>2</v>
      </c>
      <c r="M933" s="68" t="s">
        <v>2</v>
      </c>
      <c r="N933" s="4" t="s">
        <v>84</v>
      </c>
      <c r="AH933" s="104"/>
    </row>
    <row r="934" spans="1:34" ht="15.75" thickBot="1">
      <c r="A934" s="409" t="s">
        <v>0</v>
      </c>
      <c r="B934" s="414"/>
      <c r="C934" s="99" t="s">
        <v>102</v>
      </c>
      <c r="D934" s="99" t="s">
        <v>103</v>
      </c>
      <c r="E934" s="99" t="s">
        <v>104</v>
      </c>
      <c r="F934" s="99" t="s">
        <v>105</v>
      </c>
      <c r="G934" s="99" t="s">
        <v>100</v>
      </c>
      <c r="H934" s="99" t="s">
        <v>107</v>
      </c>
      <c r="I934" s="99" t="s">
        <v>106</v>
      </c>
      <c r="J934" s="99" t="s">
        <v>108</v>
      </c>
      <c r="K934" s="99" t="s">
        <v>110</v>
      </c>
      <c r="L934" s="99" t="s">
        <v>101</v>
      </c>
      <c r="M934" s="99" t="s">
        <v>109</v>
      </c>
      <c r="N934" s="101" t="s">
        <v>111</v>
      </c>
      <c r="AH934" s="104"/>
    </row>
    <row r="935" spans="1:34" ht="15" customHeight="1">
      <c r="A935" s="421" t="s">
        <v>9</v>
      </c>
      <c r="B935" s="2" t="s">
        <v>4</v>
      </c>
      <c r="C935" s="96">
        <v>115816.8</v>
      </c>
      <c r="D935" s="96">
        <v>99041.7</v>
      </c>
      <c r="E935" s="96">
        <v>99041.7</v>
      </c>
      <c r="F935" s="96">
        <v>181997.8</v>
      </c>
      <c r="G935" s="96">
        <v>121331.8</v>
      </c>
      <c r="H935" s="96">
        <v>110071.9</v>
      </c>
      <c r="I935" s="96">
        <v>121331.8</v>
      </c>
      <c r="J935" s="96">
        <v>170967.6</v>
      </c>
      <c r="K935" s="96">
        <v>132132.20000000001</v>
      </c>
      <c r="L935" s="96">
        <v>60665.9</v>
      </c>
      <c r="M935" s="96">
        <v>176482.7</v>
      </c>
      <c r="N935" s="100">
        <v>54921</v>
      </c>
      <c r="O935" s="12"/>
    </row>
    <row r="936" spans="1:34" s="64" customFormat="1">
      <c r="A936" s="422"/>
      <c r="B936" s="63" t="s">
        <v>5</v>
      </c>
      <c r="C936" s="97">
        <v>92361.3</v>
      </c>
      <c r="D936" s="97">
        <v>69547</v>
      </c>
      <c r="E936" s="97">
        <v>70967.7</v>
      </c>
      <c r="F936" s="97">
        <v>152851.79999999999</v>
      </c>
      <c r="G936" s="97">
        <v>28558.7</v>
      </c>
      <c r="H936" s="97">
        <v>45411.5</v>
      </c>
      <c r="I936" s="97">
        <v>22081.3</v>
      </c>
      <c r="J936" s="97">
        <v>137369.60000000001</v>
      </c>
      <c r="K936" s="97">
        <v>49589.4</v>
      </c>
      <c r="L936" s="97">
        <v>18947.7</v>
      </c>
      <c r="M936" s="97">
        <v>82212.3</v>
      </c>
      <c r="N936" s="102">
        <v>24001.4</v>
      </c>
      <c r="O936" s="12"/>
    </row>
    <row r="937" spans="1:34" ht="15.75" thickBot="1">
      <c r="A937" s="423"/>
      <c r="B937" s="3" t="s">
        <v>3</v>
      </c>
      <c r="C937" s="71">
        <f>C936/C935</f>
        <v>0.79747756802121972</v>
      </c>
      <c r="D937" s="72">
        <f t="shared" ref="D937:E937" si="874">D936/D935</f>
        <v>0.70219917469106452</v>
      </c>
      <c r="E937" s="72">
        <f t="shared" si="874"/>
        <v>0.71654363767988638</v>
      </c>
      <c r="F937" s="72">
        <f>F936/F935</f>
        <v>0.83985520704096417</v>
      </c>
      <c r="G937" s="72">
        <f>G936/G935</f>
        <v>0.23537687564183504</v>
      </c>
      <c r="H937" s="72">
        <f t="shared" ref="H937:N937" si="875">H936/H935</f>
        <v>0.41256215255664708</v>
      </c>
      <c r="I937" s="72">
        <f t="shared" si="875"/>
        <v>0.18199103615045684</v>
      </c>
      <c r="J937" s="72">
        <f t="shared" si="875"/>
        <v>0.80348323308041991</v>
      </c>
      <c r="K937" s="72">
        <f t="shared" si="875"/>
        <v>0.37530140268609768</v>
      </c>
      <c r="L937" s="72">
        <f t="shared" si="875"/>
        <v>0.312328672285419</v>
      </c>
      <c r="M937" s="72">
        <f t="shared" si="875"/>
        <v>0.46583772800393464</v>
      </c>
      <c r="N937" s="83">
        <f t="shared" si="875"/>
        <v>0.4370168059576483</v>
      </c>
      <c r="O937" s="12"/>
    </row>
    <row r="938" spans="1:34" ht="15" customHeight="1">
      <c r="A938" s="411" t="s">
        <v>6</v>
      </c>
      <c r="B938" s="27" t="s">
        <v>7</v>
      </c>
      <c r="C938" s="68">
        <v>5155</v>
      </c>
      <c r="D938" s="68">
        <v>3240</v>
      </c>
      <c r="E938" s="68">
        <v>3223</v>
      </c>
      <c r="F938" s="68">
        <v>9568</v>
      </c>
      <c r="G938" s="68">
        <v>5000</v>
      </c>
      <c r="H938" s="68">
        <v>11504</v>
      </c>
      <c r="I938" s="68">
        <f>(4000-2000)</f>
        <v>2000</v>
      </c>
      <c r="J938" s="68">
        <v>9193</v>
      </c>
      <c r="K938" s="68">
        <v>8610</v>
      </c>
      <c r="L938" s="68">
        <v>2500</v>
      </c>
      <c r="M938" s="68">
        <f>5451-2614</f>
        <v>2837</v>
      </c>
      <c r="N938" s="80">
        <v>830</v>
      </c>
      <c r="O938" s="12"/>
    </row>
    <row r="939" spans="1:34">
      <c r="A939" s="412"/>
      <c r="B939" s="28" t="s">
        <v>11</v>
      </c>
      <c r="C939" s="73">
        <f t="shared" ref="C939:I939" si="876">C938*33.72</f>
        <v>173826.6</v>
      </c>
      <c r="D939" s="73">
        <f t="shared" si="876"/>
        <v>109252.8</v>
      </c>
      <c r="E939" s="73">
        <f t="shared" si="876"/>
        <v>108679.56</v>
      </c>
      <c r="F939" s="73">
        <f t="shared" si="876"/>
        <v>322632.95999999996</v>
      </c>
      <c r="G939" s="73">
        <f t="shared" si="876"/>
        <v>168600</v>
      </c>
      <c r="H939" s="73">
        <f t="shared" si="876"/>
        <v>387914.88</v>
      </c>
      <c r="I939" s="73">
        <f t="shared" si="876"/>
        <v>67440</v>
      </c>
      <c r="J939" s="73">
        <f>J938*33.72</f>
        <v>309987.95999999996</v>
      </c>
      <c r="K939" s="73">
        <f t="shared" ref="K939:N939" si="877">K938*33.72</f>
        <v>290329.2</v>
      </c>
      <c r="L939" s="73">
        <f t="shared" si="877"/>
        <v>84300</v>
      </c>
      <c r="M939" s="73">
        <f t="shared" si="877"/>
        <v>95663.64</v>
      </c>
      <c r="N939" s="73">
        <f t="shared" si="877"/>
        <v>27987.599999999999</v>
      </c>
      <c r="O939" s="12"/>
    </row>
    <row r="940" spans="1:34">
      <c r="A940" s="412"/>
      <c r="B940" s="28" t="s">
        <v>79</v>
      </c>
      <c r="C940" s="73">
        <v>164000</v>
      </c>
      <c r="D940" s="73">
        <v>109880</v>
      </c>
      <c r="E940" s="73">
        <v>109880</v>
      </c>
      <c r="F940" s="73">
        <v>328000</v>
      </c>
      <c r="G940" s="73">
        <f>G935*2</f>
        <v>242663.6</v>
      </c>
      <c r="H940" s="73">
        <f>H935*2</f>
        <v>220143.8</v>
      </c>
      <c r="I940" s="73">
        <f>I935*2</f>
        <v>242663.6</v>
      </c>
      <c r="J940" s="73">
        <v>328000</v>
      </c>
      <c r="K940" s="73">
        <f>K935*2</f>
        <v>264264.40000000002</v>
      </c>
      <c r="L940" s="73">
        <v>328000</v>
      </c>
      <c r="M940" s="73">
        <f>2*M935</f>
        <v>352965.4</v>
      </c>
      <c r="N940" s="84">
        <f>2*N935</f>
        <v>109842</v>
      </c>
      <c r="O940" s="12"/>
    </row>
    <row r="941" spans="1:34" s="64" customFormat="1">
      <c r="A941" s="412"/>
      <c r="B941" s="66" t="s">
        <v>8</v>
      </c>
      <c r="C941" s="98">
        <f>SUM(C938-600)</f>
        <v>4555</v>
      </c>
      <c r="D941" s="98">
        <f>SUM(D938-714)</f>
        <v>2526</v>
      </c>
      <c r="E941" s="98">
        <f>SUM(E938-715)</f>
        <v>2508</v>
      </c>
      <c r="F941" s="98">
        <f>SUM(F938-1140)</f>
        <v>8428</v>
      </c>
      <c r="G941" s="98">
        <f>SUM(G938-3105)</f>
        <v>1895</v>
      </c>
      <c r="H941" s="98">
        <f>SUM(H938-1756)</f>
        <v>9748</v>
      </c>
      <c r="I941" s="98">
        <f>SUM(I938-(2408-2000))</f>
        <v>1592</v>
      </c>
      <c r="J941" s="98">
        <f>SUM(J938-1316)</f>
        <v>7877</v>
      </c>
      <c r="K941" s="98">
        <f>SUM(K938-2375)</f>
        <v>6235</v>
      </c>
      <c r="L941" s="98">
        <f>SUM(L938-285)</f>
        <v>2215</v>
      </c>
      <c r="M941" s="98">
        <f>SUM(M938-(2879-2614))</f>
        <v>2572</v>
      </c>
      <c r="N941" s="103">
        <f>SUM(N938-46)</f>
        <v>784</v>
      </c>
      <c r="O941" s="12"/>
      <c r="P941" s="175"/>
      <c r="Q941" s="67"/>
      <c r="R941" s="67"/>
      <c r="S941" s="67"/>
      <c r="T941" s="67"/>
      <c r="U941" s="67"/>
      <c r="V941" s="67"/>
      <c r="W941" s="67"/>
    </row>
    <row r="942" spans="1:34">
      <c r="A942" s="412"/>
      <c r="B942" s="29" t="s">
        <v>77</v>
      </c>
      <c r="C942" s="75">
        <f>C941*33.72</f>
        <v>153594.6</v>
      </c>
      <c r="D942" s="75">
        <f>D941*33.72</f>
        <v>85176.72</v>
      </c>
      <c r="E942" s="75">
        <f>E941*33.72</f>
        <v>84569.76</v>
      </c>
      <c r="F942" s="75">
        <f>F941*33.72</f>
        <v>284192.15999999997</v>
      </c>
      <c r="G942" s="75">
        <f>G941*33.72*2</f>
        <v>127798.8</v>
      </c>
      <c r="H942" s="75">
        <f>H941*33.72</f>
        <v>328702.56</v>
      </c>
      <c r="I942" s="75">
        <f>I941*33.72</f>
        <v>53682.239999999998</v>
      </c>
      <c r="J942" s="75">
        <f>J941*33.72</f>
        <v>265612.44</v>
      </c>
      <c r="K942" s="75">
        <f>K941*33.72</f>
        <v>210244.19999999998</v>
      </c>
      <c r="L942" s="75">
        <f>L941*33.72</f>
        <v>74689.8</v>
      </c>
      <c r="M942" s="75">
        <f>M941*33.72*2</f>
        <v>173455.68</v>
      </c>
      <c r="N942" s="11">
        <f>N941*33.72</f>
        <v>26436.48</v>
      </c>
      <c r="O942" s="12"/>
      <c r="P942" s="175"/>
    </row>
    <row r="943" spans="1:34" ht="15.75" thickBot="1">
      <c r="A943" s="412"/>
      <c r="B943" s="30" t="s">
        <v>10</v>
      </c>
      <c r="C943" s="71">
        <f>C941*33.7/C935</f>
        <v>1.3253992512312549</v>
      </c>
      <c r="D943" s="71">
        <f t="shared" ref="D943:N943" si="878">D941*33.7/D935</f>
        <v>0.85949857484271786</v>
      </c>
      <c r="E943" s="78">
        <f t="shared" si="878"/>
        <v>0.85337388191034691</v>
      </c>
      <c r="F943" s="78">
        <f t="shared" si="878"/>
        <v>1.5605880950209292</v>
      </c>
      <c r="G943" s="78">
        <f t="shared" si="878"/>
        <v>0.52633769547637144</v>
      </c>
      <c r="H943" s="78">
        <f t="shared" si="878"/>
        <v>2.9844819613361815</v>
      </c>
      <c r="I943" s="78">
        <f t="shared" si="878"/>
        <v>0.44217921435270885</v>
      </c>
      <c r="J943" s="78">
        <f t="shared" si="878"/>
        <v>1.5526620248514924</v>
      </c>
      <c r="K943" s="78">
        <f t="shared" si="878"/>
        <v>1.590221762749731</v>
      </c>
      <c r="L943" s="78">
        <f t="shared" si="878"/>
        <v>1.2304358791347363</v>
      </c>
      <c r="M943" s="79">
        <f t="shared" si="878"/>
        <v>0.49113255860206129</v>
      </c>
      <c r="N943" s="26">
        <f t="shared" si="878"/>
        <v>0.48106917208353822</v>
      </c>
      <c r="O943" s="12"/>
      <c r="P943" s="175"/>
    </row>
    <row r="944" spans="1:34" ht="15.75" customHeight="1" thickBot="1">
      <c r="A944" s="424" t="s">
        <v>83</v>
      </c>
      <c r="B944" s="425"/>
      <c r="C944" s="76">
        <f>MIN(2*C935,C940)-C942</f>
        <v>10405.399999999994</v>
      </c>
      <c r="D944" s="76">
        <f t="shared" ref="D944:N944" si="879">MIN(2*D935,D940)-D942</f>
        <v>24703.279999999999</v>
      </c>
      <c r="E944" s="76">
        <f t="shared" si="879"/>
        <v>25310.240000000005</v>
      </c>
      <c r="F944" s="76">
        <f t="shared" si="879"/>
        <v>43807.840000000026</v>
      </c>
      <c r="G944" s="76">
        <f t="shared" si="879"/>
        <v>114864.8</v>
      </c>
      <c r="H944" s="76">
        <f t="shared" si="879"/>
        <v>-108558.76000000001</v>
      </c>
      <c r="I944" s="76">
        <f t="shared" si="879"/>
        <v>188981.36000000002</v>
      </c>
      <c r="J944" s="76">
        <f t="shared" si="879"/>
        <v>62387.56</v>
      </c>
      <c r="K944" s="76">
        <f t="shared" si="879"/>
        <v>54020.200000000041</v>
      </c>
      <c r="L944" s="76">
        <f t="shared" si="879"/>
        <v>46642</v>
      </c>
      <c r="M944" s="76">
        <f t="shared" si="879"/>
        <v>179509.72000000003</v>
      </c>
      <c r="N944" s="22">
        <f t="shared" si="879"/>
        <v>83405.52</v>
      </c>
      <c r="O944" s="12"/>
      <c r="P944" s="175"/>
    </row>
    <row r="945" spans="1:27" ht="15.75" thickBot="1">
      <c r="A945" s="368">
        <v>41102</v>
      </c>
      <c r="B945" s="368"/>
      <c r="C945" s="368"/>
      <c r="N945" s="15"/>
    </row>
    <row r="946" spans="1:27">
      <c r="A946" s="407" t="s">
        <v>1</v>
      </c>
      <c r="B946" s="420"/>
      <c r="C946" s="68" t="s">
        <v>12</v>
      </c>
      <c r="D946" s="68" t="s">
        <v>12</v>
      </c>
      <c r="E946" s="68" t="s">
        <v>13</v>
      </c>
      <c r="F946" s="68" t="s">
        <v>13</v>
      </c>
      <c r="G946" s="68" t="s">
        <v>13</v>
      </c>
      <c r="H946" s="68" t="s">
        <v>13</v>
      </c>
      <c r="I946" s="68" t="s">
        <v>13</v>
      </c>
      <c r="J946" s="68" t="s">
        <v>2</v>
      </c>
      <c r="K946" s="68" t="s">
        <v>2</v>
      </c>
      <c r="L946" s="68" t="s">
        <v>2</v>
      </c>
      <c r="M946" s="68" t="s">
        <v>2</v>
      </c>
      <c r="N946" s="4" t="s">
        <v>84</v>
      </c>
      <c r="P946" s="174"/>
      <c r="Q946" s="175"/>
      <c r="R946" s="175"/>
      <c r="S946" s="175"/>
      <c r="T946" s="175"/>
      <c r="U946" s="175"/>
      <c r="V946" s="175"/>
      <c r="W946" s="175"/>
      <c r="X946" s="175"/>
      <c r="Y946" s="174"/>
      <c r="Z946" s="175"/>
      <c r="AA946" s="175"/>
    </row>
    <row r="947" spans="1:27" ht="15.75" thickBot="1">
      <c r="A947" s="409" t="s">
        <v>0</v>
      </c>
      <c r="B947" s="414"/>
      <c r="C947" s="99" t="s">
        <v>102</v>
      </c>
      <c r="D947" s="99" t="s">
        <v>103</v>
      </c>
      <c r="E947" s="99" t="s">
        <v>104</v>
      </c>
      <c r="F947" s="99" t="s">
        <v>105</v>
      </c>
      <c r="G947" s="99" t="s">
        <v>100</v>
      </c>
      <c r="H947" s="99" t="s">
        <v>107</v>
      </c>
      <c r="I947" s="99" t="s">
        <v>106</v>
      </c>
      <c r="J947" s="99" t="s">
        <v>108</v>
      </c>
      <c r="K947" s="99" t="s">
        <v>110</v>
      </c>
      <c r="L947" s="99" t="s">
        <v>101</v>
      </c>
      <c r="M947" s="99" t="s">
        <v>109</v>
      </c>
      <c r="N947" s="101" t="s">
        <v>111</v>
      </c>
      <c r="P947" s="142"/>
      <c r="Y947" s="142"/>
      <c r="Z947" s="104"/>
      <c r="AA947" s="104"/>
    </row>
    <row r="948" spans="1:27" ht="15" customHeight="1">
      <c r="A948" s="421" t="s">
        <v>9</v>
      </c>
      <c r="B948" s="2" t="s">
        <v>4</v>
      </c>
      <c r="C948" s="96">
        <v>115816.8</v>
      </c>
      <c r="D948" s="96">
        <v>99041.7</v>
      </c>
      <c r="E948" s="96">
        <v>99041.7</v>
      </c>
      <c r="F948" s="96">
        <v>181997.8</v>
      </c>
      <c r="G948" s="96">
        <v>121331.8</v>
      </c>
      <c r="H948" s="96">
        <v>110071.9</v>
      </c>
      <c r="I948" s="96">
        <v>121331.8</v>
      </c>
      <c r="J948" s="96">
        <v>170967.6</v>
      </c>
      <c r="K948" s="96">
        <v>132132.20000000001</v>
      </c>
      <c r="L948" s="96">
        <v>60665.9</v>
      </c>
      <c r="M948" s="96">
        <v>176482.7</v>
      </c>
      <c r="N948" s="100">
        <v>54921</v>
      </c>
      <c r="O948" s="12"/>
      <c r="P948" s="142"/>
      <c r="Y948" s="142"/>
      <c r="Z948" s="104"/>
      <c r="AA948" s="104"/>
    </row>
    <row r="949" spans="1:27" s="64" customFormat="1">
      <c r="A949" s="422"/>
      <c r="B949" s="63" t="s">
        <v>5</v>
      </c>
      <c r="C949" s="97">
        <v>92353.3</v>
      </c>
      <c r="D949" s="97">
        <v>69355.399999999994</v>
      </c>
      <c r="E949" s="97">
        <v>70908.5</v>
      </c>
      <c r="F949" s="97">
        <v>152223.29999999999</v>
      </c>
      <c r="G949" s="97">
        <v>28413.9</v>
      </c>
      <c r="H949" s="97">
        <v>45270</v>
      </c>
      <c r="I949" s="97">
        <v>21684.400000000001</v>
      </c>
      <c r="J949" s="97">
        <v>137369.60000000001</v>
      </c>
      <c r="K949" s="97">
        <v>49589.4</v>
      </c>
      <c r="L949" s="97">
        <v>18947.7</v>
      </c>
      <c r="M949" s="97">
        <v>82212.3</v>
      </c>
      <c r="N949" s="102">
        <v>24001.4</v>
      </c>
      <c r="O949" s="12"/>
      <c r="P949" s="142"/>
      <c r="Q949" s="104"/>
      <c r="R949" s="104"/>
      <c r="S949" s="104"/>
      <c r="T949" s="104"/>
      <c r="U949" s="104"/>
      <c r="V949" s="104"/>
      <c r="W949" s="104"/>
      <c r="X949" s="104"/>
      <c r="Y949" s="142"/>
      <c r="Z949" s="104"/>
      <c r="AA949" s="104"/>
    </row>
    <row r="950" spans="1:27" ht="15.75" thickBot="1">
      <c r="A950" s="423"/>
      <c r="B950" s="3" t="s">
        <v>3</v>
      </c>
      <c r="C950" s="71">
        <f>C949/C948</f>
        <v>0.79740849341373621</v>
      </c>
      <c r="D950" s="72">
        <f t="shared" ref="D950:E950" si="880">D949/D948</f>
        <v>0.70026463600685362</v>
      </c>
      <c r="E950" s="72">
        <f t="shared" si="880"/>
        <v>0.71594590965219707</v>
      </c>
      <c r="F950" s="72">
        <f>F949/F948</f>
        <v>0.836401868594016</v>
      </c>
      <c r="G950" s="72">
        <f>G949/G948</f>
        <v>0.23418345396672596</v>
      </c>
      <c r="H950" s="72">
        <f t="shared" ref="H950:N950" si="881">H949/H948</f>
        <v>0.41127662918510538</v>
      </c>
      <c r="I950" s="72">
        <f t="shared" si="881"/>
        <v>0.17871984096502319</v>
      </c>
      <c r="J950" s="72">
        <f t="shared" si="881"/>
        <v>0.80348323308041991</v>
      </c>
      <c r="K950" s="72">
        <f t="shared" si="881"/>
        <v>0.37530140268609768</v>
      </c>
      <c r="L950" s="72">
        <f t="shared" si="881"/>
        <v>0.312328672285419</v>
      </c>
      <c r="M950" s="72">
        <f t="shared" si="881"/>
        <v>0.46583772800393464</v>
      </c>
      <c r="N950" s="83">
        <f t="shared" si="881"/>
        <v>0.4370168059576483</v>
      </c>
      <c r="O950" s="12"/>
      <c r="Y950" s="14"/>
      <c r="Z950" s="104"/>
      <c r="AA950" s="104"/>
    </row>
    <row r="951" spans="1:27" ht="15" customHeight="1">
      <c r="A951" s="411" t="s">
        <v>6</v>
      </c>
      <c r="B951" s="27" t="s">
        <v>7</v>
      </c>
      <c r="C951" s="68">
        <v>5155</v>
      </c>
      <c r="D951" s="68">
        <v>3240</v>
      </c>
      <c r="E951" s="68">
        <v>3223</v>
      </c>
      <c r="F951" s="68">
        <v>9568</v>
      </c>
      <c r="G951" s="68">
        <v>5000</v>
      </c>
      <c r="H951" s="68">
        <v>11504</v>
      </c>
      <c r="I951" s="68">
        <f>(4000-2000)</f>
        <v>2000</v>
      </c>
      <c r="J951" s="68">
        <v>9193</v>
      </c>
      <c r="K951" s="68">
        <v>8610</v>
      </c>
      <c r="L951" s="68">
        <v>2500</v>
      </c>
      <c r="M951" s="68">
        <f>5451-2614</f>
        <v>2837</v>
      </c>
      <c r="N951" s="80">
        <v>830</v>
      </c>
      <c r="O951" s="12"/>
      <c r="P951" s="142"/>
      <c r="Y951" s="142"/>
      <c r="Z951" s="104"/>
      <c r="AA951" s="104"/>
    </row>
    <row r="952" spans="1:27">
      <c r="A952" s="412"/>
      <c r="B952" s="28" t="s">
        <v>11</v>
      </c>
      <c r="C952" s="73">
        <f t="shared" ref="C952:I952" si="882">C951*33.72</f>
        <v>173826.6</v>
      </c>
      <c r="D952" s="73">
        <f t="shared" si="882"/>
        <v>109252.8</v>
      </c>
      <c r="E952" s="73">
        <f t="shared" si="882"/>
        <v>108679.56</v>
      </c>
      <c r="F952" s="73">
        <f t="shared" si="882"/>
        <v>322632.95999999996</v>
      </c>
      <c r="G952" s="73">
        <f t="shared" si="882"/>
        <v>168600</v>
      </c>
      <c r="H952" s="73">
        <f t="shared" si="882"/>
        <v>387914.88</v>
      </c>
      <c r="I952" s="73">
        <f t="shared" si="882"/>
        <v>67440</v>
      </c>
      <c r="J952" s="73">
        <f>J951*33.72</f>
        <v>309987.95999999996</v>
      </c>
      <c r="K952" s="73">
        <f t="shared" ref="K952:N952" si="883">K951*33.72</f>
        <v>290329.2</v>
      </c>
      <c r="L952" s="73">
        <f t="shared" si="883"/>
        <v>84300</v>
      </c>
      <c r="M952" s="73">
        <f t="shared" si="883"/>
        <v>95663.64</v>
      </c>
      <c r="N952" s="73">
        <f t="shared" si="883"/>
        <v>27987.599999999999</v>
      </c>
      <c r="O952" s="12"/>
      <c r="P952" s="142"/>
      <c r="Y952" s="142"/>
      <c r="Z952" s="104"/>
      <c r="AA952" s="104"/>
    </row>
    <row r="953" spans="1:27">
      <c r="A953" s="412"/>
      <c r="B953" s="28" t="s">
        <v>79</v>
      </c>
      <c r="C953" s="73">
        <v>164000</v>
      </c>
      <c r="D953" s="73">
        <v>109880</v>
      </c>
      <c r="E953" s="73">
        <v>109880</v>
      </c>
      <c r="F953" s="73">
        <v>328000</v>
      </c>
      <c r="G953" s="73">
        <f>G948*2</f>
        <v>242663.6</v>
      </c>
      <c r="H953" s="73">
        <f>H948*2</f>
        <v>220143.8</v>
      </c>
      <c r="I953" s="73">
        <f>I948*2</f>
        <v>242663.6</v>
      </c>
      <c r="J953" s="73">
        <v>328000</v>
      </c>
      <c r="K953" s="73">
        <f>K948*2</f>
        <v>264264.40000000002</v>
      </c>
      <c r="L953" s="73">
        <v>328000</v>
      </c>
      <c r="M953" s="73">
        <f>2*M948</f>
        <v>352965.4</v>
      </c>
      <c r="N953" s="84">
        <f>2*N948</f>
        <v>109842</v>
      </c>
      <c r="O953" s="12"/>
      <c r="Y953" s="14"/>
      <c r="Z953" s="104"/>
      <c r="AA953" s="104"/>
    </row>
    <row r="954" spans="1:27" s="64" customFormat="1">
      <c r="A954" s="412"/>
      <c r="B954" s="66" t="s">
        <v>8</v>
      </c>
      <c r="C954" s="98">
        <f>SUM(C951-600)</f>
        <v>4555</v>
      </c>
      <c r="D954" s="98">
        <f>SUM(D951-714)</f>
        <v>2526</v>
      </c>
      <c r="E954" s="98">
        <f>SUM(E951-715)</f>
        <v>2508</v>
      </c>
      <c r="F954" s="98">
        <f>SUM(F951-1140)</f>
        <v>8428</v>
      </c>
      <c r="G954" s="98">
        <f>SUM(G951-3105)</f>
        <v>1895</v>
      </c>
      <c r="H954" s="98">
        <f>SUM(H951-1756)</f>
        <v>9748</v>
      </c>
      <c r="I954" s="98">
        <f>SUM(I951-(2438-2000))</f>
        <v>1562</v>
      </c>
      <c r="J954" s="98">
        <f>SUM(J951-1316)</f>
        <v>7877</v>
      </c>
      <c r="K954" s="98">
        <f>SUM(K951-2375)</f>
        <v>6235</v>
      </c>
      <c r="L954" s="98">
        <f>SUM(L951-285)</f>
        <v>2215</v>
      </c>
      <c r="M954" s="98">
        <f>SUM(M951-(2879-2614))</f>
        <v>2572</v>
      </c>
      <c r="N954" s="103">
        <f>SUM(N951-46)</f>
        <v>784</v>
      </c>
      <c r="O954" s="12"/>
      <c r="P954" s="175"/>
      <c r="Q954" s="67"/>
      <c r="R954" s="67"/>
      <c r="S954" s="67"/>
      <c r="T954" s="67"/>
      <c r="U954" s="67"/>
      <c r="V954" s="67"/>
      <c r="W954" s="67"/>
    </row>
    <row r="955" spans="1:27">
      <c r="A955" s="412"/>
      <c r="B955" s="29" t="s">
        <v>77</v>
      </c>
      <c r="C955" s="75">
        <f>C954*33.72</f>
        <v>153594.6</v>
      </c>
      <c r="D955" s="75">
        <f>D954*33.72</f>
        <v>85176.72</v>
      </c>
      <c r="E955" s="75">
        <f>E954*33.72</f>
        <v>84569.76</v>
      </c>
      <c r="F955" s="75">
        <f>F954*33.72</f>
        <v>284192.15999999997</v>
      </c>
      <c r="G955" s="75">
        <f>G954*33.72*2</f>
        <v>127798.8</v>
      </c>
      <c r="H955" s="75">
        <f>H954*33.72</f>
        <v>328702.56</v>
      </c>
      <c r="I955" s="75">
        <f>I954*33.72</f>
        <v>52670.64</v>
      </c>
      <c r="J955" s="75">
        <f>J954*33.72</f>
        <v>265612.44</v>
      </c>
      <c r="K955" s="75">
        <f>K954*33.72</f>
        <v>210244.19999999998</v>
      </c>
      <c r="L955" s="75">
        <f>L954*33.72</f>
        <v>74689.8</v>
      </c>
      <c r="M955" s="75">
        <f>M954*33.72*2</f>
        <v>173455.68</v>
      </c>
      <c r="N955" s="11">
        <f>N954*33.72</f>
        <v>26436.48</v>
      </c>
      <c r="O955" s="12"/>
      <c r="P955" s="175"/>
    </row>
    <row r="956" spans="1:27" ht="15.75" thickBot="1">
      <c r="A956" s="412"/>
      <c r="B956" s="30" t="s">
        <v>10</v>
      </c>
      <c r="C956" s="71">
        <f>C954*33.7/C948</f>
        <v>1.3253992512312549</v>
      </c>
      <c r="D956" s="71">
        <f t="shared" ref="D956:N956" si="884">D954*33.7/D948</f>
        <v>0.85949857484271786</v>
      </c>
      <c r="E956" s="78">
        <f t="shared" si="884"/>
        <v>0.85337388191034691</v>
      </c>
      <c r="F956" s="78">
        <f t="shared" si="884"/>
        <v>1.5605880950209292</v>
      </c>
      <c r="G956" s="78">
        <f t="shared" si="884"/>
        <v>0.52633769547637144</v>
      </c>
      <c r="H956" s="78">
        <f t="shared" si="884"/>
        <v>2.9844819613361815</v>
      </c>
      <c r="I956" s="78">
        <f t="shared" si="884"/>
        <v>0.43384669146917793</v>
      </c>
      <c r="J956" s="78">
        <f t="shared" si="884"/>
        <v>1.5526620248514924</v>
      </c>
      <c r="K956" s="78">
        <f t="shared" si="884"/>
        <v>1.590221762749731</v>
      </c>
      <c r="L956" s="78">
        <f t="shared" si="884"/>
        <v>1.2304358791347363</v>
      </c>
      <c r="M956" s="79">
        <f t="shared" si="884"/>
        <v>0.49113255860206129</v>
      </c>
      <c r="N956" s="26">
        <f t="shared" si="884"/>
        <v>0.48106917208353822</v>
      </c>
      <c r="O956" s="12"/>
      <c r="P956" s="175"/>
    </row>
    <row r="957" spans="1:27" ht="15.75" customHeight="1" thickBot="1">
      <c r="A957" s="424" t="s">
        <v>83</v>
      </c>
      <c r="B957" s="425"/>
      <c r="C957" s="76">
        <f>MIN(2*C948,C953)-C955</f>
        <v>10405.399999999994</v>
      </c>
      <c r="D957" s="76">
        <f t="shared" ref="D957:N957" si="885">MIN(2*D948,D953)-D955</f>
        <v>24703.279999999999</v>
      </c>
      <c r="E957" s="76">
        <f t="shared" si="885"/>
        <v>25310.240000000005</v>
      </c>
      <c r="F957" s="76">
        <f t="shared" si="885"/>
        <v>43807.840000000026</v>
      </c>
      <c r="G957" s="76">
        <f t="shared" si="885"/>
        <v>114864.8</v>
      </c>
      <c r="H957" s="76">
        <f t="shared" si="885"/>
        <v>-108558.76000000001</v>
      </c>
      <c r="I957" s="76">
        <f t="shared" si="885"/>
        <v>189992.96000000002</v>
      </c>
      <c r="J957" s="76">
        <f t="shared" si="885"/>
        <v>62387.56</v>
      </c>
      <c r="K957" s="76">
        <f t="shared" si="885"/>
        <v>54020.200000000041</v>
      </c>
      <c r="L957" s="76">
        <f t="shared" si="885"/>
        <v>46642</v>
      </c>
      <c r="M957" s="76">
        <f t="shared" si="885"/>
        <v>179509.72000000003</v>
      </c>
      <c r="N957" s="22">
        <f t="shared" si="885"/>
        <v>83405.52</v>
      </c>
      <c r="O957" s="12"/>
      <c r="P957" s="175"/>
    </row>
    <row r="958" spans="1:27" ht="15.75" thickBot="1">
      <c r="A958" s="368">
        <v>41101</v>
      </c>
      <c r="B958" s="368"/>
      <c r="C958" s="368"/>
      <c r="N958" s="15"/>
    </row>
    <row r="959" spans="1:27">
      <c r="A959" s="407" t="s">
        <v>1</v>
      </c>
      <c r="B959" s="420"/>
      <c r="C959" s="68" t="s">
        <v>12</v>
      </c>
      <c r="D959" s="68" t="s">
        <v>12</v>
      </c>
      <c r="E959" s="68" t="s">
        <v>13</v>
      </c>
      <c r="F959" s="68" t="s">
        <v>13</v>
      </c>
      <c r="G959" s="68" t="s">
        <v>13</v>
      </c>
      <c r="H959" s="68" t="s">
        <v>13</v>
      </c>
      <c r="I959" s="68" t="s">
        <v>13</v>
      </c>
      <c r="J959" s="68" t="s">
        <v>2</v>
      </c>
      <c r="K959" s="68" t="s">
        <v>2</v>
      </c>
      <c r="L959" s="68" t="s">
        <v>2</v>
      </c>
      <c r="M959" s="68" t="s">
        <v>2</v>
      </c>
      <c r="N959" s="4" t="s">
        <v>84</v>
      </c>
      <c r="P959" s="174"/>
      <c r="Q959" s="175"/>
      <c r="R959" s="175"/>
      <c r="S959" s="175"/>
      <c r="T959" s="175"/>
      <c r="U959" s="175"/>
      <c r="V959" s="175"/>
      <c r="W959" s="175"/>
      <c r="X959" s="175"/>
      <c r="Y959" s="174"/>
      <c r="Z959" s="175"/>
      <c r="AA959" s="175"/>
    </row>
    <row r="960" spans="1:27" ht="15.75" thickBot="1">
      <c r="A960" s="409" t="s">
        <v>0</v>
      </c>
      <c r="B960" s="414"/>
      <c r="C960" s="99" t="s">
        <v>102</v>
      </c>
      <c r="D960" s="99" t="s">
        <v>103</v>
      </c>
      <c r="E960" s="99" t="s">
        <v>104</v>
      </c>
      <c r="F960" s="99" t="s">
        <v>105</v>
      </c>
      <c r="G960" s="99" t="s">
        <v>100</v>
      </c>
      <c r="H960" s="99" t="s">
        <v>107</v>
      </c>
      <c r="I960" s="99" t="s">
        <v>106</v>
      </c>
      <c r="J960" s="99" t="s">
        <v>108</v>
      </c>
      <c r="K960" s="99" t="s">
        <v>110</v>
      </c>
      <c r="L960" s="99" t="s">
        <v>101</v>
      </c>
      <c r="M960" s="99" t="s">
        <v>109</v>
      </c>
      <c r="N960" s="101" t="s">
        <v>111</v>
      </c>
      <c r="P960" s="142"/>
      <c r="Y960" s="142"/>
      <c r="Z960" s="104"/>
      <c r="AA960" s="104"/>
    </row>
    <row r="961" spans="1:27" ht="15" customHeight="1">
      <c r="A961" s="421" t="s">
        <v>9</v>
      </c>
      <c r="B961" s="2" t="s">
        <v>4</v>
      </c>
      <c r="C961" s="96">
        <v>115816.8</v>
      </c>
      <c r="D961" s="96">
        <v>99041.7</v>
      </c>
      <c r="E961" s="96">
        <v>99041.7</v>
      </c>
      <c r="F961" s="96">
        <v>181997.8</v>
      </c>
      <c r="G961" s="96">
        <v>121331.8</v>
      </c>
      <c r="H961" s="96">
        <v>110071.9</v>
      </c>
      <c r="I961" s="96">
        <v>121331.8</v>
      </c>
      <c r="J961" s="96">
        <v>170967.6</v>
      </c>
      <c r="K961" s="96">
        <v>132132.20000000001</v>
      </c>
      <c r="L961" s="96">
        <v>60665.9</v>
      </c>
      <c r="M961" s="96">
        <v>176482.7</v>
      </c>
      <c r="N961" s="100">
        <v>54921</v>
      </c>
      <c r="O961" s="12"/>
      <c r="P961" s="142"/>
      <c r="Y961" s="142"/>
      <c r="Z961" s="104"/>
      <c r="AA961" s="104"/>
    </row>
    <row r="962" spans="1:27" s="64" customFormat="1">
      <c r="A962" s="422"/>
      <c r="B962" s="63" t="s">
        <v>5</v>
      </c>
      <c r="C962" s="97">
        <v>92349.9</v>
      </c>
      <c r="D962" s="97">
        <v>69336.399999999994</v>
      </c>
      <c r="E962" s="97">
        <v>70902.8</v>
      </c>
      <c r="F962" s="97">
        <v>152096.29999999999</v>
      </c>
      <c r="G962" s="97">
        <v>28314.2</v>
      </c>
      <c r="H962" s="97">
        <v>44531.5</v>
      </c>
      <c r="I962" s="97">
        <v>21658.7</v>
      </c>
      <c r="J962" s="97">
        <v>137281.1</v>
      </c>
      <c r="K962" s="97">
        <v>49445.1</v>
      </c>
      <c r="L962" s="97">
        <v>18896</v>
      </c>
      <c r="M962" s="97">
        <v>82151.399999999994</v>
      </c>
      <c r="N962" s="102">
        <v>24001.4</v>
      </c>
      <c r="O962" s="12"/>
      <c r="P962" s="142"/>
      <c r="Q962" s="104"/>
      <c r="R962" s="104"/>
      <c r="S962" s="104"/>
      <c r="T962" s="104"/>
      <c r="U962" s="104"/>
      <c r="V962" s="104"/>
      <c r="W962" s="104"/>
      <c r="X962" s="104"/>
      <c r="Y962" s="142"/>
      <c r="Z962" s="104"/>
      <c r="AA962" s="104"/>
    </row>
    <row r="963" spans="1:27" ht="15.75" thickBot="1">
      <c r="A963" s="423"/>
      <c r="B963" s="3" t="s">
        <v>3</v>
      </c>
      <c r="C963" s="71">
        <f>C962/C961</f>
        <v>0.7973791367055556</v>
      </c>
      <c r="D963" s="72">
        <f t="shared" ref="D963:E963" si="886">D962/D961</f>
        <v>0.70007279761958852</v>
      </c>
      <c r="E963" s="72">
        <f t="shared" si="886"/>
        <v>0.71588835813601748</v>
      </c>
      <c r="F963" s="72">
        <f>F962/F961</f>
        <v>0.83570405796114022</v>
      </c>
      <c r="G963" s="72">
        <f>G962/G961</f>
        <v>0.2333617402857289</v>
      </c>
      <c r="H963" s="72">
        <f t="shared" ref="H963:N963" si="887">H962/H961</f>
        <v>0.40456737823186484</v>
      </c>
      <c r="I963" s="72">
        <f t="shared" si="887"/>
        <v>0.17850802510141611</v>
      </c>
      <c r="J963" s="72">
        <f t="shared" si="887"/>
        <v>0.80296559114124544</v>
      </c>
      <c r="K963" s="72">
        <f t="shared" si="887"/>
        <v>0.3742093146106702</v>
      </c>
      <c r="L963" s="72">
        <f t="shared" si="887"/>
        <v>0.31147646371355242</v>
      </c>
      <c r="M963" s="72">
        <f t="shared" si="887"/>
        <v>0.46549265168767245</v>
      </c>
      <c r="N963" s="83">
        <f t="shared" si="887"/>
        <v>0.4370168059576483</v>
      </c>
      <c r="O963" s="12"/>
      <c r="Y963" s="14"/>
      <c r="Z963" s="104"/>
      <c r="AA963" s="104"/>
    </row>
    <row r="964" spans="1:27" ht="15" customHeight="1">
      <c r="A964" s="411" t="s">
        <v>6</v>
      </c>
      <c r="B964" s="27" t="s">
        <v>7</v>
      </c>
      <c r="C964" s="68">
        <v>5155</v>
      </c>
      <c r="D964" s="68">
        <v>3240</v>
      </c>
      <c r="E964" s="68">
        <v>3223</v>
      </c>
      <c r="F964" s="68">
        <v>9568</v>
      </c>
      <c r="G964" s="68">
        <v>5000</v>
      </c>
      <c r="H964" s="68">
        <v>11504</v>
      </c>
      <c r="I964" s="68">
        <f>(4000-2000)</f>
        <v>2000</v>
      </c>
      <c r="J964" s="68">
        <v>9193</v>
      </c>
      <c r="K964" s="68">
        <v>8610</v>
      </c>
      <c r="L964" s="68">
        <v>2500</v>
      </c>
      <c r="M964" s="68">
        <f>5451-2614</f>
        <v>2837</v>
      </c>
      <c r="N964" s="80">
        <v>830</v>
      </c>
      <c r="O964" s="12"/>
      <c r="P964" s="142"/>
      <c r="Y964" s="142"/>
      <c r="Z964" s="104"/>
      <c r="AA964" s="104"/>
    </row>
    <row r="965" spans="1:27">
      <c r="A965" s="412"/>
      <c r="B965" s="28" t="s">
        <v>11</v>
      </c>
      <c r="C965" s="73">
        <f t="shared" ref="C965:I965" si="888">C964*33.72</f>
        <v>173826.6</v>
      </c>
      <c r="D965" s="73">
        <f t="shared" si="888"/>
        <v>109252.8</v>
      </c>
      <c r="E965" s="73">
        <f t="shared" si="888"/>
        <v>108679.56</v>
      </c>
      <c r="F965" s="73">
        <f t="shared" si="888"/>
        <v>322632.95999999996</v>
      </c>
      <c r="G965" s="73">
        <f t="shared" si="888"/>
        <v>168600</v>
      </c>
      <c r="H965" s="73">
        <f t="shared" si="888"/>
        <v>387914.88</v>
      </c>
      <c r="I965" s="73">
        <f t="shared" si="888"/>
        <v>67440</v>
      </c>
      <c r="J965" s="73">
        <f>J964*33.72</f>
        <v>309987.95999999996</v>
      </c>
      <c r="K965" s="73">
        <f t="shared" ref="K965:N965" si="889">K964*33.72</f>
        <v>290329.2</v>
      </c>
      <c r="L965" s="73">
        <f t="shared" si="889"/>
        <v>84300</v>
      </c>
      <c r="M965" s="73">
        <f t="shared" si="889"/>
        <v>95663.64</v>
      </c>
      <c r="N965" s="73">
        <f t="shared" si="889"/>
        <v>27987.599999999999</v>
      </c>
      <c r="O965" s="12"/>
      <c r="P965" s="142"/>
      <c r="Y965" s="142"/>
      <c r="Z965" s="104"/>
      <c r="AA965" s="104"/>
    </row>
    <row r="966" spans="1:27">
      <c r="A966" s="412"/>
      <c r="B966" s="28" t="s">
        <v>79</v>
      </c>
      <c r="C966" s="73">
        <v>164000</v>
      </c>
      <c r="D966" s="73">
        <v>109880</v>
      </c>
      <c r="E966" s="73">
        <v>109880</v>
      </c>
      <c r="F966" s="73">
        <v>328000</v>
      </c>
      <c r="G966" s="73">
        <f>G961*2</f>
        <v>242663.6</v>
      </c>
      <c r="H966" s="73">
        <f>H961*2</f>
        <v>220143.8</v>
      </c>
      <c r="I966" s="73">
        <f>I961*2</f>
        <v>242663.6</v>
      </c>
      <c r="J966" s="73">
        <v>328000</v>
      </c>
      <c r="K966" s="73">
        <f>K961*2</f>
        <v>264264.40000000002</v>
      </c>
      <c r="L966" s="73">
        <v>328000</v>
      </c>
      <c r="M966" s="73">
        <f>2*M961</f>
        <v>352965.4</v>
      </c>
      <c r="N966" s="84">
        <f>2*N961</f>
        <v>109842</v>
      </c>
      <c r="O966" s="12"/>
      <c r="Y966" s="14"/>
      <c r="Z966" s="104"/>
      <c r="AA966" s="104"/>
    </row>
    <row r="967" spans="1:27" s="64" customFormat="1">
      <c r="A967" s="412"/>
      <c r="B967" s="66" t="s">
        <v>8</v>
      </c>
      <c r="C967" s="98">
        <f>SUM(C964-600)</f>
        <v>4555</v>
      </c>
      <c r="D967" s="98">
        <f>SUM(D964-714)</f>
        <v>2526</v>
      </c>
      <c r="E967" s="98">
        <f>SUM(E964-715)</f>
        <v>2508</v>
      </c>
      <c r="F967" s="98">
        <f>SUM(F964-1140)</f>
        <v>8428</v>
      </c>
      <c r="G967" s="98">
        <f>SUM(G964-3105)</f>
        <v>1895</v>
      </c>
      <c r="H967" s="98">
        <f>SUM(H964-1765)</f>
        <v>9739</v>
      </c>
      <c r="I967" s="98">
        <f>SUM(I964-(2438-2000))</f>
        <v>1562</v>
      </c>
      <c r="J967" s="98">
        <f>SUM(J964-1327)</f>
        <v>7866</v>
      </c>
      <c r="K967" s="98">
        <f>SUM(K964-2375)</f>
        <v>6235</v>
      </c>
      <c r="L967" s="98">
        <f>SUM(L964-285)</f>
        <v>2215</v>
      </c>
      <c r="M967" s="98">
        <f>SUM(M964-(2879-2614))</f>
        <v>2572</v>
      </c>
      <c r="N967" s="103">
        <f>SUM(N964-46)</f>
        <v>784</v>
      </c>
      <c r="O967" s="12"/>
      <c r="P967" s="175"/>
      <c r="Q967" s="67"/>
      <c r="R967" s="67"/>
      <c r="S967" s="67"/>
      <c r="T967" s="67"/>
      <c r="U967" s="67"/>
      <c r="V967" s="67"/>
      <c r="W967" s="67"/>
    </row>
    <row r="968" spans="1:27">
      <c r="A968" s="412"/>
      <c r="B968" s="29" t="s">
        <v>77</v>
      </c>
      <c r="C968" s="75">
        <f>C967*33.72</f>
        <v>153594.6</v>
      </c>
      <c r="D968" s="75">
        <f>D967*33.72</f>
        <v>85176.72</v>
      </c>
      <c r="E968" s="75">
        <f>E967*33.72</f>
        <v>84569.76</v>
      </c>
      <c r="F968" s="75">
        <f>F967*33.72</f>
        <v>284192.15999999997</v>
      </c>
      <c r="G968" s="75">
        <f>G967*33.72*2</f>
        <v>127798.8</v>
      </c>
      <c r="H968" s="75">
        <f>H967*33.72</f>
        <v>328399.08</v>
      </c>
      <c r="I968" s="75">
        <f>I967*33.72</f>
        <v>52670.64</v>
      </c>
      <c r="J968" s="75">
        <f>J967*33.72</f>
        <v>265241.52</v>
      </c>
      <c r="K968" s="75">
        <f>K967*33.72</f>
        <v>210244.19999999998</v>
      </c>
      <c r="L968" s="75">
        <f>L967*33.72</f>
        <v>74689.8</v>
      </c>
      <c r="M968" s="75">
        <f>M967*33.72*2</f>
        <v>173455.68</v>
      </c>
      <c r="N968" s="11">
        <f>N967*33.72</f>
        <v>26436.48</v>
      </c>
      <c r="O968" s="12"/>
      <c r="P968" s="175"/>
    </row>
    <row r="969" spans="1:27" ht="15.75" thickBot="1">
      <c r="A969" s="412"/>
      <c r="B969" s="30" t="s">
        <v>10</v>
      </c>
      <c r="C969" s="71">
        <f>C967*33.7/C961</f>
        <v>1.3253992512312549</v>
      </c>
      <c r="D969" s="71">
        <f t="shared" ref="D969:N969" si="890">D967*33.7/D961</f>
        <v>0.85949857484271786</v>
      </c>
      <c r="E969" s="78">
        <f t="shared" si="890"/>
        <v>0.85337388191034691</v>
      </c>
      <c r="F969" s="78">
        <f t="shared" si="890"/>
        <v>1.5605880950209292</v>
      </c>
      <c r="G969" s="78">
        <f t="shared" si="890"/>
        <v>0.52633769547637144</v>
      </c>
      <c r="H969" s="78">
        <f t="shared" si="890"/>
        <v>2.981726489685379</v>
      </c>
      <c r="I969" s="78">
        <f t="shared" si="890"/>
        <v>0.43384669146917793</v>
      </c>
      <c r="J969" s="78">
        <f t="shared" si="890"/>
        <v>1.5504937777684193</v>
      </c>
      <c r="K969" s="78">
        <f t="shared" si="890"/>
        <v>1.590221762749731</v>
      </c>
      <c r="L969" s="78">
        <f t="shared" si="890"/>
        <v>1.2304358791347363</v>
      </c>
      <c r="M969" s="79">
        <f t="shared" si="890"/>
        <v>0.49113255860206129</v>
      </c>
      <c r="N969" s="26">
        <f t="shared" si="890"/>
        <v>0.48106917208353822</v>
      </c>
      <c r="O969" s="12"/>
      <c r="P969" s="175"/>
    </row>
    <row r="970" spans="1:27" ht="15.75" customHeight="1" thickBot="1">
      <c r="A970" s="424" t="s">
        <v>83</v>
      </c>
      <c r="B970" s="425"/>
      <c r="C970" s="76">
        <f>MIN(2*C961,C966)-C968</f>
        <v>10405.399999999994</v>
      </c>
      <c r="D970" s="76">
        <f t="shared" ref="D970:N970" si="891">MIN(2*D961,D966)-D968</f>
        <v>24703.279999999999</v>
      </c>
      <c r="E970" s="76">
        <f t="shared" si="891"/>
        <v>25310.240000000005</v>
      </c>
      <c r="F970" s="76">
        <f t="shared" si="891"/>
        <v>43807.840000000026</v>
      </c>
      <c r="G970" s="76">
        <f t="shared" si="891"/>
        <v>114864.8</v>
      </c>
      <c r="H970" s="76">
        <f t="shared" si="891"/>
        <v>-108255.28000000003</v>
      </c>
      <c r="I970" s="76">
        <f t="shared" si="891"/>
        <v>189992.96000000002</v>
      </c>
      <c r="J970" s="76">
        <f t="shared" si="891"/>
        <v>62758.479999999981</v>
      </c>
      <c r="K970" s="76">
        <f t="shared" si="891"/>
        <v>54020.200000000041</v>
      </c>
      <c r="L970" s="76">
        <f t="shared" si="891"/>
        <v>46642</v>
      </c>
      <c r="M970" s="76">
        <f t="shared" si="891"/>
        <v>179509.72000000003</v>
      </c>
      <c r="N970" s="22">
        <f t="shared" si="891"/>
        <v>83405.52</v>
      </c>
      <c r="O970" s="12"/>
      <c r="P970" s="175"/>
    </row>
    <row r="971" spans="1:27" ht="15.75" thickBot="1">
      <c r="A971" s="368">
        <v>41099</v>
      </c>
      <c r="B971" s="368"/>
      <c r="C971" s="368"/>
      <c r="N971" s="15"/>
    </row>
    <row r="972" spans="1:27">
      <c r="A972" s="407" t="s">
        <v>1</v>
      </c>
      <c r="B972" s="420"/>
      <c r="C972" s="68" t="s">
        <v>12</v>
      </c>
      <c r="D972" s="68" t="s">
        <v>12</v>
      </c>
      <c r="E972" s="68" t="s">
        <v>13</v>
      </c>
      <c r="F972" s="68" t="s">
        <v>13</v>
      </c>
      <c r="G972" s="68" t="s">
        <v>13</v>
      </c>
      <c r="H972" s="68" t="s">
        <v>13</v>
      </c>
      <c r="I972" s="68" t="s">
        <v>13</v>
      </c>
      <c r="J972" s="68" t="s">
        <v>2</v>
      </c>
      <c r="K972" s="68" t="s">
        <v>2</v>
      </c>
      <c r="L972" s="68" t="s">
        <v>2</v>
      </c>
      <c r="M972" s="68" t="s">
        <v>2</v>
      </c>
      <c r="N972" s="4" t="s">
        <v>84</v>
      </c>
      <c r="P972" s="174"/>
      <c r="Q972" s="175"/>
      <c r="R972" s="175"/>
      <c r="S972" s="175"/>
      <c r="T972" s="175"/>
      <c r="U972" s="175"/>
      <c r="V972" s="175"/>
      <c r="W972" s="175"/>
      <c r="X972" s="175"/>
      <c r="Y972" s="174"/>
      <c r="Z972" s="175"/>
      <c r="AA972" s="175"/>
    </row>
    <row r="973" spans="1:27" ht="15.75" thickBot="1">
      <c r="A973" s="409" t="s">
        <v>0</v>
      </c>
      <c r="B973" s="414"/>
      <c r="C973" s="99" t="s">
        <v>102</v>
      </c>
      <c r="D973" s="99" t="s">
        <v>103</v>
      </c>
      <c r="E973" s="99" t="s">
        <v>104</v>
      </c>
      <c r="F973" s="99" t="s">
        <v>105</v>
      </c>
      <c r="G973" s="99" t="s">
        <v>100</v>
      </c>
      <c r="H973" s="99" t="s">
        <v>107</v>
      </c>
      <c r="I973" s="99" t="s">
        <v>106</v>
      </c>
      <c r="J973" s="99" t="s">
        <v>108</v>
      </c>
      <c r="K973" s="99" t="s">
        <v>110</v>
      </c>
      <c r="L973" s="99" t="s">
        <v>101</v>
      </c>
      <c r="M973" s="99" t="s">
        <v>109</v>
      </c>
      <c r="N973" s="101" t="s">
        <v>111</v>
      </c>
      <c r="P973" s="142"/>
      <c r="Y973" s="142"/>
      <c r="Z973" s="104"/>
      <c r="AA973" s="104"/>
    </row>
    <row r="974" spans="1:27" ht="15" customHeight="1">
      <c r="A974" s="421" t="s">
        <v>9</v>
      </c>
      <c r="B974" s="2" t="s">
        <v>4</v>
      </c>
      <c r="C974" s="96">
        <v>115816.8</v>
      </c>
      <c r="D974" s="96">
        <v>99041.7</v>
      </c>
      <c r="E974" s="96">
        <v>99041.7</v>
      </c>
      <c r="F974" s="96">
        <v>181997.8</v>
      </c>
      <c r="G974" s="96">
        <v>121331.8</v>
      </c>
      <c r="H974" s="96">
        <v>110071.9</v>
      </c>
      <c r="I974" s="96">
        <v>121331.8</v>
      </c>
      <c r="J974" s="96">
        <v>170967.6</v>
      </c>
      <c r="K974" s="96">
        <v>132132.20000000001</v>
      </c>
      <c r="L974" s="96">
        <v>60665.9</v>
      </c>
      <c r="M974" s="96">
        <v>176482.7</v>
      </c>
      <c r="N974" s="100">
        <v>54921</v>
      </c>
      <c r="O974" s="12"/>
      <c r="P974" s="142"/>
      <c r="Y974" s="142"/>
      <c r="Z974" s="104"/>
      <c r="AA974" s="104"/>
    </row>
    <row r="975" spans="1:27" s="64" customFormat="1">
      <c r="A975" s="422"/>
      <c r="B975" s="63" t="s">
        <v>5</v>
      </c>
      <c r="C975" s="97">
        <v>92327.7</v>
      </c>
      <c r="D975" s="97">
        <v>69263.399999999994</v>
      </c>
      <c r="E975" s="97">
        <v>70836.399999999994</v>
      </c>
      <c r="F975" s="97">
        <v>151644.5</v>
      </c>
      <c r="G975" s="97">
        <v>28093.3</v>
      </c>
      <c r="H975" s="97">
        <v>44264.6</v>
      </c>
      <c r="I975" s="97">
        <v>21598.5</v>
      </c>
      <c r="J975" s="97">
        <v>136964.20000000001</v>
      </c>
      <c r="K975" s="97">
        <v>49656.800000000003</v>
      </c>
      <c r="L975" s="97">
        <v>18778</v>
      </c>
      <c r="M975" s="97">
        <v>82046.5</v>
      </c>
      <c r="N975" s="102">
        <v>23997.7</v>
      </c>
      <c r="O975" s="12"/>
      <c r="P975" s="142"/>
      <c r="Q975" s="104"/>
      <c r="R975" s="104"/>
      <c r="S975" s="104"/>
      <c r="T975" s="104"/>
      <c r="U975" s="104"/>
      <c r="V975" s="104"/>
      <c r="W975" s="104"/>
      <c r="X975" s="104"/>
      <c r="Y975" s="142"/>
      <c r="Z975" s="104"/>
      <c r="AA975" s="104"/>
    </row>
    <row r="976" spans="1:27" ht="15.75" thickBot="1">
      <c r="A976" s="423"/>
      <c r="B976" s="3" t="s">
        <v>3</v>
      </c>
      <c r="C976" s="71">
        <f>C975/C974</f>
        <v>0.7971874546697888</v>
      </c>
      <c r="D976" s="72">
        <f t="shared" ref="D976:E976" si="892">D975/D974</f>
        <v>0.69933573434220131</v>
      </c>
      <c r="E976" s="72">
        <f t="shared" si="892"/>
        <v>0.71521793345631179</v>
      </c>
      <c r="F976" s="72">
        <f>F975/F974</f>
        <v>0.83322161037111442</v>
      </c>
      <c r="G976" s="72">
        <f>G975/G974</f>
        <v>0.23154111288219575</v>
      </c>
      <c r="H976" s="72">
        <f t="shared" ref="H976:N976" si="893">H975/H974</f>
        <v>0.40214259951904163</v>
      </c>
      <c r="I976" s="72">
        <f t="shared" si="893"/>
        <v>0.17801186498510696</v>
      </c>
      <c r="J976" s="72">
        <f t="shared" si="893"/>
        <v>0.80111202356469879</v>
      </c>
      <c r="K976" s="72">
        <f t="shared" si="893"/>
        <v>0.37581149787863971</v>
      </c>
      <c r="L976" s="72">
        <f t="shared" si="893"/>
        <v>0.30953138418782217</v>
      </c>
      <c r="M976" s="72">
        <f t="shared" si="893"/>
        <v>0.46489825914948035</v>
      </c>
      <c r="N976" s="83">
        <f t="shared" si="893"/>
        <v>0.43694943646328366</v>
      </c>
      <c r="O976" s="12"/>
      <c r="Y976" s="14"/>
      <c r="Z976" s="104"/>
      <c r="AA976" s="104"/>
    </row>
    <row r="977" spans="1:27" ht="15" customHeight="1">
      <c r="A977" s="411" t="s">
        <v>6</v>
      </c>
      <c r="B977" s="27" t="s">
        <v>7</v>
      </c>
      <c r="C977" s="68">
        <v>5155</v>
      </c>
      <c r="D977" s="68">
        <v>3240</v>
      </c>
      <c r="E977" s="68">
        <v>3223</v>
      </c>
      <c r="F977" s="68">
        <v>9568</v>
      </c>
      <c r="G977" s="68">
        <v>5000</v>
      </c>
      <c r="H977" s="68">
        <v>11504</v>
      </c>
      <c r="I977" s="68">
        <f>(4000-2000)</f>
        <v>2000</v>
      </c>
      <c r="J977" s="68">
        <v>9193</v>
      </c>
      <c r="K977" s="68">
        <v>8610</v>
      </c>
      <c r="L977" s="68">
        <v>2500</v>
      </c>
      <c r="M977" s="68">
        <f>5451-2614</f>
        <v>2837</v>
      </c>
      <c r="N977" s="80">
        <v>830</v>
      </c>
      <c r="O977" s="12"/>
      <c r="P977" s="142"/>
      <c r="Y977" s="142"/>
      <c r="Z977" s="104"/>
      <c r="AA977" s="104"/>
    </row>
    <row r="978" spans="1:27">
      <c r="A978" s="412"/>
      <c r="B978" s="28" t="s">
        <v>11</v>
      </c>
      <c r="C978" s="73">
        <f t="shared" ref="C978:I978" si="894">C977*33.72</f>
        <v>173826.6</v>
      </c>
      <c r="D978" s="73">
        <f t="shared" si="894"/>
        <v>109252.8</v>
      </c>
      <c r="E978" s="73">
        <f t="shared" si="894"/>
        <v>108679.56</v>
      </c>
      <c r="F978" s="73">
        <f t="shared" si="894"/>
        <v>322632.95999999996</v>
      </c>
      <c r="G978" s="73">
        <f t="shared" si="894"/>
        <v>168600</v>
      </c>
      <c r="H978" s="73">
        <f t="shared" si="894"/>
        <v>387914.88</v>
      </c>
      <c r="I978" s="73">
        <f t="shared" si="894"/>
        <v>67440</v>
      </c>
      <c r="J978" s="73">
        <f>J977*33.72</f>
        <v>309987.95999999996</v>
      </c>
      <c r="K978" s="73">
        <f t="shared" ref="K978:N978" si="895">K977*33.72</f>
        <v>290329.2</v>
      </c>
      <c r="L978" s="73">
        <f t="shared" si="895"/>
        <v>84300</v>
      </c>
      <c r="M978" s="73">
        <f t="shared" si="895"/>
        <v>95663.64</v>
      </c>
      <c r="N978" s="73">
        <f t="shared" si="895"/>
        <v>27987.599999999999</v>
      </c>
      <c r="O978" s="12"/>
      <c r="P978" s="142"/>
      <c r="Y978" s="142"/>
      <c r="Z978" s="104"/>
      <c r="AA978" s="104"/>
    </row>
    <row r="979" spans="1:27">
      <c r="A979" s="412"/>
      <c r="B979" s="28" t="s">
        <v>79</v>
      </c>
      <c r="C979" s="73">
        <v>164000</v>
      </c>
      <c r="D979" s="73">
        <v>109880</v>
      </c>
      <c r="E979" s="73">
        <v>109880</v>
      </c>
      <c r="F979" s="73">
        <v>328000</v>
      </c>
      <c r="G979" s="73">
        <f>G974*2</f>
        <v>242663.6</v>
      </c>
      <c r="H979" s="73">
        <f>H974*2</f>
        <v>220143.8</v>
      </c>
      <c r="I979" s="73">
        <f>I974*2</f>
        <v>242663.6</v>
      </c>
      <c r="J979" s="73">
        <v>328000</v>
      </c>
      <c r="K979" s="73">
        <f>K974*2</f>
        <v>264264.40000000002</v>
      </c>
      <c r="L979" s="73">
        <v>328000</v>
      </c>
      <c r="M979" s="73">
        <f>2*M974</f>
        <v>352965.4</v>
      </c>
      <c r="N979" s="84">
        <f>2*N974</f>
        <v>109842</v>
      </c>
      <c r="O979" s="12"/>
      <c r="Y979" s="14"/>
      <c r="Z979" s="104"/>
      <c r="AA979" s="104"/>
    </row>
    <row r="980" spans="1:27" s="64" customFormat="1">
      <c r="A980" s="412"/>
      <c r="B980" s="66" t="s">
        <v>8</v>
      </c>
      <c r="C980" s="98">
        <f>SUM(C977-629)</f>
        <v>4526</v>
      </c>
      <c r="D980" s="98">
        <f>SUM(D977-714)</f>
        <v>2526</v>
      </c>
      <c r="E980" s="98">
        <f>SUM(E977-715)</f>
        <v>2508</v>
      </c>
      <c r="F980" s="98">
        <f>SUM(F977-1140)</f>
        <v>8428</v>
      </c>
      <c r="G980" s="98">
        <f>SUM(G977-3105)</f>
        <v>1895</v>
      </c>
      <c r="H980" s="98">
        <f>SUM(H977-1834)</f>
        <v>9670</v>
      </c>
      <c r="I980" s="98">
        <f>SUM(I977-(2439-2000))</f>
        <v>1561</v>
      </c>
      <c r="J980" s="98">
        <f>SUM(J977-1328)</f>
        <v>7865</v>
      </c>
      <c r="K980" s="98">
        <f>SUM(K977-2375)</f>
        <v>6235</v>
      </c>
      <c r="L980" s="98">
        <f>SUM(L977-285)</f>
        <v>2215</v>
      </c>
      <c r="M980" s="98">
        <f>SUM(M977-(2880-2614))</f>
        <v>2571</v>
      </c>
      <c r="N980" s="103">
        <f>SUM(N977-46)</f>
        <v>784</v>
      </c>
      <c r="O980" s="12"/>
      <c r="P980" s="175"/>
      <c r="Q980" s="67"/>
      <c r="R980" s="67"/>
      <c r="S980" s="67"/>
      <c r="T980" s="67"/>
      <c r="U980" s="67"/>
      <c r="V980" s="67"/>
      <c r="W980" s="67"/>
    </row>
    <row r="981" spans="1:27">
      <c r="A981" s="412"/>
      <c r="B981" s="29" t="s">
        <v>77</v>
      </c>
      <c r="C981" s="75">
        <f>C980*33.72</f>
        <v>152616.72</v>
      </c>
      <c r="D981" s="75">
        <f>D980*33.72</f>
        <v>85176.72</v>
      </c>
      <c r="E981" s="75">
        <f>E980*33.72</f>
        <v>84569.76</v>
      </c>
      <c r="F981" s="75">
        <f>F980*33.72</f>
        <v>284192.15999999997</v>
      </c>
      <c r="G981" s="75">
        <f>G980*33.72*2</f>
        <v>127798.8</v>
      </c>
      <c r="H981" s="75">
        <f>H980*33.72</f>
        <v>326072.39999999997</v>
      </c>
      <c r="I981" s="75">
        <f>I980*33.72</f>
        <v>52636.92</v>
      </c>
      <c r="J981" s="75">
        <f>J980*33.72</f>
        <v>265207.8</v>
      </c>
      <c r="K981" s="75">
        <f>K980*33.72</f>
        <v>210244.19999999998</v>
      </c>
      <c r="L981" s="75">
        <f>L980*33.72</f>
        <v>74689.8</v>
      </c>
      <c r="M981" s="75">
        <f>M980*33.72*2</f>
        <v>173388.24</v>
      </c>
      <c r="N981" s="11">
        <f>N980*33.72</f>
        <v>26436.48</v>
      </c>
      <c r="O981" s="12"/>
      <c r="P981" s="175"/>
    </row>
    <row r="982" spans="1:27" ht="15.75" thickBot="1">
      <c r="A982" s="412"/>
      <c r="B982" s="30" t="s">
        <v>10</v>
      </c>
      <c r="C982" s="71">
        <f>C980*33.7/C974</f>
        <v>1.3169609244945466</v>
      </c>
      <c r="D982" s="71">
        <f t="shared" ref="D982:N982" si="896">D980*33.7/D974</f>
        <v>0.85949857484271786</v>
      </c>
      <c r="E982" s="78">
        <f t="shared" si="896"/>
        <v>0.85337388191034691</v>
      </c>
      <c r="F982" s="78">
        <f t="shared" si="896"/>
        <v>1.5605880950209292</v>
      </c>
      <c r="G982" s="78">
        <f t="shared" si="896"/>
        <v>0.52633769547637144</v>
      </c>
      <c r="H982" s="78">
        <f t="shared" si="896"/>
        <v>2.9606012070292236</v>
      </c>
      <c r="I982" s="78">
        <f t="shared" si="896"/>
        <v>0.43356894070639357</v>
      </c>
      <c r="J982" s="78">
        <f t="shared" si="896"/>
        <v>1.5502966643972307</v>
      </c>
      <c r="K982" s="78">
        <f t="shared" si="896"/>
        <v>1.590221762749731</v>
      </c>
      <c r="L982" s="78">
        <f t="shared" si="896"/>
        <v>1.2304358791347363</v>
      </c>
      <c r="M982" s="79">
        <f t="shared" si="896"/>
        <v>0.49094160504117407</v>
      </c>
      <c r="N982" s="26">
        <f t="shared" si="896"/>
        <v>0.48106917208353822</v>
      </c>
      <c r="O982" s="12"/>
      <c r="P982" s="175"/>
    </row>
    <row r="983" spans="1:27" ht="15.75" customHeight="1" thickBot="1">
      <c r="A983" s="424" t="s">
        <v>83</v>
      </c>
      <c r="B983" s="425"/>
      <c r="C983" s="76">
        <f>MIN(2*C974,C979)-C981</f>
        <v>11383.279999999999</v>
      </c>
      <c r="D983" s="76">
        <f t="shared" ref="D983:N983" si="897">MIN(2*D974,D979)-D981</f>
        <v>24703.279999999999</v>
      </c>
      <c r="E983" s="76">
        <f t="shared" si="897"/>
        <v>25310.240000000005</v>
      </c>
      <c r="F983" s="76">
        <f t="shared" si="897"/>
        <v>43807.840000000026</v>
      </c>
      <c r="G983" s="76">
        <f t="shared" si="897"/>
        <v>114864.8</v>
      </c>
      <c r="H983" s="76">
        <f t="shared" si="897"/>
        <v>-105928.59999999998</v>
      </c>
      <c r="I983" s="76">
        <f t="shared" si="897"/>
        <v>190026.68</v>
      </c>
      <c r="J983" s="76">
        <f t="shared" si="897"/>
        <v>62792.200000000012</v>
      </c>
      <c r="K983" s="76">
        <f t="shared" si="897"/>
        <v>54020.200000000041</v>
      </c>
      <c r="L983" s="76">
        <f t="shared" si="897"/>
        <v>46642</v>
      </c>
      <c r="M983" s="76">
        <f t="shared" si="897"/>
        <v>179577.16000000003</v>
      </c>
      <c r="N983" s="22">
        <f t="shared" si="897"/>
        <v>83405.52</v>
      </c>
      <c r="O983" s="12"/>
      <c r="P983" s="175"/>
    </row>
    <row r="984" spans="1:27" ht="15.75" thickBot="1">
      <c r="A984" s="368">
        <v>41095</v>
      </c>
      <c r="B984" s="368"/>
      <c r="C984" s="368"/>
      <c r="N984" s="15"/>
    </row>
    <row r="985" spans="1:27">
      <c r="A985" s="407" t="s">
        <v>1</v>
      </c>
      <c r="B985" s="420"/>
      <c r="C985" s="68" t="s">
        <v>12</v>
      </c>
      <c r="D985" s="68" t="s">
        <v>12</v>
      </c>
      <c r="E985" s="68" t="s">
        <v>13</v>
      </c>
      <c r="F985" s="68" t="s">
        <v>13</v>
      </c>
      <c r="G985" s="68" t="s">
        <v>13</v>
      </c>
      <c r="H985" s="68" t="s">
        <v>13</v>
      </c>
      <c r="I985" s="68" t="s">
        <v>13</v>
      </c>
      <c r="J985" s="68" t="s">
        <v>2</v>
      </c>
      <c r="K985" s="68" t="s">
        <v>2</v>
      </c>
      <c r="L985" s="68" t="s">
        <v>2</v>
      </c>
      <c r="M985" s="68" t="s">
        <v>2</v>
      </c>
      <c r="N985" s="4" t="s">
        <v>84</v>
      </c>
      <c r="P985" s="174"/>
      <c r="Q985" s="175"/>
      <c r="R985" s="175"/>
      <c r="S985" s="175"/>
      <c r="T985" s="175"/>
      <c r="U985" s="175"/>
      <c r="V985" s="175"/>
      <c r="W985" s="175"/>
      <c r="X985" s="175"/>
      <c r="Y985" s="174"/>
      <c r="Z985" s="175"/>
      <c r="AA985" s="175"/>
    </row>
    <row r="986" spans="1:27" ht="15.75" thickBot="1">
      <c r="A986" s="409" t="s">
        <v>0</v>
      </c>
      <c r="B986" s="414"/>
      <c r="C986" s="99" t="s">
        <v>102</v>
      </c>
      <c r="D986" s="99" t="s">
        <v>103</v>
      </c>
      <c r="E986" s="99" t="s">
        <v>104</v>
      </c>
      <c r="F986" s="99" t="s">
        <v>105</v>
      </c>
      <c r="G986" s="99" t="s">
        <v>100</v>
      </c>
      <c r="H986" s="99" t="s">
        <v>107</v>
      </c>
      <c r="I986" s="99" t="s">
        <v>106</v>
      </c>
      <c r="J986" s="99" t="s">
        <v>108</v>
      </c>
      <c r="K986" s="99" t="s">
        <v>110</v>
      </c>
      <c r="L986" s="99" t="s">
        <v>101</v>
      </c>
      <c r="M986" s="99" t="s">
        <v>109</v>
      </c>
      <c r="N986" s="101" t="s">
        <v>111</v>
      </c>
      <c r="P986" s="142"/>
      <c r="Y986" s="142"/>
      <c r="Z986" s="104"/>
      <c r="AA986" s="104"/>
    </row>
    <row r="987" spans="1:27" ht="15" customHeight="1">
      <c r="A987" s="421" t="s">
        <v>9</v>
      </c>
      <c r="B987" s="2" t="s">
        <v>4</v>
      </c>
      <c r="C987" s="96">
        <v>115816.8</v>
      </c>
      <c r="D987" s="96">
        <v>99041.7</v>
      </c>
      <c r="E987" s="96">
        <v>99041.7</v>
      </c>
      <c r="F987" s="96">
        <v>181997.8</v>
      </c>
      <c r="G987" s="96">
        <v>121331.8</v>
      </c>
      <c r="H987" s="96">
        <v>110071.9</v>
      </c>
      <c r="I987" s="96">
        <v>121331.8</v>
      </c>
      <c r="J987" s="96">
        <v>170967.6</v>
      </c>
      <c r="K987" s="96">
        <v>132132.20000000001</v>
      </c>
      <c r="L987" s="96">
        <v>60665.9</v>
      </c>
      <c r="M987" s="96">
        <v>176482.7</v>
      </c>
      <c r="N987" s="100">
        <v>54921</v>
      </c>
      <c r="O987" s="12"/>
      <c r="P987" s="142"/>
      <c r="Y987" s="142"/>
      <c r="Z987" s="104"/>
      <c r="AA987" s="104"/>
    </row>
    <row r="988" spans="1:27" s="64" customFormat="1">
      <c r="A988" s="422"/>
      <c r="B988" s="63" t="s">
        <v>5</v>
      </c>
      <c r="C988" s="97">
        <v>91999.4</v>
      </c>
      <c r="D988" s="97">
        <v>69239</v>
      </c>
      <c r="E988" s="97">
        <v>70812</v>
      </c>
      <c r="F988" s="97">
        <v>151468.6</v>
      </c>
      <c r="G988" s="97">
        <v>26482.2</v>
      </c>
      <c r="H988" s="97">
        <v>44205.9</v>
      </c>
      <c r="I988" s="97">
        <v>21527.3</v>
      </c>
      <c r="J988" s="97">
        <v>136795.20000000001</v>
      </c>
      <c r="K988" s="97">
        <v>49683.4</v>
      </c>
      <c r="L988" s="97">
        <v>18002.400000000001</v>
      </c>
      <c r="M988" s="97">
        <v>81878.600000000006</v>
      </c>
      <c r="N988" s="102">
        <v>23973.599999999999</v>
      </c>
      <c r="O988" s="12"/>
      <c r="P988" s="142"/>
      <c r="Q988" s="104"/>
      <c r="R988" s="104"/>
      <c r="S988" s="104"/>
      <c r="T988" s="104"/>
      <c r="U988" s="104"/>
      <c r="V988" s="104"/>
      <c r="W988" s="104"/>
      <c r="X988" s="104"/>
      <c r="Y988" s="142"/>
      <c r="Z988" s="104"/>
      <c r="AA988" s="104"/>
    </row>
    <row r="989" spans="1:27" ht="15.75" thickBot="1">
      <c r="A989" s="423"/>
      <c r="B989" s="3" t="s">
        <v>3</v>
      </c>
      <c r="C989" s="71">
        <f>C988/C987</f>
        <v>0.79435280546518283</v>
      </c>
      <c r="D989" s="72">
        <f t="shared" ref="D989:E989" si="898">D988/D987</f>
        <v>0.69908937346592392</v>
      </c>
      <c r="E989" s="72">
        <f t="shared" si="898"/>
        <v>0.71497157258003452</v>
      </c>
      <c r="F989" s="72">
        <f>F988/F987</f>
        <v>0.8322551151717219</v>
      </c>
      <c r="G989" s="72">
        <f>G988/G987</f>
        <v>0.21826264837412782</v>
      </c>
      <c r="H989" s="72">
        <f t="shared" ref="H989:N989" si="899">H988/H987</f>
        <v>0.4016093117316954</v>
      </c>
      <c r="I989" s="72">
        <f t="shared" si="899"/>
        <v>0.17742504438242901</v>
      </c>
      <c r="J989" s="72">
        <f t="shared" si="899"/>
        <v>0.80012353217802679</v>
      </c>
      <c r="K989" s="72">
        <f t="shared" si="899"/>
        <v>0.37601281141160137</v>
      </c>
      <c r="L989" s="72">
        <f t="shared" si="899"/>
        <v>0.29674660723734425</v>
      </c>
      <c r="M989" s="72">
        <f t="shared" si="899"/>
        <v>0.46394689111170673</v>
      </c>
      <c r="N989" s="83">
        <f t="shared" si="899"/>
        <v>0.43651062435134097</v>
      </c>
      <c r="O989" s="12"/>
      <c r="Y989" s="14"/>
      <c r="Z989" s="104"/>
      <c r="AA989" s="104"/>
    </row>
    <row r="990" spans="1:27" ht="15" customHeight="1">
      <c r="A990" s="411" t="s">
        <v>6</v>
      </c>
      <c r="B990" s="27" t="s">
        <v>7</v>
      </c>
      <c r="C990" s="68">
        <v>5155</v>
      </c>
      <c r="D990" s="68">
        <v>3240</v>
      </c>
      <c r="E990" s="68">
        <v>3223</v>
      </c>
      <c r="F990" s="68">
        <v>9568</v>
      </c>
      <c r="G990" s="68">
        <v>5000</v>
      </c>
      <c r="H990" s="68">
        <v>11504</v>
      </c>
      <c r="I990" s="68">
        <f>(4000-2000)</f>
        <v>2000</v>
      </c>
      <c r="J990" s="68">
        <v>9193</v>
      </c>
      <c r="K990" s="68">
        <v>8610</v>
      </c>
      <c r="L990" s="68">
        <v>2500</v>
      </c>
      <c r="M990" s="68">
        <f>5451-2614</f>
        <v>2837</v>
      </c>
      <c r="N990" s="80">
        <v>830</v>
      </c>
      <c r="O990" s="12"/>
      <c r="P990" s="142"/>
      <c r="Y990" s="142"/>
      <c r="Z990" s="104"/>
      <c r="AA990" s="104"/>
    </row>
    <row r="991" spans="1:27">
      <c r="A991" s="412"/>
      <c r="B991" s="28" t="s">
        <v>11</v>
      </c>
      <c r="C991" s="73">
        <f t="shared" ref="C991:I991" si="900">C990*33.72</f>
        <v>173826.6</v>
      </c>
      <c r="D991" s="73">
        <f t="shared" si="900"/>
        <v>109252.8</v>
      </c>
      <c r="E991" s="73">
        <f t="shared" si="900"/>
        <v>108679.56</v>
      </c>
      <c r="F991" s="73">
        <f t="shared" si="900"/>
        <v>322632.95999999996</v>
      </c>
      <c r="G991" s="73">
        <f t="shared" si="900"/>
        <v>168600</v>
      </c>
      <c r="H991" s="73">
        <f t="shared" si="900"/>
        <v>387914.88</v>
      </c>
      <c r="I991" s="73">
        <f t="shared" si="900"/>
        <v>67440</v>
      </c>
      <c r="J991" s="73">
        <f>J990*33.72</f>
        <v>309987.95999999996</v>
      </c>
      <c r="K991" s="73">
        <f t="shared" ref="K991:N991" si="901">K990*33.72</f>
        <v>290329.2</v>
      </c>
      <c r="L991" s="73">
        <f t="shared" si="901"/>
        <v>84300</v>
      </c>
      <c r="M991" s="73">
        <f t="shared" si="901"/>
        <v>95663.64</v>
      </c>
      <c r="N991" s="73">
        <f t="shared" si="901"/>
        <v>27987.599999999999</v>
      </c>
      <c r="O991" s="12"/>
      <c r="P991" s="142"/>
      <c r="Y991" s="142"/>
      <c r="Z991" s="104"/>
      <c r="AA991" s="104"/>
    </row>
    <row r="992" spans="1:27">
      <c r="A992" s="412"/>
      <c r="B992" s="28" t="s">
        <v>79</v>
      </c>
      <c r="C992" s="73">
        <v>164000</v>
      </c>
      <c r="D992" s="73">
        <v>109880</v>
      </c>
      <c r="E992" s="73">
        <v>109880</v>
      </c>
      <c r="F992" s="73">
        <v>328000</v>
      </c>
      <c r="G992" s="73">
        <f>G987*2</f>
        <v>242663.6</v>
      </c>
      <c r="H992" s="73">
        <f>H987*2</f>
        <v>220143.8</v>
      </c>
      <c r="I992" s="73">
        <f>I987*2</f>
        <v>242663.6</v>
      </c>
      <c r="J992" s="73">
        <v>328000</v>
      </c>
      <c r="K992" s="73">
        <f>K987*2</f>
        <v>264264.40000000002</v>
      </c>
      <c r="L992" s="73">
        <v>328000</v>
      </c>
      <c r="M992" s="73">
        <f>2*M987</f>
        <v>352965.4</v>
      </c>
      <c r="N992" s="84">
        <f>2*N987</f>
        <v>109842</v>
      </c>
      <c r="O992" s="12"/>
      <c r="Y992" s="14"/>
      <c r="Z992" s="104"/>
      <c r="AA992" s="104"/>
    </row>
    <row r="993" spans="1:27" s="64" customFormat="1">
      <c r="A993" s="412"/>
      <c r="B993" s="66" t="s">
        <v>8</v>
      </c>
      <c r="C993" s="98">
        <f>SUM(C990-629)</f>
        <v>4526</v>
      </c>
      <c r="D993" s="98">
        <f>SUM(D990-719)</f>
        <v>2521</v>
      </c>
      <c r="E993" s="98">
        <f>SUM(E990-720)</f>
        <v>2503</v>
      </c>
      <c r="F993" s="98">
        <f>SUM(F990-1140)</f>
        <v>8428</v>
      </c>
      <c r="G993" s="98">
        <f>SUM(G990-3105)</f>
        <v>1895</v>
      </c>
      <c r="H993" s="98">
        <f>SUM(H990-1865)</f>
        <v>9639</v>
      </c>
      <c r="I993" s="98">
        <f>SUM(I990-(2439-2000))</f>
        <v>1561</v>
      </c>
      <c r="J993" s="98">
        <f>SUM(J990-1328)</f>
        <v>7865</v>
      </c>
      <c r="K993" s="98">
        <f>SUM(K990-2375)</f>
        <v>6235</v>
      </c>
      <c r="L993" s="98">
        <f>SUM(L990-293)</f>
        <v>2207</v>
      </c>
      <c r="M993" s="98">
        <f>SUM(M990-(2880-2614))</f>
        <v>2571</v>
      </c>
      <c r="N993" s="103">
        <f>SUM(N990-46)</f>
        <v>784</v>
      </c>
      <c r="O993" s="12"/>
      <c r="P993" s="175"/>
      <c r="Q993" s="67"/>
      <c r="R993" s="67"/>
      <c r="S993" s="67"/>
      <c r="T993" s="67"/>
      <c r="U993" s="67"/>
      <c r="V993" s="67"/>
      <c r="W993" s="67"/>
    </row>
    <row r="994" spans="1:27">
      <c r="A994" s="412"/>
      <c r="B994" s="29" t="s">
        <v>77</v>
      </c>
      <c r="C994" s="75">
        <f>C993*33.72</f>
        <v>152616.72</v>
      </c>
      <c r="D994" s="75">
        <f>D993*33.72</f>
        <v>85008.12</v>
      </c>
      <c r="E994" s="75">
        <f>E993*33.72</f>
        <v>84401.16</v>
      </c>
      <c r="F994" s="75">
        <f>F993*33.72</f>
        <v>284192.15999999997</v>
      </c>
      <c r="G994" s="75">
        <f>G993*33.72*2</f>
        <v>127798.8</v>
      </c>
      <c r="H994" s="75">
        <f>H993*33.72</f>
        <v>325027.08</v>
      </c>
      <c r="I994" s="75">
        <f>I993*33.72</f>
        <v>52636.92</v>
      </c>
      <c r="J994" s="75">
        <f>J993*33.72</f>
        <v>265207.8</v>
      </c>
      <c r="K994" s="75">
        <f>K993*33.72</f>
        <v>210244.19999999998</v>
      </c>
      <c r="L994" s="75">
        <f>L993*33.72</f>
        <v>74420.039999999994</v>
      </c>
      <c r="M994" s="75">
        <f>M993*33.72*2</f>
        <v>173388.24</v>
      </c>
      <c r="N994" s="11">
        <f>N993*33.72</f>
        <v>26436.48</v>
      </c>
      <c r="O994" s="12"/>
      <c r="P994" s="175"/>
    </row>
    <row r="995" spans="1:27" ht="15.75" thickBot="1">
      <c r="A995" s="412"/>
      <c r="B995" s="30" t="s">
        <v>10</v>
      </c>
      <c r="C995" s="71">
        <f>C993*33.7/C987</f>
        <v>1.3169609244945466</v>
      </c>
      <c r="D995" s="71">
        <f t="shared" ref="D995:N995" si="902">D993*33.7/D987</f>
        <v>0.85779727125039262</v>
      </c>
      <c r="E995" s="78">
        <f t="shared" si="902"/>
        <v>0.85167257831802168</v>
      </c>
      <c r="F995" s="78">
        <f t="shared" si="902"/>
        <v>1.5605880950209292</v>
      </c>
      <c r="G995" s="78">
        <f t="shared" si="902"/>
        <v>0.52633769547637144</v>
      </c>
      <c r="H995" s="78">
        <f t="shared" si="902"/>
        <v>2.9511101380097924</v>
      </c>
      <c r="I995" s="78">
        <f t="shared" si="902"/>
        <v>0.43356894070639357</v>
      </c>
      <c r="J995" s="78">
        <f t="shared" si="902"/>
        <v>1.5502966643972307</v>
      </c>
      <c r="K995" s="78">
        <f t="shared" si="902"/>
        <v>1.590221762749731</v>
      </c>
      <c r="L995" s="78">
        <f t="shared" si="902"/>
        <v>1.2259918669301866</v>
      </c>
      <c r="M995" s="79">
        <f t="shared" si="902"/>
        <v>0.49094160504117407</v>
      </c>
      <c r="N995" s="26">
        <f t="shared" si="902"/>
        <v>0.48106917208353822</v>
      </c>
      <c r="O995" s="12"/>
      <c r="P995" s="175"/>
    </row>
    <row r="996" spans="1:27" ht="15.75" customHeight="1" thickBot="1">
      <c r="A996" s="424" t="s">
        <v>83</v>
      </c>
      <c r="B996" s="425"/>
      <c r="C996" s="76">
        <f>MIN(2*C987,C992)-C994</f>
        <v>11383.279999999999</v>
      </c>
      <c r="D996" s="76">
        <f t="shared" ref="D996:N996" si="903">MIN(2*D987,D992)-D994</f>
        <v>24871.880000000005</v>
      </c>
      <c r="E996" s="76">
        <f t="shared" si="903"/>
        <v>25478.839999999997</v>
      </c>
      <c r="F996" s="76">
        <f t="shared" si="903"/>
        <v>43807.840000000026</v>
      </c>
      <c r="G996" s="76">
        <f t="shared" si="903"/>
        <v>114864.8</v>
      </c>
      <c r="H996" s="76">
        <f t="shared" si="903"/>
        <v>-104883.28000000003</v>
      </c>
      <c r="I996" s="76">
        <f t="shared" si="903"/>
        <v>190026.68</v>
      </c>
      <c r="J996" s="76">
        <f t="shared" si="903"/>
        <v>62792.200000000012</v>
      </c>
      <c r="K996" s="76">
        <f t="shared" si="903"/>
        <v>54020.200000000041</v>
      </c>
      <c r="L996" s="76">
        <f t="shared" si="903"/>
        <v>46911.760000000009</v>
      </c>
      <c r="M996" s="76">
        <f t="shared" si="903"/>
        <v>179577.16000000003</v>
      </c>
      <c r="N996" s="22">
        <f t="shared" si="903"/>
        <v>83405.52</v>
      </c>
      <c r="O996" s="12"/>
      <c r="P996" s="175"/>
    </row>
    <row r="997" spans="1:27" ht="15.75" thickBot="1">
      <c r="A997" s="368">
        <v>41094</v>
      </c>
      <c r="B997" s="368"/>
      <c r="C997" s="368"/>
      <c r="N997" s="15"/>
    </row>
    <row r="998" spans="1:27">
      <c r="A998" s="407" t="s">
        <v>1</v>
      </c>
      <c r="B998" s="420"/>
      <c r="C998" s="68" t="s">
        <v>12</v>
      </c>
      <c r="D998" s="68" t="s">
        <v>12</v>
      </c>
      <c r="E998" s="68" t="s">
        <v>13</v>
      </c>
      <c r="F998" s="68" t="s">
        <v>13</v>
      </c>
      <c r="G998" s="68" t="s">
        <v>13</v>
      </c>
      <c r="H998" s="68" t="s">
        <v>13</v>
      </c>
      <c r="I998" s="68" t="s">
        <v>13</v>
      </c>
      <c r="J998" s="68" t="s">
        <v>2</v>
      </c>
      <c r="K998" s="68" t="s">
        <v>2</v>
      </c>
      <c r="L998" s="68" t="s">
        <v>2</v>
      </c>
      <c r="M998" s="68" t="s">
        <v>2</v>
      </c>
      <c r="N998" s="4" t="s">
        <v>84</v>
      </c>
      <c r="P998" s="174"/>
      <c r="Q998" s="175"/>
      <c r="R998" s="175"/>
      <c r="S998" s="175"/>
      <c r="T998" s="175"/>
      <c r="U998" s="175"/>
      <c r="V998" s="175"/>
      <c r="W998" s="175"/>
      <c r="X998" s="175"/>
      <c r="Y998" s="174"/>
      <c r="Z998" s="175"/>
      <c r="AA998" s="175"/>
    </row>
    <row r="999" spans="1:27" ht="15.75" thickBot="1">
      <c r="A999" s="409" t="s">
        <v>0</v>
      </c>
      <c r="B999" s="414"/>
      <c r="C999" s="99" t="s">
        <v>102</v>
      </c>
      <c r="D999" s="99" t="s">
        <v>103</v>
      </c>
      <c r="E999" s="99" t="s">
        <v>104</v>
      </c>
      <c r="F999" s="99" t="s">
        <v>105</v>
      </c>
      <c r="G999" s="99" t="s">
        <v>100</v>
      </c>
      <c r="H999" s="99" t="s">
        <v>107</v>
      </c>
      <c r="I999" s="99" t="s">
        <v>106</v>
      </c>
      <c r="J999" s="99" t="s">
        <v>108</v>
      </c>
      <c r="K999" s="99" t="s">
        <v>110</v>
      </c>
      <c r="L999" s="99" t="s">
        <v>101</v>
      </c>
      <c r="M999" s="99" t="s">
        <v>109</v>
      </c>
      <c r="N999" s="101" t="s">
        <v>111</v>
      </c>
      <c r="P999" s="142"/>
      <c r="Y999" s="142"/>
      <c r="Z999" s="104"/>
      <c r="AA999" s="104"/>
    </row>
    <row r="1000" spans="1:27" ht="15" customHeight="1">
      <c r="A1000" s="421" t="s">
        <v>9</v>
      </c>
      <c r="B1000" s="2" t="s">
        <v>4</v>
      </c>
      <c r="C1000" s="96">
        <v>115816.8</v>
      </c>
      <c r="D1000" s="96">
        <v>99041.7</v>
      </c>
      <c r="E1000" s="96">
        <v>99041.7</v>
      </c>
      <c r="F1000" s="96">
        <v>181997.8</v>
      </c>
      <c r="G1000" s="96">
        <v>121331.8</v>
      </c>
      <c r="H1000" s="96">
        <v>110071.9</v>
      </c>
      <c r="I1000" s="96">
        <v>121331.8</v>
      </c>
      <c r="J1000" s="96">
        <v>170967.6</v>
      </c>
      <c r="K1000" s="96">
        <v>132132.20000000001</v>
      </c>
      <c r="L1000" s="96">
        <v>60665.9</v>
      </c>
      <c r="M1000" s="96">
        <v>176482.7</v>
      </c>
      <c r="N1000" s="100">
        <v>54921</v>
      </c>
      <c r="O1000" s="12"/>
      <c r="P1000" s="142"/>
      <c r="Y1000" s="142"/>
      <c r="Z1000" s="104"/>
      <c r="AA1000" s="104"/>
    </row>
    <row r="1001" spans="1:27" s="64" customFormat="1">
      <c r="A1001" s="422"/>
      <c r="B1001" s="63" t="s">
        <v>5</v>
      </c>
      <c r="C1001" s="97">
        <v>91991.7</v>
      </c>
      <c r="D1001" s="97">
        <v>69233.3</v>
      </c>
      <c r="E1001" s="97">
        <v>70806.399999999994</v>
      </c>
      <c r="F1001" s="97">
        <v>151388.79999999999</v>
      </c>
      <c r="G1001" s="97">
        <v>23846.1</v>
      </c>
      <c r="H1001" s="97">
        <v>44223.199999999997</v>
      </c>
      <c r="I1001" s="97">
        <v>21485.200000000001</v>
      </c>
      <c r="J1001" s="97">
        <v>136777.4</v>
      </c>
      <c r="K1001" s="97">
        <v>49644.5</v>
      </c>
      <c r="L1001" s="97">
        <v>17910.099999999999</v>
      </c>
      <c r="M1001" s="97">
        <v>81796.3</v>
      </c>
      <c r="N1001" s="102">
        <v>23973.599999999999</v>
      </c>
      <c r="O1001" s="12"/>
      <c r="P1001" s="142"/>
      <c r="Q1001" s="104"/>
      <c r="R1001" s="104"/>
      <c r="S1001" s="104"/>
      <c r="T1001" s="104"/>
      <c r="U1001" s="104"/>
      <c r="V1001" s="104"/>
      <c r="W1001" s="104"/>
      <c r="X1001" s="104"/>
      <c r="Y1001" s="142"/>
      <c r="Z1001" s="104"/>
      <c r="AA1001" s="104"/>
    </row>
    <row r="1002" spans="1:27" ht="15.75" thickBot="1">
      <c r="A1002" s="423"/>
      <c r="B1002" s="3" t="s">
        <v>3</v>
      </c>
      <c r="C1002" s="71">
        <f>C1001/C1000</f>
        <v>0.79428632115548004</v>
      </c>
      <c r="D1002" s="72">
        <f t="shared" ref="D1002:E1002" si="904">D1001/D1000</f>
        <v>0.69903182194974445</v>
      </c>
      <c r="E1002" s="72">
        <f t="shared" si="904"/>
        <v>0.7149150307395773</v>
      </c>
      <c r="F1002" s="72">
        <f>F1001/F1000</f>
        <v>0.83181664833311175</v>
      </c>
      <c r="G1002" s="72">
        <f>G1001/G1000</f>
        <v>0.19653627490896861</v>
      </c>
      <c r="H1002" s="72">
        <f t="shared" ref="H1002:N1002" si="905">H1001/H1000</f>
        <v>0.4017664817269439</v>
      </c>
      <c r="I1002" s="72">
        <f t="shared" si="905"/>
        <v>0.17707806197550849</v>
      </c>
      <c r="J1002" s="72">
        <f t="shared" si="905"/>
        <v>0.80001941888404582</v>
      </c>
      <c r="K1002" s="72">
        <f t="shared" si="905"/>
        <v>0.37571840929008976</v>
      </c>
      <c r="L1002" s="72">
        <f t="shared" si="905"/>
        <v>0.29522515943882804</v>
      </c>
      <c r="M1002" s="72">
        <f t="shared" si="905"/>
        <v>0.46348055645114222</v>
      </c>
      <c r="N1002" s="83">
        <f t="shared" si="905"/>
        <v>0.43651062435134097</v>
      </c>
      <c r="O1002" s="12"/>
      <c r="Y1002" s="14"/>
      <c r="Z1002" s="104"/>
      <c r="AA1002" s="104"/>
    </row>
    <row r="1003" spans="1:27" ht="15" customHeight="1">
      <c r="A1003" s="411" t="s">
        <v>6</v>
      </c>
      <c r="B1003" s="27" t="s">
        <v>7</v>
      </c>
      <c r="C1003" s="68">
        <v>5155</v>
      </c>
      <c r="D1003" s="68">
        <v>3240</v>
      </c>
      <c r="E1003" s="68">
        <v>3223</v>
      </c>
      <c r="F1003" s="68">
        <v>9568</v>
      </c>
      <c r="G1003" s="68">
        <v>5000</v>
      </c>
      <c r="H1003" s="68">
        <v>11504</v>
      </c>
      <c r="I1003" s="68">
        <f>(4000-2000)</f>
        <v>2000</v>
      </c>
      <c r="J1003" s="68">
        <v>9193</v>
      </c>
      <c r="K1003" s="68">
        <v>8610</v>
      </c>
      <c r="L1003" s="68">
        <v>2500</v>
      </c>
      <c r="M1003" s="68">
        <f>5451-2614</f>
        <v>2837</v>
      </c>
      <c r="N1003" s="80">
        <v>830</v>
      </c>
      <c r="O1003" s="12"/>
      <c r="P1003" s="142"/>
      <c r="Y1003" s="142"/>
      <c r="Z1003" s="104"/>
      <c r="AA1003" s="104"/>
    </row>
    <row r="1004" spans="1:27">
      <c r="A1004" s="412"/>
      <c r="B1004" s="28" t="s">
        <v>11</v>
      </c>
      <c r="C1004" s="73">
        <f t="shared" ref="C1004:I1004" si="906">C1003*33.72</f>
        <v>173826.6</v>
      </c>
      <c r="D1004" s="73">
        <f t="shared" si="906"/>
        <v>109252.8</v>
      </c>
      <c r="E1004" s="73">
        <f t="shared" si="906"/>
        <v>108679.56</v>
      </c>
      <c r="F1004" s="73">
        <f t="shared" si="906"/>
        <v>322632.95999999996</v>
      </c>
      <c r="G1004" s="73">
        <f t="shared" si="906"/>
        <v>168600</v>
      </c>
      <c r="H1004" s="73">
        <f t="shared" si="906"/>
        <v>387914.88</v>
      </c>
      <c r="I1004" s="73">
        <f t="shared" si="906"/>
        <v>67440</v>
      </c>
      <c r="J1004" s="73">
        <f>J1003*33.72</f>
        <v>309987.95999999996</v>
      </c>
      <c r="K1004" s="73">
        <f t="shared" ref="K1004:N1004" si="907">K1003*33.72</f>
        <v>290329.2</v>
      </c>
      <c r="L1004" s="73">
        <f t="shared" si="907"/>
        <v>84300</v>
      </c>
      <c r="M1004" s="73">
        <f t="shared" si="907"/>
        <v>95663.64</v>
      </c>
      <c r="N1004" s="73">
        <f t="shared" si="907"/>
        <v>27987.599999999999</v>
      </c>
      <c r="O1004" s="12"/>
      <c r="P1004" s="142"/>
      <c r="Y1004" s="142"/>
      <c r="Z1004" s="104"/>
      <c r="AA1004" s="104"/>
    </row>
    <row r="1005" spans="1:27">
      <c r="A1005" s="412"/>
      <c r="B1005" s="28" t="s">
        <v>79</v>
      </c>
      <c r="C1005" s="73">
        <v>164000</v>
      </c>
      <c r="D1005" s="73">
        <v>109880</v>
      </c>
      <c r="E1005" s="73">
        <v>109880</v>
      </c>
      <c r="F1005" s="73">
        <v>328000</v>
      </c>
      <c r="G1005" s="73">
        <f>G1000*2</f>
        <v>242663.6</v>
      </c>
      <c r="H1005" s="73">
        <f>H1000*2</f>
        <v>220143.8</v>
      </c>
      <c r="I1005" s="73">
        <f>I1000*2</f>
        <v>242663.6</v>
      </c>
      <c r="J1005" s="73">
        <v>328000</v>
      </c>
      <c r="K1005" s="73">
        <f>K1000*2</f>
        <v>264264.40000000002</v>
      </c>
      <c r="L1005" s="73">
        <v>328000</v>
      </c>
      <c r="M1005" s="73">
        <f>2*M1000</f>
        <v>352965.4</v>
      </c>
      <c r="N1005" s="84">
        <f>2*N1000</f>
        <v>109842</v>
      </c>
      <c r="O1005" s="12"/>
      <c r="Y1005" s="14"/>
      <c r="Z1005" s="104"/>
      <c r="AA1005" s="104"/>
    </row>
    <row r="1006" spans="1:27" s="64" customFormat="1">
      <c r="A1006" s="412"/>
      <c r="B1006" s="66" t="s">
        <v>8</v>
      </c>
      <c r="C1006" s="98">
        <f>SUM(C1003-629)</f>
        <v>4526</v>
      </c>
      <c r="D1006" s="98">
        <f>SUM(D1003-719)</f>
        <v>2521</v>
      </c>
      <c r="E1006" s="98">
        <f>SUM(E1003-720)</f>
        <v>2503</v>
      </c>
      <c r="F1006" s="98">
        <f>SUM(F1003-1140)</f>
        <v>8428</v>
      </c>
      <c r="G1006" s="98">
        <f>SUM(G1003-3105)</f>
        <v>1895</v>
      </c>
      <c r="H1006" s="98">
        <f>SUM(H1003-1865)</f>
        <v>9639</v>
      </c>
      <c r="I1006" s="98">
        <f>SUM(I1003-(2439-2000))</f>
        <v>1561</v>
      </c>
      <c r="J1006" s="98">
        <f>SUM(J1003-1328)</f>
        <v>7865</v>
      </c>
      <c r="K1006" s="98">
        <f>SUM(K1003-2375)</f>
        <v>6235</v>
      </c>
      <c r="L1006" s="98">
        <f>SUM(L1003-293)</f>
        <v>2207</v>
      </c>
      <c r="M1006" s="98">
        <f>SUM(M1003-(2880-2614))</f>
        <v>2571</v>
      </c>
      <c r="N1006" s="103">
        <f>SUM(N1003-46)</f>
        <v>784</v>
      </c>
      <c r="O1006" s="12"/>
      <c r="P1006" s="175"/>
      <c r="Q1006" s="67"/>
      <c r="R1006" s="67"/>
      <c r="S1006" s="67"/>
      <c r="T1006" s="67"/>
      <c r="U1006" s="67"/>
      <c r="V1006" s="67"/>
      <c r="W1006" s="67"/>
    </row>
    <row r="1007" spans="1:27">
      <c r="A1007" s="412"/>
      <c r="B1007" s="29" t="s">
        <v>77</v>
      </c>
      <c r="C1007" s="75">
        <f>C1006*33.72</f>
        <v>152616.72</v>
      </c>
      <c r="D1007" s="75">
        <f>D1006*33.72</f>
        <v>85008.12</v>
      </c>
      <c r="E1007" s="75">
        <f>E1006*33.72</f>
        <v>84401.16</v>
      </c>
      <c r="F1007" s="75">
        <f>F1006*33.72</f>
        <v>284192.15999999997</v>
      </c>
      <c r="G1007" s="75">
        <f>G1006*33.72*2</f>
        <v>127798.8</v>
      </c>
      <c r="H1007" s="75">
        <f>H1006*33.72</f>
        <v>325027.08</v>
      </c>
      <c r="I1007" s="75">
        <f>I1006*33.72</f>
        <v>52636.92</v>
      </c>
      <c r="J1007" s="75">
        <f>J1006*33.72</f>
        <v>265207.8</v>
      </c>
      <c r="K1007" s="75">
        <f>K1006*33.72</f>
        <v>210244.19999999998</v>
      </c>
      <c r="L1007" s="75">
        <f>L1006*33.72</f>
        <v>74420.039999999994</v>
      </c>
      <c r="M1007" s="75">
        <f>M1006*33.72*2</f>
        <v>173388.24</v>
      </c>
      <c r="N1007" s="11">
        <f>N1006*33.72</f>
        <v>26436.48</v>
      </c>
      <c r="O1007" s="12"/>
      <c r="P1007" s="175"/>
    </row>
    <row r="1008" spans="1:27" ht="15.75" thickBot="1">
      <c r="A1008" s="412"/>
      <c r="B1008" s="30" t="s">
        <v>10</v>
      </c>
      <c r="C1008" s="71">
        <f>C1006*33.7/C1000</f>
        <v>1.3169609244945466</v>
      </c>
      <c r="D1008" s="71">
        <f t="shared" ref="D1008:N1008" si="908">D1006*33.7/D1000</f>
        <v>0.85779727125039262</v>
      </c>
      <c r="E1008" s="78">
        <f t="shared" si="908"/>
        <v>0.85167257831802168</v>
      </c>
      <c r="F1008" s="78">
        <f t="shared" si="908"/>
        <v>1.5605880950209292</v>
      </c>
      <c r="G1008" s="78">
        <f t="shared" si="908"/>
        <v>0.52633769547637144</v>
      </c>
      <c r="H1008" s="78">
        <f t="shared" si="908"/>
        <v>2.9511101380097924</v>
      </c>
      <c r="I1008" s="78">
        <f t="shared" si="908"/>
        <v>0.43356894070639357</v>
      </c>
      <c r="J1008" s="78">
        <f t="shared" si="908"/>
        <v>1.5502966643972307</v>
      </c>
      <c r="K1008" s="78">
        <f t="shared" si="908"/>
        <v>1.590221762749731</v>
      </c>
      <c r="L1008" s="78">
        <f t="shared" si="908"/>
        <v>1.2259918669301866</v>
      </c>
      <c r="M1008" s="79">
        <f t="shared" si="908"/>
        <v>0.49094160504117407</v>
      </c>
      <c r="N1008" s="26">
        <f t="shared" si="908"/>
        <v>0.48106917208353822</v>
      </c>
      <c r="O1008" s="12"/>
      <c r="P1008" s="175"/>
    </row>
    <row r="1009" spans="1:27" ht="15.75" customHeight="1" thickBot="1">
      <c r="A1009" s="424" t="s">
        <v>83</v>
      </c>
      <c r="B1009" s="425"/>
      <c r="C1009" s="76">
        <f>MIN(2*C1000,C1005)-C1007</f>
        <v>11383.279999999999</v>
      </c>
      <c r="D1009" s="76">
        <f t="shared" ref="D1009:N1009" si="909">MIN(2*D1000,D1005)-D1007</f>
        <v>24871.880000000005</v>
      </c>
      <c r="E1009" s="76">
        <f t="shared" si="909"/>
        <v>25478.839999999997</v>
      </c>
      <c r="F1009" s="76">
        <f t="shared" si="909"/>
        <v>43807.840000000026</v>
      </c>
      <c r="G1009" s="76">
        <f t="shared" si="909"/>
        <v>114864.8</v>
      </c>
      <c r="H1009" s="76">
        <f t="shared" si="909"/>
        <v>-104883.28000000003</v>
      </c>
      <c r="I1009" s="76">
        <f t="shared" si="909"/>
        <v>190026.68</v>
      </c>
      <c r="J1009" s="76">
        <f t="shared" si="909"/>
        <v>62792.200000000012</v>
      </c>
      <c r="K1009" s="76">
        <f t="shared" si="909"/>
        <v>54020.200000000041</v>
      </c>
      <c r="L1009" s="76">
        <f t="shared" si="909"/>
        <v>46911.760000000009</v>
      </c>
      <c r="M1009" s="76">
        <f t="shared" si="909"/>
        <v>179577.16000000003</v>
      </c>
      <c r="N1009" s="22">
        <f t="shared" si="909"/>
        <v>83405.52</v>
      </c>
      <c r="O1009" s="12"/>
      <c r="P1009" s="175"/>
    </row>
    <row r="1010" spans="1:27" ht="15.75" thickBot="1">
      <c r="A1010" s="368">
        <v>41093</v>
      </c>
      <c r="B1010" s="368"/>
      <c r="C1010" s="368"/>
      <c r="N1010" s="15"/>
    </row>
    <row r="1011" spans="1:27">
      <c r="A1011" s="407" t="s">
        <v>1</v>
      </c>
      <c r="B1011" s="420"/>
      <c r="C1011" s="68" t="s">
        <v>12</v>
      </c>
      <c r="D1011" s="68" t="s">
        <v>12</v>
      </c>
      <c r="E1011" s="68" t="s">
        <v>13</v>
      </c>
      <c r="F1011" s="68" t="s">
        <v>13</v>
      </c>
      <c r="G1011" s="68" t="s">
        <v>13</v>
      </c>
      <c r="H1011" s="68" t="s">
        <v>13</v>
      </c>
      <c r="I1011" s="68" t="s">
        <v>13</v>
      </c>
      <c r="J1011" s="68" t="s">
        <v>2</v>
      </c>
      <c r="K1011" s="68" t="s">
        <v>2</v>
      </c>
      <c r="L1011" s="68" t="s">
        <v>2</v>
      </c>
      <c r="M1011" s="68" t="s">
        <v>2</v>
      </c>
      <c r="N1011" s="4" t="s">
        <v>84</v>
      </c>
      <c r="P1011" s="174"/>
      <c r="Q1011" s="175"/>
      <c r="R1011" s="175"/>
      <c r="S1011" s="175"/>
      <c r="T1011" s="175"/>
      <c r="U1011" s="175"/>
      <c r="V1011" s="175"/>
      <c r="W1011" s="175"/>
      <c r="X1011" s="175"/>
      <c r="Y1011" s="174"/>
      <c r="Z1011" s="175"/>
      <c r="AA1011" s="175"/>
    </row>
    <row r="1012" spans="1:27" ht="15.75" thickBot="1">
      <c r="A1012" s="409" t="s">
        <v>0</v>
      </c>
      <c r="B1012" s="414"/>
      <c r="C1012" s="99" t="s">
        <v>102</v>
      </c>
      <c r="D1012" s="99" t="s">
        <v>103</v>
      </c>
      <c r="E1012" s="99" t="s">
        <v>104</v>
      </c>
      <c r="F1012" s="99" t="s">
        <v>105</v>
      </c>
      <c r="G1012" s="99" t="s">
        <v>100</v>
      </c>
      <c r="H1012" s="99" t="s">
        <v>107</v>
      </c>
      <c r="I1012" s="99" t="s">
        <v>106</v>
      </c>
      <c r="J1012" s="99" t="s">
        <v>108</v>
      </c>
      <c r="K1012" s="99" t="s">
        <v>110</v>
      </c>
      <c r="L1012" s="99" t="s">
        <v>101</v>
      </c>
      <c r="M1012" s="99" t="s">
        <v>109</v>
      </c>
      <c r="N1012" s="101" t="s">
        <v>111</v>
      </c>
      <c r="P1012" s="142"/>
      <c r="Y1012" s="142"/>
      <c r="Z1012" s="104"/>
      <c r="AA1012" s="104"/>
    </row>
    <row r="1013" spans="1:27" ht="15" customHeight="1">
      <c r="A1013" s="421" t="s">
        <v>9</v>
      </c>
      <c r="B1013" s="2" t="s">
        <v>4</v>
      </c>
      <c r="C1013" s="96">
        <v>115816.8</v>
      </c>
      <c r="D1013" s="96">
        <v>99041.7</v>
      </c>
      <c r="E1013" s="96">
        <v>99041.7</v>
      </c>
      <c r="F1013" s="96">
        <v>181997.8</v>
      </c>
      <c r="G1013" s="96">
        <v>121331.8</v>
      </c>
      <c r="H1013" s="96">
        <v>110071.9</v>
      </c>
      <c r="I1013" s="96">
        <v>121331.8</v>
      </c>
      <c r="J1013" s="96">
        <v>170967.6</v>
      </c>
      <c r="K1013" s="96">
        <v>132132.20000000001</v>
      </c>
      <c r="L1013" s="96">
        <v>60665.9</v>
      </c>
      <c r="M1013" s="96">
        <v>176482.7</v>
      </c>
      <c r="N1013" s="100">
        <v>54921</v>
      </c>
      <c r="O1013" s="12"/>
      <c r="P1013" s="142"/>
      <c r="Y1013" s="142"/>
      <c r="Z1013" s="104"/>
      <c r="AA1013" s="104"/>
    </row>
    <row r="1014" spans="1:27" s="64" customFormat="1">
      <c r="A1014" s="422"/>
      <c r="B1014" s="63" t="s">
        <v>5</v>
      </c>
      <c r="C1014" s="97">
        <v>91978.8</v>
      </c>
      <c r="D1014" s="97">
        <v>69226.7</v>
      </c>
      <c r="E1014" s="97">
        <v>70801.5</v>
      </c>
      <c r="F1014" s="97">
        <v>151291.70000000001</v>
      </c>
      <c r="G1014" s="97">
        <v>23774.9</v>
      </c>
      <c r="H1014" s="97">
        <v>44231.5</v>
      </c>
      <c r="I1014" s="97">
        <v>21473.3</v>
      </c>
      <c r="J1014" s="97">
        <v>136747.20000000001</v>
      </c>
      <c r="K1014" s="97">
        <v>49602</v>
      </c>
      <c r="L1014" s="97">
        <v>17686.7</v>
      </c>
      <c r="M1014" s="97">
        <v>81773.5</v>
      </c>
      <c r="N1014" s="102">
        <v>23973.4</v>
      </c>
      <c r="O1014" s="12"/>
      <c r="P1014" s="142"/>
      <c r="Q1014" s="104"/>
      <c r="R1014" s="104"/>
      <c r="S1014" s="104"/>
      <c r="T1014" s="104"/>
      <c r="U1014" s="104"/>
      <c r="V1014" s="104"/>
      <c r="W1014" s="104"/>
      <c r="X1014" s="104"/>
      <c r="Y1014" s="142"/>
      <c r="Z1014" s="104"/>
      <c r="AA1014" s="104"/>
    </row>
    <row r="1015" spans="1:27" ht="15.75" thickBot="1">
      <c r="A1015" s="423"/>
      <c r="B1015" s="3" t="s">
        <v>3</v>
      </c>
      <c r="C1015" s="71">
        <f>C1014/C1013</f>
        <v>0.7941749383509128</v>
      </c>
      <c r="D1015" s="72">
        <f t="shared" ref="D1015:E1015" si="910">D1014/D1013</f>
        <v>0.69896518335206281</v>
      </c>
      <c r="E1015" s="72">
        <f t="shared" si="910"/>
        <v>0.71486555662917739</v>
      </c>
      <c r="F1015" s="72">
        <f>F1014/F1013</f>
        <v>0.83128312540041704</v>
      </c>
      <c r="G1015" s="72">
        <f>G1014/G1013</f>
        <v>0.19594945430629068</v>
      </c>
      <c r="H1015" s="72">
        <f t="shared" ref="H1015:N1015" si="911">H1014/H1013</f>
        <v>0.40184188698477996</v>
      </c>
      <c r="I1015" s="72">
        <f t="shared" si="911"/>
        <v>0.17697998381298224</v>
      </c>
      <c r="J1015" s="72">
        <f t="shared" si="911"/>
        <v>0.79984277722796604</v>
      </c>
      <c r="K1015" s="72">
        <f t="shared" si="911"/>
        <v>0.37539676172802688</v>
      </c>
      <c r="L1015" s="72">
        <f t="shared" si="911"/>
        <v>0.291542695319776</v>
      </c>
      <c r="M1015" s="72">
        <f t="shared" si="911"/>
        <v>0.46335136531796034</v>
      </c>
      <c r="N1015" s="83">
        <f t="shared" si="911"/>
        <v>0.43650698275705108</v>
      </c>
      <c r="O1015" s="12"/>
      <c r="Y1015" s="14"/>
      <c r="Z1015" s="104"/>
      <c r="AA1015" s="104"/>
    </row>
    <row r="1016" spans="1:27" ht="15" customHeight="1">
      <c r="A1016" s="411" t="s">
        <v>6</v>
      </c>
      <c r="B1016" s="27" t="s">
        <v>7</v>
      </c>
      <c r="C1016" s="68">
        <v>5155</v>
      </c>
      <c r="D1016" s="68">
        <v>3240</v>
      </c>
      <c r="E1016" s="68">
        <v>3223</v>
      </c>
      <c r="F1016" s="68">
        <v>9568</v>
      </c>
      <c r="G1016" s="68">
        <v>5000</v>
      </c>
      <c r="H1016" s="68">
        <v>11504</v>
      </c>
      <c r="I1016" s="68">
        <f>(4000-2000)</f>
        <v>2000</v>
      </c>
      <c r="J1016" s="68">
        <v>9193</v>
      </c>
      <c r="K1016" s="68">
        <v>8610</v>
      </c>
      <c r="L1016" s="68">
        <v>2500</v>
      </c>
      <c r="M1016" s="68">
        <f>5451-2614</f>
        <v>2837</v>
      </c>
      <c r="N1016" s="80">
        <v>830</v>
      </c>
      <c r="O1016" s="12"/>
      <c r="P1016" s="142"/>
      <c r="Y1016" s="142"/>
      <c r="Z1016" s="104"/>
      <c r="AA1016" s="104"/>
    </row>
    <row r="1017" spans="1:27">
      <c r="A1017" s="412"/>
      <c r="B1017" s="28" t="s">
        <v>11</v>
      </c>
      <c r="C1017" s="73">
        <f t="shared" ref="C1017:I1017" si="912">C1016*33.72</f>
        <v>173826.6</v>
      </c>
      <c r="D1017" s="73">
        <f t="shared" si="912"/>
        <v>109252.8</v>
      </c>
      <c r="E1017" s="73">
        <f t="shared" si="912"/>
        <v>108679.56</v>
      </c>
      <c r="F1017" s="73">
        <f t="shared" si="912"/>
        <v>322632.95999999996</v>
      </c>
      <c r="G1017" s="73">
        <f t="shared" si="912"/>
        <v>168600</v>
      </c>
      <c r="H1017" s="73">
        <f t="shared" si="912"/>
        <v>387914.88</v>
      </c>
      <c r="I1017" s="73">
        <f t="shared" si="912"/>
        <v>67440</v>
      </c>
      <c r="J1017" s="73">
        <f>J1016*33.72</f>
        <v>309987.95999999996</v>
      </c>
      <c r="K1017" s="73">
        <f t="shared" ref="K1017:N1017" si="913">K1016*33.72</f>
        <v>290329.2</v>
      </c>
      <c r="L1017" s="73">
        <f t="shared" si="913"/>
        <v>84300</v>
      </c>
      <c r="M1017" s="73">
        <f t="shared" si="913"/>
        <v>95663.64</v>
      </c>
      <c r="N1017" s="73">
        <f t="shared" si="913"/>
        <v>27987.599999999999</v>
      </c>
      <c r="O1017" s="12"/>
      <c r="P1017" s="142"/>
      <c r="Y1017" s="142"/>
      <c r="Z1017" s="104"/>
      <c r="AA1017" s="104"/>
    </row>
    <row r="1018" spans="1:27">
      <c r="A1018" s="412"/>
      <c r="B1018" s="28" t="s">
        <v>79</v>
      </c>
      <c r="C1018" s="73">
        <v>164000</v>
      </c>
      <c r="D1018" s="73">
        <v>109880</v>
      </c>
      <c r="E1018" s="73">
        <v>109880</v>
      </c>
      <c r="F1018" s="73">
        <v>328000</v>
      </c>
      <c r="G1018" s="73">
        <f>G1013*2</f>
        <v>242663.6</v>
      </c>
      <c r="H1018" s="73">
        <f>H1013*2</f>
        <v>220143.8</v>
      </c>
      <c r="I1018" s="73">
        <f>I1013*2</f>
        <v>242663.6</v>
      </c>
      <c r="J1018" s="73">
        <v>328000</v>
      </c>
      <c r="K1018" s="73">
        <f>K1013*2</f>
        <v>264264.40000000002</v>
      </c>
      <c r="L1018" s="73">
        <v>328000</v>
      </c>
      <c r="M1018" s="73">
        <f>2*M1013</f>
        <v>352965.4</v>
      </c>
      <c r="N1018" s="84">
        <f>2*N1013</f>
        <v>109842</v>
      </c>
      <c r="O1018" s="12"/>
      <c r="Y1018" s="14"/>
      <c r="Z1018" s="104"/>
      <c r="AA1018" s="104"/>
    </row>
    <row r="1019" spans="1:27" s="64" customFormat="1">
      <c r="A1019" s="412"/>
      <c r="B1019" s="66" t="s">
        <v>8</v>
      </c>
      <c r="C1019" s="98">
        <f>SUM(C1016-629)</f>
        <v>4526</v>
      </c>
      <c r="D1019" s="98">
        <f>SUM(D1016-719)</f>
        <v>2521</v>
      </c>
      <c r="E1019" s="98">
        <f>SUM(E1016-720)</f>
        <v>2503</v>
      </c>
      <c r="F1019" s="98">
        <f>SUM(F1016-1140)</f>
        <v>8428</v>
      </c>
      <c r="G1019" s="98">
        <f>SUM(G1016-3105)</f>
        <v>1895</v>
      </c>
      <c r="H1019" s="98">
        <f>SUM(H1016-1865)</f>
        <v>9639</v>
      </c>
      <c r="I1019" s="98">
        <f>SUM(I1016-(2439-2000))</f>
        <v>1561</v>
      </c>
      <c r="J1019" s="98">
        <f>SUM(J1016-1328)</f>
        <v>7865</v>
      </c>
      <c r="K1019" s="98">
        <f>SUM(K1016-2375)</f>
        <v>6235</v>
      </c>
      <c r="L1019" s="98">
        <f>SUM(L1016-293)</f>
        <v>2207</v>
      </c>
      <c r="M1019" s="98">
        <f>SUM(M1016-(2880-2614))</f>
        <v>2571</v>
      </c>
      <c r="N1019" s="103">
        <f>SUM(N1016-46)</f>
        <v>784</v>
      </c>
      <c r="O1019" s="12"/>
      <c r="P1019" s="175"/>
      <c r="Q1019" s="67"/>
      <c r="R1019" s="67"/>
      <c r="S1019" s="67"/>
      <c r="T1019" s="67"/>
      <c r="U1019" s="67"/>
      <c r="V1019" s="67"/>
      <c r="W1019" s="67"/>
    </row>
    <row r="1020" spans="1:27">
      <c r="A1020" s="412"/>
      <c r="B1020" s="29" t="s">
        <v>77</v>
      </c>
      <c r="C1020" s="75">
        <f>C1019*33.72</f>
        <v>152616.72</v>
      </c>
      <c r="D1020" s="75">
        <f>D1019*33.72</f>
        <v>85008.12</v>
      </c>
      <c r="E1020" s="75">
        <f>E1019*33.72</f>
        <v>84401.16</v>
      </c>
      <c r="F1020" s="75">
        <f>F1019*33.72</f>
        <v>284192.15999999997</v>
      </c>
      <c r="G1020" s="75">
        <f>G1019*33.72*2</f>
        <v>127798.8</v>
      </c>
      <c r="H1020" s="75">
        <f>H1019*33.72</f>
        <v>325027.08</v>
      </c>
      <c r="I1020" s="75">
        <f>I1019*33.72</f>
        <v>52636.92</v>
      </c>
      <c r="J1020" s="75">
        <f>J1019*33.72</f>
        <v>265207.8</v>
      </c>
      <c r="K1020" s="75">
        <f>K1019*33.72</f>
        <v>210244.19999999998</v>
      </c>
      <c r="L1020" s="75">
        <f>L1019*33.72</f>
        <v>74420.039999999994</v>
      </c>
      <c r="M1020" s="75">
        <f>M1019*33.72*2</f>
        <v>173388.24</v>
      </c>
      <c r="N1020" s="11">
        <f>N1019*33.72</f>
        <v>26436.48</v>
      </c>
      <c r="O1020" s="12"/>
      <c r="P1020" s="175"/>
    </row>
    <row r="1021" spans="1:27" ht="15.75" thickBot="1">
      <c r="A1021" s="412"/>
      <c r="B1021" s="30" t="s">
        <v>10</v>
      </c>
      <c r="C1021" s="71">
        <f>C1019*33.7/C1013</f>
        <v>1.3169609244945466</v>
      </c>
      <c r="D1021" s="71">
        <f t="shared" ref="D1021:N1021" si="914">D1019*33.7/D1013</f>
        <v>0.85779727125039262</v>
      </c>
      <c r="E1021" s="78">
        <f t="shared" si="914"/>
        <v>0.85167257831802168</v>
      </c>
      <c r="F1021" s="78">
        <f t="shared" si="914"/>
        <v>1.5605880950209292</v>
      </c>
      <c r="G1021" s="78">
        <f t="shared" si="914"/>
        <v>0.52633769547637144</v>
      </c>
      <c r="H1021" s="78">
        <f t="shared" si="914"/>
        <v>2.9511101380097924</v>
      </c>
      <c r="I1021" s="78">
        <f t="shared" si="914"/>
        <v>0.43356894070639357</v>
      </c>
      <c r="J1021" s="78">
        <f t="shared" si="914"/>
        <v>1.5502966643972307</v>
      </c>
      <c r="K1021" s="78">
        <f t="shared" si="914"/>
        <v>1.590221762749731</v>
      </c>
      <c r="L1021" s="78">
        <f t="shared" si="914"/>
        <v>1.2259918669301866</v>
      </c>
      <c r="M1021" s="79">
        <f t="shared" si="914"/>
        <v>0.49094160504117407</v>
      </c>
      <c r="N1021" s="26">
        <f t="shared" si="914"/>
        <v>0.48106917208353822</v>
      </c>
      <c r="O1021" s="12"/>
      <c r="P1021" s="175"/>
    </row>
    <row r="1022" spans="1:27" ht="15.75" customHeight="1" thickBot="1">
      <c r="A1022" s="424" t="s">
        <v>83</v>
      </c>
      <c r="B1022" s="425"/>
      <c r="C1022" s="76">
        <f>MIN(2*C1013,C1018)-C1020</f>
        <v>11383.279999999999</v>
      </c>
      <c r="D1022" s="76">
        <f t="shared" ref="D1022:N1022" si="915">MIN(2*D1013,D1018)-D1020</f>
        <v>24871.880000000005</v>
      </c>
      <c r="E1022" s="76">
        <f t="shared" si="915"/>
        <v>25478.839999999997</v>
      </c>
      <c r="F1022" s="76">
        <f t="shared" si="915"/>
        <v>43807.840000000026</v>
      </c>
      <c r="G1022" s="76">
        <f t="shared" si="915"/>
        <v>114864.8</v>
      </c>
      <c r="H1022" s="76">
        <f t="shared" si="915"/>
        <v>-104883.28000000003</v>
      </c>
      <c r="I1022" s="76">
        <f t="shared" si="915"/>
        <v>190026.68</v>
      </c>
      <c r="J1022" s="76">
        <f t="shared" si="915"/>
        <v>62792.200000000012</v>
      </c>
      <c r="K1022" s="76">
        <f t="shared" si="915"/>
        <v>54020.200000000041</v>
      </c>
      <c r="L1022" s="76">
        <f t="shared" si="915"/>
        <v>46911.760000000009</v>
      </c>
      <c r="M1022" s="76">
        <f t="shared" si="915"/>
        <v>179577.16000000003</v>
      </c>
      <c r="N1022" s="22">
        <f t="shared" si="915"/>
        <v>83405.52</v>
      </c>
      <c r="O1022" s="12"/>
      <c r="P1022" s="175"/>
    </row>
    <row r="1023" spans="1:27" ht="15.75" thickBot="1">
      <c r="A1023" s="368">
        <v>41092</v>
      </c>
      <c r="B1023" s="368"/>
      <c r="C1023" s="368"/>
      <c r="N1023" s="15"/>
    </row>
    <row r="1024" spans="1:27">
      <c r="A1024" s="407" t="s">
        <v>1</v>
      </c>
      <c r="B1024" s="420"/>
      <c r="C1024" s="68" t="s">
        <v>12</v>
      </c>
      <c r="D1024" s="68" t="s">
        <v>12</v>
      </c>
      <c r="E1024" s="68" t="s">
        <v>13</v>
      </c>
      <c r="F1024" s="68" t="s">
        <v>13</v>
      </c>
      <c r="G1024" s="68" t="s">
        <v>13</v>
      </c>
      <c r="H1024" s="68" t="s">
        <v>13</v>
      </c>
      <c r="I1024" s="68" t="s">
        <v>13</v>
      </c>
      <c r="J1024" s="68" t="s">
        <v>2</v>
      </c>
      <c r="K1024" s="68" t="s">
        <v>2</v>
      </c>
      <c r="L1024" s="68" t="s">
        <v>2</v>
      </c>
      <c r="M1024" s="68" t="s">
        <v>2</v>
      </c>
      <c r="N1024" s="4" t="s">
        <v>84</v>
      </c>
      <c r="P1024" s="174"/>
      <c r="Q1024" s="175"/>
      <c r="R1024" s="175"/>
      <c r="S1024" s="175"/>
      <c r="T1024" s="175"/>
      <c r="U1024" s="175"/>
      <c r="V1024" s="175"/>
      <c r="W1024" s="175"/>
      <c r="X1024" s="175"/>
      <c r="Y1024" s="174"/>
      <c r="Z1024" s="175"/>
      <c r="AA1024" s="175"/>
    </row>
    <row r="1025" spans="1:27" ht="15.75" thickBot="1">
      <c r="A1025" s="409" t="s">
        <v>0</v>
      </c>
      <c r="B1025" s="414"/>
      <c r="C1025" s="99" t="s">
        <v>102</v>
      </c>
      <c r="D1025" s="99" t="s">
        <v>103</v>
      </c>
      <c r="E1025" s="99" t="s">
        <v>104</v>
      </c>
      <c r="F1025" s="99" t="s">
        <v>105</v>
      </c>
      <c r="G1025" s="99" t="s">
        <v>100</v>
      </c>
      <c r="H1025" s="99" t="s">
        <v>107</v>
      </c>
      <c r="I1025" s="99" t="s">
        <v>106</v>
      </c>
      <c r="J1025" s="99" t="s">
        <v>108</v>
      </c>
      <c r="K1025" s="99" t="s">
        <v>110</v>
      </c>
      <c r="L1025" s="99" t="s">
        <v>101</v>
      </c>
      <c r="M1025" s="99" t="s">
        <v>109</v>
      </c>
      <c r="N1025" s="101" t="s">
        <v>111</v>
      </c>
      <c r="P1025" s="142"/>
      <c r="Y1025" s="142"/>
      <c r="Z1025" s="104"/>
      <c r="AA1025" s="104"/>
    </row>
    <row r="1026" spans="1:27" ht="15" customHeight="1">
      <c r="A1026" s="421" t="s">
        <v>9</v>
      </c>
      <c r="B1026" s="2" t="s">
        <v>4</v>
      </c>
      <c r="C1026" s="96">
        <v>115816.8</v>
      </c>
      <c r="D1026" s="96">
        <v>99041.7</v>
      </c>
      <c r="E1026" s="96">
        <v>99041.7</v>
      </c>
      <c r="F1026" s="96">
        <v>181997.8</v>
      </c>
      <c r="G1026" s="96">
        <v>121331.8</v>
      </c>
      <c r="H1026" s="96">
        <v>110071.9</v>
      </c>
      <c r="I1026" s="96">
        <v>121331.8</v>
      </c>
      <c r="J1026" s="96">
        <v>170967.6</v>
      </c>
      <c r="K1026" s="96">
        <v>132132.20000000001</v>
      </c>
      <c r="L1026" s="96">
        <v>60665.9</v>
      </c>
      <c r="M1026" s="96">
        <v>176482.7</v>
      </c>
      <c r="N1026" s="100">
        <v>54921</v>
      </c>
      <c r="O1026" s="12"/>
      <c r="P1026" s="142"/>
      <c r="Y1026" s="142"/>
      <c r="Z1026" s="104"/>
      <c r="AA1026" s="104"/>
    </row>
    <row r="1027" spans="1:27" s="64" customFormat="1">
      <c r="A1027" s="422"/>
      <c r="B1027" s="63" t="s">
        <v>5</v>
      </c>
      <c r="C1027" s="97">
        <v>91925.2</v>
      </c>
      <c r="D1027" s="97">
        <v>69224.2</v>
      </c>
      <c r="E1027" s="97">
        <v>70800.5</v>
      </c>
      <c r="F1027" s="97">
        <v>151208.4</v>
      </c>
      <c r="G1027" s="97">
        <v>23674.400000000001</v>
      </c>
      <c r="H1027" s="97">
        <v>44379.8</v>
      </c>
      <c r="I1027" s="97">
        <v>21440.6</v>
      </c>
      <c r="J1027" s="97">
        <v>136615.4</v>
      </c>
      <c r="K1027" s="97">
        <v>49555.5</v>
      </c>
      <c r="L1027" s="97">
        <v>17428.2</v>
      </c>
      <c r="M1027" s="97">
        <v>81702.600000000006</v>
      </c>
      <c r="N1027" s="102">
        <v>23969.9</v>
      </c>
      <c r="O1027" s="12"/>
      <c r="P1027" s="142"/>
      <c r="Q1027" s="104"/>
      <c r="R1027" s="104"/>
      <c r="S1027" s="104"/>
      <c r="T1027" s="104"/>
      <c r="U1027" s="104"/>
      <c r="V1027" s="104"/>
      <c r="W1027" s="104"/>
      <c r="X1027" s="104"/>
      <c r="Y1027" s="142"/>
      <c r="Z1027" s="104"/>
      <c r="AA1027" s="104"/>
    </row>
    <row r="1028" spans="1:27" ht="15.75" thickBot="1">
      <c r="A1028" s="423"/>
      <c r="B1028" s="3" t="s">
        <v>3</v>
      </c>
      <c r="C1028" s="71">
        <f>C1027/C1026</f>
        <v>0.79371213848077304</v>
      </c>
      <c r="D1028" s="72">
        <f t="shared" ref="D1028:E1028" si="916">D1027/D1026</f>
        <v>0.69893994145900162</v>
      </c>
      <c r="E1028" s="72">
        <f t="shared" si="916"/>
        <v>0.71485545987195298</v>
      </c>
      <c r="F1028" s="72">
        <f>F1027/F1026</f>
        <v>0.83082542756011335</v>
      </c>
      <c r="G1028" s="72">
        <f>G1027/G1026</f>
        <v>0.1951211471353759</v>
      </c>
      <c r="H1028" s="72">
        <f t="shared" ref="H1028:N1028" si="917">H1027/H1026</f>
        <v>0.40318918815792226</v>
      </c>
      <c r="I1028" s="72">
        <f t="shared" si="917"/>
        <v>0.17671047491259503</v>
      </c>
      <c r="J1028" s="72">
        <f t="shared" si="917"/>
        <v>0.79907187092759091</v>
      </c>
      <c r="K1028" s="72">
        <f t="shared" si="917"/>
        <v>0.3750448414542405</v>
      </c>
      <c r="L1028" s="72">
        <f t="shared" si="917"/>
        <v>0.28728165246044318</v>
      </c>
      <c r="M1028" s="72">
        <f t="shared" si="917"/>
        <v>0.46294962622398683</v>
      </c>
      <c r="N1028" s="83">
        <f t="shared" si="917"/>
        <v>0.43644325485697644</v>
      </c>
      <c r="O1028" s="12"/>
      <c r="Y1028" s="14"/>
      <c r="Z1028" s="104"/>
      <c r="AA1028" s="104"/>
    </row>
    <row r="1029" spans="1:27" ht="15" customHeight="1">
      <c r="A1029" s="411" t="s">
        <v>6</v>
      </c>
      <c r="B1029" s="27" t="s">
        <v>7</v>
      </c>
      <c r="C1029" s="68">
        <v>5155</v>
      </c>
      <c r="D1029" s="68">
        <v>3240</v>
      </c>
      <c r="E1029" s="68">
        <v>3223</v>
      </c>
      <c r="F1029" s="68">
        <v>9568</v>
      </c>
      <c r="G1029" s="68">
        <v>5000</v>
      </c>
      <c r="H1029" s="68">
        <v>11504</v>
      </c>
      <c r="I1029" s="68">
        <f>(4000-2000)</f>
        <v>2000</v>
      </c>
      <c r="J1029" s="68">
        <v>9193</v>
      </c>
      <c r="K1029" s="68">
        <v>8610</v>
      </c>
      <c r="L1029" s="68">
        <v>2500</v>
      </c>
      <c r="M1029" s="68">
        <f>5451-2614</f>
        <v>2837</v>
      </c>
      <c r="N1029" s="80">
        <v>830</v>
      </c>
      <c r="O1029" s="12"/>
      <c r="P1029" s="142"/>
      <c r="Y1029" s="142"/>
      <c r="Z1029" s="104"/>
      <c r="AA1029" s="104"/>
    </row>
    <row r="1030" spans="1:27">
      <c r="A1030" s="412"/>
      <c r="B1030" s="28" t="s">
        <v>11</v>
      </c>
      <c r="C1030" s="73">
        <f t="shared" ref="C1030:I1030" si="918">C1029*33.72</f>
        <v>173826.6</v>
      </c>
      <c r="D1030" s="73">
        <f t="shared" si="918"/>
        <v>109252.8</v>
      </c>
      <c r="E1030" s="73">
        <f t="shared" si="918"/>
        <v>108679.56</v>
      </c>
      <c r="F1030" s="73">
        <f t="shared" si="918"/>
        <v>322632.95999999996</v>
      </c>
      <c r="G1030" s="73">
        <f t="shared" si="918"/>
        <v>168600</v>
      </c>
      <c r="H1030" s="73">
        <f t="shared" si="918"/>
        <v>387914.88</v>
      </c>
      <c r="I1030" s="73">
        <f t="shared" si="918"/>
        <v>67440</v>
      </c>
      <c r="J1030" s="73">
        <f>J1029*33.72</f>
        <v>309987.95999999996</v>
      </c>
      <c r="K1030" s="73">
        <f t="shared" ref="K1030:N1030" si="919">K1029*33.72</f>
        <v>290329.2</v>
      </c>
      <c r="L1030" s="73">
        <f t="shared" si="919"/>
        <v>84300</v>
      </c>
      <c r="M1030" s="73">
        <f t="shared" si="919"/>
        <v>95663.64</v>
      </c>
      <c r="N1030" s="73">
        <f t="shared" si="919"/>
        <v>27987.599999999999</v>
      </c>
      <c r="O1030" s="12"/>
      <c r="P1030" s="142"/>
      <c r="Y1030" s="142"/>
      <c r="Z1030" s="104"/>
      <c r="AA1030" s="104"/>
    </row>
    <row r="1031" spans="1:27">
      <c r="A1031" s="412"/>
      <c r="B1031" s="28" t="s">
        <v>79</v>
      </c>
      <c r="C1031" s="73">
        <v>164000</v>
      </c>
      <c r="D1031" s="73">
        <v>109880</v>
      </c>
      <c r="E1031" s="73">
        <v>109880</v>
      </c>
      <c r="F1031" s="73">
        <v>328000</v>
      </c>
      <c r="G1031" s="73">
        <f>G1026*2</f>
        <v>242663.6</v>
      </c>
      <c r="H1031" s="73">
        <f>H1026*2</f>
        <v>220143.8</v>
      </c>
      <c r="I1031" s="73">
        <f>I1026*2</f>
        <v>242663.6</v>
      </c>
      <c r="J1031" s="73">
        <v>328000</v>
      </c>
      <c r="K1031" s="73">
        <f>K1026*2</f>
        <v>264264.40000000002</v>
      </c>
      <c r="L1031" s="73">
        <v>328000</v>
      </c>
      <c r="M1031" s="73">
        <f>2*M1026</f>
        <v>352965.4</v>
      </c>
      <c r="N1031" s="84">
        <f>2*N1026</f>
        <v>109842</v>
      </c>
      <c r="O1031" s="12"/>
      <c r="Y1031" s="14"/>
      <c r="Z1031" s="104"/>
      <c r="AA1031" s="104"/>
    </row>
    <row r="1032" spans="1:27" s="64" customFormat="1">
      <c r="A1032" s="412"/>
      <c r="B1032" s="66" t="s">
        <v>8</v>
      </c>
      <c r="C1032" s="98">
        <f>SUM(C1029-629)</f>
        <v>4526</v>
      </c>
      <c r="D1032" s="98">
        <f>SUM(D1029-719)</f>
        <v>2521</v>
      </c>
      <c r="E1032" s="98">
        <f>SUM(E1029-720)</f>
        <v>2503</v>
      </c>
      <c r="F1032" s="98">
        <f>SUM(F1029-1140)</f>
        <v>8428</v>
      </c>
      <c r="G1032" s="98">
        <f>SUM(G1029-3105)</f>
        <v>1895</v>
      </c>
      <c r="H1032" s="98">
        <f>SUM(H1029-1865)</f>
        <v>9639</v>
      </c>
      <c r="I1032" s="98">
        <f>SUM(I1029-(2439-2000))</f>
        <v>1561</v>
      </c>
      <c r="J1032" s="98">
        <f>SUM(J1029-1328)</f>
        <v>7865</v>
      </c>
      <c r="K1032" s="98">
        <f>SUM(K1029-3383)</f>
        <v>5227</v>
      </c>
      <c r="L1032" s="98">
        <f>SUM(L1029-293)</f>
        <v>2207</v>
      </c>
      <c r="M1032" s="98">
        <f>SUM(M1029-(2880-2614))</f>
        <v>2571</v>
      </c>
      <c r="N1032" s="103">
        <f>SUM(N1029-46)</f>
        <v>784</v>
      </c>
      <c r="O1032" s="12"/>
      <c r="P1032" s="175"/>
      <c r="Q1032" s="67"/>
      <c r="R1032" s="67"/>
      <c r="S1032" s="67"/>
      <c r="T1032" s="67"/>
      <c r="U1032" s="67"/>
      <c r="V1032" s="67"/>
      <c r="W1032" s="67"/>
    </row>
    <row r="1033" spans="1:27">
      <c r="A1033" s="412"/>
      <c r="B1033" s="29" t="s">
        <v>77</v>
      </c>
      <c r="C1033" s="75">
        <f>C1032*33.72</f>
        <v>152616.72</v>
      </c>
      <c r="D1033" s="75">
        <f>D1032*33.72</f>
        <v>85008.12</v>
      </c>
      <c r="E1033" s="75">
        <f>E1032*33.72</f>
        <v>84401.16</v>
      </c>
      <c r="F1033" s="75">
        <f>F1032*33.72</f>
        <v>284192.15999999997</v>
      </c>
      <c r="G1033" s="75">
        <f>G1032*33.72*2</f>
        <v>127798.8</v>
      </c>
      <c r="H1033" s="75">
        <f>H1032*33.72</f>
        <v>325027.08</v>
      </c>
      <c r="I1033" s="75">
        <f>I1032*33.72</f>
        <v>52636.92</v>
      </c>
      <c r="J1033" s="75">
        <f>J1032*33.72</f>
        <v>265207.8</v>
      </c>
      <c r="K1033" s="75">
        <f>K1032*33.72</f>
        <v>176254.44</v>
      </c>
      <c r="L1033" s="75">
        <f>L1032*33.72</f>
        <v>74420.039999999994</v>
      </c>
      <c r="M1033" s="75">
        <f>M1032*33.72*2</f>
        <v>173388.24</v>
      </c>
      <c r="N1033" s="11">
        <f>N1032*33.72</f>
        <v>26436.48</v>
      </c>
      <c r="O1033" s="12"/>
      <c r="P1033" s="175"/>
    </row>
    <row r="1034" spans="1:27" ht="15.75" thickBot="1">
      <c r="A1034" s="412"/>
      <c r="B1034" s="30" t="s">
        <v>10</v>
      </c>
      <c r="C1034" s="71">
        <f>C1032*33.7/C1026</f>
        <v>1.3169609244945466</v>
      </c>
      <c r="D1034" s="71">
        <f t="shared" ref="D1034:N1034" si="920">D1032*33.7/D1026</f>
        <v>0.85779727125039262</v>
      </c>
      <c r="E1034" s="78">
        <f t="shared" si="920"/>
        <v>0.85167257831802168</v>
      </c>
      <c r="F1034" s="78">
        <f t="shared" si="920"/>
        <v>1.5605880950209292</v>
      </c>
      <c r="G1034" s="78">
        <f t="shared" si="920"/>
        <v>0.52633769547637144</v>
      </c>
      <c r="H1034" s="78">
        <f t="shared" si="920"/>
        <v>2.9511101380097924</v>
      </c>
      <c r="I1034" s="78">
        <f t="shared" si="920"/>
        <v>0.43356894070639357</v>
      </c>
      <c r="J1034" s="78">
        <f t="shared" si="920"/>
        <v>1.5502966643972307</v>
      </c>
      <c r="K1034" s="78">
        <f t="shared" si="920"/>
        <v>1.3331337857085557</v>
      </c>
      <c r="L1034" s="78">
        <f t="shared" si="920"/>
        <v>1.2259918669301866</v>
      </c>
      <c r="M1034" s="79">
        <f t="shared" si="920"/>
        <v>0.49094160504117407</v>
      </c>
      <c r="N1034" s="26">
        <f t="shared" si="920"/>
        <v>0.48106917208353822</v>
      </c>
      <c r="O1034" s="12"/>
      <c r="P1034" s="175"/>
    </row>
    <row r="1035" spans="1:27" ht="15.75" customHeight="1" thickBot="1">
      <c r="A1035" s="424" t="s">
        <v>83</v>
      </c>
      <c r="B1035" s="425"/>
      <c r="C1035" s="76">
        <f>MIN(2*C1026,C1031)-C1033</f>
        <v>11383.279999999999</v>
      </c>
      <c r="D1035" s="76">
        <f t="shared" ref="D1035:N1035" si="921">MIN(2*D1026,D1031)-D1033</f>
        <v>24871.880000000005</v>
      </c>
      <c r="E1035" s="76">
        <f t="shared" si="921"/>
        <v>25478.839999999997</v>
      </c>
      <c r="F1035" s="76">
        <f t="shared" si="921"/>
        <v>43807.840000000026</v>
      </c>
      <c r="G1035" s="76">
        <f t="shared" si="921"/>
        <v>114864.8</v>
      </c>
      <c r="H1035" s="76">
        <f t="shared" si="921"/>
        <v>-104883.28000000003</v>
      </c>
      <c r="I1035" s="76">
        <f t="shared" si="921"/>
        <v>190026.68</v>
      </c>
      <c r="J1035" s="76">
        <f t="shared" si="921"/>
        <v>62792.200000000012</v>
      </c>
      <c r="K1035" s="76">
        <f t="shared" si="921"/>
        <v>88009.960000000021</v>
      </c>
      <c r="L1035" s="76">
        <f t="shared" si="921"/>
        <v>46911.760000000009</v>
      </c>
      <c r="M1035" s="76">
        <f t="shared" si="921"/>
        <v>179577.16000000003</v>
      </c>
      <c r="N1035" s="22">
        <f t="shared" si="921"/>
        <v>83405.52</v>
      </c>
      <c r="O1035" s="12"/>
      <c r="P1035" s="175"/>
    </row>
    <row r="1036" spans="1:27" ht="15.75" thickBot="1">
      <c r="A1036" s="368">
        <v>41087</v>
      </c>
      <c r="B1036" s="368"/>
      <c r="C1036" s="368"/>
      <c r="N1036" s="15"/>
    </row>
    <row r="1037" spans="1:27">
      <c r="A1037" s="407" t="s">
        <v>1</v>
      </c>
      <c r="B1037" s="420"/>
      <c r="C1037" s="68" t="s">
        <v>12</v>
      </c>
      <c r="D1037" s="68" t="s">
        <v>12</v>
      </c>
      <c r="E1037" s="68" t="s">
        <v>13</v>
      </c>
      <c r="F1037" s="68" t="s">
        <v>13</v>
      </c>
      <c r="G1037" s="68" t="s">
        <v>13</v>
      </c>
      <c r="H1037" s="68" t="s">
        <v>13</v>
      </c>
      <c r="I1037" s="68" t="s">
        <v>13</v>
      </c>
      <c r="J1037" s="68" t="s">
        <v>2</v>
      </c>
      <c r="K1037" s="68" t="s">
        <v>2</v>
      </c>
      <c r="L1037" s="68" t="s">
        <v>2</v>
      </c>
      <c r="M1037" s="68" t="s">
        <v>2</v>
      </c>
      <c r="N1037" s="4" t="s">
        <v>84</v>
      </c>
      <c r="P1037" s="174"/>
      <c r="Q1037" s="175"/>
      <c r="R1037" s="175"/>
      <c r="S1037" s="175"/>
      <c r="T1037" s="175"/>
      <c r="U1037" s="175"/>
      <c r="V1037" s="175"/>
      <c r="W1037" s="175"/>
      <c r="X1037" s="175"/>
      <c r="Y1037" s="174"/>
      <c r="Z1037" s="175"/>
      <c r="AA1037" s="175"/>
    </row>
    <row r="1038" spans="1:27" ht="15.75" thickBot="1">
      <c r="A1038" s="409" t="s">
        <v>0</v>
      </c>
      <c r="B1038" s="414"/>
      <c r="C1038" s="99" t="s">
        <v>102</v>
      </c>
      <c r="D1038" s="99" t="s">
        <v>103</v>
      </c>
      <c r="E1038" s="99" t="s">
        <v>104</v>
      </c>
      <c r="F1038" s="99" t="s">
        <v>105</v>
      </c>
      <c r="G1038" s="99" t="s">
        <v>100</v>
      </c>
      <c r="H1038" s="99" t="s">
        <v>107</v>
      </c>
      <c r="I1038" s="99" t="s">
        <v>106</v>
      </c>
      <c r="J1038" s="99" t="s">
        <v>108</v>
      </c>
      <c r="K1038" s="99" t="s">
        <v>110</v>
      </c>
      <c r="L1038" s="99" t="s">
        <v>101</v>
      </c>
      <c r="M1038" s="99" t="s">
        <v>109</v>
      </c>
      <c r="N1038" s="101" t="s">
        <v>111</v>
      </c>
      <c r="P1038" s="142"/>
      <c r="Y1038" s="142"/>
      <c r="Z1038" s="104"/>
      <c r="AA1038" s="104"/>
    </row>
    <row r="1039" spans="1:27" ht="15" customHeight="1">
      <c r="A1039" s="421" t="s">
        <v>9</v>
      </c>
      <c r="B1039" s="2" t="s">
        <v>4</v>
      </c>
      <c r="C1039" s="96">
        <v>115816.8</v>
      </c>
      <c r="D1039" s="96">
        <v>99041.7</v>
      </c>
      <c r="E1039" s="96">
        <v>99041.7</v>
      </c>
      <c r="F1039" s="96">
        <v>181997.8</v>
      </c>
      <c r="G1039" s="96">
        <v>121331.8</v>
      </c>
      <c r="H1039" s="96">
        <v>110071.9</v>
      </c>
      <c r="I1039" s="96">
        <v>121331.8</v>
      </c>
      <c r="J1039" s="96">
        <v>170967.6</v>
      </c>
      <c r="K1039" s="96">
        <v>132132.20000000001</v>
      </c>
      <c r="L1039" s="96">
        <v>60665.9</v>
      </c>
      <c r="M1039" s="96">
        <v>176482.7</v>
      </c>
      <c r="N1039" s="100">
        <v>54921</v>
      </c>
      <c r="O1039" s="12"/>
      <c r="P1039" s="142"/>
      <c r="Y1039" s="142"/>
      <c r="Z1039" s="104"/>
      <c r="AA1039" s="104"/>
    </row>
    <row r="1040" spans="1:27" s="64" customFormat="1">
      <c r="A1040" s="422"/>
      <c r="B1040" s="63" t="s">
        <v>5</v>
      </c>
      <c r="C1040" s="97">
        <v>91713.5</v>
      </c>
      <c r="D1040" s="97">
        <v>69220.899999999994</v>
      </c>
      <c r="E1040" s="97">
        <v>70797.2</v>
      </c>
      <c r="F1040" s="97">
        <v>150425.9</v>
      </c>
      <c r="G1040" s="97">
        <v>22115.7</v>
      </c>
      <c r="H1040" s="97">
        <v>44106</v>
      </c>
      <c r="I1040" s="97">
        <v>21411.8</v>
      </c>
      <c r="J1040" s="97">
        <v>136237.6</v>
      </c>
      <c r="K1040" s="97">
        <v>49257</v>
      </c>
      <c r="L1040" s="97">
        <v>16379.8</v>
      </c>
      <c r="M1040" s="97">
        <v>81648.3</v>
      </c>
      <c r="N1040" s="102">
        <v>23968</v>
      </c>
      <c r="O1040" s="12"/>
      <c r="P1040" s="142"/>
      <c r="Q1040" s="104"/>
      <c r="R1040" s="104"/>
      <c r="S1040" s="104"/>
      <c r="T1040" s="104"/>
      <c r="U1040" s="104"/>
      <c r="V1040" s="104"/>
      <c r="W1040" s="104"/>
      <c r="X1040" s="104"/>
      <c r="Y1040" s="142"/>
      <c r="Z1040" s="104"/>
      <c r="AA1040" s="104"/>
    </row>
    <row r="1041" spans="1:27" ht="15.75" thickBot="1">
      <c r="A1041" s="423"/>
      <c r="B1041" s="3" t="s">
        <v>3</v>
      </c>
      <c r="C1041" s="71">
        <f>C1040/C1039</f>
        <v>0.79188425168023979</v>
      </c>
      <c r="D1041" s="72">
        <f t="shared" ref="D1041:E1041" si="922">D1040/D1039</f>
        <v>0.69890662216016075</v>
      </c>
      <c r="E1041" s="72">
        <f t="shared" si="922"/>
        <v>0.71482214057311211</v>
      </c>
      <c r="F1041" s="72">
        <f>F1040/F1039</f>
        <v>0.8265259250386543</v>
      </c>
      <c r="G1041" s="72">
        <f>G1040/G1039</f>
        <v>0.18227455621691924</v>
      </c>
      <c r="H1041" s="72">
        <f t="shared" ref="H1041:N1041" si="923">H1040/H1039</f>
        <v>0.40070172314641611</v>
      </c>
      <c r="I1041" s="72">
        <f t="shared" si="923"/>
        <v>0.17647310927555676</v>
      </c>
      <c r="J1041" s="72">
        <f t="shared" si="923"/>
        <v>0.79686209550815479</v>
      </c>
      <c r="K1041" s="72">
        <f t="shared" si="923"/>
        <v>0.37278574034186968</v>
      </c>
      <c r="L1041" s="72">
        <f t="shared" si="923"/>
        <v>0.27000011538607355</v>
      </c>
      <c r="M1041" s="72">
        <f t="shared" si="923"/>
        <v>0.46264194734101416</v>
      </c>
      <c r="N1041" s="83">
        <f t="shared" si="923"/>
        <v>0.43640865971122156</v>
      </c>
      <c r="O1041" s="12"/>
      <c r="Y1041" s="14"/>
      <c r="Z1041" s="104"/>
      <c r="AA1041" s="104"/>
    </row>
    <row r="1042" spans="1:27" ht="15" customHeight="1">
      <c r="A1042" s="411" t="s">
        <v>6</v>
      </c>
      <c r="B1042" s="27" t="s">
        <v>7</v>
      </c>
      <c r="C1042" s="68">
        <v>5006</v>
      </c>
      <c r="D1042" s="68">
        <v>3200</v>
      </c>
      <c r="E1042" s="68">
        <v>3183</v>
      </c>
      <c r="F1042" s="68">
        <v>9526</v>
      </c>
      <c r="G1042" s="68">
        <v>5000</v>
      </c>
      <c r="H1042" s="68">
        <v>11504</v>
      </c>
      <c r="I1042" s="68">
        <f>(4000-2000)</f>
        <v>2000</v>
      </c>
      <c r="J1042" s="68">
        <v>9194</v>
      </c>
      <c r="K1042" s="68">
        <f>8610-(HEX2DEC("2a3c")-HEX2DEC("20dc"))</f>
        <v>6210</v>
      </c>
      <c r="L1042" s="68">
        <v>2500</v>
      </c>
      <c r="M1042" s="68">
        <f>5451-2614</f>
        <v>2837</v>
      </c>
      <c r="N1042" s="80">
        <v>830</v>
      </c>
      <c r="O1042" s="12"/>
      <c r="P1042" s="142"/>
      <c r="Y1042" s="142"/>
      <c r="Z1042" s="104"/>
      <c r="AA1042" s="104"/>
    </row>
    <row r="1043" spans="1:27">
      <c r="A1043" s="412"/>
      <c r="B1043" s="28" t="s">
        <v>11</v>
      </c>
      <c r="C1043" s="73">
        <f t="shared" ref="C1043:I1043" si="924">C1042*33.72</f>
        <v>168802.32</v>
      </c>
      <c r="D1043" s="73">
        <f t="shared" si="924"/>
        <v>107904</v>
      </c>
      <c r="E1043" s="73">
        <f t="shared" si="924"/>
        <v>107330.76</v>
      </c>
      <c r="F1043" s="73">
        <f t="shared" si="924"/>
        <v>321216.71999999997</v>
      </c>
      <c r="G1043" s="73">
        <f t="shared" si="924"/>
        <v>168600</v>
      </c>
      <c r="H1043" s="73">
        <f t="shared" si="924"/>
        <v>387914.88</v>
      </c>
      <c r="I1043" s="73">
        <f t="shared" si="924"/>
        <v>67440</v>
      </c>
      <c r="J1043" s="73">
        <f>J1042*33.72</f>
        <v>310021.68</v>
      </c>
      <c r="K1043" s="73">
        <f t="shared" ref="K1043:N1043" si="925">K1042*33.72</f>
        <v>209401.19999999998</v>
      </c>
      <c r="L1043" s="73">
        <f t="shared" si="925"/>
        <v>84300</v>
      </c>
      <c r="M1043" s="73">
        <f t="shared" si="925"/>
        <v>95663.64</v>
      </c>
      <c r="N1043" s="73">
        <f t="shared" si="925"/>
        <v>27987.599999999999</v>
      </c>
      <c r="O1043" s="12"/>
      <c r="P1043" s="142"/>
      <c r="Y1043" s="142"/>
      <c r="Z1043" s="104"/>
      <c r="AA1043" s="104"/>
    </row>
    <row r="1044" spans="1:27">
      <c r="A1044" s="412"/>
      <c r="B1044" s="28" t="s">
        <v>79</v>
      </c>
      <c r="C1044" s="73">
        <v>164000</v>
      </c>
      <c r="D1044" s="73">
        <v>109880</v>
      </c>
      <c r="E1044" s="73">
        <v>109880</v>
      </c>
      <c r="F1044" s="73">
        <v>328000</v>
      </c>
      <c r="G1044" s="73">
        <f>G1039*2</f>
        <v>242663.6</v>
      </c>
      <c r="H1044" s="73">
        <f>H1039*2</f>
        <v>220143.8</v>
      </c>
      <c r="I1044" s="73">
        <f>I1039*2</f>
        <v>242663.6</v>
      </c>
      <c r="J1044" s="73">
        <v>328000</v>
      </c>
      <c r="K1044" s="73">
        <f>K1039*2</f>
        <v>264264.40000000002</v>
      </c>
      <c r="L1044" s="73">
        <v>328000</v>
      </c>
      <c r="M1044" s="73">
        <f>2*M1039</f>
        <v>352965.4</v>
      </c>
      <c r="N1044" s="84">
        <f>2*N1039</f>
        <v>109842</v>
      </c>
      <c r="O1044" s="12"/>
      <c r="Y1044" s="14"/>
      <c r="Z1044" s="104"/>
      <c r="AA1044" s="104"/>
    </row>
    <row r="1045" spans="1:27" s="64" customFormat="1">
      <c r="A1045" s="412"/>
      <c r="B1045" s="66" t="s">
        <v>8</v>
      </c>
      <c r="C1045" s="98">
        <f>SUM(C1042-629)</f>
        <v>4377</v>
      </c>
      <c r="D1045" s="98">
        <f>SUM(D1042-719)</f>
        <v>2481</v>
      </c>
      <c r="E1045" s="98">
        <f>SUM(E1042-720)</f>
        <v>2463</v>
      </c>
      <c r="F1045" s="98">
        <f>SUM(F1042-1140)</f>
        <v>8386</v>
      </c>
      <c r="G1045" s="98">
        <f>SUM(G1042-3105)</f>
        <v>1895</v>
      </c>
      <c r="H1045" s="98">
        <f>SUM(H1042-1867)</f>
        <v>9637</v>
      </c>
      <c r="I1045" s="98">
        <f>SUM(I1042-(2439-2000))</f>
        <v>1561</v>
      </c>
      <c r="J1045" s="98">
        <f>SUM(J1042-1331)</f>
        <v>7863</v>
      </c>
      <c r="K1045" s="98">
        <f>SUM(K1042-983)</f>
        <v>5227</v>
      </c>
      <c r="L1045" s="98">
        <f>SUM(L1042-293)</f>
        <v>2207</v>
      </c>
      <c r="M1045" s="98">
        <f>SUM(M1042-(2880-2614))</f>
        <v>2571</v>
      </c>
      <c r="N1045" s="103">
        <f>SUM(N1042-46)</f>
        <v>784</v>
      </c>
      <c r="O1045" s="12"/>
      <c r="P1045" s="175"/>
      <c r="Q1045" s="67"/>
      <c r="R1045" s="67"/>
      <c r="S1045" s="67"/>
      <c r="T1045" s="67"/>
      <c r="U1045" s="67"/>
      <c r="V1045" s="67"/>
      <c r="W1045" s="67"/>
    </row>
    <row r="1046" spans="1:27">
      <c r="A1046" s="412"/>
      <c r="B1046" s="29" t="s">
        <v>77</v>
      </c>
      <c r="C1046" s="75">
        <f>C1045*33.72</f>
        <v>147592.44</v>
      </c>
      <c r="D1046" s="75">
        <f>D1045*33.72</f>
        <v>83659.319999999992</v>
      </c>
      <c r="E1046" s="75">
        <f>E1045*33.72</f>
        <v>83052.36</v>
      </c>
      <c r="F1046" s="75">
        <f>F1045*33.72</f>
        <v>282775.92</v>
      </c>
      <c r="G1046" s="75">
        <f>G1045*33.72*2</f>
        <v>127798.8</v>
      </c>
      <c r="H1046" s="75">
        <f>H1045*33.72</f>
        <v>324959.64</v>
      </c>
      <c r="I1046" s="75">
        <f>I1045*33.72</f>
        <v>52636.92</v>
      </c>
      <c r="J1046" s="75">
        <f>J1045*33.72</f>
        <v>265140.36</v>
      </c>
      <c r="K1046" s="75">
        <f>K1045*33.72</f>
        <v>176254.44</v>
      </c>
      <c r="L1046" s="75">
        <f>L1045*33.72</f>
        <v>74420.039999999994</v>
      </c>
      <c r="M1046" s="75">
        <f>M1045*33.72*2</f>
        <v>173388.24</v>
      </c>
      <c r="N1046" s="11">
        <f>N1045*33.72</f>
        <v>26436.48</v>
      </c>
      <c r="O1046" s="12"/>
      <c r="P1046" s="175"/>
    </row>
    <row r="1047" spans="1:27" ht="15.75" thickBot="1">
      <c r="A1047" s="412"/>
      <c r="B1047" s="30" t="s">
        <v>10</v>
      </c>
      <c r="C1047" s="71">
        <f>C1045*33.7/C1039</f>
        <v>1.2736053836749075</v>
      </c>
      <c r="D1047" s="71">
        <f t="shared" ref="D1047:N1047" si="926">D1045*33.7/D1039</f>
        <v>0.84418684251179066</v>
      </c>
      <c r="E1047" s="78">
        <f t="shared" si="926"/>
        <v>0.83806214957941971</v>
      </c>
      <c r="F1047" s="78">
        <f t="shared" si="926"/>
        <v>1.5528110779361071</v>
      </c>
      <c r="G1047" s="78">
        <f t="shared" si="926"/>
        <v>0.52633769547637144</v>
      </c>
      <c r="H1047" s="78">
        <f t="shared" si="926"/>
        <v>2.9504978109762803</v>
      </c>
      <c r="I1047" s="78">
        <f t="shared" si="926"/>
        <v>0.43356894070639357</v>
      </c>
      <c r="J1047" s="78">
        <f t="shared" si="926"/>
        <v>1.549902437654854</v>
      </c>
      <c r="K1047" s="78">
        <f t="shared" si="926"/>
        <v>1.3331337857085557</v>
      </c>
      <c r="L1047" s="78">
        <f t="shared" si="926"/>
        <v>1.2259918669301866</v>
      </c>
      <c r="M1047" s="79">
        <f t="shared" si="926"/>
        <v>0.49094160504117407</v>
      </c>
      <c r="N1047" s="26">
        <f t="shared" si="926"/>
        <v>0.48106917208353822</v>
      </c>
      <c r="O1047" s="12"/>
      <c r="P1047" s="175"/>
    </row>
    <row r="1048" spans="1:27" ht="15.75" customHeight="1" thickBot="1">
      <c r="A1048" s="424" t="s">
        <v>83</v>
      </c>
      <c r="B1048" s="425"/>
      <c r="C1048" s="76">
        <f>MIN(2*C1039,C1044)-C1046</f>
        <v>16407.559999999998</v>
      </c>
      <c r="D1048" s="76">
        <f t="shared" ref="D1048:N1048" si="927">MIN(2*D1039,D1044)-D1046</f>
        <v>26220.680000000008</v>
      </c>
      <c r="E1048" s="76">
        <f t="shared" si="927"/>
        <v>26827.64</v>
      </c>
      <c r="F1048" s="76">
        <f t="shared" si="927"/>
        <v>45224.080000000016</v>
      </c>
      <c r="G1048" s="76">
        <f t="shared" si="927"/>
        <v>114864.8</v>
      </c>
      <c r="H1048" s="76">
        <f t="shared" si="927"/>
        <v>-104815.84000000003</v>
      </c>
      <c r="I1048" s="76">
        <f t="shared" si="927"/>
        <v>190026.68</v>
      </c>
      <c r="J1048" s="76">
        <f t="shared" si="927"/>
        <v>62859.640000000014</v>
      </c>
      <c r="K1048" s="76">
        <f t="shared" si="927"/>
        <v>88009.960000000021</v>
      </c>
      <c r="L1048" s="76">
        <f t="shared" si="927"/>
        <v>46911.760000000009</v>
      </c>
      <c r="M1048" s="76">
        <f t="shared" si="927"/>
        <v>179577.16000000003</v>
      </c>
      <c r="N1048" s="22">
        <f t="shared" si="927"/>
        <v>83405.52</v>
      </c>
      <c r="O1048" s="12"/>
      <c r="P1048" s="175"/>
    </row>
    <row r="1049" spans="1:27" ht="15.75" thickBot="1">
      <c r="A1049" s="368">
        <v>41086</v>
      </c>
      <c r="B1049" s="368"/>
      <c r="C1049" s="368"/>
      <c r="N1049" s="15"/>
    </row>
    <row r="1050" spans="1:27">
      <c r="A1050" s="407" t="s">
        <v>1</v>
      </c>
      <c r="B1050" s="420"/>
      <c r="C1050" s="68" t="s">
        <v>12</v>
      </c>
      <c r="D1050" s="68" t="s">
        <v>12</v>
      </c>
      <c r="E1050" s="68" t="s">
        <v>13</v>
      </c>
      <c r="F1050" s="68" t="s">
        <v>13</v>
      </c>
      <c r="G1050" s="68" t="s">
        <v>13</v>
      </c>
      <c r="H1050" s="68" t="s">
        <v>13</v>
      </c>
      <c r="I1050" s="68" t="s">
        <v>13</v>
      </c>
      <c r="J1050" s="68" t="s">
        <v>2</v>
      </c>
      <c r="K1050" s="68" t="s">
        <v>2</v>
      </c>
      <c r="L1050" s="68" t="s">
        <v>2</v>
      </c>
      <c r="M1050" s="68" t="s">
        <v>2</v>
      </c>
      <c r="N1050" s="4" t="s">
        <v>84</v>
      </c>
      <c r="P1050" s="174"/>
      <c r="Q1050" s="175"/>
      <c r="R1050" s="175"/>
      <c r="S1050" s="175"/>
      <c r="T1050" s="175"/>
      <c r="U1050" s="175"/>
      <c r="V1050" s="175"/>
      <c r="W1050" s="175"/>
      <c r="X1050" s="175"/>
      <c r="Y1050" s="174"/>
      <c r="Z1050" s="175"/>
      <c r="AA1050" s="175"/>
    </row>
    <row r="1051" spans="1:27" ht="15.75" thickBot="1">
      <c r="A1051" s="409" t="s">
        <v>0</v>
      </c>
      <c r="B1051" s="414"/>
      <c r="C1051" s="99" t="s">
        <v>102</v>
      </c>
      <c r="D1051" s="99" t="s">
        <v>103</v>
      </c>
      <c r="E1051" s="99" t="s">
        <v>104</v>
      </c>
      <c r="F1051" s="99" t="s">
        <v>105</v>
      </c>
      <c r="G1051" s="99" t="s">
        <v>100</v>
      </c>
      <c r="H1051" s="99" t="s">
        <v>107</v>
      </c>
      <c r="I1051" s="99" t="s">
        <v>106</v>
      </c>
      <c r="J1051" s="99" t="s">
        <v>108</v>
      </c>
      <c r="K1051" s="99" t="s">
        <v>110</v>
      </c>
      <c r="L1051" s="99" t="s">
        <v>101</v>
      </c>
      <c r="M1051" s="99" t="s">
        <v>109</v>
      </c>
      <c r="N1051" s="101" t="s">
        <v>111</v>
      </c>
      <c r="P1051" s="142"/>
      <c r="Y1051" s="142"/>
      <c r="Z1051" s="104"/>
      <c r="AA1051" s="104"/>
    </row>
    <row r="1052" spans="1:27" ht="15" customHeight="1">
      <c r="A1052" s="421" t="s">
        <v>9</v>
      </c>
      <c r="B1052" s="2" t="s">
        <v>4</v>
      </c>
      <c r="C1052" s="96">
        <v>115816.8</v>
      </c>
      <c r="D1052" s="96">
        <v>99041.7</v>
      </c>
      <c r="E1052" s="96">
        <v>99041.7</v>
      </c>
      <c r="F1052" s="96">
        <v>181997.8</v>
      </c>
      <c r="G1052" s="96">
        <v>121331.8</v>
      </c>
      <c r="H1052" s="96">
        <v>110071.9</v>
      </c>
      <c r="I1052" s="96">
        <v>121331.8</v>
      </c>
      <c r="J1052" s="96">
        <v>170967.6</v>
      </c>
      <c r="K1052" s="96">
        <v>132132.20000000001</v>
      </c>
      <c r="L1052" s="96">
        <v>60665.9</v>
      </c>
      <c r="M1052" s="96">
        <v>176482.7</v>
      </c>
      <c r="N1052" s="100">
        <v>54921</v>
      </c>
      <c r="O1052" s="12"/>
      <c r="P1052" s="142"/>
      <c r="Y1052" s="142"/>
      <c r="Z1052" s="104"/>
      <c r="AA1052" s="104"/>
    </row>
    <row r="1053" spans="1:27" s="64" customFormat="1">
      <c r="A1053" s="422"/>
      <c r="B1053" s="63" t="s">
        <v>5</v>
      </c>
      <c r="C1053" s="97">
        <v>91696.1</v>
      </c>
      <c r="D1053" s="97">
        <v>69219.8</v>
      </c>
      <c r="E1053" s="97">
        <v>70796</v>
      </c>
      <c r="F1053" s="97">
        <v>150265.70000000001</v>
      </c>
      <c r="G1053" s="97">
        <v>21635.1</v>
      </c>
      <c r="H1053" s="97">
        <v>43727.3</v>
      </c>
      <c r="I1053" s="97">
        <v>21400</v>
      </c>
      <c r="J1053" s="97">
        <v>136045.4</v>
      </c>
      <c r="K1053" s="97">
        <v>48934.400000000001</v>
      </c>
      <c r="L1053" s="97">
        <v>16129.9</v>
      </c>
      <c r="M1053" s="97">
        <v>81626.600000000006</v>
      </c>
      <c r="N1053" s="102">
        <v>23968</v>
      </c>
      <c r="O1053" s="12"/>
      <c r="P1053" s="142"/>
      <c r="Q1053" s="104"/>
      <c r="R1053" s="104"/>
      <c r="S1053" s="104"/>
      <c r="T1053" s="104"/>
      <c r="U1053" s="104"/>
      <c r="V1053" s="104"/>
      <c r="W1053" s="104"/>
      <c r="X1053" s="104"/>
      <c r="Y1053" s="142"/>
      <c r="Z1053" s="104"/>
      <c r="AA1053" s="104"/>
    </row>
    <row r="1054" spans="1:27" ht="15.75" thickBot="1">
      <c r="A1054" s="423"/>
      <c r="B1054" s="3" t="s">
        <v>3</v>
      </c>
      <c r="C1054" s="71">
        <f>C1053/C1052</f>
        <v>0.79173401440896318</v>
      </c>
      <c r="D1054" s="72">
        <f t="shared" ref="D1054:E1054" si="928">D1053/D1052</f>
        <v>0.69889551572721398</v>
      </c>
      <c r="E1054" s="72">
        <f t="shared" si="928"/>
        <v>0.71481002446444275</v>
      </c>
      <c r="F1054" s="72">
        <f>F1053/F1052</f>
        <v>0.82564569461828674</v>
      </c>
      <c r="G1054" s="72">
        <f>G1053/G1052</f>
        <v>0.17831351714884308</v>
      </c>
      <c r="H1054" s="72">
        <f t="shared" ref="H1054:N1054" si="929">H1053/H1052</f>
        <v>0.39726124469551272</v>
      </c>
      <c r="I1054" s="72">
        <f t="shared" si="929"/>
        <v>0.17637585529927027</v>
      </c>
      <c r="J1054" s="72">
        <f t="shared" si="929"/>
        <v>0.79573790589561988</v>
      </c>
      <c r="K1054" s="72">
        <f t="shared" si="929"/>
        <v>0.37034424614136446</v>
      </c>
      <c r="L1054" s="72">
        <f t="shared" si="929"/>
        <v>0.26588083255997191</v>
      </c>
      <c r="M1054" s="72">
        <f t="shared" si="929"/>
        <v>0.46251898911338052</v>
      </c>
      <c r="N1054" s="83">
        <f t="shared" si="929"/>
        <v>0.43640865971122156</v>
      </c>
      <c r="O1054" s="12"/>
      <c r="Y1054" s="14"/>
      <c r="Z1054" s="104"/>
      <c r="AA1054" s="104"/>
    </row>
    <row r="1055" spans="1:27" ht="15" customHeight="1">
      <c r="A1055" s="411" t="s">
        <v>6</v>
      </c>
      <c r="B1055" s="27" t="s">
        <v>7</v>
      </c>
      <c r="C1055" s="68">
        <v>5006</v>
      </c>
      <c r="D1055" s="68">
        <v>3200</v>
      </c>
      <c r="E1055" s="68">
        <v>3183</v>
      </c>
      <c r="F1055" s="68">
        <v>9526</v>
      </c>
      <c r="G1055" s="68">
        <v>5000</v>
      </c>
      <c r="H1055" s="68">
        <v>11504</v>
      </c>
      <c r="I1055" s="68">
        <f>(4000-2000)</f>
        <v>2000</v>
      </c>
      <c r="J1055" s="68">
        <v>9194</v>
      </c>
      <c r="K1055" s="68">
        <f>8610-(HEX2DEC("2a3c")-HEX2DEC("20dc"))</f>
        <v>6210</v>
      </c>
      <c r="L1055" s="68">
        <v>2500</v>
      </c>
      <c r="M1055" s="68">
        <f>5451-2614</f>
        <v>2837</v>
      </c>
      <c r="N1055" s="80">
        <v>830</v>
      </c>
      <c r="O1055" s="12"/>
      <c r="P1055" s="142"/>
      <c r="Y1055" s="142"/>
      <c r="Z1055" s="104"/>
      <c r="AA1055" s="104"/>
    </row>
    <row r="1056" spans="1:27">
      <c r="A1056" s="412"/>
      <c r="B1056" s="28" t="s">
        <v>11</v>
      </c>
      <c r="C1056" s="73">
        <f t="shared" ref="C1056:I1056" si="930">C1055*33.72</f>
        <v>168802.32</v>
      </c>
      <c r="D1056" s="73">
        <f t="shared" si="930"/>
        <v>107904</v>
      </c>
      <c r="E1056" s="73">
        <f t="shared" si="930"/>
        <v>107330.76</v>
      </c>
      <c r="F1056" s="73">
        <f t="shared" si="930"/>
        <v>321216.71999999997</v>
      </c>
      <c r="G1056" s="73">
        <f t="shared" si="930"/>
        <v>168600</v>
      </c>
      <c r="H1056" s="73">
        <f t="shared" si="930"/>
        <v>387914.88</v>
      </c>
      <c r="I1056" s="73">
        <f t="shared" si="930"/>
        <v>67440</v>
      </c>
      <c r="J1056" s="73">
        <f>J1055*33.72</f>
        <v>310021.68</v>
      </c>
      <c r="K1056" s="73">
        <f t="shared" ref="K1056:N1056" si="931">K1055*33.72</f>
        <v>209401.19999999998</v>
      </c>
      <c r="L1056" s="73">
        <f t="shared" si="931"/>
        <v>84300</v>
      </c>
      <c r="M1056" s="73">
        <f t="shared" si="931"/>
        <v>95663.64</v>
      </c>
      <c r="N1056" s="73">
        <f t="shared" si="931"/>
        <v>27987.599999999999</v>
      </c>
      <c r="O1056" s="12"/>
      <c r="P1056" s="142"/>
      <c r="Y1056" s="142"/>
      <c r="Z1056" s="104"/>
      <c r="AA1056" s="104"/>
    </row>
    <row r="1057" spans="1:27">
      <c r="A1057" s="412"/>
      <c r="B1057" s="28" t="s">
        <v>79</v>
      </c>
      <c r="C1057" s="73">
        <v>164000</v>
      </c>
      <c r="D1057" s="73">
        <v>109880</v>
      </c>
      <c r="E1057" s="73">
        <v>109880</v>
      </c>
      <c r="F1057" s="73">
        <v>328000</v>
      </c>
      <c r="G1057" s="73">
        <f>G1052*2</f>
        <v>242663.6</v>
      </c>
      <c r="H1057" s="73">
        <f>H1052*2</f>
        <v>220143.8</v>
      </c>
      <c r="I1057" s="73">
        <f>I1052*2</f>
        <v>242663.6</v>
      </c>
      <c r="J1057" s="73">
        <v>328000</v>
      </c>
      <c r="K1057" s="73">
        <f>K1052*2</f>
        <v>264264.40000000002</v>
      </c>
      <c r="L1057" s="73">
        <v>328000</v>
      </c>
      <c r="M1057" s="73">
        <f>2*M1052</f>
        <v>352965.4</v>
      </c>
      <c r="N1057" s="84">
        <f>2*N1052</f>
        <v>109842</v>
      </c>
      <c r="O1057" s="12"/>
      <c r="Y1057" s="14"/>
      <c r="Z1057" s="104"/>
      <c r="AA1057" s="104"/>
    </row>
    <row r="1058" spans="1:27" s="64" customFormat="1">
      <c r="A1058" s="412"/>
      <c r="B1058" s="66" t="s">
        <v>8</v>
      </c>
      <c r="C1058" s="98">
        <f>SUM(C1055-629)</f>
        <v>4377</v>
      </c>
      <c r="D1058" s="98">
        <f>SUM(D1055-719)</f>
        <v>2481</v>
      </c>
      <c r="E1058" s="98">
        <f>SUM(E1055-720)</f>
        <v>2463</v>
      </c>
      <c r="F1058" s="98">
        <f>SUM(F1055-1140)</f>
        <v>8386</v>
      </c>
      <c r="G1058" s="98">
        <f>SUM(G1055-3105)</f>
        <v>1895</v>
      </c>
      <c r="H1058" s="98">
        <f>SUM(H1055-1879)</f>
        <v>9625</v>
      </c>
      <c r="I1058" s="98">
        <f>SUM(I1055-(2439-2000))</f>
        <v>1561</v>
      </c>
      <c r="J1058" s="98">
        <f>SUM(J1055-1331)</f>
        <v>7863</v>
      </c>
      <c r="K1058" s="98">
        <f>SUM(K1055-1017)</f>
        <v>5193</v>
      </c>
      <c r="L1058" s="98">
        <f>SUM(L1055-293)</f>
        <v>2207</v>
      </c>
      <c r="M1058" s="98">
        <f>SUM(M1055-(2880-2614))</f>
        <v>2571</v>
      </c>
      <c r="N1058" s="103">
        <f>SUM(N1055-46)</f>
        <v>784</v>
      </c>
      <c r="O1058" s="12"/>
      <c r="P1058" s="175"/>
      <c r="Q1058" s="67"/>
      <c r="R1058" s="67"/>
      <c r="S1058" s="67"/>
      <c r="T1058" s="67"/>
      <c r="U1058" s="67"/>
      <c r="V1058" s="67"/>
      <c r="W1058" s="67"/>
    </row>
    <row r="1059" spans="1:27">
      <c r="A1059" s="412"/>
      <c r="B1059" s="29" t="s">
        <v>77</v>
      </c>
      <c r="C1059" s="75">
        <f>C1058*33.72</f>
        <v>147592.44</v>
      </c>
      <c r="D1059" s="75">
        <f>D1058*33.72</f>
        <v>83659.319999999992</v>
      </c>
      <c r="E1059" s="75">
        <f>E1058*33.72</f>
        <v>83052.36</v>
      </c>
      <c r="F1059" s="75">
        <f>F1058*33.72</f>
        <v>282775.92</v>
      </c>
      <c r="G1059" s="75">
        <f>G1058*33.72*2</f>
        <v>127798.8</v>
      </c>
      <c r="H1059" s="75">
        <f>H1058*33.72</f>
        <v>324555</v>
      </c>
      <c r="I1059" s="75">
        <f>I1058*33.72</f>
        <v>52636.92</v>
      </c>
      <c r="J1059" s="75">
        <f>J1058*33.72</f>
        <v>265140.36</v>
      </c>
      <c r="K1059" s="75">
        <f>K1058*33.72</f>
        <v>175107.96</v>
      </c>
      <c r="L1059" s="75">
        <f>L1058*33.72</f>
        <v>74420.039999999994</v>
      </c>
      <c r="M1059" s="75">
        <f>M1058*33.72*2</f>
        <v>173388.24</v>
      </c>
      <c r="N1059" s="11">
        <f>N1058*33.72</f>
        <v>26436.48</v>
      </c>
      <c r="O1059" s="12"/>
      <c r="P1059" s="175"/>
    </row>
    <row r="1060" spans="1:27" ht="15.75" thickBot="1">
      <c r="A1060" s="412"/>
      <c r="B1060" s="30" t="s">
        <v>10</v>
      </c>
      <c r="C1060" s="71">
        <f>C1058*33.7/C1052</f>
        <v>1.2736053836749075</v>
      </c>
      <c r="D1060" s="71">
        <f t="shared" ref="D1060:N1060" si="932">D1058*33.7/D1052</f>
        <v>0.84418684251179066</v>
      </c>
      <c r="E1060" s="78">
        <f t="shared" si="932"/>
        <v>0.83806214957941971</v>
      </c>
      <c r="F1060" s="78">
        <f t="shared" si="932"/>
        <v>1.5528110779361071</v>
      </c>
      <c r="G1060" s="78">
        <f t="shared" si="932"/>
        <v>0.52633769547637144</v>
      </c>
      <c r="H1060" s="78">
        <f t="shared" si="932"/>
        <v>2.9468238487752099</v>
      </c>
      <c r="I1060" s="78">
        <f t="shared" si="932"/>
        <v>0.43356894070639357</v>
      </c>
      <c r="J1060" s="78">
        <f t="shared" si="932"/>
        <v>1.549902437654854</v>
      </c>
      <c r="K1060" s="78">
        <f t="shared" si="932"/>
        <v>1.3244621674353412</v>
      </c>
      <c r="L1060" s="78">
        <f t="shared" si="932"/>
        <v>1.2259918669301866</v>
      </c>
      <c r="M1060" s="79">
        <f t="shared" si="932"/>
        <v>0.49094160504117407</v>
      </c>
      <c r="N1060" s="26">
        <f t="shared" si="932"/>
        <v>0.48106917208353822</v>
      </c>
      <c r="O1060" s="12"/>
      <c r="P1060" s="175"/>
    </row>
    <row r="1061" spans="1:27" ht="15.75" customHeight="1" thickBot="1">
      <c r="A1061" s="424" t="s">
        <v>83</v>
      </c>
      <c r="B1061" s="425"/>
      <c r="C1061" s="76">
        <f>MIN(2*C1052,C1057)-C1059</f>
        <v>16407.559999999998</v>
      </c>
      <c r="D1061" s="76">
        <f t="shared" ref="D1061:N1061" si="933">MIN(2*D1052,D1057)-D1059</f>
        <v>26220.680000000008</v>
      </c>
      <c r="E1061" s="76">
        <f t="shared" si="933"/>
        <v>26827.64</v>
      </c>
      <c r="F1061" s="76">
        <f t="shared" si="933"/>
        <v>45224.080000000016</v>
      </c>
      <c r="G1061" s="76">
        <f t="shared" si="933"/>
        <v>114864.8</v>
      </c>
      <c r="H1061" s="76">
        <f t="shared" si="933"/>
        <v>-104411.20000000001</v>
      </c>
      <c r="I1061" s="76">
        <f t="shared" si="933"/>
        <v>190026.68</v>
      </c>
      <c r="J1061" s="76">
        <f t="shared" si="933"/>
        <v>62859.640000000014</v>
      </c>
      <c r="K1061" s="76">
        <f t="shared" si="933"/>
        <v>89156.440000000031</v>
      </c>
      <c r="L1061" s="76">
        <f t="shared" si="933"/>
        <v>46911.760000000009</v>
      </c>
      <c r="M1061" s="76">
        <f t="shared" si="933"/>
        <v>179577.16000000003</v>
      </c>
      <c r="N1061" s="22">
        <f t="shared" si="933"/>
        <v>83405.52</v>
      </c>
      <c r="O1061" s="12"/>
      <c r="P1061" s="175"/>
    </row>
    <row r="1062" spans="1:27" ht="15.75" thickBot="1">
      <c r="A1062" s="368">
        <v>41085</v>
      </c>
      <c r="B1062" s="368"/>
      <c r="C1062" s="368"/>
      <c r="N1062" s="15"/>
    </row>
    <row r="1063" spans="1:27">
      <c r="A1063" s="407" t="s">
        <v>1</v>
      </c>
      <c r="B1063" s="420"/>
      <c r="C1063" s="68" t="s">
        <v>12</v>
      </c>
      <c r="D1063" s="68" t="s">
        <v>12</v>
      </c>
      <c r="E1063" s="68" t="s">
        <v>13</v>
      </c>
      <c r="F1063" s="68" t="s">
        <v>13</v>
      </c>
      <c r="G1063" s="68" t="s">
        <v>13</v>
      </c>
      <c r="H1063" s="68" t="s">
        <v>13</v>
      </c>
      <c r="I1063" s="68" t="s">
        <v>13</v>
      </c>
      <c r="J1063" s="68" t="s">
        <v>2</v>
      </c>
      <c r="K1063" s="68" t="s">
        <v>2</v>
      </c>
      <c r="L1063" s="68" t="s">
        <v>2</v>
      </c>
      <c r="M1063" s="68" t="s">
        <v>2</v>
      </c>
      <c r="N1063" s="4" t="s">
        <v>84</v>
      </c>
      <c r="P1063" s="174"/>
      <c r="Q1063" s="175"/>
      <c r="R1063" s="175"/>
      <c r="S1063" s="175"/>
      <c r="T1063" s="175"/>
      <c r="U1063" s="175"/>
      <c r="V1063" s="175"/>
      <c r="W1063" s="175"/>
      <c r="X1063" s="175"/>
      <c r="Y1063" s="174"/>
      <c r="Z1063" s="175"/>
      <c r="AA1063" s="175"/>
    </row>
    <row r="1064" spans="1:27" ht="15.75" thickBot="1">
      <c r="A1064" s="409" t="s">
        <v>0</v>
      </c>
      <c r="B1064" s="414"/>
      <c r="C1064" s="99" t="s">
        <v>102</v>
      </c>
      <c r="D1064" s="99" t="s">
        <v>103</v>
      </c>
      <c r="E1064" s="99" t="s">
        <v>104</v>
      </c>
      <c r="F1064" s="99" t="s">
        <v>105</v>
      </c>
      <c r="G1064" s="99" t="s">
        <v>100</v>
      </c>
      <c r="H1064" s="99" t="s">
        <v>107</v>
      </c>
      <c r="I1064" s="99" t="s">
        <v>106</v>
      </c>
      <c r="J1064" s="99" t="s">
        <v>108</v>
      </c>
      <c r="K1064" s="99" t="s">
        <v>110</v>
      </c>
      <c r="L1064" s="99" t="s">
        <v>101</v>
      </c>
      <c r="M1064" s="99" t="s">
        <v>109</v>
      </c>
      <c r="N1064" s="101" t="s">
        <v>111</v>
      </c>
      <c r="P1064" s="142"/>
      <c r="Y1064" s="142"/>
      <c r="Z1064" s="104"/>
      <c r="AA1064" s="104"/>
    </row>
    <row r="1065" spans="1:27" ht="15" customHeight="1">
      <c r="A1065" s="421" t="s">
        <v>9</v>
      </c>
      <c r="B1065" s="2" t="s">
        <v>4</v>
      </c>
      <c r="C1065" s="96">
        <v>115816.8</v>
      </c>
      <c r="D1065" s="96">
        <v>99041.7</v>
      </c>
      <c r="E1065" s="96">
        <v>99041.7</v>
      </c>
      <c r="F1065" s="96">
        <v>181997.8</v>
      </c>
      <c r="G1065" s="96">
        <v>121331.8</v>
      </c>
      <c r="H1065" s="96">
        <v>110071.9</v>
      </c>
      <c r="I1065" s="96">
        <v>121331.8</v>
      </c>
      <c r="J1065" s="96">
        <v>170967.6</v>
      </c>
      <c r="K1065" s="96">
        <v>132132.20000000001</v>
      </c>
      <c r="L1065" s="96">
        <v>60665.9</v>
      </c>
      <c r="M1065" s="96">
        <v>176482.7</v>
      </c>
      <c r="N1065" s="100">
        <v>54921</v>
      </c>
      <c r="O1065" s="12"/>
      <c r="P1065" s="142"/>
      <c r="Y1065" s="142"/>
      <c r="Z1065" s="104"/>
      <c r="AA1065" s="104"/>
    </row>
    <row r="1066" spans="1:27" s="64" customFormat="1">
      <c r="A1066" s="422"/>
      <c r="B1066" s="63" t="s">
        <v>5</v>
      </c>
      <c r="C1066" s="97">
        <v>91685</v>
      </c>
      <c r="D1066" s="97">
        <v>69219.199999999997</v>
      </c>
      <c r="E1066" s="97">
        <v>70794.399999999994</v>
      </c>
      <c r="F1066" s="97">
        <v>150206</v>
      </c>
      <c r="G1066" s="97">
        <v>21514.5</v>
      </c>
      <c r="H1066" s="97">
        <v>43457.7</v>
      </c>
      <c r="I1066" s="97">
        <v>21392.2</v>
      </c>
      <c r="J1066" s="97">
        <v>135953.9</v>
      </c>
      <c r="K1066" s="97">
        <v>48834.2</v>
      </c>
      <c r="L1066" s="97">
        <v>15966.9</v>
      </c>
      <c r="M1066" s="97">
        <v>81612.800000000003</v>
      </c>
      <c r="N1066" s="102">
        <v>23968</v>
      </c>
      <c r="O1066" s="12"/>
      <c r="P1066" s="142"/>
      <c r="Q1066" s="104"/>
      <c r="R1066" s="104"/>
      <c r="S1066" s="104"/>
      <c r="T1066" s="104"/>
      <c r="U1066" s="104"/>
      <c r="V1066" s="104"/>
      <c r="W1066" s="104"/>
      <c r="X1066" s="104"/>
      <c r="Y1066" s="142"/>
      <c r="Z1066" s="104"/>
      <c r="AA1066" s="104"/>
    </row>
    <row r="1067" spans="1:27" ht="15.75" thickBot="1">
      <c r="A1067" s="423"/>
      <c r="B1067" s="3" t="s">
        <v>3</v>
      </c>
      <c r="C1067" s="71">
        <f>C1066/C1065</f>
        <v>0.79163817339107967</v>
      </c>
      <c r="D1067" s="72">
        <f t="shared" ref="D1067:E1067" si="934">D1066/D1065</f>
        <v>0.69888945767287924</v>
      </c>
      <c r="E1067" s="72">
        <f t="shared" si="934"/>
        <v>0.7147938696528835</v>
      </c>
      <c r="F1067" s="72">
        <f>F1066/F1065</f>
        <v>0.82531766867511591</v>
      </c>
      <c r="G1067" s="72">
        <f>G1066/G1065</f>
        <v>0.17731954854374532</v>
      </c>
      <c r="H1067" s="72">
        <f t="shared" ref="H1067:N1067" si="935">H1066/H1065</f>
        <v>0.39481193656146574</v>
      </c>
      <c r="I1067" s="72">
        <f t="shared" si="935"/>
        <v>0.1763115687725724</v>
      </c>
      <c r="J1067" s="72">
        <f t="shared" si="935"/>
        <v>0.79520271677206666</v>
      </c>
      <c r="K1067" s="72">
        <f t="shared" si="935"/>
        <v>0.3695859147126892</v>
      </c>
      <c r="L1067" s="72">
        <f t="shared" si="935"/>
        <v>0.26319398541849703</v>
      </c>
      <c r="M1067" s="72">
        <f t="shared" si="935"/>
        <v>0.46244079448013881</v>
      </c>
      <c r="N1067" s="83">
        <f t="shared" si="935"/>
        <v>0.43640865971122156</v>
      </c>
      <c r="O1067" s="12"/>
      <c r="Y1067" s="14"/>
      <c r="Z1067" s="104"/>
      <c r="AA1067" s="104"/>
    </row>
    <row r="1068" spans="1:27" ht="15" customHeight="1">
      <c r="A1068" s="411" t="s">
        <v>6</v>
      </c>
      <c r="B1068" s="27" t="s">
        <v>7</v>
      </c>
      <c r="C1068" s="68">
        <v>5006</v>
      </c>
      <c r="D1068" s="68">
        <v>3200</v>
      </c>
      <c r="E1068" s="68">
        <v>3183</v>
      </c>
      <c r="F1068" s="68">
        <v>9526</v>
      </c>
      <c r="G1068" s="68">
        <v>5000</v>
      </c>
      <c r="H1068" s="68">
        <v>11504</v>
      </c>
      <c r="I1068" s="68">
        <f>(4000-2000)</f>
        <v>2000</v>
      </c>
      <c r="J1068" s="68">
        <v>9194</v>
      </c>
      <c r="K1068" s="68">
        <f>8610-(HEX2DEC("2a3c")-HEX2DEC("20dc"))</f>
        <v>6210</v>
      </c>
      <c r="L1068" s="68">
        <v>2500</v>
      </c>
      <c r="M1068" s="68">
        <f>5451-2614</f>
        <v>2837</v>
      </c>
      <c r="N1068" s="80">
        <v>830</v>
      </c>
      <c r="O1068" s="12"/>
      <c r="P1068" s="142"/>
      <c r="Y1068" s="142"/>
      <c r="Z1068" s="104"/>
      <c r="AA1068" s="104"/>
    </row>
    <row r="1069" spans="1:27">
      <c r="A1069" s="412"/>
      <c r="B1069" s="28" t="s">
        <v>11</v>
      </c>
      <c r="C1069" s="73">
        <f t="shared" ref="C1069:I1069" si="936">C1068*33.72</f>
        <v>168802.32</v>
      </c>
      <c r="D1069" s="73">
        <f t="shared" si="936"/>
        <v>107904</v>
      </c>
      <c r="E1069" s="73">
        <f t="shared" si="936"/>
        <v>107330.76</v>
      </c>
      <c r="F1069" s="73">
        <f t="shared" si="936"/>
        <v>321216.71999999997</v>
      </c>
      <c r="G1069" s="73">
        <f t="shared" si="936"/>
        <v>168600</v>
      </c>
      <c r="H1069" s="73">
        <f t="shared" si="936"/>
        <v>387914.88</v>
      </c>
      <c r="I1069" s="73">
        <f t="shared" si="936"/>
        <v>67440</v>
      </c>
      <c r="J1069" s="73">
        <f>J1068*33.72</f>
        <v>310021.68</v>
      </c>
      <c r="K1069" s="73">
        <f t="shared" ref="K1069:N1069" si="937">K1068*33.72</f>
        <v>209401.19999999998</v>
      </c>
      <c r="L1069" s="73">
        <f t="shared" si="937"/>
        <v>84300</v>
      </c>
      <c r="M1069" s="73">
        <f t="shared" si="937"/>
        <v>95663.64</v>
      </c>
      <c r="N1069" s="73">
        <f t="shared" si="937"/>
        <v>27987.599999999999</v>
      </c>
      <c r="O1069" s="12"/>
      <c r="P1069" s="142"/>
      <c r="Y1069" s="142"/>
      <c r="Z1069" s="104"/>
      <c r="AA1069" s="104"/>
    </row>
    <row r="1070" spans="1:27">
      <c r="A1070" s="412"/>
      <c r="B1070" s="28" t="s">
        <v>79</v>
      </c>
      <c r="C1070" s="73">
        <v>164000</v>
      </c>
      <c r="D1070" s="73">
        <v>109880</v>
      </c>
      <c r="E1070" s="73">
        <v>109880</v>
      </c>
      <c r="F1070" s="73">
        <v>328000</v>
      </c>
      <c r="G1070" s="73">
        <f>G1065*2</f>
        <v>242663.6</v>
      </c>
      <c r="H1070" s="73">
        <f>H1065*2</f>
        <v>220143.8</v>
      </c>
      <c r="I1070" s="73">
        <f>I1065*2</f>
        <v>242663.6</v>
      </c>
      <c r="J1070" s="73">
        <v>328000</v>
      </c>
      <c r="K1070" s="73">
        <f>K1065*2</f>
        <v>264264.40000000002</v>
      </c>
      <c r="L1070" s="73">
        <v>328000</v>
      </c>
      <c r="M1070" s="73">
        <f>2*M1065</f>
        <v>352965.4</v>
      </c>
      <c r="N1070" s="84">
        <f>2*N1065</f>
        <v>109842</v>
      </c>
      <c r="O1070" s="12"/>
      <c r="Y1070" s="14"/>
      <c r="Z1070" s="104"/>
      <c r="AA1070" s="104"/>
    </row>
    <row r="1071" spans="1:27" s="64" customFormat="1">
      <c r="A1071" s="412"/>
      <c r="B1071" s="66" t="s">
        <v>8</v>
      </c>
      <c r="C1071" s="98">
        <f>SUM(C1068-629)</f>
        <v>4377</v>
      </c>
      <c r="D1071" s="98">
        <f>SUM(D1068-719)</f>
        <v>2481</v>
      </c>
      <c r="E1071" s="98">
        <f>SUM(E1068-720)</f>
        <v>2463</v>
      </c>
      <c r="F1071" s="98">
        <f>SUM(F1068-1140)</f>
        <v>8386</v>
      </c>
      <c r="G1071" s="98">
        <f>SUM(G1068-3105)</f>
        <v>1895</v>
      </c>
      <c r="H1071" s="98">
        <f>SUM(H1068-1879)</f>
        <v>9625</v>
      </c>
      <c r="I1071" s="98">
        <f>SUM(I1068-(2439-2000))</f>
        <v>1561</v>
      </c>
      <c r="J1071" s="98">
        <f>SUM(J1068-1331)</f>
        <v>7863</v>
      </c>
      <c r="K1071" s="98">
        <f>SUM(K1068-1017)</f>
        <v>5193</v>
      </c>
      <c r="L1071" s="98">
        <f>SUM(L1068-293)</f>
        <v>2207</v>
      </c>
      <c r="M1071" s="98">
        <f>SUM(M1068-(2880-2614))</f>
        <v>2571</v>
      </c>
      <c r="N1071" s="103">
        <f>SUM(N1068-46)</f>
        <v>784</v>
      </c>
      <c r="O1071" s="12"/>
      <c r="P1071" s="175"/>
      <c r="Q1071" s="67"/>
      <c r="R1071" s="67"/>
      <c r="S1071" s="67"/>
      <c r="T1071" s="67"/>
      <c r="U1071" s="67"/>
      <c r="V1071" s="67"/>
      <c r="W1071" s="67"/>
    </row>
    <row r="1072" spans="1:27">
      <c r="A1072" s="412"/>
      <c r="B1072" s="29" t="s">
        <v>77</v>
      </c>
      <c r="C1072" s="75">
        <f>C1071*33.72</f>
        <v>147592.44</v>
      </c>
      <c r="D1072" s="75">
        <f>D1071*33.72</f>
        <v>83659.319999999992</v>
      </c>
      <c r="E1072" s="75">
        <f>E1071*33.72</f>
        <v>83052.36</v>
      </c>
      <c r="F1072" s="75">
        <f>F1071*33.72</f>
        <v>282775.92</v>
      </c>
      <c r="G1072" s="75">
        <f>G1071*33.72*2</f>
        <v>127798.8</v>
      </c>
      <c r="H1072" s="75">
        <f>H1071*33.72</f>
        <v>324555</v>
      </c>
      <c r="I1072" s="75">
        <f>I1071*33.72</f>
        <v>52636.92</v>
      </c>
      <c r="J1072" s="75">
        <f>J1071*33.72</f>
        <v>265140.36</v>
      </c>
      <c r="K1072" s="75">
        <f>K1071*33.72</f>
        <v>175107.96</v>
      </c>
      <c r="L1072" s="75">
        <f>L1071*33.72</f>
        <v>74420.039999999994</v>
      </c>
      <c r="M1072" s="75">
        <f>M1071*33.72*2</f>
        <v>173388.24</v>
      </c>
      <c r="N1072" s="11">
        <f>N1071*33.72</f>
        <v>26436.48</v>
      </c>
      <c r="O1072" s="12"/>
      <c r="P1072" s="175"/>
    </row>
    <row r="1073" spans="1:27" ht="15.75" thickBot="1">
      <c r="A1073" s="412"/>
      <c r="B1073" s="30" t="s">
        <v>10</v>
      </c>
      <c r="C1073" s="71">
        <f>C1071*33.7/C1065</f>
        <v>1.2736053836749075</v>
      </c>
      <c r="D1073" s="71">
        <f t="shared" ref="D1073:N1073" si="938">D1071*33.7/D1065</f>
        <v>0.84418684251179066</v>
      </c>
      <c r="E1073" s="78">
        <f t="shared" si="938"/>
        <v>0.83806214957941971</v>
      </c>
      <c r="F1073" s="78">
        <f t="shared" si="938"/>
        <v>1.5528110779361071</v>
      </c>
      <c r="G1073" s="78">
        <f t="shared" si="938"/>
        <v>0.52633769547637144</v>
      </c>
      <c r="H1073" s="78">
        <f t="shared" si="938"/>
        <v>2.9468238487752099</v>
      </c>
      <c r="I1073" s="78">
        <f t="shared" si="938"/>
        <v>0.43356894070639357</v>
      </c>
      <c r="J1073" s="78">
        <f t="shared" si="938"/>
        <v>1.549902437654854</v>
      </c>
      <c r="K1073" s="78">
        <f t="shared" si="938"/>
        <v>1.3244621674353412</v>
      </c>
      <c r="L1073" s="78">
        <f t="shared" si="938"/>
        <v>1.2259918669301866</v>
      </c>
      <c r="M1073" s="79">
        <f t="shared" si="938"/>
        <v>0.49094160504117407</v>
      </c>
      <c r="N1073" s="26">
        <f t="shared" si="938"/>
        <v>0.48106917208353822</v>
      </c>
      <c r="O1073" s="12"/>
      <c r="P1073" s="175"/>
    </row>
    <row r="1074" spans="1:27" ht="15.75" customHeight="1" thickBot="1">
      <c r="A1074" s="424" t="s">
        <v>83</v>
      </c>
      <c r="B1074" s="425"/>
      <c r="C1074" s="76">
        <f>MIN(2*C1065,C1070)-C1072</f>
        <v>16407.559999999998</v>
      </c>
      <c r="D1074" s="76">
        <f t="shared" ref="D1074:N1074" si="939">MIN(2*D1065,D1070)-D1072</f>
        <v>26220.680000000008</v>
      </c>
      <c r="E1074" s="76">
        <f t="shared" si="939"/>
        <v>26827.64</v>
      </c>
      <c r="F1074" s="76">
        <f t="shared" si="939"/>
        <v>45224.080000000016</v>
      </c>
      <c r="G1074" s="76">
        <f t="shared" si="939"/>
        <v>114864.8</v>
      </c>
      <c r="H1074" s="76">
        <f t="shared" si="939"/>
        <v>-104411.20000000001</v>
      </c>
      <c r="I1074" s="76">
        <f t="shared" si="939"/>
        <v>190026.68</v>
      </c>
      <c r="J1074" s="76">
        <f t="shared" si="939"/>
        <v>62859.640000000014</v>
      </c>
      <c r="K1074" s="76">
        <f t="shared" si="939"/>
        <v>89156.440000000031</v>
      </c>
      <c r="L1074" s="76">
        <f t="shared" si="939"/>
        <v>46911.760000000009</v>
      </c>
      <c r="M1074" s="76">
        <f t="shared" si="939"/>
        <v>179577.16000000003</v>
      </c>
      <c r="N1074" s="22">
        <f t="shared" si="939"/>
        <v>83405.52</v>
      </c>
      <c r="O1074" s="12"/>
      <c r="P1074" s="175"/>
    </row>
    <row r="1075" spans="1:27" ht="15.75" thickBot="1">
      <c r="A1075" s="368">
        <v>41081</v>
      </c>
      <c r="B1075" s="368"/>
      <c r="C1075" s="368"/>
      <c r="N1075" s="15"/>
    </row>
    <row r="1076" spans="1:27">
      <c r="A1076" s="407" t="s">
        <v>1</v>
      </c>
      <c r="B1076" s="420"/>
      <c r="C1076" s="68" t="s">
        <v>12</v>
      </c>
      <c r="D1076" s="68" t="s">
        <v>12</v>
      </c>
      <c r="E1076" s="68" t="s">
        <v>13</v>
      </c>
      <c r="F1076" s="68" t="s">
        <v>13</v>
      </c>
      <c r="G1076" s="68" t="s">
        <v>13</v>
      </c>
      <c r="H1076" s="68" t="s">
        <v>13</v>
      </c>
      <c r="I1076" s="68" t="s">
        <v>13</v>
      </c>
      <c r="J1076" s="68" t="s">
        <v>2</v>
      </c>
      <c r="K1076" s="68" t="s">
        <v>2</v>
      </c>
      <c r="L1076" s="68" t="s">
        <v>2</v>
      </c>
      <c r="M1076" s="68" t="s">
        <v>2</v>
      </c>
      <c r="N1076" s="4" t="s">
        <v>84</v>
      </c>
      <c r="P1076" s="174"/>
      <c r="Q1076" s="175"/>
      <c r="R1076" s="175"/>
      <c r="S1076" s="175"/>
      <c r="T1076" s="175"/>
      <c r="U1076" s="175"/>
      <c r="V1076" s="175"/>
      <c r="W1076" s="175"/>
      <c r="X1076" s="175"/>
      <c r="Y1076" s="174"/>
      <c r="Z1076" s="175"/>
      <c r="AA1076" s="175"/>
    </row>
    <row r="1077" spans="1:27" ht="15.75" thickBot="1">
      <c r="A1077" s="409" t="s">
        <v>0</v>
      </c>
      <c r="B1077" s="414"/>
      <c r="C1077" s="99" t="s">
        <v>102</v>
      </c>
      <c r="D1077" s="99" t="s">
        <v>103</v>
      </c>
      <c r="E1077" s="99" t="s">
        <v>104</v>
      </c>
      <c r="F1077" s="99" t="s">
        <v>105</v>
      </c>
      <c r="G1077" s="99" t="s">
        <v>100</v>
      </c>
      <c r="H1077" s="99" t="s">
        <v>107</v>
      </c>
      <c r="I1077" s="99" t="s">
        <v>106</v>
      </c>
      <c r="J1077" s="99" t="s">
        <v>108</v>
      </c>
      <c r="K1077" s="99" t="s">
        <v>110</v>
      </c>
      <c r="L1077" s="99" t="s">
        <v>101</v>
      </c>
      <c r="M1077" s="99" t="s">
        <v>109</v>
      </c>
      <c r="N1077" s="101" t="s">
        <v>111</v>
      </c>
      <c r="P1077" s="142"/>
      <c r="Y1077" s="142"/>
      <c r="Z1077" s="104"/>
      <c r="AA1077" s="104"/>
    </row>
    <row r="1078" spans="1:27" ht="15" customHeight="1">
      <c r="A1078" s="421" t="s">
        <v>9</v>
      </c>
      <c r="B1078" s="2" t="s">
        <v>4</v>
      </c>
      <c r="C1078" s="96">
        <v>115816.8</v>
      </c>
      <c r="D1078" s="96">
        <v>99041.7</v>
      </c>
      <c r="E1078" s="96">
        <v>99041.7</v>
      </c>
      <c r="F1078" s="96">
        <v>181997.8</v>
      </c>
      <c r="G1078" s="96">
        <v>121331.8</v>
      </c>
      <c r="H1078" s="96">
        <v>110071.9</v>
      </c>
      <c r="I1078" s="96">
        <v>121331.8</v>
      </c>
      <c r="J1078" s="96">
        <v>170967.6</v>
      </c>
      <c r="K1078" s="96">
        <v>132132.20000000001</v>
      </c>
      <c r="L1078" s="96">
        <v>60665.9</v>
      </c>
      <c r="M1078" s="96">
        <v>176482.7</v>
      </c>
      <c r="N1078" s="100">
        <v>54921</v>
      </c>
      <c r="O1078" s="12"/>
      <c r="P1078" s="142"/>
      <c r="Y1078" s="142"/>
      <c r="Z1078" s="104"/>
      <c r="AA1078" s="104"/>
    </row>
    <row r="1079" spans="1:27" s="64" customFormat="1">
      <c r="A1079" s="422"/>
      <c r="B1079" s="63" t="s">
        <v>5</v>
      </c>
      <c r="C1079" s="97">
        <v>91643.5</v>
      </c>
      <c r="D1079" s="97">
        <v>69205.8</v>
      </c>
      <c r="E1079" s="97">
        <v>70782</v>
      </c>
      <c r="F1079" s="97">
        <v>149969.20000000001</v>
      </c>
      <c r="G1079" s="97">
        <v>21143.200000000001</v>
      </c>
      <c r="H1079" s="97">
        <v>43321.9</v>
      </c>
      <c r="I1079" s="97">
        <v>21399.8</v>
      </c>
      <c r="J1079" s="97">
        <v>135460.1</v>
      </c>
      <c r="K1079" s="97">
        <v>48761</v>
      </c>
      <c r="L1079" s="97">
        <v>15581.9</v>
      </c>
      <c r="M1079" s="97">
        <v>81515.7</v>
      </c>
      <c r="N1079" s="102">
        <v>23967.3</v>
      </c>
      <c r="O1079" s="12"/>
      <c r="P1079" s="142"/>
      <c r="Q1079" s="104"/>
      <c r="R1079" s="104"/>
      <c r="S1079" s="104"/>
      <c r="T1079" s="104"/>
      <c r="U1079" s="104"/>
      <c r="V1079" s="104"/>
      <c r="W1079" s="104"/>
      <c r="X1079" s="104"/>
      <c r="Y1079" s="142"/>
      <c r="Z1079" s="104"/>
      <c r="AA1079" s="104"/>
    </row>
    <row r="1080" spans="1:27" ht="15.75" thickBot="1">
      <c r="A1080" s="423"/>
      <c r="B1080" s="3" t="s">
        <v>3</v>
      </c>
      <c r="C1080" s="71">
        <f>C1079/C1078</f>
        <v>0.79127984886475877</v>
      </c>
      <c r="D1080" s="72">
        <f t="shared" ref="D1080:E1080" si="940">D1079/D1078</f>
        <v>0.69875416112607114</v>
      </c>
      <c r="E1080" s="72">
        <f t="shared" si="940"/>
        <v>0.71466866986330002</v>
      </c>
      <c r="F1080" s="72">
        <f>F1079/F1078</f>
        <v>0.82401655404625784</v>
      </c>
      <c r="G1080" s="72">
        <f>G1079/G1078</f>
        <v>0.17425934503567903</v>
      </c>
      <c r="H1080" s="72">
        <f t="shared" ref="H1080:N1080" si="941">H1079/H1078</f>
        <v>0.39357819752361867</v>
      </c>
      <c r="I1080" s="72">
        <f t="shared" si="941"/>
        <v>0.17637420692679082</v>
      </c>
      <c r="J1080" s="72">
        <f t="shared" si="941"/>
        <v>0.79231445022331715</v>
      </c>
      <c r="K1080" s="72">
        <f t="shared" si="941"/>
        <v>0.36903192408814806</v>
      </c>
      <c r="L1080" s="72">
        <f t="shared" si="941"/>
        <v>0.25684775137268218</v>
      </c>
      <c r="M1080" s="72">
        <f t="shared" si="941"/>
        <v>0.46189059890856154</v>
      </c>
      <c r="N1080" s="83">
        <f t="shared" si="941"/>
        <v>0.43639591413120665</v>
      </c>
      <c r="O1080" s="12"/>
      <c r="Y1080" s="14"/>
      <c r="Z1080" s="104"/>
      <c r="AA1080" s="104"/>
    </row>
    <row r="1081" spans="1:27" ht="15" customHeight="1">
      <c r="A1081" s="411" t="s">
        <v>6</v>
      </c>
      <c r="B1081" s="27" t="s">
        <v>7</v>
      </c>
      <c r="C1081" s="68">
        <v>5006</v>
      </c>
      <c r="D1081" s="68">
        <v>3200</v>
      </c>
      <c r="E1081" s="68">
        <v>3183</v>
      </c>
      <c r="F1081" s="68">
        <v>9526</v>
      </c>
      <c r="G1081" s="68">
        <v>5000</v>
      </c>
      <c r="H1081" s="68">
        <v>11504</v>
      </c>
      <c r="I1081" s="68">
        <f>(4000-2000)</f>
        <v>2000</v>
      </c>
      <c r="J1081" s="68">
        <v>9194</v>
      </c>
      <c r="K1081" s="68">
        <f>8610-(HEX2DEC("2a3c")-HEX2DEC("20dc"))</f>
        <v>6210</v>
      </c>
      <c r="L1081" s="68">
        <v>2500</v>
      </c>
      <c r="M1081" s="68">
        <f>5451-2614</f>
        <v>2837</v>
      </c>
      <c r="N1081" s="80">
        <v>830</v>
      </c>
      <c r="O1081" s="12"/>
      <c r="P1081" s="142"/>
      <c r="Y1081" s="142"/>
      <c r="Z1081" s="104"/>
      <c r="AA1081" s="104"/>
    </row>
    <row r="1082" spans="1:27">
      <c r="A1082" s="412"/>
      <c r="B1082" s="28" t="s">
        <v>11</v>
      </c>
      <c r="C1082" s="73">
        <f t="shared" ref="C1082:I1082" si="942">C1081*33.72</f>
        <v>168802.32</v>
      </c>
      <c r="D1082" s="73">
        <f t="shared" si="942"/>
        <v>107904</v>
      </c>
      <c r="E1082" s="73">
        <f t="shared" si="942"/>
        <v>107330.76</v>
      </c>
      <c r="F1082" s="73">
        <f t="shared" si="942"/>
        <v>321216.71999999997</v>
      </c>
      <c r="G1082" s="73">
        <f t="shared" si="942"/>
        <v>168600</v>
      </c>
      <c r="H1082" s="73">
        <f t="shared" si="942"/>
        <v>387914.88</v>
      </c>
      <c r="I1082" s="73">
        <f t="shared" si="942"/>
        <v>67440</v>
      </c>
      <c r="J1082" s="73">
        <f>J1081*33.72</f>
        <v>310021.68</v>
      </c>
      <c r="K1082" s="73">
        <f t="shared" ref="K1082:N1082" si="943">K1081*33.72</f>
        <v>209401.19999999998</v>
      </c>
      <c r="L1082" s="73">
        <f t="shared" si="943"/>
        <v>84300</v>
      </c>
      <c r="M1082" s="73">
        <f t="shared" si="943"/>
        <v>95663.64</v>
      </c>
      <c r="N1082" s="73">
        <f t="shared" si="943"/>
        <v>27987.599999999999</v>
      </c>
      <c r="O1082" s="12"/>
      <c r="P1082" s="142"/>
      <c r="Y1082" s="142"/>
      <c r="Z1082" s="104"/>
      <c r="AA1082" s="104"/>
    </row>
    <row r="1083" spans="1:27">
      <c r="A1083" s="412"/>
      <c r="B1083" s="28" t="s">
        <v>79</v>
      </c>
      <c r="C1083" s="73">
        <v>164000</v>
      </c>
      <c r="D1083" s="73">
        <v>109880</v>
      </c>
      <c r="E1083" s="73">
        <v>109880</v>
      </c>
      <c r="F1083" s="73">
        <v>328000</v>
      </c>
      <c r="G1083" s="73">
        <f>G1078*2</f>
        <v>242663.6</v>
      </c>
      <c r="H1083" s="73">
        <f>H1078*2</f>
        <v>220143.8</v>
      </c>
      <c r="I1083" s="73">
        <f>I1078*2</f>
        <v>242663.6</v>
      </c>
      <c r="J1083" s="73">
        <v>328000</v>
      </c>
      <c r="K1083" s="73">
        <f>K1078*2</f>
        <v>264264.40000000002</v>
      </c>
      <c r="L1083" s="73">
        <v>328000</v>
      </c>
      <c r="M1083" s="73">
        <f>2*M1078</f>
        <v>352965.4</v>
      </c>
      <c r="N1083" s="84">
        <f>2*N1078</f>
        <v>109842</v>
      </c>
      <c r="O1083" s="12"/>
      <c r="Y1083" s="14"/>
      <c r="Z1083" s="104"/>
      <c r="AA1083" s="104"/>
    </row>
    <row r="1084" spans="1:27" s="64" customFormat="1">
      <c r="A1084" s="412"/>
      <c r="B1084" s="66" t="s">
        <v>8</v>
      </c>
      <c r="C1084" s="98">
        <f>SUM(C1081-629)</f>
        <v>4377</v>
      </c>
      <c r="D1084" s="98">
        <f>SUM(D1081-719)</f>
        <v>2481</v>
      </c>
      <c r="E1084" s="98">
        <f>SUM(E1081-720)</f>
        <v>2463</v>
      </c>
      <c r="F1084" s="98">
        <f>SUM(F1081-1140)</f>
        <v>8386</v>
      </c>
      <c r="G1084" s="98">
        <f>SUM(G1081-3105)</f>
        <v>1895</v>
      </c>
      <c r="H1084" s="98">
        <f>SUM(H1081-1898)</f>
        <v>9606</v>
      </c>
      <c r="I1084" s="98">
        <f>SUM(I1081-(2439-2000))</f>
        <v>1561</v>
      </c>
      <c r="J1084" s="98">
        <f>SUM(J1081-1331)</f>
        <v>7863</v>
      </c>
      <c r="K1084" s="98">
        <f>SUM(K1081-1025)</f>
        <v>5185</v>
      </c>
      <c r="L1084" s="98">
        <f>SUM(L1081-293)</f>
        <v>2207</v>
      </c>
      <c r="M1084" s="98">
        <f>SUM(M1081-(2880-2614))</f>
        <v>2571</v>
      </c>
      <c r="N1084" s="103">
        <f>SUM(N1081-46)</f>
        <v>784</v>
      </c>
      <c r="O1084" s="12"/>
      <c r="P1084" s="175"/>
      <c r="Q1084" s="67"/>
      <c r="R1084" s="67"/>
      <c r="S1084" s="67"/>
      <c r="T1084" s="67"/>
      <c r="U1084" s="67"/>
      <c r="V1084" s="67"/>
      <c r="W1084" s="67"/>
    </row>
    <row r="1085" spans="1:27">
      <c r="A1085" s="412"/>
      <c r="B1085" s="29" t="s">
        <v>77</v>
      </c>
      <c r="C1085" s="75">
        <f>C1084*33.72</f>
        <v>147592.44</v>
      </c>
      <c r="D1085" s="75">
        <f>D1084*33.72</f>
        <v>83659.319999999992</v>
      </c>
      <c r="E1085" s="75">
        <f>E1084*33.72</f>
        <v>83052.36</v>
      </c>
      <c r="F1085" s="75">
        <f>F1084*33.72</f>
        <v>282775.92</v>
      </c>
      <c r="G1085" s="75">
        <f>G1084*33.72*2</f>
        <v>127798.8</v>
      </c>
      <c r="H1085" s="75">
        <f>H1084*33.72</f>
        <v>323914.32</v>
      </c>
      <c r="I1085" s="75">
        <f>I1084*33.72</f>
        <v>52636.92</v>
      </c>
      <c r="J1085" s="75">
        <f>J1084*33.72</f>
        <v>265140.36</v>
      </c>
      <c r="K1085" s="75">
        <f>K1084*33.72</f>
        <v>174838.19999999998</v>
      </c>
      <c r="L1085" s="75">
        <f>L1084*33.72</f>
        <v>74420.039999999994</v>
      </c>
      <c r="M1085" s="75">
        <f>M1084*33.72*2</f>
        <v>173388.24</v>
      </c>
      <c r="N1085" s="11">
        <f>N1084*33.72</f>
        <v>26436.48</v>
      </c>
      <c r="O1085" s="12"/>
      <c r="P1085" s="175"/>
    </row>
    <row r="1086" spans="1:27" ht="15.75" thickBot="1">
      <c r="A1086" s="412"/>
      <c r="B1086" s="30" t="s">
        <v>10</v>
      </c>
      <c r="C1086" s="71">
        <f>C1084*33.7/C1078</f>
        <v>1.2736053836749075</v>
      </c>
      <c r="D1086" s="71">
        <f t="shared" ref="D1086:N1086" si="944">D1084*33.7/D1078</f>
        <v>0.84418684251179066</v>
      </c>
      <c r="E1086" s="78">
        <f t="shared" si="944"/>
        <v>0.83806214957941971</v>
      </c>
      <c r="F1086" s="78">
        <f t="shared" si="944"/>
        <v>1.5528110779361071</v>
      </c>
      <c r="G1086" s="78">
        <f t="shared" si="944"/>
        <v>0.52633769547637144</v>
      </c>
      <c r="H1086" s="78">
        <f t="shared" si="944"/>
        <v>2.9410067419568486</v>
      </c>
      <c r="I1086" s="78">
        <f t="shared" si="944"/>
        <v>0.43356894070639357</v>
      </c>
      <c r="J1086" s="78">
        <f t="shared" si="944"/>
        <v>1.549902437654854</v>
      </c>
      <c r="K1086" s="78">
        <f t="shared" si="944"/>
        <v>1.3224217866651733</v>
      </c>
      <c r="L1086" s="78">
        <f t="shared" si="944"/>
        <v>1.2259918669301866</v>
      </c>
      <c r="M1086" s="79">
        <f t="shared" si="944"/>
        <v>0.49094160504117407</v>
      </c>
      <c r="N1086" s="26">
        <f t="shared" si="944"/>
        <v>0.48106917208353822</v>
      </c>
      <c r="O1086" s="12"/>
      <c r="P1086" s="175"/>
    </row>
    <row r="1087" spans="1:27" ht="15.75" customHeight="1" thickBot="1">
      <c r="A1087" s="424" t="s">
        <v>83</v>
      </c>
      <c r="B1087" s="425"/>
      <c r="C1087" s="76">
        <f>MIN(2*C1078,C1083)-C1085</f>
        <v>16407.559999999998</v>
      </c>
      <c r="D1087" s="76">
        <f t="shared" ref="D1087:N1087" si="945">MIN(2*D1078,D1083)-D1085</f>
        <v>26220.680000000008</v>
      </c>
      <c r="E1087" s="76">
        <f t="shared" si="945"/>
        <v>26827.64</v>
      </c>
      <c r="F1087" s="76">
        <f t="shared" si="945"/>
        <v>45224.080000000016</v>
      </c>
      <c r="G1087" s="76">
        <f t="shared" si="945"/>
        <v>114864.8</v>
      </c>
      <c r="H1087" s="76">
        <f t="shared" si="945"/>
        <v>-103770.52000000002</v>
      </c>
      <c r="I1087" s="76">
        <f t="shared" si="945"/>
        <v>190026.68</v>
      </c>
      <c r="J1087" s="76">
        <f t="shared" si="945"/>
        <v>62859.640000000014</v>
      </c>
      <c r="K1087" s="76">
        <f t="shared" si="945"/>
        <v>89426.200000000041</v>
      </c>
      <c r="L1087" s="76">
        <f t="shared" si="945"/>
        <v>46911.760000000009</v>
      </c>
      <c r="M1087" s="76">
        <f t="shared" si="945"/>
        <v>179577.16000000003</v>
      </c>
      <c r="N1087" s="22">
        <f t="shared" si="945"/>
        <v>83405.52</v>
      </c>
      <c r="O1087" s="12"/>
      <c r="P1087" s="175"/>
    </row>
    <row r="1088" spans="1:27" ht="15.75" thickBot="1">
      <c r="A1088" s="368">
        <v>41080</v>
      </c>
      <c r="B1088" s="368"/>
      <c r="C1088" s="368"/>
      <c r="N1088" s="15"/>
    </row>
    <row r="1089" spans="1:27">
      <c r="A1089" s="407" t="s">
        <v>1</v>
      </c>
      <c r="B1089" s="420"/>
      <c r="C1089" s="68" t="s">
        <v>12</v>
      </c>
      <c r="D1089" s="68" t="s">
        <v>12</v>
      </c>
      <c r="E1089" s="68" t="s">
        <v>13</v>
      </c>
      <c r="F1089" s="68" t="s">
        <v>13</v>
      </c>
      <c r="G1089" s="68" t="s">
        <v>13</v>
      </c>
      <c r="H1089" s="68" t="s">
        <v>13</v>
      </c>
      <c r="I1089" s="68" t="s">
        <v>13</v>
      </c>
      <c r="J1089" s="68" t="s">
        <v>2</v>
      </c>
      <c r="K1089" s="68" t="s">
        <v>2</v>
      </c>
      <c r="L1089" s="68" t="s">
        <v>2</v>
      </c>
      <c r="M1089" s="68" t="s">
        <v>2</v>
      </c>
      <c r="N1089" s="4" t="s">
        <v>84</v>
      </c>
      <c r="P1089" s="174"/>
      <c r="Q1089" s="175"/>
      <c r="R1089" s="175"/>
      <c r="S1089" s="175"/>
      <c r="T1089" s="175"/>
      <c r="U1089" s="175"/>
      <c r="V1089" s="175"/>
      <c r="W1089" s="175"/>
      <c r="X1089" s="175"/>
      <c r="Y1089" s="174"/>
      <c r="Z1089" s="175"/>
      <c r="AA1089" s="175"/>
    </row>
    <row r="1090" spans="1:27" ht="15.75" thickBot="1">
      <c r="A1090" s="409" t="s">
        <v>0</v>
      </c>
      <c r="B1090" s="414"/>
      <c r="C1090" s="99" t="s">
        <v>102</v>
      </c>
      <c r="D1090" s="99" t="s">
        <v>103</v>
      </c>
      <c r="E1090" s="99" t="s">
        <v>104</v>
      </c>
      <c r="F1090" s="99" t="s">
        <v>105</v>
      </c>
      <c r="G1090" s="99" t="s">
        <v>100</v>
      </c>
      <c r="H1090" s="99" t="s">
        <v>107</v>
      </c>
      <c r="I1090" s="99" t="s">
        <v>106</v>
      </c>
      <c r="J1090" s="99" t="s">
        <v>108</v>
      </c>
      <c r="K1090" s="99" t="s">
        <v>110</v>
      </c>
      <c r="L1090" s="99" t="s">
        <v>101</v>
      </c>
      <c r="M1090" s="99" t="s">
        <v>109</v>
      </c>
      <c r="N1090" s="101" t="s">
        <v>111</v>
      </c>
      <c r="P1090" s="142"/>
      <c r="Y1090" s="142"/>
      <c r="Z1090" s="104"/>
      <c r="AA1090" s="104"/>
    </row>
    <row r="1091" spans="1:27" ht="15" customHeight="1">
      <c r="A1091" s="421" t="s">
        <v>9</v>
      </c>
      <c r="B1091" s="2" t="s">
        <v>4</v>
      </c>
      <c r="C1091" s="96">
        <v>115816.8</v>
      </c>
      <c r="D1091" s="96">
        <v>99041.7</v>
      </c>
      <c r="E1091" s="96">
        <v>99041.7</v>
      </c>
      <c r="F1091" s="96">
        <v>181997.8</v>
      </c>
      <c r="G1091" s="96">
        <v>121331.8</v>
      </c>
      <c r="H1091" s="96">
        <v>110071.9</v>
      </c>
      <c r="I1091" s="96">
        <v>121331.8</v>
      </c>
      <c r="J1091" s="96">
        <v>170967.6</v>
      </c>
      <c r="K1091" s="96">
        <v>132132.20000000001</v>
      </c>
      <c r="L1091" s="96">
        <v>60665.9</v>
      </c>
      <c r="M1091" s="96">
        <v>176482.7</v>
      </c>
      <c r="N1091" s="100">
        <v>54921</v>
      </c>
      <c r="O1091" s="12"/>
      <c r="P1091" s="142"/>
      <c r="Y1091" s="142"/>
      <c r="Z1091" s="104"/>
      <c r="AA1091" s="104"/>
    </row>
    <row r="1092" spans="1:27" s="64" customFormat="1">
      <c r="A1092" s="422"/>
      <c r="B1092" s="63" t="s">
        <v>5</v>
      </c>
      <c r="C1092" s="97">
        <v>91636.5</v>
      </c>
      <c r="D1092" s="97">
        <v>69227.7</v>
      </c>
      <c r="E1092" s="97">
        <v>70776.600000000006</v>
      </c>
      <c r="F1092" s="97">
        <v>149798.70000000001</v>
      </c>
      <c r="G1092" s="97">
        <v>21092.3</v>
      </c>
      <c r="H1092" s="97">
        <v>43027.3</v>
      </c>
      <c r="I1092" s="97">
        <v>21299.3</v>
      </c>
      <c r="J1092" s="97">
        <v>135396.29999999999</v>
      </c>
      <c r="K1092" s="97">
        <v>48711.7</v>
      </c>
      <c r="L1092" s="97">
        <v>15467.4</v>
      </c>
      <c r="M1092" s="97">
        <v>81435.7</v>
      </c>
      <c r="N1092" s="102">
        <v>23966.799999999999</v>
      </c>
      <c r="O1092" s="12"/>
      <c r="P1092" s="142"/>
      <c r="Q1092" s="104"/>
      <c r="R1092" s="104"/>
      <c r="S1092" s="104"/>
      <c r="T1092" s="104"/>
      <c r="U1092" s="104"/>
      <c r="V1092" s="104"/>
      <c r="W1092" s="104"/>
      <c r="X1092" s="104"/>
      <c r="Y1092" s="142"/>
      <c r="Z1092" s="104"/>
      <c r="AA1092" s="104"/>
    </row>
    <row r="1093" spans="1:27" ht="15.75" thickBot="1">
      <c r="A1093" s="423"/>
      <c r="B1093" s="3" t="s">
        <v>3</v>
      </c>
      <c r="C1093" s="71">
        <f>C1092/C1091</f>
        <v>0.79121940858321071</v>
      </c>
      <c r="D1093" s="72">
        <f t="shared" ref="D1093:E1093" si="946">D1092/D1091</f>
        <v>0.69897528010928733</v>
      </c>
      <c r="E1093" s="72">
        <f t="shared" si="946"/>
        <v>0.71461414737428786</v>
      </c>
      <c r="F1093" s="72">
        <f>F1092/F1091</f>
        <v>0.82307972953519226</v>
      </c>
      <c r="G1093" s="72">
        <f>G1092/G1091</f>
        <v>0.17383983423966345</v>
      </c>
      <c r="H1093" s="72">
        <f t="shared" ref="H1093:N1093" si="947">H1092/H1091</f>
        <v>0.39090176511898139</v>
      </c>
      <c r="I1093" s="72">
        <f t="shared" si="947"/>
        <v>0.17554589975587603</v>
      </c>
      <c r="J1093" s="72">
        <f t="shared" si="947"/>
        <v>0.79194128010219467</v>
      </c>
      <c r="K1093" s="72">
        <f t="shared" si="947"/>
        <v>0.36865881291615515</v>
      </c>
      <c r="L1093" s="72">
        <f t="shared" si="947"/>
        <v>0.25496036488373203</v>
      </c>
      <c r="M1093" s="72">
        <f t="shared" si="947"/>
        <v>0.46143729668687067</v>
      </c>
      <c r="N1093" s="83">
        <f t="shared" si="947"/>
        <v>0.4363868101454817</v>
      </c>
      <c r="O1093" s="12"/>
      <c r="Y1093" s="14"/>
      <c r="Z1093" s="104"/>
      <c r="AA1093" s="104"/>
    </row>
    <row r="1094" spans="1:27" ht="15" customHeight="1">
      <c r="A1094" s="411" t="s">
        <v>6</v>
      </c>
      <c r="B1094" s="27" t="s">
        <v>7</v>
      </c>
      <c r="C1094" s="68">
        <v>5006</v>
      </c>
      <c r="D1094" s="68">
        <v>3200</v>
      </c>
      <c r="E1094" s="68">
        <v>3183</v>
      </c>
      <c r="F1094" s="68">
        <v>9526</v>
      </c>
      <c r="G1094" s="68">
        <v>5000</v>
      </c>
      <c r="H1094" s="68">
        <v>11504</v>
      </c>
      <c r="I1094" s="68">
        <f>(4000-2000)</f>
        <v>2000</v>
      </c>
      <c r="J1094" s="68">
        <v>9194</v>
      </c>
      <c r="K1094" s="68">
        <f>8610-(HEX2DEC("2a3c")-HEX2DEC("20dc"))</f>
        <v>6210</v>
      </c>
      <c r="L1094" s="68">
        <v>2500</v>
      </c>
      <c r="M1094" s="68">
        <f>5451-2614</f>
        <v>2837</v>
      </c>
      <c r="N1094" s="80">
        <v>830</v>
      </c>
      <c r="O1094" s="12"/>
      <c r="P1094" s="142"/>
      <c r="Y1094" s="142"/>
      <c r="Z1094" s="104"/>
      <c r="AA1094" s="104"/>
    </row>
    <row r="1095" spans="1:27">
      <c r="A1095" s="412"/>
      <c r="B1095" s="28" t="s">
        <v>11</v>
      </c>
      <c r="C1095" s="73">
        <f t="shared" ref="C1095:I1095" si="948">C1094*33.72</f>
        <v>168802.32</v>
      </c>
      <c r="D1095" s="73">
        <f t="shared" si="948"/>
        <v>107904</v>
      </c>
      <c r="E1095" s="73">
        <f t="shared" si="948"/>
        <v>107330.76</v>
      </c>
      <c r="F1095" s="73">
        <f t="shared" si="948"/>
        <v>321216.71999999997</v>
      </c>
      <c r="G1095" s="73">
        <f t="shared" si="948"/>
        <v>168600</v>
      </c>
      <c r="H1095" s="73">
        <f t="shared" si="948"/>
        <v>387914.88</v>
      </c>
      <c r="I1095" s="73">
        <f t="shared" si="948"/>
        <v>67440</v>
      </c>
      <c r="J1095" s="73">
        <f>J1094*33.72</f>
        <v>310021.68</v>
      </c>
      <c r="K1095" s="73">
        <f t="shared" ref="K1095:N1095" si="949">K1094*33.72</f>
        <v>209401.19999999998</v>
      </c>
      <c r="L1095" s="73">
        <f t="shared" si="949"/>
        <v>84300</v>
      </c>
      <c r="M1095" s="73">
        <f t="shared" si="949"/>
        <v>95663.64</v>
      </c>
      <c r="N1095" s="73">
        <f t="shared" si="949"/>
        <v>27987.599999999999</v>
      </c>
      <c r="O1095" s="12"/>
      <c r="P1095" s="142"/>
      <c r="Y1095" s="142"/>
      <c r="Z1095" s="104"/>
      <c r="AA1095" s="104"/>
    </row>
    <row r="1096" spans="1:27">
      <c r="A1096" s="412"/>
      <c r="B1096" s="28" t="s">
        <v>79</v>
      </c>
      <c r="C1096" s="73">
        <v>164000</v>
      </c>
      <c r="D1096" s="73">
        <v>109880</v>
      </c>
      <c r="E1096" s="73">
        <v>109880</v>
      </c>
      <c r="F1096" s="73">
        <v>328000</v>
      </c>
      <c r="G1096" s="73">
        <f>G1091*2</f>
        <v>242663.6</v>
      </c>
      <c r="H1096" s="73">
        <f>H1091*2</f>
        <v>220143.8</v>
      </c>
      <c r="I1096" s="73">
        <f>I1091*2</f>
        <v>242663.6</v>
      </c>
      <c r="J1096" s="73">
        <v>328000</v>
      </c>
      <c r="K1096" s="73">
        <f>K1091*2</f>
        <v>264264.40000000002</v>
      </c>
      <c r="L1096" s="73">
        <v>328000</v>
      </c>
      <c r="M1096" s="73">
        <f>2*M1091</f>
        <v>352965.4</v>
      </c>
      <c r="N1096" s="84">
        <f>2*N1091</f>
        <v>109842</v>
      </c>
      <c r="O1096" s="12"/>
      <c r="Y1096" s="14"/>
      <c r="Z1096" s="104"/>
      <c r="AA1096" s="104"/>
    </row>
    <row r="1097" spans="1:27" s="64" customFormat="1">
      <c r="A1097" s="412"/>
      <c r="B1097" s="66" t="s">
        <v>8</v>
      </c>
      <c r="C1097" s="98">
        <f>SUM(C1094-629)</f>
        <v>4377</v>
      </c>
      <c r="D1097" s="98">
        <f>SUM(D1094-719)</f>
        <v>2481</v>
      </c>
      <c r="E1097" s="98">
        <f>SUM(E1094-720)</f>
        <v>2463</v>
      </c>
      <c r="F1097" s="98">
        <f>SUM(F1094-1140)</f>
        <v>8386</v>
      </c>
      <c r="G1097" s="98">
        <f>SUM(G1094-3111)</f>
        <v>1889</v>
      </c>
      <c r="H1097" s="98">
        <f>SUM(H1094-1918)</f>
        <v>9586</v>
      </c>
      <c r="I1097" s="98">
        <f>SUM(I1094-(2439-2000))</f>
        <v>1561</v>
      </c>
      <c r="J1097" s="98">
        <f>SUM(J1094-1331)</f>
        <v>7863</v>
      </c>
      <c r="K1097" s="98">
        <f>SUM(K1094-1025)</f>
        <v>5185</v>
      </c>
      <c r="L1097" s="98">
        <f>SUM(L1094-305)</f>
        <v>2195</v>
      </c>
      <c r="M1097" s="98">
        <f>SUM(M1094-(2880-2614))</f>
        <v>2571</v>
      </c>
      <c r="N1097" s="103">
        <f>SUM(N1094-46)</f>
        <v>784</v>
      </c>
      <c r="O1097" s="12"/>
      <c r="P1097" s="175"/>
      <c r="Q1097" s="67"/>
      <c r="R1097" s="67"/>
      <c r="S1097" s="67"/>
      <c r="T1097" s="67"/>
      <c r="U1097" s="67"/>
      <c r="V1097" s="67"/>
      <c r="W1097" s="67"/>
    </row>
    <row r="1098" spans="1:27">
      <c r="A1098" s="412"/>
      <c r="B1098" s="29" t="s">
        <v>77</v>
      </c>
      <c r="C1098" s="75">
        <f>C1097*33.72</f>
        <v>147592.44</v>
      </c>
      <c r="D1098" s="75">
        <f>D1097*33.72</f>
        <v>83659.319999999992</v>
      </c>
      <c r="E1098" s="75">
        <f>E1097*33.72</f>
        <v>83052.36</v>
      </c>
      <c r="F1098" s="75">
        <f>F1097*33.72</f>
        <v>282775.92</v>
      </c>
      <c r="G1098" s="75">
        <f>G1097*33.72*2</f>
        <v>127394.15999999999</v>
      </c>
      <c r="H1098" s="75">
        <f>H1097*33.72</f>
        <v>323239.92</v>
      </c>
      <c r="I1098" s="75">
        <f>I1097*33.72</f>
        <v>52636.92</v>
      </c>
      <c r="J1098" s="75">
        <f>J1097*33.72</f>
        <v>265140.36</v>
      </c>
      <c r="K1098" s="75">
        <f>K1097*33.72</f>
        <v>174838.19999999998</v>
      </c>
      <c r="L1098" s="75">
        <f>L1097*33.72</f>
        <v>74015.399999999994</v>
      </c>
      <c r="M1098" s="75">
        <f>M1097*33.72*2</f>
        <v>173388.24</v>
      </c>
      <c r="N1098" s="11">
        <f>N1097*33.72</f>
        <v>26436.48</v>
      </c>
      <c r="O1098" s="12"/>
      <c r="P1098" s="175"/>
    </row>
    <row r="1099" spans="1:27" ht="15.75" thickBot="1">
      <c r="A1099" s="412"/>
      <c r="B1099" s="30" t="s">
        <v>10</v>
      </c>
      <c r="C1099" s="71">
        <f>C1097*33.7/C1091</f>
        <v>1.2736053836749075</v>
      </c>
      <c r="D1099" s="71">
        <f t="shared" ref="D1099:N1099" si="950">D1097*33.7/D1091</f>
        <v>0.84418684251179066</v>
      </c>
      <c r="E1099" s="78">
        <f t="shared" si="950"/>
        <v>0.83806214957941971</v>
      </c>
      <c r="F1099" s="78">
        <f t="shared" si="950"/>
        <v>1.5528110779361071</v>
      </c>
      <c r="G1099" s="78">
        <f t="shared" si="950"/>
        <v>0.52467119089966519</v>
      </c>
      <c r="H1099" s="78">
        <f t="shared" si="950"/>
        <v>2.9348834716217311</v>
      </c>
      <c r="I1099" s="78">
        <f t="shared" si="950"/>
        <v>0.43356894070639357</v>
      </c>
      <c r="J1099" s="78">
        <f t="shared" si="950"/>
        <v>1.549902437654854</v>
      </c>
      <c r="K1099" s="78">
        <f t="shared" si="950"/>
        <v>1.3224217866651733</v>
      </c>
      <c r="L1099" s="78">
        <f t="shared" si="950"/>
        <v>1.2193258486233618</v>
      </c>
      <c r="M1099" s="79">
        <f t="shared" si="950"/>
        <v>0.49094160504117407</v>
      </c>
      <c r="N1099" s="26">
        <f t="shared" si="950"/>
        <v>0.48106917208353822</v>
      </c>
      <c r="O1099" s="12"/>
      <c r="P1099" s="175"/>
    </row>
    <row r="1100" spans="1:27" ht="15.75" customHeight="1" thickBot="1">
      <c r="A1100" s="424" t="s">
        <v>83</v>
      </c>
      <c r="B1100" s="425"/>
      <c r="C1100" s="76">
        <f>MIN(2*C1091,C1096)-C1098</f>
        <v>16407.559999999998</v>
      </c>
      <c r="D1100" s="76">
        <f t="shared" ref="D1100:N1100" si="951">MIN(2*D1091,D1096)-D1098</f>
        <v>26220.680000000008</v>
      </c>
      <c r="E1100" s="76">
        <f t="shared" si="951"/>
        <v>26827.64</v>
      </c>
      <c r="F1100" s="76">
        <f t="shared" si="951"/>
        <v>45224.080000000016</v>
      </c>
      <c r="G1100" s="76">
        <f t="shared" si="951"/>
        <v>115269.44000000002</v>
      </c>
      <c r="H1100" s="76">
        <f t="shared" si="951"/>
        <v>-103096.12</v>
      </c>
      <c r="I1100" s="76">
        <f t="shared" si="951"/>
        <v>190026.68</v>
      </c>
      <c r="J1100" s="76">
        <f t="shared" si="951"/>
        <v>62859.640000000014</v>
      </c>
      <c r="K1100" s="76">
        <f t="shared" si="951"/>
        <v>89426.200000000041</v>
      </c>
      <c r="L1100" s="76">
        <f t="shared" si="951"/>
        <v>47316.400000000009</v>
      </c>
      <c r="M1100" s="76">
        <f t="shared" si="951"/>
        <v>179577.16000000003</v>
      </c>
      <c r="N1100" s="22">
        <f t="shared" si="951"/>
        <v>83405.52</v>
      </c>
      <c r="O1100" s="12"/>
      <c r="P1100" s="175"/>
    </row>
    <row r="1101" spans="1:27" ht="15.75" thickBot="1">
      <c r="A1101" s="368">
        <v>41078</v>
      </c>
      <c r="B1101" s="368"/>
      <c r="C1101" s="368"/>
      <c r="N1101" s="15"/>
    </row>
    <row r="1102" spans="1:27">
      <c r="A1102" s="407" t="s">
        <v>1</v>
      </c>
      <c r="B1102" s="420"/>
      <c r="C1102" s="68" t="s">
        <v>12</v>
      </c>
      <c r="D1102" s="68" t="s">
        <v>12</v>
      </c>
      <c r="E1102" s="68" t="s">
        <v>13</v>
      </c>
      <c r="F1102" s="68" t="s">
        <v>13</v>
      </c>
      <c r="G1102" s="68" t="s">
        <v>13</v>
      </c>
      <c r="H1102" s="68" t="s">
        <v>13</v>
      </c>
      <c r="I1102" s="68" t="s">
        <v>13</v>
      </c>
      <c r="J1102" s="68" t="s">
        <v>2</v>
      </c>
      <c r="K1102" s="68" t="s">
        <v>2</v>
      </c>
      <c r="L1102" s="68" t="s">
        <v>2</v>
      </c>
      <c r="M1102" s="68" t="s">
        <v>2</v>
      </c>
      <c r="N1102" s="4" t="s">
        <v>84</v>
      </c>
      <c r="P1102" s="174"/>
      <c r="Q1102" s="175"/>
      <c r="R1102" s="175"/>
      <c r="S1102" s="175"/>
      <c r="T1102" s="175"/>
      <c r="U1102" s="175"/>
      <c r="V1102" s="175"/>
      <c r="W1102" s="175"/>
      <c r="X1102" s="175"/>
      <c r="Y1102" s="174"/>
      <c r="Z1102" s="175"/>
      <c r="AA1102" s="175"/>
    </row>
    <row r="1103" spans="1:27" ht="15.75" thickBot="1">
      <c r="A1103" s="409" t="s">
        <v>0</v>
      </c>
      <c r="B1103" s="414"/>
      <c r="C1103" s="99" t="s">
        <v>102</v>
      </c>
      <c r="D1103" s="99" t="s">
        <v>103</v>
      </c>
      <c r="E1103" s="99" t="s">
        <v>104</v>
      </c>
      <c r="F1103" s="99" t="s">
        <v>105</v>
      </c>
      <c r="G1103" s="99" t="s">
        <v>100</v>
      </c>
      <c r="H1103" s="99" t="s">
        <v>107</v>
      </c>
      <c r="I1103" s="99" t="s">
        <v>106</v>
      </c>
      <c r="J1103" s="99" t="s">
        <v>108</v>
      </c>
      <c r="K1103" s="99" t="s">
        <v>110</v>
      </c>
      <c r="L1103" s="99" t="s">
        <v>101</v>
      </c>
      <c r="M1103" s="99" t="s">
        <v>109</v>
      </c>
      <c r="N1103" s="101" t="s">
        <v>111</v>
      </c>
      <c r="P1103" s="142"/>
      <c r="Y1103" s="142"/>
      <c r="Z1103" s="104"/>
      <c r="AA1103" s="104"/>
    </row>
    <row r="1104" spans="1:27" ht="15" customHeight="1">
      <c r="A1104" s="421" t="s">
        <v>9</v>
      </c>
      <c r="B1104" s="2" t="s">
        <v>4</v>
      </c>
      <c r="C1104" s="96">
        <v>115816.8</v>
      </c>
      <c r="D1104" s="96">
        <v>99041.7</v>
      </c>
      <c r="E1104" s="96">
        <v>99041.7</v>
      </c>
      <c r="F1104" s="96">
        <v>181997.8</v>
      </c>
      <c r="G1104" s="96">
        <v>121331.8</v>
      </c>
      <c r="H1104" s="96">
        <v>110071.9</v>
      </c>
      <c r="I1104" s="96">
        <v>121331.8</v>
      </c>
      <c r="J1104" s="96">
        <v>170967.6</v>
      </c>
      <c r="K1104" s="96">
        <v>132132.20000000001</v>
      </c>
      <c r="L1104" s="96">
        <v>60665.9</v>
      </c>
      <c r="M1104" s="96">
        <v>176482.7</v>
      </c>
      <c r="N1104" s="100">
        <v>54921</v>
      </c>
      <c r="O1104" s="12"/>
      <c r="P1104" s="142"/>
      <c r="Y1104" s="142"/>
      <c r="Z1104" s="104"/>
      <c r="AA1104" s="104"/>
    </row>
    <row r="1105" spans="1:27" s="64" customFormat="1">
      <c r="A1105" s="422"/>
      <c r="B1105" s="63" t="s">
        <v>5</v>
      </c>
      <c r="C1105" s="97">
        <v>91585.8</v>
      </c>
      <c r="D1105" s="97">
        <v>69222.100000000006</v>
      </c>
      <c r="E1105" s="97">
        <v>70771.7</v>
      </c>
      <c r="F1105" s="97">
        <v>149362.6</v>
      </c>
      <c r="G1105" s="97">
        <v>20767.8</v>
      </c>
      <c r="H1105" s="97">
        <v>42815.8</v>
      </c>
      <c r="I1105" s="97">
        <v>21269.8</v>
      </c>
      <c r="J1105" s="97">
        <v>135180.29999999999</v>
      </c>
      <c r="K1105" s="97">
        <v>48694.9</v>
      </c>
      <c r="L1105" s="97">
        <v>15225.7</v>
      </c>
      <c r="M1105" s="97">
        <v>81380.800000000003</v>
      </c>
      <c r="N1105" s="102">
        <v>23966.7</v>
      </c>
      <c r="O1105" s="12"/>
      <c r="P1105" s="142"/>
      <c r="Q1105" s="104"/>
      <c r="R1105" s="104"/>
      <c r="S1105" s="104"/>
      <c r="T1105" s="104"/>
      <c r="U1105" s="104"/>
      <c r="V1105" s="104"/>
      <c r="W1105" s="104"/>
      <c r="X1105" s="104"/>
      <c r="Y1105" s="142"/>
      <c r="Z1105" s="104"/>
      <c r="AA1105" s="104"/>
    </row>
    <row r="1106" spans="1:27" ht="15.75" thickBot="1">
      <c r="A1106" s="423"/>
      <c r="B1106" s="3" t="s">
        <v>3</v>
      </c>
      <c r="C1106" s="71">
        <f>C1105/C1104</f>
        <v>0.79078164825828379</v>
      </c>
      <c r="D1106" s="72">
        <f t="shared" ref="D1106:E1106" si="952">D1105/D1104</f>
        <v>0.69891873826883033</v>
      </c>
      <c r="E1106" s="72">
        <f t="shared" si="952"/>
        <v>0.71456467326388784</v>
      </c>
      <c r="F1106" s="72">
        <f>F1105/F1104</f>
        <v>0.8206835467241913</v>
      </c>
      <c r="G1106" s="72">
        <f>G1105/G1104</f>
        <v>0.17116534989178434</v>
      </c>
      <c r="H1106" s="72">
        <f t="shared" ref="H1106:N1106" si="953">H1105/H1104</f>
        <v>0.38898029378978655</v>
      </c>
      <c r="I1106" s="72">
        <f t="shared" si="953"/>
        <v>0.17530276481515975</v>
      </c>
      <c r="J1106" s="72">
        <f t="shared" si="953"/>
        <v>0.79067788282692153</v>
      </c>
      <c r="K1106" s="72">
        <f t="shared" si="953"/>
        <v>0.36853166752691618</v>
      </c>
      <c r="L1106" s="72">
        <f t="shared" si="953"/>
        <v>0.25097624860094386</v>
      </c>
      <c r="M1106" s="72">
        <f t="shared" si="953"/>
        <v>0.46112621803723536</v>
      </c>
      <c r="N1106" s="83">
        <f t="shared" si="953"/>
        <v>0.43638498934833669</v>
      </c>
      <c r="O1106" s="12"/>
      <c r="Y1106" s="14"/>
      <c r="Z1106" s="104"/>
      <c r="AA1106" s="104"/>
    </row>
    <row r="1107" spans="1:27" ht="15" customHeight="1">
      <c r="A1107" s="411" t="s">
        <v>6</v>
      </c>
      <c r="B1107" s="27" t="s">
        <v>7</v>
      </c>
      <c r="C1107" s="68">
        <v>5006</v>
      </c>
      <c r="D1107" s="68">
        <v>3200</v>
      </c>
      <c r="E1107" s="68">
        <v>3183</v>
      </c>
      <c r="F1107" s="68">
        <v>9526</v>
      </c>
      <c r="G1107" s="68">
        <v>5000</v>
      </c>
      <c r="H1107" s="68">
        <v>11504</v>
      </c>
      <c r="I1107" s="68">
        <f>(4000-2000)</f>
        <v>2000</v>
      </c>
      <c r="J1107" s="68">
        <v>9194</v>
      </c>
      <c r="K1107" s="68">
        <f>8610-(HEX2DEC("2a3c")-HEX2DEC("20dc"))</f>
        <v>6210</v>
      </c>
      <c r="L1107" s="68">
        <v>2500</v>
      </c>
      <c r="M1107" s="68">
        <f>5451-2614</f>
        <v>2837</v>
      </c>
      <c r="N1107" s="80">
        <v>830</v>
      </c>
      <c r="O1107" s="12"/>
      <c r="P1107" s="142"/>
      <c r="Y1107" s="142"/>
      <c r="Z1107" s="104"/>
      <c r="AA1107" s="104"/>
    </row>
    <row r="1108" spans="1:27">
      <c r="A1108" s="412"/>
      <c r="B1108" s="28" t="s">
        <v>11</v>
      </c>
      <c r="C1108" s="73">
        <f t="shared" ref="C1108:I1108" si="954">C1107*33.72</f>
        <v>168802.32</v>
      </c>
      <c r="D1108" s="73">
        <f t="shared" si="954"/>
        <v>107904</v>
      </c>
      <c r="E1108" s="73">
        <f t="shared" si="954"/>
        <v>107330.76</v>
      </c>
      <c r="F1108" s="73">
        <f t="shared" si="954"/>
        <v>321216.71999999997</v>
      </c>
      <c r="G1108" s="73">
        <f t="shared" si="954"/>
        <v>168600</v>
      </c>
      <c r="H1108" s="73">
        <f t="shared" si="954"/>
        <v>387914.88</v>
      </c>
      <c r="I1108" s="73">
        <f t="shared" si="954"/>
        <v>67440</v>
      </c>
      <c r="J1108" s="73">
        <f>J1107*33.72</f>
        <v>310021.68</v>
      </c>
      <c r="K1108" s="73">
        <f t="shared" ref="K1108:N1108" si="955">K1107*33.72</f>
        <v>209401.19999999998</v>
      </c>
      <c r="L1108" s="73">
        <f t="shared" si="955"/>
        <v>84300</v>
      </c>
      <c r="M1108" s="73">
        <f t="shared" si="955"/>
        <v>95663.64</v>
      </c>
      <c r="N1108" s="73">
        <f t="shared" si="955"/>
        <v>27987.599999999999</v>
      </c>
      <c r="O1108" s="12"/>
      <c r="P1108" s="142"/>
      <c r="Y1108" s="142"/>
      <c r="Z1108" s="104"/>
      <c r="AA1108" s="104"/>
    </row>
    <row r="1109" spans="1:27">
      <c r="A1109" s="412"/>
      <c r="B1109" s="28" t="s">
        <v>79</v>
      </c>
      <c r="C1109" s="73">
        <v>164000</v>
      </c>
      <c r="D1109" s="73">
        <v>109880</v>
      </c>
      <c r="E1109" s="73">
        <v>109880</v>
      </c>
      <c r="F1109" s="73">
        <v>328000</v>
      </c>
      <c r="G1109" s="73">
        <f>G1104*2</f>
        <v>242663.6</v>
      </c>
      <c r="H1109" s="73">
        <f>H1104*2</f>
        <v>220143.8</v>
      </c>
      <c r="I1109" s="73">
        <f>I1104*2</f>
        <v>242663.6</v>
      </c>
      <c r="J1109" s="73">
        <v>328000</v>
      </c>
      <c r="K1109" s="73">
        <f>K1104*2</f>
        <v>264264.40000000002</v>
      </c>
      <c r="L1109" s="73">
        <v>328000</v>
      </c>
      <c r="M1109" s="73">
        <f>2*M1104</f>
        <v>352965.4</v>
      </c>
      <c r="N1109" s="84">
        <f>2*N1104</f>
        <v>109842</v>
      </c>
      <c r="O1109" s="12"/>
      <c r="Y1109" s="14"/>
      <c r="Z1109" s="104"/>
      <c r="AA1109" s="104"/>
    </row>
    <row r="1110" spans="1:27" s="64" customFormat="1">
      <c r="A1110" s="412"/>
      <c r="B1110" s="66" t="s">
        <v>8</v>
      </c>
      <c r="C1110" s="98">
        <f>SUM(C1107-629)</f>
        <v>4377</v>
      </c>
      <c r="D1110" s="98">
        <f>SUM(D1107-719)</f>
        <v>2481</v>
      </c>
      <c r="E1110" s="98">
        <f>SUM(E1107-720)</f>
        <v>2463</v>
      </c>
      <c r="F1110" s="98">
        <f>SUM(F1107-1142)</f>
        <v>8384</v>
      </c>
      <c r="G1110" s="98">
        <f>SUM(G1107-3111)</f>
        <v>1889</v>
      </c>
      <c r="H1110" s="98">
        <f>SUM(H1107-1956)</f>
        <v>9548</v>
      </c>
      <c r="I1110" s="98">
        <f>SUM(I1107-(2451-2000))</f>
        <v>1549</v>
      </c>
      <c r="J1110" s="98">
        <f>SUM(J1107-1333)</f>
        <v>7861</v>
      </c>
      <c r="K1110" s="98">
        <f>SUM(K1107-1025)</f>
        <v>5185</v>
      </c>
      <c r="L1110" s="98">
        <f>SUM(L1107-305)</f>
        <v>2195</v>
      </c>
      <c r="M1110" s="98">
        <f>SUM(M1107-(2880-2614))</f>
        <v>2571</v>
      </c>
      <c r="N1110" s="103">
        <f>SUM(N1107-46)</f>
        <v>784</v>
      </c>
      <c r="O1110" s="12"/>
      <c r="P1110" s="175"/>
      <c r="Q1110" s="67"/>
      <c r="R1110" s="67"/>
      <c r="S1110" s="67"/>
      <c r="T1110" s="67"/>
      <c r="U1110" s="67"/>
      <c r="V1110" s="67"/>
      <c r="W1110" s="67"/>
    </row>
    <row r="1111" spans="1:27">
      <c r="A1111" s="412"/>
      <c r="B1111" s="29" t="s">
        <v>77</v>
      </c>
      <c r="C1111" s="75">
        <f>C1110*33.72</f>
        <v>147592.44</v>
      </c>
      <c r="D1111" s="75">
        <f>D1110*33.72</f>
        <v>83659.319999999992</v>
      </c>
      <c r="E1111" s="75">
        <f>E1110*33.72</f>
        <v>83052.36</v>
      </c>
      <c r="F1111" s="75">
        <f>F1110*33.72</f>
        <v>282708.47999999998</v>
      </c>
      <c r="G1111" s="75">
        <f>G1110*33.72*2</f>
        <v>127394.15999999999</v>
      </c>
      <c r="H1111" s="75">
        <f>H1110*33.72</f>
        <v>321958.56</v>
      </c>
      <c r="I1111" s="75">
        <f>I1110*33.72</f>
        <v>52232.28</v>
      </c>
      <c r="J1111" s="75">
        <f>J1110*33.72</f>
        <v>265072.92</v>
      </c>
      <c r="K1111" s="75">
        <f>K1110*33.72</f>
        <v>174838.19999999998</v>
      </c>
      <c r="L1111" s="75">
        <f>L1110*33.72</f>
        <v>74015.399999999994</v>
      </c>
      <c r="M1111" s="75">
        <f>M1110*33.72*2</f>
        <v>173388.24</v>
      </c>
      <c r="N1111" s="11">
        <f>N1110*33.72</f>
        <v>26436.48</v>
      </c>
      <c r="O1111" s="12"/>
      <c r="P1111" s="175"/>
    </row>
    <row r="1112" spans="1:27" ht="15.75" thickBot="1">
      <c r="A1112" s="412"/>
      <c r="B1112" s="30" t="s">
        <v>10</v>
      </c>
      <c r="C1112" s="71">
        <f>C1110*33.7/C1104</f>
        <v>1.2736053836749075</v>
      </c>
      <c r="D1112" s="71">
        <f t="shared" ref="D1112:N1112" si="956">D1110*33.7/D1104</f>
        <v>0.84418684251179066</v>
      </c>
      <c r="E1112" s="78">
        <f t="shared" si="956"/>
        <v>0.83806214957941971</v>
      </c>
      <c r="F1112" s="78">
        <f t="shared" si="956"/>
        <v>1.5524407437892109</v>
      </c>
      <c r="G1112" s="78">
        <f t="shared" si="956"/>
        <v>0.52467119089966519</v>
      </c>
      <c r="H1112" s="78">
        <f t="shared" si="956"/>
        <v>2.9232492579850082</v>
      </c>
      <c r="I1112" s="78">
        <f t="shared" si="956"/>
        <v>0.43023593155298118</v>
      </c>
      <c r="J1112" s="78">
        <f t="shared" si="956"/>
        <v>1.5495082109124769</v>
      </c>
      <c r="K1112" s="78">
        <f t="shared" si="956"/>
        <v>1.3224217866651733</v>
      </c>
      <c r="L1112" s="78">
        <f t="shared" si="956"/>
        <v>1.2193258486233618</v>
      </c>
      <c r="M1112" s="79">
        <f t="shared" si="956"/>
        <v>0.49094160504117407</v>
      </c>
      <c r="N1112" s="26">
        <f t="shared" si="956"/>
        <v>0.48106917208353822</v>
      </c>
      <c r="O1112" s="12"/>
      <c r="P1112" s="175"/>
    </row>
    <row r="1113" spans="1:27" ht="15.75" customHeight="1" thickBot="1">
      <c r="A1113" s="424" t="s">
        <v>83</v>
      </c>
      <c r="B1113" s="425"/>
      <c r="C1113" s="76">
        <f>MIN(2*C1104,C1109)-C1111</f>
        <v>16407.559999999998</v>
      </c>
      <c r="D1113" s="76">
        <f t="shared" ref="D1113:N1113" si="957">MIN(2*D1104,D1109)-D1111</f>
        <v>26220.680000000008</v>
      </c>
      <c r="E1113" s="76">
        <f t="shared" si="957"/>
        <v>26827.64</v>
      </c>
      <c r="F1113" s="76">
        <f t="shared" si="957"/>
        <v>45291.520000000019</v>
      </c>
      <c r="G1113" s="76">
        <f t="shared" si="957"/>
        <v>115269.44000000002</v>
      </c>
      <c r="H1113" s="76">
        <f t="shared" si="957"/>
        <v>-101814.76000000001</v>
      </c>
      <c r="I1113" s="76">
        <f t="shared" si="957"/>
        <v>190431.32</v>
      </c>
      <c r="J1113" s="76">
        <f t="shared" si="957"/>
        <v>62927.080000000016</v>
      </c>
      <c r="K1113" s="76">
        <f t="shared" si="957"/>
        <v>89426.200000000041</v>
      </c>
      <c r="L1113" s="76">
        <f t="shared" si="957"/>
        <v>47316.400000000009</v>
      </c>
      <c r="M1113" s="76">
        <f t="shared" si="957"/>
        <v>179577.16000000003</v>
      </c>
      <c r="N1113" s="22">
        <f t="shared" si="957"/>
        <v>83405.52</v>
      </c>
      <c r="O1113" s="12"/>
      <c r="P1113" s="175"/>
    </row>
    <row r="1114" spans="1:27" ht="15.75" thickBot="1">
      <c r="A1114" s="368">
        <v>41075</v>
      </c>
      <c r="B1114" s="368"/>
      <c r="C1114" s="368"/>
      <c r="N1114" s="15"/>
    </row>
    <row r="1115" spans="1:27">
      <c r="A1115" s="407" t="s">
        <v>1</v>
      </c>
      <c r="B1115" s="420"/>
      <c r="C1115" s="68" t="s">
        <v>12</v>
      </c>
      <c r="D1115" s="68" t="s">
        <v>12</v>
      </c>
      <c r="E1115" s="68" t="s">
        <v>13</v>
      </c>
      <c r="F1115" s="68" t="s">
        <v>13</v>
      </c>
      <c r="G1115" s="68" t="s">
        <v>13</v>
      </c>
      <c r="H1115" s="68" t="s">
        <v>13</v>
      </c>
      <c r="I1115" s="68" t="s">
        <v>13</v>
      </c>
      <c r="J1115" s="68" t="s">
        <v>2</v>
      </c>
      <c r="K1115" s="68" t="s">
        <v>2</v>
      </c>
      <c r="L1115" s="68" t="s">
        <v>2</v>
      </c>
      <c r="M1115" s="68" t="s">
        <v>2</v>
      </c>
      <c r="N1115" s="4" t="s">
        <v>84</v>
      </c>
      <c r="P1115" s="174"/>
      <c r="Q1115" s="175"/>
      <c r="R1115" s="175"/>
      <c r="S1115" s="175"/>
      <c r="T1115" s="175"/>
      <c r="U1115" s="175"/>
      <c r="V1115" s="175"/>
      <c r="W1115" s="175"/>
      <c r="X1115" s="175"/>
      <c r="Y1115" s="174"/>
      <c r="Z1115" s="175"/>
      <c r="AA1115" s="175"/>
    </row>
    <row r="1116" spans="1:27" ht="15.75" thickBot="1">
      <c r="A1116" s="409" t="s">
        <v>0</v>
      </c>
      <c r="B1116" s="414"/>
      <c r="C1116" s="99" t="s">
        <v>102</v>
      </c>
      <c r="D1116" s="99" t="s">
        <v>103</v>
      </c>
      <c r="E1116" s="99" t="s">
        <v>104</v>
      </c>
      <c r="F1116" s="99" t="s">
        <v>105</v>
      </c>
      <c r="G1116" s="99" t="s">
        <v>100</v>
      </c>
      <c r="H1116" s="99" t="s">
        <v>107</v>
      </c>
      <c r="I1116" s="99" t="s">
        <v>106</v>
      </c>
      <c r="J1116" s="99" t="s">
        <v>108</v>
      </c>
      <c r="K1116" s="99" t="s">
        <v>110</v>
      </c>
      <c r="L1116" s="99" t="s">
        <v>101</v>
      </c>
      <c r="M1116" s="99" t="s">
        <v>109</v>
      </c>
      <c r="N1116" s="101" t="s">
        <v>111</v>
      </c>
      <c r="P1116" s="142"/>
      <c r="Y1116" s="142"/>
      <c r="Z1116" s="104"/>
      <c r="AA1116" s="104"/>
    </row>
    <row r="1117" spans="1:27" ht="15" customHeight="1">
      <c r="A1117" s="421" t="s">
        <v>9</v>
      </c>
      <c r="B1117" s="2" t="s">
        <v>4</v>
      </c>
      <c r="C1117" s="96">
        <v>115816.8</v>
      </c>
      <c r="D1117" s="96">
        <v>99041.7</v>
      </c>
      <c r="E1117" s="96">
        <v>99041.7</v>
      </c>
      <c r="F1117" s="96">
        <v>181997.8</v>
      </c>
      <c r="G1117" s="96">
        <v>121331.8</v>
      </c>
      <c r="H1117" s="96">
        <v>110071.9</v>
      </c>
      <c r="I1117" s="96">
        <v>121331.8</v>
      </c>
      <c r="J1117" s="96">
        <v>170967.6</v>
      </c>
      <c r="K1117" s="96">
        <v>132132.20000000001</v>
      </c>
      <c r="L1117" s="96">
        <v>60665.9</v>
      </c>
      <c r="M1117" s="96">
        <v>176482.7</v>
      </c>
      <c r="N1117" s="100">
        <v>54921</v>
      </c>
      <c r="O1117" s="12"/>
      <c r="P1117" s="142"/>
      <c r="Y1117" s="142"/>
      <c r="Z1117" s="104"/>
      <c r="AA1117" s="104"/>
    </row>
    <row r="1118" spans="1:27" s="64" customFormat="1">
      <c r="A1118" s="422"/>
      <c r="B1118" s="63" t="s">
        <v>5</v>
      </c>
      <c r="C1118" s="97">
        <v>91530.8</v>
      </c>
      <c r="D1118" s="97">
        <v>69119.3</v>
      </c>
      <c r="E1118" s="97">
        <v>70679.5</v>
      </c>
      <c r="F1118" s="97">
        <v>149035.5</v>
      </c>
      <c r="G1118" s="97">
        <v>20639.900000000001</v>
      </c>
      <c r="H1118" s="97">
        <v>42516.7</v>
      </c>
      <c r="I1118" s="97">
        <v>21109.8</v>
      </c>
      <c r="J1118" s="97">
        <v>134740.79999999999</v>
      </c>
      <c r="K1118" s="97">
        <v>48724.3</v>
      </c>
      <c r="L1118" s="97">
        <v>15147.3</v>
      </c>
      <c r="M1118" s="97">
        <v>81058.7</v>
      </c>
      <c r="N1118" s="102">
        <v>23965.200000000001</v>
      </c>
      <c r="O1118" s="12"/>
      <c r="P1118" s="142"/>
      <c r="Q1118" s="104"/>
      <c r="R1118" s="104"/>
      <c r="S1118" s="104"/>
      <c r="T1118" s="104"/>
      <c r="U1118" s="104"/>
      <c r="V1118" s="104"/>
      <c r="W1118" s="104"/>
      <c r="X1118" s="104"/>
      <c r="Y1118" s="142"/>
      <c r="Z1118" s="104"/>
      <c r="AA1118" s="104"/>
    </row>
    <row r="1119" spans="1:27" ht="15.75" thickBot="1">
      <c r="A1119" s="423"/>
      <c r="B1119" s="3" t="s">
        <v>3</v>
      </c>
      <c r="C1119" s="71">
        <f>C1118/C1117</f>
        <v>0.79030676033183445</v>
      </c>
      <c r="D1119" s="72">
        <f t="shared" ref="D1119:E1119" si="958">D1118/D1117</f>
        <v>0.69788079162615346</v>
      </c>
      <c r="E1119" s="72">
        <f t="shared" si="958"/>
        <v>0.71363375224779058</v>
      </c>
      <c r="F1119" s="72">
        <f>F1118/F1117</f>
        <v>0.81888627225164268</v>
      </c>
      <c r="G1119" s="72">
        <f>G1118/G1117</f>
        <v>0.17011121569118731</v>
      </c>
      <c r="H1119" s="72">
        <f t="shared" ref="H1119:N1119" si="959">H1118/H1117</f>
        <v>0.38626297901644291</v>
      </c>
      <c r="I1119" s="72">
        <f t="shared" si="959"/>
        <v>0.1739840668316138</v>
      </c>
      <c r="J1119" s="72">
        <f t="shared" si="959"/>
        <v>0.78810722031542813</v>
      </c>
      <c r="K1119" s="72">
        <f t="shared" si="959"/>
        <v>0.36875417195808441</v>
      </c>
      <c r="L1119" s="72">
        <f t="shared" si="959"/>
        <v>0.24968392457706881</v>
      </c>
      <c r="M1119" s="72">
        <f t="shared" si="959"/>
        <v>0.45930110996715257</v>
      </c>
      <c r="N1119" s="83">
        <f t="shared" si="959"/>
        <v>0.43635767739116188</v>
      </c>
      <c r="O1119" s="12"/>
      <c r="Y1119" s="14"/>
      <c r="Z1119" s="104"/>
      <c r="AA1119" s="104"/>
    </row>
    <row r="1120" spans="1:27" ht="15" customHeight="1">
      <c r="A1120" s="411" t="s">
        <v>6</v>
      </c>
      <c r="B1120" s="27" t="s">
        <v>7</v>
      </c>
      <c r="C1120" s="68">
        <v>5006</v>
      </c>
      <c r="D1120" s="68">
        <v>3200</v>
      </c>
      <c r="E1120" s="68">
        <v>3183</v>
      </c>
      <c r="F1120" s="68">
        <v>9526</v>
      </c>
      <c r="G1120" s="68">
        <v>5000</v>
      </c>
      <c r="H1120" s="68">
        <v>11504</v>
      </c>
      <c r="I1120" s="68">
        <f>(4000-2000)</f>
        <v>2000</v>
      </c>
      <c r="J1120" s="68">
        <v>9194</v>
      </c>
      <c r="K1120" s="68">
        <f>8610-(HEX2DEC("2a3c")-HEX2DEC("1fb0"))</f>
        <v>5910</v>
      </c>
      <c r="L1120" s="68">
        <v>2500</v>
      </c>
      <c r="M1120" s="68">
        <f>5451-2614</f>
        <v>2837</v>
      </c>
      <c r="N1120" s="80">
        <v>830</v>
      </c>
      <c r="O1120" s="12"/>
      <c r="P1120" s="142"/>
      <c r="Y1120" s="142"/>
      <c r="Z1120" s="104"/>
      <c r="AA1120" s="104"/>
    </row>
    <row r="1121" spans="1:27">
      <c r="A1121" s="412"/>
      <c r="B1121" s="28" t="s">
        <v>11</v>
      </c>
      <c r="C1121" s="73">
        <f t="shared" ref="C1121:I1121" si="960">C1120*33.72</f>
        <v>168802.32</v>
      </c>
      <c r="D1121" s="73">
        <f t="shared" si="960"/>
        <v>107904</v>
      </c>
      <c r="E1121" s="73">
        <f t="shared" si="960"/>
        <v>107330.76</v>
      </c>
      <c r="F1121" s="73">
        <f t="shared" si="960"/>
        <v>321216.71999999997</v>
      </c>
      <c r="G1121" s="73">
        <f t="shared" si="960"/>
        <v>168600</v>
      </c>
      <c r="H1121" s="73">
        <f t="shared" si="960"/>
        <v>387914.88</v>
      </c>
      <c r="I1121" s="73">
        <f t="shared" si="960"/>
        <v>67440</v>
      </c>
      <c r="J1121" s="73">
        <f>J1120*33.72</f>
        <v>310021.68</v>
      </c>
      <c r="K1121" s="73">
        <f t="shared" ref="K1121:N1121" si="961">K1120*33.72</f>
        <v>199285.19999999998</v>
      </c>
      <c r="L1121" s="73">
        <f t="shared" si="961"/>
        <v>84300</v>
      </c>
      <c r="M1121" s="73">
        <f t="shared" si="961"/>
        <v>95663.64</v>
      </c>
      <c r="N1121" s="73">
        <f t="shared" si="961"/>
        <v>27987.599999999999</v>
      </c>
      <c r="O1121" s="12"/>
      <c r="P1121" s="142"/>
      <c r="Y1121" s="142"/>
      <c r="Z1121" s="104"/>
      <c r="AA1121" s="104"/>
    </row>
    <row r="1122" spans="1:27">
      <c r="A1122" s="412"/>
      <c r="B1122" s="28" t="s">
        <v>79</v>
      </c>
      <c r="C1122" s="73">
        <v>164000</v>
      </c>
      <c r="D1122" s="73">
        <v>109880</v>
      </c>
      <c r="E1122" s="73">
        <v>109880</v>
      </c>
      <c r="F1122" s="73">
        <v>328000</v>
      </c>
      <c r="G1122" s="73">
        <f>G1117*2</f>
        <v>242663.6</v>
      </c>
      <c r="H1122" s="73">
        <f>H1117*2</f>
        <v>220143.8</v>
      </c>
      <c r="I1122" s="73">
        <f>I1117*2</f>
        <v>242663.6</v>
      </c>
      <c r="J1122" s="73">
        <v>328000</v>
      </c>
      <c r="K1122" s="73">
        <f>K1117*2</f>
        <v>264264.40000000002</v>
      </c>
      <c r="L1122" s="73">
        <v>328000</v>
      </c>
      <c r="M1122" s="73">
        <f>2*M1117</f>
        <v>352965.4</v>
      </c>
      <c r="N1122" s="84">
        <f>2*N1117</f>
        <v>109842</v>
      </c>
      <c r="O1122" s="12"/>
      <c r="Y1122" s="14"/>
      <c r="Z1122" s="104"/>
      <c r="AA1122" s="104"/>
    </row>
    <row r="1123" spans="1:27" s="64" customFormat="1">
      <c r="A1123" s="412"/>
      <c r="B1123" s="66" t="s">
        <v>8</v>
      </c>
      <c r="C1123" s="98">
        <f>SUM(C1120-629)</f>
        <v>4377</v>
      </c>
      <c r="D1123" s="98">
        <f>SUM(D1120-719)</f>
        <v>2481</v>
      </c>
      <c r="E1123" s="98">
        <f>SUM(E1120-720)</f>
        <v>2463</v>
      </c>
      <c r="F1123" s="98">
        <f>SUM(F1120-1142)</f>
        <v>8384</v>
      </c>
      <c r="G1123" s="98">
        <f>SUM(G1120-3111)</f>
        <v>1889</v>
      </c>
      <c r="H1123" s="98">
        <f>SUM(H1120-2032)</f>
        <v>9472</v>
      </c>
      <c r="I1123" s="98">
        <f>SUM(I1120-(2451-2000))</f>
        <v>1549</v>
      </c>
      <c r="J1123" s="98">
        <f>SUM(J1120-1333)</f>
        <v>7861</v>
      </c>
      <c r="K1123" s="98">
        <f>SUM(K1120-725)</f>
        <v>5185</v>
      </c>
      <c r="L1123" s="98">
        <f>SUM(L1120-305)</f>
        <v>2195</v>
      </c>
      <c r="M1123" s="98">
        <f>SUM(M1120-(2880-2614))</f>
        <v>2571</v>
      </c>
      <c r="N1123" s="103">
        <f>SUM(N1120-46)</f>
        <v>784</v>
      </c>
      <c r="O1123" s="12"/>
      <c r="P1123" s="175"/>
      <c r="Q1123" s="67"/>
      <c r="R1123" s="67"/>
      <c r="S1123" s="67"/>
      <c r="T1123" s="67"/>
      <c r="U1123" s="67"/>
      <c r="V1123" s="67"/>
      <c r="W1123" s="67"/>
    </row>
    <row r="1124" spans="1:27">
      <c r="A1124" s="412"/>
      <c r="B1124" s="29" t="s">
        <v>77</v>
      </c>
      <c r="C1124" s="75">
        <f>C1123*33.72</f>
        <v>147592.44</v>
      </c>
      <c r="D1124" s="75">
        <f>D1123*33.72</f>
        <v>83659.319999999992</v>
      </c>
      <c r="E1124" s="75">
        <f>E1123*33.72</f>
        <v>83052.36</v>
      </c>
      <c r="F1124" s="75">
        <f>F1123*33.72</f>
        <v>282708.47999999998</v>
      </c>
      <c r="G1124" s="75">
        <f>G1123*33.72*2</f>
        <v>127394.15999999999</v>
      </c>
      <c r="H1124" s="75">
        <f>H1123*33.72</f>
        <v>319395.83999999997</v>
      </c>
      <c r="I1124" s="75">
        <f>I1123*33.72</f>
        <v>52232.28</v>
      </c>
      <c r="J1124" s="75">
        <f>J1123*33.72</f>
        <v>265072.92</v>
      </c>
      <c r="K1124" s="75">
        <f>K1123*33.72</f>
        <v>174838.19999999998</v>
      </c>
      <c r="L1124" s="75">
        <f>L1123*33.72</f>
        <v>74015.399999999994</v>
      </c>
      <c r="M1124" s="75">
        <f>M1123*33.72*2</f>
        <v>173388.24</v>
      </c>
      <c r="N1124" s="11">
        <f>N1123*33.72</f>
        <v>26436.48</v>
      </c>
      <c r="O1124" s="12"/>
      <c r="P1124" s="175"/>
    </row>
    <row r="1125" spans="1:27" ht="15.75" thickBot="1">
      <c r="A1125" s="412"/>
      <c r="B1125" s="30" t="s">
        <v>10</v>
      </c>
      <c r="C1125" s="71">
        <f>C1123*33.7/C1117</f>
        <v>1.2736053836749075</v>
      </c>
      <c r="D1125" s="71">
        <f t="shared" ref="D1125:N1125" si="962">D1123*33.7/D1117</f>
        <v>0.84418684251179066</v>
      </c>
      <c r="E1125" s="78">
        <f t="shared" si="962"/>
        <v>0.83806214957941971</v>
      </c>
      <c r="F1125" s="78">
        <f t="shared" si="962"/>
        <v>1.5524407437892109</v>
      </c>
      <c r="G1125" s="78">
        <f t="shared" si="962"/>
        <v>0.52467119089966519</v>
      </c>
      <c r="H1125" s="78">
        <f t="shared" si="962"/>
        <v>2.8999808307115624</v>
      </c>
      <c r="I1125" s="78">
        <f t="shared" si="962"/>
        <v>0.43023593155298118</v>
      </c>
      <c r="J1125" s="78">
        <f t="shared" si="962"/>
        <v>1.5495082109124769</v>
      </c>
      <c r="K1125" s="78">
        <f t="shared" si="962"/>
        <v>1.3224217866651733</v>
      </c>
      <c r="L1125" s="78">
        <f t="shared" si="962"/>
        <v>1.2193258486233618</v>
      </c>
      <c r="M1125" s="79">
        <f t="shared" si="962"/>
        <v>0.49094160504117407</v>
      </c>
      <c r="N1125" s="26">
        <f t="shared" si="962"/>
        <v>0.48106917208353822</v>
      </c>
      <c r="O1125" s="12"/>
      <c r="P1125" s="175"/>
    </row>
    <row r="1126" spans="1:27" ht="15.75" customHeight="1" thickBot="1">
      <c r="A1126" s="424" t="s">
        <v>83</v>
      </c>
      <c r="B1126" s="425"/>
      <c r="C1126" s="76">
        <f>MIN(2*C1117,C1122)-C1124</f>
        <v>16407.559999999998</v>
      </c>
      <c r="D1126" s="76">
        <f t="shared" ref="D1126:N1126" si="963">MIN(2*D1117,D1122)-D1124</f>
        <v>26220.680000000008</v>
      </c>
      <c r="E1126" s="76">
        <f t="shared" si="963"/>
        <v>26827.64</v>
      </c>
      <c r="F1126" s="76">
        <f t="shared" si="963"/>
        <v>45291.520000000019</v>
      </c>
      <c r="G1126" s="76">
        <f t="shared" si="963"/>
        <v>115269.44000000002</v>
      </c>
      <c r="H1126" s="76">
        <f t="shared" si="963"/>
        <v>-99252.039999999979</v>
      </c>
      <c r="I1126" s="76">
        <f t="shared" si="963"/>
        <v>190431.32</v>
      </c>
      <c r="J1126" s="76">
        <f t="shared" si="963"/>
        <v>62927.080000000016</v>
      </c>
      <c r="K1126" s="76">
        <f t="shared" si="963"/>
        <v>89426.200000000041</v>
      </c>
      <c r="L1126" s="76">
        <f t="shared" si="963"/>
        <v>47316.400000000009</v>
      </c>
      <c r="M1126" s="76">
        <f t="shared" si="963"/>
        <v>179577.16000000003</v>
      </c>
      <c r="N1126" s="22">
        <f t="shared" si="963"/>
        <v>83405.52</v>
      </c>
      <c r="O1126" s="12"/>
      <c r="P1126" s="175"/>
    </row>
    <row r="1127" spans="1:27" ht="15.75" thickBot="1">
      <c r="A1127" s="368">
        <v>41074</v>
      </c>
      <c r="B1127" s="368"/>
      <c r="C1127" s="368"/>
      <c r="N1127" s="15"/>
    </row>
    <row r="1128" spans="1:27">
      <c r="A1128" s="407" t="s">
        <v>1</v>
      </c>
      <c r="B1128" s="420"/>
      <c r="C1128" s="68" t="s">
        <v>12</v>
      </c>
      <c r="D1128" s="68" t="s">
        <v>12</v>
      </c>
      <c r="E1128" s="68" t="s">
        <v>13</v>
      </c>
      <c r="F1128" s="68" t="s">
        <v>13</v>
      </c>
      <c r="G1128" s="68" t="s">
        <v>13</v>
      </c>
      <c r="H1128" s="68" t="s">
        <v>13</v>
      </c>
      <c r="I1128" s="68" t="s">
        <v>13</v>
      </c>
      <c r="J1128" s="68" t="s">
        <v>2</v>
      </c>
      <c r="K1128" s="68" t="s">
        <v>2</v>
      </c>
      <c r="L1128" s="68" t="s">
        <v>2</v>
      </c>
      <c r="M1128" s="68" t="s">
        <v>2</v>
      </c>
      <c r="N1128" s="4" t="s">
        <v>84</v>
      </c>
      <c r="P1128" s="174"/>
      <c r="Q1128" s="175"/>
      <c r="R1128" s="175"/>
      <c r="S1128" s="175"/>
      <c r="T1128" s="175"/>
      <c r="U1128" s="175"/>
      <c r="V1128" s="175"/>
      <c r="W1128" s="175"/>
      <c r="X1128" s="175"/>
      <c r="Y1128" s="174"/>
      <c r="Z1128" s="175"/>
      <c r="AA1128" s="175"/>
    </row>
    <row r="1129" spans="1:27" ht="15.75" thickBot="1">
      <c r="A1129" s="409" t="s">
        <v>0</v>
      </c>
      <c r="B1129" s="414"/>
      <c r="C1129" s="99" t="s">
        <v>102</v>
      </c>
      <c r="D1129" s="99" t="s">
        <v>103</v>
      </c>
      <c r="E1129" s="99" t="s">
        <v>104</v>
      </c>
      <c r="F1129" s="99" t="s">
        <v>105</v>
      </c>
      <c r="G1129" s="99" t="s">
        <v>100</v>
      </c>
      <c r="H1129" s="99" t="s">
        <v>107</v>
      </c>
      <c r="I1129" s="99" t="s">
        <v>106</v>
      </c>
      <c r="J1129" s="99" t="s">
        <v>108</v>
      </c>
      <c r="K1129" s="99" t="s">
        <v>110</v>
      </c>
      <c r="L1129" s="99" t="s">
        <v>101</v>
      </c>
      <c r="M1129" s="99" t="s">
        <v>109</v>
      </c>
      <c r="N1129" s="101" t="s">
        <v>111</v>
      </c>
      <c r="P1129" s="142"/>
      <c r="Y1129" s="142"/>
      <c r="Z1129" s="104"/>
      <c r="AA1129" s="104"/>
    </row>
    <row r="1130" spans="1:27" ht="15" customHeight="1">
      <c r="A1130" s="421" t="s">
        <v>9</v>
      </c>
      <c r="B1130" s="2" t="s">
        <v>4</v>
      </c>
      <c r="C1130" s="96">
        <v>115816.8</v>
      </c>
      <c r="D1130" s="96">
        <v>99041.7</v>
      </c>
      <c r="E1130" s="96">
        <v>99041.7</v>
      </c>
      <c r="F1130" s="96">
        <v>181997.8</v>
      </c>
      <c r="G1130" s="96">
        <v>121331.8</v>
      </c>
      <c r="H1130" s="96">
        <v>110071.9</v>
      </c>
      <c r="I1130" s="96">
        <v>121331.8</v>
      </c>
      <c r="J1130" s="96">
        <v>170967.6</v>
      </c>
      <c r="K1130" s="96">
        <v>132132.20000000001</v>
      </c>
      <c r="L1130" s="96">
        <v>60665.9</v>
      </c>
      <c r="M1130" s="96">
        <v>176482.7</v>
      </c>
      <c r="N1130" s="100">
        <v>54921</v>
      </c>
      <c r="O1130" s="12"/>
      <c r="P1130" s="142"/>
      <c r="Y1130" s="142"/>
      <c r="Z1130" s="104"/>
      <c r="AA1130" s="104"/>
    </row>
    <row r="1131" spans="1:27" s="64" customFormat="1">
      <c r="A1131" s="422"/>
      <c r="B1131" s="63" t="s">
        <v>5</v>
      </c>
      <c r="C1131" s="97">
        <v>91509.3</v>
      </c>
      <c r="D1131" s="97">
        <v>69110.7</v>
      </c>
      <c r="E1131" s="97">
        <v>70672.2</v>
      </c>
      <c r="F1131" s="97">
        <v>148969</v>
      </c>
      <c r="G1131" s="97">
        <v>20519.900000000001</v>
      </c>
      <c r="H1131" s="97">
        <v>42329.4</v>
      </c>
      <c r="I1131" s="97">
        <v>21106.400000000001</v>
      </c>
      <c r="J1131" s="97">
        <v>134702.6</v>
      </c>
      <c r="K1131" s="97">
        <v>48678.2</v>
      </c>
      <c r="L1131" s="97">
        <v>15087</v>
      </c>
      <c r="M1131" s="97">
        <v>81052.600000000006</v>
      </c>
      <c r="N1131" s="102">
        <v>23965</v>
      </c>
      <c r="O1131" s="12"/>
      <c r="P1131" s="142"/>
      <c r="Q1131" s="104"/>
      <c r="R1131" s="104"/>
      <c r="S1131" s="104"/>
      <c r="T1131" s="104"/>
      <c r="U1131" s="104"/>
      <c r="V1131" s="104"/>
      <c r="W1131" s="104"/>
      <c r="X1131" s="104"/>
      <c r="Y1131" s="142"/>
      <c r="Z1131" s="104"/>
      <c r="AA1131" s="104"/>
    </row>
    <row r="1132" spans="1:27" ht="15.75" thickBot="1">
      <c r="A1132" s="423"/>
      <c r="B1132" s="3" t="s">
        <v>3</v>
      </c>
      <c r="C1132" s="71">
        <f>C1131/C1130</f>
        <v>0.79012112232422238</v>
      </c>
      <c r="D1132" s="72">
        <f t="shared" ref="D1132:E1132" si="964">D1131/D1130</f>
        <v>0.6977939595140229</v>
      </c>
      <c r="E1132" s="72">
        <f t="shared" si="964"/>
        <v>0.71356004592005184</v>
      </c>
      <c r="F1132" s="72">
        <f>F1131/F1130</f>
        <v>0.81852088321946759</v>
      </c>
      <c r="G1132" s="72">
        <f>G1131/G1130</f>
        <v>0.16912219220352787</v>
      </c>
      <c r="H1132" s="72">
        <f t="shared" ref="H1132:N1132" si="965">H1131/H1130</f>
        <v>0.38456136398117963</v>
      </c>
      <c r="I1132" s="72">
        <f t="shared" si="965"/>
        <v>0.17395604449946347</v>
      </c>
      <c r="J1132" s="72">
        <f t="shared" si="965"/>
        <v>0.78788378616767152</v>
      </c>
      <c r="K1132" s="72">
        <f t="shared" si="965"/>
        <v>0.36840527895547032</v>
      </c>
      <c r="L1132" s="72">
        <f t="shared" si="965"/>
        <v>0.24868995597197108</v>
      </c>
      <c r="M1132" s="72">
        <f t="shared" si="965"/>
        <v>0.45926654567274866</v>
      </c>
      <c r="N1132" s="83">
        <f t="shared" si="965"/>
        <v>0.43635403579687188</v>
      </c>
      <c r="O1132" s="12"/>
      <c r="Y1132" s="14"/>
      <c r="Z1132" s="104"/>
      <c r="AA1132" s="104"/>
    </row>
    <row r="1133" spans="1:27" ht="15" customHeight="1">
      <c r="A1133" s="411" t="s">
        <v>6</v>
      </c>
      <c r="B1133" s="27" t="s">
        <v>7</v>
      </c>
      <c r="C1133" s="68">
        <v>5006</v>
      </c>
      <c r="D1133" s="68">
        <v>3200</v>
      </c>
      <c r="E1133" s="68">
        <v>3183</v>
      </c>
      <c r="F1133" s="68">
        <v>9526</v>
      </c>
      <c r="G1133" s="68">
        <v>5000</v>
      </c>
      <c r="H1133" s="68">
        <v>11504</v>
      </c>
      <c r="I1133" s="68">
        <f>(4000-2000)</f>
        <v>2000</v>
      </c>
      <c r="J1133" s="68">
        <v>9194</v>
      </c>
      <c r="K1133" s="68">
        <f>8610-(HEX2DEC("2a3c")-HEX2DEC("1fb0"))</f>
        <v>5910</v>
      </c>
      <c r="L1133" s="68">
        <v>2500</v>
      </c>
      <c r="M1133" s="68">
        <f>5451-2614</f>
        <v>2837</v>
      </c>
      <c r="N1133" s="80">
        <v>830</v>
      </c>
      <c r="O1133" s="12"/>
      <c r="P1133" s="142"/>
      <c r="Y1133" s="142"/>
      <c r="Z1133" s="104"/>
      <c r="AA1133" s="104"/>
    </row>
    <row r="1134" spans="1:27">
      <c r="A1134" s="412"/>
      <c r="B1134" s="28" t="s">
        <v>11</v>
      </c>
      <c r="C1134" s="73">
        <f t="shared" ref="C1134:I1134" si="966">C1133*33.72</f>
        <v>168802.32</v>
      </c>
      <c r="D1134" s="73">
        <f t="shared" si="966"/>
        <v>107904</v>
      </c>
      <c r="E1134" s="73">
        <f t="shared" si="966"/>
        <v>107330.76</v>
      </c>
      <c r="F1134" s="73">
        <f t="shared" si="966"/>
        <v>321216.71999999997</v>
      </c>
      <c r="G1134" s="73">
        <f t="shared" si="966"/>
        <v>168600</v>
      </c>
      <c r="H1134" s="73">
        <f t="shared" si="966"/>
        <v>387914.88</v>
      </c>
      <c r="I1134" s="73">
        <f t="shared" si="966"/>
        <v>67440</v>
      </c>
      <c r="J1134" s="73">
        <f>J1133*33.72</f>
        <v>310021.68</v>
      </c>
      <c r="K1134" s="73">
        <f t="shared" ref="K1134:N1134" si="967">K1133*33.72</f>
        <v>199285.19999999998</v>
      </c>
      <c r="L1134" s="73">
        <f t="shared" si="967"/>
        <v>84300</v>
      </c>
      <c r="M1134" s="73">
        <f t="shared" si="967"/>
        <v>95663.64</v>
      </c>
      <c r="N1134" s="73">
        <f t="shared" si="967"/>
        <v>27987.599999999999</v>
      </c>
      <c r="O1134" s="12"/>
      <c r="P1134" s="142"/>
      <c r="Y1134" s="142"/>
      <c r="Z1134" s="104"/>
      <c r="AA1134" s="104"/>
    </row>
    <row r="1135" spans="1:27">
      <c r="A1135" s="412"/>
      <c r="B1135" s="28" t="s">
        <v>79</v>
      </c>
      <c r="C1135" s="73">
        <v>164000</v>
      </c>
      <c r="D1135" s="73">
        <v>109880</v>
      </c>
      <c r="E1135" s="73">
        <v>109880</v>
      </c>
      <c r="F1135" s="73">
        <v>328000</v>
      </c>
      <c r="G1135" s="73">
        <f>G1130*2</f>
        <v>242663.6</v>
      </c>
      <c r="H1135" s="73">
        <f>H1130*2</f>
        <v>220143.8</v>
      </c>
      <c r="I1135" s="73">
        <f>I1130*2</f>
        <v>242663.6</v>
      </c>
      <c r="J1135" s="73">
        <v>328000</v>
      </c>
      <c r="K1135" s="73">
        <f>K1130*2</f>
        <v>264264.40000000002</v>
      </c>
      <c r="L1135" s="73">
        <v>328000</v>
      </c>
      <c r="M1135" s="73">
        <f>2*M1130</f>
        <v>352965.4</v>
      </c>
      <c r="N1135" s="84">
        <f>2*N1130</f>
        <v>109842</v>
      </c>
      <c r="O1135" s="12"/>
      <c r="Y1135" s="14"/>
      <c r="Z1135" s="104"/>
      <c r="AA1135" s="104"/>
    </row>
    <row r="1136" spans="1:27" s="64" customFormat="1">
      <c r="A1136" s="412"/>
      <c r="B1136" s="66" t="s">
        <v>8</v>
      </c>
      <c r="C1136" s="98">
        <f>SUM(C1133-629)</f>
        <v>4377</v>
      </c>
      <c r="D1136" s="98">
        <f>SUM(D1133-719)</f>
        <v>2481</v>
      </c>
      <c r="E1136" s="98">
        <f>SUM(E1133-720)</f>
        <v>2463</v>
      </c>
      <c r="F1136" s="98">
        <f>SUM(F1133-1142)</f>
        <v>8384</v>
      </c>
      <c r="G1136" s="98">
        <f>SUM(G1133-3111)</f>
        <v>1889</v>
      </c>
      <c r="H1136" s="98">
        <f>SUM(H1133-2032)</f>
        <v>9472</v>
      </c>
      <c r="I1136" s="98">
        <f>SUM(I1133-(2451-2000))</f>
        <v>1549</v>
      </c>
      <c r="J1136" s="98">
        <f>SUM(J1133-1333)</f>
        <v>7861</v>
      </c>
      <c r="K1136" s="98">
        <f>SUM(K1133-728)</f>
        <v>5182</v>
      </c>
      <c r="L1136" s="98">
        <f>SUM(L1133-305)</f>
        <v>2195</v>
      </c>
      <c r="M1136" s="98">
        <f>SUM(M1133-(2880-2614))</f>
        <v>2571</v>
      </c>
      <c r="N1136" s="103">
        <f>SUM(N1133-46)</f>
        <v>784</v>
      </c>
      <c r="O1136" s="12"/>
      <c r="P1136" s="175"/>
      <c r="Q1136" s="67"/>
      <c r="R1136" s="67"/>
      <c r="S1136" s="67"/>
      <c r="T1136" s="67"/>
      <c r="U1136" s="67"/>
      <c r="V1136" s="67"/>
      <c r="W1136" s="67"/>
    </row>
    <row r="1137" spans="1:27">
      <c r="A1137" s="412"/>
      <c r="B1137" s="29" t="s">
        <v>77</v>
      </c>
      <c r="C1137" s="75">
        <f>C1136*33.72</f>
        <v>147592.44</v>
      </c>
      <c r="D1137" s="75">
        <f>D1136*33.72</f>
        <v>83659.319999999992</v>
      </c>
      <c r="E1137" s="75">
        <f>E1136*33.72</f>
        <v>83052.36</v>
      </c>
      <c r="F1137" s="75">
        <f>F1136*33.72</f>
        <v>282708.47999999998</v>
      </c>
      <c r="G1137" s="75">
        <f>G1136*33.72*2</f>
        <v>127394.15999999999</v>
      </c>
      <c r="H1137" s="75">
        <f>H1136*33.72</f>
        <v>319395.83999999997</v>
      </c>
      <c r="I1137" s="75">
        <f>I1136*33.72</f>
        <v>52232.28</v>
      </c>
      <c r="J1137" s="75">
        <f>J1136*33.72</f>
        <v>265072.92</v>
      </c>
      <c r="K1137" s="75">
        <f>K1136*33.72</f>
        <v>174737.04</v>
      </c>
      <c r="L1137" s="75">
        <f>L1136*33.72</f>
        <v>74015.399999999994</v>
      </c>
      <c r="M1137" s="75">
        <f>M1136*33.72*2</f>
        <v>173388.24</v>
      </c>
      <c r="N1137" s="11">
        <f>N1136*33.72</f>
        <v>26436.48</v>
      </c>
      <c r="O1137" s="12"/>
      <c r="P1137" s="175"/>
    </row>
    <row r="1138" spans="1:27" ht="15.75" thickBot="1">
      <c r="A1138" s="412"/>
      <c r="B1138" s="30" t="s">
        <v>10</v>
      </c>
      <c r="C1138" s="71">
        <f>C1136*33.7/C1130</f>
        <v>1.2736053836749075</v>
      </c>
      <c r="D1138" s="71">
        <f t="shared" ref="D1138:N1138" si="968">D1136*33.7/D1130</f>
        <v>0.84418684251179066</v>
      </c>
      <c r="E1138" s="78">
        <f t="shared" si="968"/>
        <v>0.83806214957941971</v>
      </c>
      <c r="F1138" s="78">
        <f t="shared" si="968"/>
        <v>1.5524407437892109</v>
      </c>
      <c r="G1138" s="78">
        <f t="shared" si="968"/>
        <v>0.52467119089966519</v>
      </c>
      <c r="H1138" s="78">
        <f t="shared" si="968"/>
        <v>2.8999808307115624</v>
      </c>
      <c r="I1138" s="78">
        <f t="shared" si="968"/>
        <v>0.43023593155298118</v>
      </c>
      <c r="J1138" s="78">
        <f t="shared" si="968"/>
        <v>1.5495082109124769</v>
      </c>
      <c r="K1138" s="78">
        <f t="shared" si="968"/>
        <v>1.3216566438763602</v>
      </c>
      <c r="L1138" s="78">
        <f t="shared" si="968"/>
        <v>1.2193258486233618</v>
      </c>
      <c r="M1138" s="79">
        <f t="shared" si="968"/>
        <v>0.49094160504117407</v>
      </c>
      <c r="N1138" s="26">
        <f t="shared" si="968"/>
        <v>0.48106917208353822</v>
      </c>
      <c r="O1138" s="12"/>
      <c r="P1138" s="175"/>
    </row>
    <row r="1139" spans="1:27" ht="15.75" customHeight="1" thickBot="1">
      <c r="A1139" s="424" t="s">
        <v>83</v>
      </c>
      <c r="B1139" s="425"/>
      <c r="C1139" s="76">
        <f>MIN(2*C1130,C1135)-C1137</f>
        <v>16407.559999999998</v>
      </c>
      <c r="D1139" s="76">
        <f t="shared" ref="D1139:N1139" si="969">MIN(2*D1130,D1135)-D1137</f>
        <v>26220.680000000008</v>
      </c>
      <c r="E1139" s="76">
        <f t="shared" si="969"/>
        <v>26827.64</v>
      </c>
      <c r="F1139" s="76">
        <f t="shared" si="969"/>
        <v>45291.520000000019</v>
      </c>
      <c r="G1139" s="76">
        <f t="shared" si="969"/>
        <v>115269.44000000002</v>
      </c>
      <c r="H1139" s="76">
        <f t="shared" si="969"/>
        <v>-99252.039999999979</v>
      </c>
      <c r="I1139" s="76">
        <f t="shared" si="969"/>
        <v>190431.32</v>
      </c>
      <c r="J1139" s="76">
        <f t="shared" si="969"/>
        <v>62927.080000000016</v>
      </c>
      <c r="K1139" s="76">
        <f t="shared" si="969"/>
        <v>89527.360000000015</v>
      </c>
      <c r="L1139" s="76">
        <f t="shared" si="969"/>
        <v>47316.400000000009</v>
      </c>
      <c r="M1139" s="76">
        <f t="shared" si="969"/>
        <v>179577.16000000003</v>
      </c>
      <c r="N1139" s="22">
        <f t="shared" si="969"/>
        <v>83405.52</v>
      </c>
      <c r="O1139" s="12"/>
      <c r="P1139" s="175"/>
    </row>
    <row r="1140" spans="1:27" ht="15.75" thickBot="1">
      <c r="A1140" s="368">
        <v>41071</v>
      </c>
      <c r="B1140" s="368"/>
      <c r="C1140" s="368"/>
      <c r="N1140" s="15"/>
    </row>
    <row r="1141" spans="1:27">
      <c r="A1141" s="407" t="s">
        <v>1</v>
      </c>
      <c r="B1141" s="420"/>
      <c r="C1141" s="68" t="s">
        <v>12</v>
      </c>
      <c r="D1141" s="68" t="s">
        <v>12</v>
      </c>
      <c r="E1141" s="68" t="s">
        <v>13</v>
      </c>
      <c r="F1141" s="68" t="s">
        <v>13</v>
      </c>
      <c r="G1141" s="68" t="s">
        <v>13</v>
      </c>
      <c r="H1141" s="68" t="s">
        <v>13</v>
      </c>
      <c r="I1141" s="68" t="s">
        <v>13</v>
      </c>
      <c r="J1141" s="68" t="s">
        <v>2</v>
      </c>
      <c r="K1141" s="68" t="s">
        <v>2</v>
      </c>
      <c r="L1141" s="68" t="s">
        <v>2</v>
      </c>
      <c r="M1141" s="68" t="s">
        <v>2</v>
      </c>
      <c r="N1141" s="4" t="s">
        <v>84</v>
      </c>
      <c r="P1141" s="174"/>
      <c r="Q1141" s="175"/>
      <c r="R1141" s="175"/>
      <c r="S1141" s="175"/>
      <c r="T1141" s="175"/>
      <c r="U1141" s="175"/>
      <c r="V1141" s="175"/>
      <c r="W1141" s="175"/>
      <c r="X1141" s="175"/>
      <c r="Y1141" s="174"/>
      <c r="Z1141" s="175"/>
      <c r="AA1141" s="175"/>
    </row>
    <row r="1142" spans="1:27" ht="15.75" thickBot="1">
      <c r="A1142" s="409" t="s">
        <v>0</v>
      </c>
      <c r="B1142" s="414"/>
      <c r="C1142" s="99" t="s">
        <v>102</v>
      </c>
      <c r="D1142" s="99" t="s">
        <v>103</v>
      </c>
      <c r="E1142" s="99" t="s">
        <v>104</v>
      </c>
      <c r="F1142" s="99" t="s">
        <v>105</v>
      </c>
      <c r="G1142" s="99" t="s">
        <v>100</v>
      </c>
      <c r="H1142" s="99" t="s">
        <v>107</v>
      </c>
      <c r="I1142" s="99" t="s">
        <v>106</v>
      </c>
      <c r="J1142" s="99" t="s">
        <v>108</v>
      </c>
      <c r="K1142" s="99" t="s">
        <v>110</v>
      </c>
      <c r="L1142" s="99" t="s">
        <v>101</v>
      </c>
      <c r="M1142" s="99" t="s">
        <v>109</v>
      </c>
      <c r="N1142" s="101" t="s">
        <v>111</v>
      </c>
      <c r="P1142" s="142"/>
      <c r="Y1142" s="142"/>
      <c r="Z1142" s="104"/>
      <c r="AA1142" s="104"/>
    </row>
    <row r="1143" spans="1:27" ht="15" customHeight="1">
      <c r="A1143" s="421" t="s">
        <v>9</v>
      </c>
      <c r="B1143" s="2" t="s">
        <v>4</v>
      </c>
      <c r="C1143" s="96">
        <v>115816.8</v>
      </c>
      <c r="D1143" s="96">
        <v>99041.7</v>
      </c>
      <c r="E1143" s="96">
        <v>99041.7</v>
      </c>
      <c r="F1143" s="96">
        <v>181997.8</v>
      </c>
      <c r="G1143" s="96">
        <v>121331.8</v>
      </c>
      <c r="H1143" s="96">
        <v>110071.9</v>
      </c>
      <c r="I1143" s="96">
        <v>121331.8</v>
      </c>
      <c r="J1143" s="96">
        <v>170967.6</v>
      </c>
      <c r="K1143" s="96">
        <v>132132.20000000001</v>
      </c>
      <c r="L1143" s="96">
        <v>60665.9</v>
      </c>
      <c r="M1143" s="96">
        <v>176482.7</v>
      </c>
      <c r="N1143" s="100">
        <v>54921</v>
      </c>
      <c r="O1143" s="12"/>
      <c r="P1143" s="142"/>
      <c r="Y1143" s="142"/>
      <c r="Z1143" s="104"/>
      <c r="AA1143" s="104"/>
    </row>
    <row r="1144" spans="1:27" s="64" customFormat="1">
      <c r="A1144" s="422"/>
      <c r="B1144" s="63" t="s">
        <v>5</v>
      </c>
      <c r="C1144" s="97">
        <v>91328.5</v>
      </c>
      <c r="D1144" s="97">
        <v>69091.3</v>
      </c>
      <c r="E1144" s="97">
        <v>70651.600000000006</v>
      </c>
      <c r="F1144" s="97">
        <v>148613.29999999999</v>
      </c>
      <c r="G1144" s="97">
        <v>20498.900000000001</v>
      </c>
      <c r="H1144" s="97">
        <v>41922.199999999997</v>
      </c>
      <c r="I1144" s="97">
        <v>20961.900000000001</v>
      </c>
      <c r="J1144" s="97">
        <v>134578.5</v>
      </c>
      <c r="K1144" s="97">
        <v>46373.9</v>
      </c>
      <c r="L1144" s="97">
        <v>15068.9</v>
      </c>
      <c r="M1144" s="97">
        <v>80768.100000000006</v>
      </c>
      <c r="N1144" s="102">
        <v>23964.3</v>
      </c>
      <c r="O1144" s="12"/>
      <c r="P1144" s="142"/>
      <c r="Q1144" s="104"/>
      <c r="R1144" s="104"/>
      <c r="S1144" s="104"/>
      <c r="T1144" s="104"/>
      <c r="U1144" s="104"/>
      <c r="V1144" s="104"/>
      <c r="W1144" s="104"/>
      <c r="X1144" s="104"/>
      <c r="Y1144" s="142"/>
      <c r="Z1144" s="104"/>
      <c r="AA1144" s="104"/>
    </row>
    <row r="1145" spans="1:27" ht="15.75" thickBot="1">
      <c r="A1145" s="423"/>
      <c r="B1145" s="3" t="s">
        <v>3</v>
      </c>
      <c r="C1145" s="71">
        <f>C1144/C1143</f>
        <v>0.78856003619509429</v>
      </c>
      <c r="D1145" s="72">
        <f t="shared" ref="D1145:E1145" si="970">D1144/D1143</f>
        <v>0.697598082423868</v>
      </c>
      <c r="E1145" s="72">
        <f t="shared" si="970"/>
        <v>0.71335205272122759</v>
      </c>
      <c r="F1145" s="72">
        <f>F1144/F1143</f>
        <v>0.81656646399022403</v>
      </c>
      <c r="G1145" s="72">
        <f>G1144/G1143</f>
        <v>0.16894911309318744</v>
      </c>
      <c r="H1145" s="72">
        <f t="shared" ref="H1145:N1145" si="971">H1144/H1143</f>
        <v>0.38086196386180304</v>
      </c>
      <c r="I1145" s="72">
        <f t="shared" si="971"/>
        <v>0.17276509538307352</v>
      </c>
      <c r="J1145" s="72">
        <f t="shared" si="971"/>
        <v>0.78715791764053533</v>
      </c>
      <c r="K1145" s="72">
        <f t="shared" si="971"/>
        <v>0.35096592654931952</v>
      </c>
      <c r="L1145" s="72">
        <f t="shared" si="971"/>
        <v>0.24839160055319379</v>
      </c>
      <c r="M1145" s="72">
        <f t="shared" si="971"/>
        <v>0.45765448964686056</v>
      </c>
      <c r="N1145" s="83">
        <f t="shared" si="971"/>
        <v>0.43634129021685691</v>
      </c>
      <c r="O1145" s="12"/>
      <c r="Y1145" s="14"/>
      <c r="Z1145" s="104"/>
      <c r="AA1145" s="104"/>
    </row>
    <row r="1146" spans="1:27" ht="15" customHeight="1">
      <c r="A1146" s="411" t="s">
        <v>6</v>
      </c>
      <c r="B1146" s="27" t="s">
        <v>7</v>
      </c>
      <c r="C1146" s="68">
        <v>5006</v>
      </c>
      <c r="D1146" s="68">
        <v>3200</v>
      </c>
      <c r="E1146" s="68">
        <v>3183</v>
      </c>
      <c r="F1146" s="68">
        <v>9526</v>
      </c>
      <c r="G1146" s="68">
        <v>5000</v>
      </c>
      <c r="H1146" s="68">
        <v>11504</v>
      </c>
      <c r="I1146" s="68">
        <f>(4000-2000)</f>
        <v>2000</v>
      </c>
      <c r="J1146" s="68">
        <v>9194</v>
      </c>
      <c r="K1146" s="68">
        <f>8610-(HEX2DEC("2a3c")-HEX2DEC("1fb0"))</f>
        <v>5910</v>
      </c>
      <c r="L1146" s="68">
        <v>2500</v>
      </c>
      <c r="M1146" s="68">
        <f>5451-2614</f>
        <v>2837</v>
      </c>
      <c r="N1146" s="80">
        <v>830</v>
      </c>
      <c r="O1146" s="12"/>
      <c r="P1146" s="142"/>
      <c r="Y1146" s="142"/>
      <c r="Z1146" s="104"/>
      <c r="AA1146" s="104"/>
    </row>
    <row r="1147" spans="1:27">
      <c r="A1147" s="412"/>
      <c r="B1147" s="28" t="s">
        <v>11</v>
      </c>
      <c r="C1147" s="73">
        <f t="shared" ref="C1147:I1147" si="972">C1146*33.72</f>
        <v>168802.32</v>
      </c>
      <c r="D1147" s="73">
        <f t="shared" si="972"/>
        <v>107904</v>
      </c>
      <c r="E1147" s="73">
        <f t="shared" si="972"/>
        <v>107330.76</v>
      </c>
      <c r="F1147" s="73">
        <f t="shared" si="972"/>
        <v>321216.71999999997</v>
      </c>
      <c r="G1147" s="73">
        <f t="shared" si="972"/>
        <v>168600</v>
      </c>
      <c r="H1147" s="73">
        <f t="shared" si="972"/>
        <v>387914.88</v>
      </c>
      <c r="I1147" s="73">
        <f t="shared" si="972"/>
        <v>67440</v>
      </c>
      <c r="J1147" s="73">
        <f>J1146*33.72</f>
        <v>310021.68</v>
      </c>
      <c r="K1147" s="73">
        <f t="shared" ref="K1147:N1147" si="973">K1146*33.72</f>
        <v>199285.19999999998</v>
      </c>
      <c r="L1147" s="73">
        <f t="shared" si="973"/>
        <v>84300</v>
      </c>
      <c r="M1147" s="73">
        <f t="shared" si="973"/>
        <v>95663.64</v>
      </c>
      <c r="N1147" s="73">
        <f t="shared" si="973"/>
        <v>27987.599999999999</v>
      </c>
      <c r="O1147" s="12"/>
      <c r="P1147" s="142"/>
      <c r="Y1147" s="142"/>
      <c r="Z1147" s="104"/>
      <c r="AA1147" s="104"/>
    </row>
    <row r="1148" spans="1:27">
      <c r="A1148" s="412"/>
      <c r="B1148" s="28" t="s">
        <v>79</v>
      </c>
      <c r="C1148" s="73">
        <v>164000</v>
      </c>
      <c r="D1148" s="73">
        <v>109880</v>
      </c>
      <c r="E1148" s="73">
        <v>109880</v>
      </c>
      <c r="F1148" s="73">
        <v>328000</v>
      </c>
      <c r="G1148" s="73">
        <f>G1143*2</f>
        <v>242663.6</v>
      </c>
      <c r="H1148" s="73">
        <f>H1143*2</f>
        <v>220143.8</v>
      </c>
      <c r="I1148" s="73">
        <f>I1143*2</f>
        <v>242663.6</v>
      </c>
      <c r="J1148" s="73">
        <v>328000</v>
      </c>
      <c r="K1148" s="73">
        <f>K1143*2</f>
        <v>264264.40000000002</v>
      </c>
      <c r="L1148" s="73">
        <v>328000</v>
      </c>
      <c r="M1148" s="73">
        <f>2*M1143</f>
        <v>352965.4</v>
      </c>
      <c r="N1148" s="84">
        <f>2*N1143</f>
        <v>109842</v>
      </c>
      <c r="O1148" s="12"/>
      <c r="Y1148" s="14"/>
      <c r="Z1148" s="104"/>
      <c r="AA1148" s="104"/>
    </row>
    <row r="1149" spans="1:27" s="64" customFormat="1">
      <c r="A1149" s="412"/>
      <c r="B1149" s="66" t="s">
        <v>8</v>
      </c>
      <c r="C1149" s="98">
        <f>SUM(C1146-629)</f>
        <v>4377</v>
      </c>
      <c r="D1149" s="98">
        <f>SUM(D1146-719)</f>
        <v>2481</v>
      </c>
      <c r="E1149" s="98">
        <f>SUM(E1146-720)</f>
        <v>2463</v>
      </c>
      <c r="F1149" s="98">
        <f>SUM(F1146-1142)</f>
        <v>8384</v>
      </c>
      <c r="G1149" s="98">
        <f>SUM(G1146-3111)</f>
        <v>1889</v>
      </c>
      <c r="H1149" s="98">
        <f>SUM(H1146-2064)</f>
        <v>9440</v>
      </c>
      <c r="I1149" s="98">
        <f>SUM(I1146-(2451-2000))</f>
        <v>1549</v>
      </c>
      <c r="J1149" s="98">
        <f>SUM(J1146-1333)</f>
        <v>7861</v>
      </c>
      <c r="K1149" s="98">
        <f>SUM(K1146-782)</f>
        <v>5128</v>
      </c>
      <c r="L1149" s="98">
        <f>SUM(L1146-305)</f>
        <v>2195</v>
      </c>
      <c r="M1149" s="98">
        <f>SUM(M1146-(2880-2614))</f>
        <v>2571</v>
      </c>
      <c r="N1149" s="103">
        <f>SUM(N1146-46)</f>
        <v>784</v>
      </c>
      <c r="O1149" s="12"/>
      <c r="P1149" s="175"/>
      <c r="Q1149" s="67"/>
      <c r="R1149" s="67"/>
      <c r="S1149" s="67"/>
      <c r="T1149" s="67"/>
      <c r="U1149" s="67"/>
      <c r="V1149" s="67"/>
      <c r="W1149" s="67"/>
    </row>
    <row r="1150" spans="1:27">
      <c r="A1150" s="412"/>
      <c r="B1150" s="29" t="s">
        <v>77</v>
      </c>
      <c r="C1150" s="75">
        <f>C1149*33.72</f>
        <v>147592.44</v>
      </c>
      <c r="D1150" s="75">
        <f>D1149*33.72</f>
        <v>83659.319999999992</v>
      </c>
      <c r="E1150" s="75">
        <f>E1149*33.72</f>
        <v>83052.36</v>
      </c>
      <c r="F1150" s="75">
        <f>F1149*33.72</f>
        <v>282708.47999999998</v>
      </c>
      <c r="G1150" s="75">
        <f>G1149*33.72*2</f>
        <v>127394.15999999999</v>
      </c>
      <c r="H1150" s="75">
        <f>H1149*33.72</f>
        <v>318316.79999999999</v>
      </c>
      <c r="I1150" s="75">
        <f>I1149*33.72</f>
        <v>52232.28</v>
      </c>
      <c r="J1150" s="75">
        <f>J1149*33.72</f>
        <v>265072.92</v>
      </c>
      <c r="K1150" s="75">
        <f>K1149*33.72</f>
        <v>172916.16</v>
      </c>
      <c r="L1150" s="75">
        <f>L1149*33.72</f>
        <v>74015.399999999994</v>
      </c>
      <c r="M1150" s="75">
        <f>M1149*33.72*2</f>
        <v>173388.24</v>
      </c>
      <c r="N1150" s="11">
        <f>N1149*33.72</f>
        <v>26436.48</v>
      </c>
      <c r="O1150" s="12"/>
      <c r="P1150" s="175"/>
    </row>
    <row r="1151" spans="1:27" ht="15.75" thickBot="1">
      <c r="A1151" s="412"/>
      <c r="B1151" s="30" t="s">
        <v>10</v>
      </c>
      <c r="C1151" s="71">
        <f>C1149*33.7/C1143</f>
        <v>1.2736053836749075</v>
      </c>
      <c r="D1151" s="71">
        <f t="shared" ref="D1151:N1151" si="974">D1149*33.7/D1143</f>
        <v>0.84418684251179066</v>
      </c>
      <c r="E1151" s="78">
        <f t="shared" si="974"/>
        <v>0.83806214957941971</v>
      </c>
      <c r="F1151" s="78">
        <f t="shared" si="974"/>
        <v>1.5524407437892109</v>
      </c>
      <c r="G1151" s="78">
        <f t="shared" si="974"/>
        <v>0.52467119089966519</v>
      </c>
      <c r="H1151" s="78">
        <f t="shared" si="974"/>
        <v>2.8901835981753745</v>
      </c>
      <c r="I1151" s="78">
        <f t="shared" si="974"/>
        <v>0.43023593155298118</v>
      </c>
      <c r="J1151" s="78">
        <f t="shared" si="974"/>
        <v>1.5495082109124769</v>
      </c>
      <c r="K1151" s="78">
        <f t="shared" si="974"/>
        <v>1.3078840736777257</v>
      </c>
      <c r="L1151" s="78">
        <f t="shared" si="974"/>
        <v>1.2193258486233618</v>
      </c>
      <c r="M1151" s="79">
        <f t="shared" si="974"/>
        <v>0.49094160504117407</v>
      </c>
      <c r="N1151" s="26">
        <f t="shared" si="974"/>
        <v>0.48106917208353822</v>
      </c>
      <c r="O1151" s="12"/>
      <c r="P1151" s="175"/>
    </row>
    <row r="1152" spans="1:27" ht="15.75" customHeight="1" thickBot="1">
      <c r="A1152" s="424" t="s">
        <v>83</v>
      </c>
      <c r="B1152" s="425"/>
      <c r="C1152" s="76">
        <f>MIN(2*C1143,C1148)-C1150</f>
        <v>16407.559999999998</v>
      </c>
      <c r="D1152" s="76">
        <f t="shared" ref="D1152:N1152" si="975">MIN(2*D1143,D1148)-D1150</f>
        <v>26220.680000000008</v>
      </c>
      <c r="E1152" s="76">
        <f t="shared" si="975"/>
        <v>26827.64</v>
      </c>
      <c r="F1152" s="76">
        <f t="shared" si="975"/>
        <v>45291.520000000019</v>
      </c>
      <c r="G1152" s="76">
        <f t="shared" si="975"/>
        <v>115269.44000000002</v>
      </c>
      <c r="H1152" s="76">
        <f t="shared" si="975"/>
        <v>-98173</v>
      </c>
      <c r="I1152" s="76">
        <f t="shared" si="975"/>
        <v>190431.32</v>
      </c>
      <c r="J1152" s="76">
        <f t="shared" si="975"/>
        <v>62927.080000000016</v>
      </c>
      <c r="K1152" s="76">
        <f t="shared" si="975"/>
        <v>91348.24000000002</v>
      </c>
      <c r="L1152" s="76">
        <f t="shared" si="975"/>
        <v>47316.400000000009</v>
      </c>
      <c r="M1152" s="76">
        <f t="shared" si="975"/>
        <v>179577.16000000003</v>
      </c>
      <c r="N1152" s="22">
        <f t="shared" si="975"/>
        <v>83405.52</v>
      </c>
      <c r="O1152" s="12"/>
      <c r="P1152" s="175"/>
    </row>
    <row r="1153" spans="1:27" ht="15.75" thickBot="1">
      <c r="A1153" s="368">
        <v>41068</v>
      </c>
      <c r="B1153" s="368"/>
      <c r="C1153" s="368"/>
      <c r="N1153" s="15"/>
    </row>
    <row r="1154" spans="1:27">
      <c r="A1154" s="407" t="s">
        <v>1</v>
      </c>
      <c r="B1154" s="420"/>
      <c r="C1154" s="68" t="s">
        <v>12</v>
      </c>
      <c r="D1154" s="68" t="s">
        <v>12</v>
      </c>
      <c r="E1154" s="68" t="s">
        <v>13</v>
      </c>
      <c r="F1154" s="68" t="s">
        <v>13</v>
      </c>
      <c r="G1154" s="68" t="s">
        <v>13</v>
      </c>
      <c r="H1154" s="68" t="s">
        <v>13</v>
      </c>
      <c r="I1154" s="68" t="s">
        <v>13</v>
      </c>
      <c r="J1154" s="68" t="s">
        <v>2</v>
      </c>
      <c r="K1154" s="68" t="s">
        <v>2</v>
      </c>
      <c r="L1154" s="68" t="s">
        <v>2</v>
      </c>
      <c r="M1154" s="68" t="s">
        <v>2</v>
      </c>
      <c r="N1154" s="4" t="s">
        <v>84</v>
      </c>
      <c r="P1154" s="174"/>
      <c r="Q1154" s="175"/>
      <c r="R1154" s="175"/>
      <c r="S1154" s="175"/>
      <c r="T1154" s="175"/>
      <c r="U1154" s="175"/>
      <c r="V1154" s="175"/>
      <c r="W1154" s="175"/>
      <c r="X1154" s="175"/>
      <c r="Y1154" s="174"/>
      <c r="Z1154" s="175"/>
      <c r="AA1154" s="175"/>
    </row>
    <row r="1155" spans="1:27" ht="15.75" thickBot="1">
      <c r="A1155" s="409" t="s">
        <v>0</v>
      </c>
      <c r="B1155" s="414"/>
      <c r="C1155" s="99" t="s">
        <v>102</v>
      </c>
      <c r="D1155" s="99" t="s">
        <v>103</v>
      </c>
      <c r="E1155" s="99" t="s">
        <v>104</v>
      </c>
      <c r="F1155" s="99" t="s">
        <v>105</v>
      </c>
      <c r="G1155" s="99" t="s">
        <v>100</v>
      </c>
      <c r="H1155" s="99" t="s">
        <v>107</v>
      </c>
      <c r="I1155" s="99" t="s">
        <v>106</v>
      </c>
      <c r="J1155" s="99" t="s">
        <v>108</v>
      </c>
      <c r="K1155" s="99" t="s">
        <v>110</v>
      </c>
      <c r="L1155" s="99" t="s">
        <v>101</v>
      </c>
      <c r="M1155" s="99" t="s">
        <v>109</v>
      </c>
      <c r="N1155" s="101" t="s">
        <v>111</v>
      </c>
      <c r="P1155" s="142"/>
      <c r="Y1155" s="142"/>
      <c r="Z1155" s="104"/>
      <c r="AA1155" s="104"/>
    </row>
    <row r="1156" spans="1:27" ht="15" customHeight="1">
      <c r="A1156" s="421" t="s">
        <v>9</v>
      </c>
      <c r="B1156" s="2" t="s">
        <v>4</v>
      </c>
      <c r="C1156" s="96">
        <v>115816.8</v>
      </c>
      <c r="D1156" s="96">
        <v>99041.7</v>
      </c>
      <c r="E1156" s="96">
        <v>99041.7</v>
      </c>
      <c r="F1156" s="96">
        <v>181997.8</v>
      </c>
      <c r="G1156" s="96">
        <v>121331.8</v>
      </c>
      <c r="H1156" s="96">
        <v>110071.9</v>
      </c>
      <c r="I1156" s="96">
        <v>121331.8</v>
      </c>
      <c r="J1156" s="96">
        <v>170967.6</v>
      </c>
      <c r="K1156" s="96">
        <v>132132.20000000001</v>
      </c>
      <c r="L1156" s="96">
        <v>60665.9</v>
      </c>
      <c r="M1156" s="96">
        <v>176482.7</v>
      </c>
      <c r="N1156" s="100">
        <v>54921</v>
      </c>
      <c r="O1156" s="12"/>
      <c r="P1156" s="142"/>
      <c r="Y1156" s="142"/>
      <c r="Z1156" s="104"/>
      <c r="AA1156" s="104"/>
    </row>
    <row r="1157" spans="1:27" s="64" customFormat="1">
      <c r="A1157" s="422"/>
      <c r="B1157" s="63" t="s">
        <v>5</v>
      </c>
      <c r="C1157" s="97">
        <v>91257.8</v>
      </c>
      <c r="D1157" s="97">
        <v>68961.600000000006</v>
      </c>
      <c r="E1157" s="97">
        <v>70530.8</v>
      </c>
      <c r="F1157" s="97">
        <v>148289.29999999999</v>
      </c>
      <c r="G1157" s="97">
        <v>20498.8</v>
      </c>
      <c r="H1157" s="97">
        <v>41445.599999999999</v>
      </c>
      <c r="I1157" s="97">
        <v>20920.099999999999</v>
      </c>
      <c r="J1157" s="97">
        <v>134329.4</v>
      </c>
      <c r="K1157" s="97">
        <v>46357.1</v>
      </c>
      <c r="L1157" s="97">
        <v>14431.1</v>
      </c>
      <c r="M1157" s="97">
        <v>80689.3</v>
      </c>
      <c r="N1157" s="102">
        <v>23961.8</v>
      </c>
      <c r="O1157" s="12"/>
      <c r="P1157" s="142"/>
      <c r="Q1157" s="104"/>
      <c r="R1157" s="104"/>
      <c r="S1157" s="104"/>
      <c r="T1157" s="104"/>
      <c r="U1157" s="104"/>
      <c r="V1157" s="104"/>
      <c r="W1157" s="104"/>
      <c r="X1157" s="104"/>
      <c r="Y1157" s="142"/>
      <c r="Z1157" s="104"/>
      <c r="AA1157" s="104"/>
    </row>
    <row r="1158" spans="1:27" ht="15.75" thickBot="1">
      <c r="A1158" s="423"/>
      <c r="B1158" s="3" t="s">
        <v>3</v>
      </c>
      <c r="C1158" s="71">
        <f>C1157/C1156</f>
        <v>0.78794958935145853</v>
      </c>
      <c r="D1158" s="72">
        <f t="shared" ref="D1158:E1158" si="976">D1157/D1156</f>
        <v>0.69628853301185267</v>
      </c>
      <c r="E1158" s="72">
        <f t="shared" si="976"/>
        <v>0.71213236444851014</v>
      </c>
      <c r="F1158" s="72">
        <f>F1157/F1156</f>
        <v>0.81478622269060397</v>
      </c>
      <c r="G1158" s="72">
        <f>G1157/G1156</f>
        <v>0.16894828890694771</v>
      </c>
      <c r="H1158" s="72">
        <f t="shared" ref="H1158:N1158" si="977">H1157/H1156</f>
        <v>0.37653206676726758</v>
      </c>
      <c r="I1158" s="72">
        <f t="shared" si="977"/>
        <v>0.17242058553487213</v>
      </c>
      <c r="J1158" s="72">
        <f t="shared" si="977"/>
        <v>0.78570091643094941</v>
      </c>
      <c r="K1158" s="72">
        <f t="shared" si="977"/>
        <v>0.35083878116008055</v>
      </c>
      <c r="L1158" s="72">
        <f t="shared" si="977"/>
        <v>0.23787828087937374</v>
      </c>
      <c r="M1158" s="72">
        <f t="shared" si="977"/>
        <v>0.45720798695849507</v>
      </c>
      <c r="N1158" s="83">
        <f t="shared" si="977"/>
        <v>0.43629577028823219</v>
      </c>
      <c r="O1158" s="12"/>
      <c r="Y1158" s="14"/>
      <c r="Z1158" s="104"/>
      <c r="AA1158" s="104"/>
    </row>
    <row r="1159" spans="1:27" ht="15" customHeight="1">
      <c r="A1159" s="411" t="s">
        <v>6</v>
      </c>
      <c r="B1159" s="27" t="s">
        <v>7</v>
      </c>
      <c r="C1159" s="68">
        <v>5006</v>
      </c>
      <c r="D1159" s="68">
        <v>3200</v>
      </c>
      <c r="E1159" s="68">
        <v>3183</v>
      </c>
      <c r="F1159" s="68">
        <v>9526</v>
      </c>
      <c r="G1159" s="68">
        <v>5000</v>
      </c>
      <c r="H1159" s="68">
        <f>(11504-(HEX2DEC("3520")-HEX2DEC("33EC")))</f>
        <v>11196</v>
      </c>
      <c r="I1159" s="68">
        <f>(4000-2000)</f>
        <v>2000</v>
      </c>
      <c r="J1159" s="68">
        <v>9194</v>
      </c>
      <c r="K1159" s="68">
        <f>8610-(HEX2DEC("2a3c")-HEX2DEC("1fb0"))</f>
        <v>5910</v>
      </c>
      <c r="L1159" s="68">
        <v>2500</v>
      </c>
      <c r="M1159" s="68">
        <f>5451-2614</f>
        <v>2837</v>
      </c>
      <c r="N1159" s="80">
        <v>830</v>
      </c>
      <c r="O1159" s="12"/>
      <c r="P1159" s="142"/>
      <c r="Y1159" s="142"/>
      <c r="Z1159" s="104"/>
      <c r="AA1159" s="104"/>
    </row>
    <row r="1160" spans="1:27">
      <c r="A1160" s="412"/>
      <c r="B1160" s="28" t="s">
        <v>11</v>
      </c>
      <c r="C1160" s="73">
        <f t="shared" ref="C1160:I1160" si="978">C1159*33.72</f>
        <v>168802.32</v>
      </c>
      <c r="D1160" s="73">
        <f t="shared" si="978"/>
        <v>107904</v>
      </c>
      <c r="E1160" s="73">
        <f t="shared" si="978"/>
        <v>107330.76</v>
      </c>
      <c r="F1160" s="73">
        <f t="shared" si="978"/>
        <v>321216.71999999997</v>
      </c>
      <c r="G1160" s="73">
        <f t="shared" si="978"/>
        <v>168600</v>
      </c>
      <c r="H1160" s="73">
        <f t="shared" si="978"/>
        <v>377529.12</v>
      </c>
      <c r="I1160" s="73">
        <f t="shared" si="978"/>
        <v>67440</v>
      </c>
      <c r="J1160" s="73">
        <f>J1159*33.72</f>
        <v>310021.68</v>
      </c>
      <c r="K1160" s="73">
        <f t="shared" ref="K1160:N1160" si="979">K1159*33.72</f>
        <v>199285.19999999998</v>
      </c>
      <c r="L1160" s="73">
        <f t="shared" si="979"/>
        <v>84300</v>
      </c>
      <c r="M1160" s="73">
        <f t="shared" si="979"/>
        <v>95663.64</v>
      </c>
      <c r="N1160" s="73">
        <f t="shared" si="979"/>
        <v>27987.599999999999</v>
      </c>
      <c r="O1160" s="12"/>
      <c r="P1160" s="142"/>
      <c r="Y1160" s="142"/>
      <c r="Z1160" s="104"/>
      <c r="AA1160" s="104"/>
    </row>
    <row r="1161" spans="1:27">
      <c r="A1161" s="412"/>
      <c r="B1161" s="28" t="s">
        <v>79</v>
      </c>
      <c r="C1161" s="73">
        <v>164000</v>
      </c>
      <c r="D1161" s="73">
        <v>109880</v>
      </c>
      <c r="E1161" s="73">
        <v>109880</v>
      </c>
      <c r="F1161" s="73">
        <v>328000</v>
      </c>
      <c r="G1161" s="73">
        <f>G1156*2</f>
        <v>242663.6</v>
      </c>
      <c r="H1161" s="73">
        <f>H1156*2</f>
        <v>220143.8</v>
      </c>
      <c r="I1161" s="73">
        <f>I1156*2</f>
        <v>242663.6</v>
      </c>
      <c r="J1161" s="73">
        <v>328000</v>
      </c>
      <c r="K1161" s="73">
        <f>K1156*2</f>
        <v>264264.40000000002</v>
      </c>
      <c r="L1161" s="73">
        <v>328000</v>
      </c>
      <c r="M1161" s="73">
        <f>2*M1156</f>
        <v>352965.4</v>
      </c>
      <c r="N1161" s="84">
        <f>2*N1156</f>
        <v>109842</v>
      </c>
      <c r="O1161" s="12"/>
      <c r="Y1161" s="14"/>
      <c r="Z1161" s="104"/>
      <c r="AA1161" s="104"/>
    </row>
    <row r="1162" spans="1:27" s="64" customFormat="1">
      <c r="A1162" s="412"/>
      <c r="B1162" s="66" t="s">
        <v>8</v>
      </c>
      <c r="C1162" s="98">
        <f>SUM(C1159-650)</f>
        <v>4356</v>
      </c>
      <c r="D1162" s="98">
        <f>SUM(D1159-719)</f>
        <v>2481</v>
      </c>
      <c r="E1162" s="98">
        <f>SUM(E1159-720)</f>
        <v>2463</v>
      </c>
      <c r="F1162" s="98">
        <f>SUM(F1159-1142)</f>
        <v>8384</v>
      </c>
      <c r="G1162" s="98">
        <f>SUM(G1159-3111)</f>
        <v>1889</v>
      </c>
      <c r="H1162" s="98">
        <f>SUM(H1159-1935)</f>
        <v>9261</v>
      </c>
      <c r="I1162" s="98">
        <f>SUM(I1159-(2451-2000))</f>
        <v>1549</v>
      </c>
      <c r="J1162" s="98">
        <f>SUM(J1159-1333)</f>
        <v>7861</v>
      </c>
      <c r="K1162" s="98">
        <f>SUM(K1159-782)</f>
        <v>5128</v>
      </c>
      <c r="L1162" s="98">
        <f>SUM(L1159-305)</f>
        <v>2195</v>
      </c>
      <c r="M1162" s="98">
        <f>SUM(M1159-(2880-2614))</f>
        <v>2571</v>
      </c>
      <c r="N1162" s="103">
        <f>SUM(N1159-46)</f>
        <v>784</v>
      </c>
      <c r="O1162" s="12"/>
      <c r="P1162" s="175"/>
      <c r="Q1162" s="67"/>
      <c r="R1162" s="67"/>
      <c r="S1162" s="67"/>
      <c r="T1162" s="67"/>
      <c r="U1162" s="67"/>
      <c r="V1162" s="67"/>
      <c r="W1162" s="67"/>
    </row>
    <row r="1163" spans="1:27">
      <c r="A1163" s="412"/>
      <c r="B1163" s="29" t="s">
        <v>77</v>
      </c>
      <c r="C1163" s="75">
        <f>C1162*33.72</f>
        <v>146884.32</v>
      </c>
      <c r="D1163" s="75">
        <f>D1162*33.72</f>
        <v>83659.319999999992</v>
      </c>
      <c r="E1163" s="75">
        <f>E1162*33.72</f>
        <v>83052.36</v>
      </c>
      <c r="F1163" s="75">
        <f>F1162*33.72</f>
        <v>282708.47999999998</v>
      </c>
      <c r="G1163" s="75">
        <f>G1162*33.72*2</f>
        <v>127394.15999999999</v>
      </c>
      <c r="H1163" s="75">
        <f>H1162*33.72</f>
        <v>312280.92</v>
      </c>
      <c r="I1163" s="75">
        <f>I1162*33.72</f>
        <v>52232.28</v>
      </c>
      <c r="J1163" s="75">
        <f>J1162*33.72</f>
        <v>265072.92</v>
      </c>
      <c r="K1163" s="75">
        <f>K1162*33.72</f>
        <v>172916.16</v>
      </c>
      <c r="L1163" s="75">
        <f>L1162*33.72</f>
        <v>74015.399999999994</v>
      </c>
      <c r="M1163" s="75">
        <f>M1162*33.72*2</f>
        <v>173388.24</v>
      </c>
      <c r="N1163" s="11">
        <f>N1162*33.72</f>
        <v>26436.48</v>
      </c>
      <c r="O1163" s="12"/>
      <c r="P1163" s="175"/>
    </row>
    <row r="1164" spans="1:27" ht="15.75" thickBot="1">
      <c r="A1164" s="412"/>
      <c r="B1164" s="30" t="s">
        <v>10</v>
      </c>
      <c r="C1164" s="71">
        <f>C1162*33.7/C1156</f>
        <v>1.2674948712103944</v>
      </c>
      <c r="D1164" s="71">
        <f t="shared" ref="D1164:N1164" si="980">D1162*33.7/D1156</f>
        <v>0.84418684251179066</v>
      </c>
      <c r="E1164" s="78">
        <f t="shared" si="980"/>
        <v>0.83806214957941971</v>
      </c>
      <c r="F1164" s="78">
        <f t="shared" si="980"/>
        <v>1.5524407437892109</v>
      </c>
      <c r="G1164" s="78">
        <f t="shared" si="980"/>
        <v>0.52467119089966519</v>
      </c>
      <c r="H1164" s="78">
        <f t="shared" si="980"/>
        <v>2.8353803286760746</v>
      </c>
      <c r="I1164" s="78">
        <f t="shared" si="980"/>
        <v>0.43023593155298118</v>
      </c>
      <c r="J1164" s="78">
        <f t="shared" si="980"/>
        <v>1.5495082109124769</v>
      </c>
      <c r="K1164" s="78">
        <f t="shared" si="980"/>
        <v>1.3078840736777257</v>
      </c>
      <c r="L1164" s="78">
        <f t="shared" si="980"/>
        <v>1.2193258486233618</v>
      </c>
      <c r="M1164" s="79">
        <f t="shared" si="980"/>
        <v>0.49094160504117407</v>
      </c>
      <c r="N1164" s="26">
        <f t="shared" si="980"/>
        <v>0.48106917208353822</v>
      </c>
      <c r="O1164" s="12"/>
      <c r="P1164" s="175"/>
    </row>
    <row r="1165" spans="1:27" ht="15.75" customHeight="1" thickBot="1">
      <c r="A1165" s="424" t="s">
        <v>83</v>
      </c>
      <c r="B1165" s="425"/>
      <c r="C1165" s="76">
        <f>MIN(2*C1156,C1161)-C1163</f>
        <v>17115.679999999993</v>
      </c>
      <c r="D1165" s="76">
        <f t="shared" ref="D1165:N1165" si="981">MIN(2*D1156,D1161)-D1163</f>
        <v>26220.680000000008</v>
      </c>
      <c r="E1165" s="76">
        <f t="shared" si="981"/>
        <v>26827.64</v>
      </c>
      <c r="F1165" s="76">
        <f t="shared" si="981"/>
        <v>45291.520000000019</v>
      </c>
      <c r="G1165" s="76">
        <f t="shared" si="981"/>
        <v>115269.44000000002</v>
      </c>
      <c r="H1165" s="76">
        <f t="shared" si="981"/>
        <v>-92137.12</v>
      </c>
      <c r="I1165" s="76">
        <f t="shared" si="981"/>
        <v>190431.32</v>
      </c>
      <c r="J1165" s="76">
        <f t="shared" si="981"/>
        <v>62927.080000000016</v>
      </c>
      <c r="K1165" s="76">
        <f t="shared" si="981"/>
        <v>91348.24000000002</v>
      </c>
      <c r="L1165" s="76">
        <f t="shared" si="981"/>
        <v>47316.400000000009</v>
      </c>
      <c r="M1165" s="76">
        <f t="shared" si="981"/>
        <v>179577.16000000003</v>
      </c>
      <c r="N1165" s="22">
        <f t="shared" si="981"/>
        <v>83405.52</v>
      </c>
      <c r="O1165" s="12"/>
      <c r="P1165" s="175"/>
    </row>
    <row r="1166" spans="1:27" ht="15.75" thickBot="1">
      <c r="A1166" s="368">
        <v>41067</v>
      </c>
      <c r="B1166" s="368"/>
      <c r="C1166" s="368"/>
      <c r="N1166" s="15"/>
    </row>
    <row r="1167" spans="1:27">
      <c r="A1167" s="407" t="s">
        <v>1</v>
      </c>
      <c r="B1167" s="420"/>
      <c r="C1167" s="68" t="s">
        <v>12</v>
      </c>
      <c r="D1167" s="68" t="s">
        <v>12</v>
      </c>
      <c r="E1167" s="68" t="s">
        <v>13</v>
      </c>
      <c r="F1167" s="68" t="s">
        <v>13</v>
      </c>
      <c r="G1167" s="68" t="s">
        <v>13</v>
      </c>
      <c r="H1167" s="68" t="s">
        <v>13</v>
      </c>
      <c r="I1167" s="68" t="s">
        <v>13</v>
      </c>
      <c r="J1167" s="68" t="s">
        <v>2</v>
      </c>
      <c r="K1167" s="68" t="s">
        <v>2</v>
      </c>
      <c r="L1167" s="68" t="s">
        <v>2</v>
      </c>
      <c r="M1167" s="68" t="s">
        <v>2</v>
      </c>
      <c r="N1167" s="4" t="s">
        <v>84</v>
      </c>
      <c r="P1167" s="174"/>
      <c r="Q1167" s="175"/>
      <c r="R1167" s="175"/>
      <c r="S1167" s="175"/>
      <c r="T1167" s="175"/>
      <c r="U1167" s="175"/>
      <c r="V1167" s="175"/>
      <c r="W1167" s="175"/>
      <c r="X1167" s="175"/>
      <c r="Y1167" s="174"/>
      <c r="Z1167" s="175"/>
      <c r="AA1167" s="175"/>
    </row>
    <row r="1168" spans="1:27" ht="15.75" thickBot="1">
      <c r="A1168" s="409" t="s">
        <v>0</v>
      </c>
      <c r="B1168" s="414"/>
      <c r="C1168" s="99" t="s">
        <v>102</v>
      </c>
      <c r="D1168" s="99" t="s">
        <v>103</v>
      </c>
      <c r="E1168" s="99" t="s">
        <v>104</v>
      </c>
      <c r="F1168" s="99" t="s">
        <v>105</v>
      </c>
      <c r="G1168" s="99" t="s">
        <v>100</v>
      </c>
      <c r="H1168" s="99" t="s">
        <v>107</v>
      </c>
      <c r="I1168" s="99" t="s">
        <v>106</v>
      </c>
      <c r="J1168" s="99" t="s">
        <v>108</v>
      </c>
      <c r="K1168" s="99" t="s">
        <v>110</v>
      </c>
      <c r="L1168" s="99" t="s">
        <v>101</v>
      </c>
      <c r="M1168" s="99" t="s">
        <v>109</v>
      </c>
      <c r="N1168" s="101" t="s">
        <v>111</v>
      </c>
      <c r="P1168" s="142"/>
      <c r="Y1168" s="142"/>
      <c r="Z1168" s="104"/>
      <c r="AA1168" s="104"/>
    </row>
    <row r="1169" spans="1:27" ht="15" customHeight="1">
      <c r="A1169" s="421" t="s">
        <v>9</v>
      </c>
      <c r="B1169" s="2" t="s">
        <v>4</v>
      </c>
      <c r="C1169" s="96">
        <v>115816.8</v>
      </c>
      <c r="D1169" s="96">
        <v>99041.7</v>
      </c>
      <c r="E1169" s="96">
        <v>99041.7</v>
      </c>
      <c r="F1169" s="96">
        <v>181997.8</v>
      </c>
      <c r="G1169" s="96">
        <v>121331.8</v>
      </c>
      <c r="H1169" s="96">
        <v>110071.9</v>
      </c>
      <c r="I1169" s="96">
        <v>121331.8</v>
      </c>
      <c r="J1169" s="96">
        <v>170967.6</v>
      </c>
      <c r="K1169" s="96">
        <v>132132.20000000001</v>
      </c>
      <c r="L1169" s="96">
        <v>60665.9</v>
      </c>
      <c r="M1169" s="96">
        <v>176482.7</v>
      </c>
      <c r="N1169" s="100">
        <v>54921</v>
      </c>
      <c r="O1169" s="12"/>
      <c r="P1169" s="142"/>
      <c r="Y1169" s="142"/>
      <c r="Z1169" s="104"/>
      <c r="AA1169" s="104"/>
    </row>
    <row r="1170" spans="1:27" s="64" customFormat="1">
      <c r="A1170" s="422"/>
      <c r="B1170" s="63" t="s">
        <v>5</v>
      </c>
      <c r="C1170" s="97">
        <v>91230</v>
      </c>
      <c r="D1170" s="97">
        <v>68960.7</v>
      </c>
      <c r="E1170" s="97">
        <v>70529.899999999994</v>
      </c>
      <c r="F1170" s="97">
        <v>148228.1</v>
      </c>
      <c r="G1170" s="97">
        <v>20491.5</v>
      </c>
      <c r="H1170" s="97">
        <v>41263.4</v>
      </c>
      <c r="I1170" s="97">
        <v>20913.5</v>
      </c>
      <c r="J1170" s="97">
        <v>134275.5</v>
      </c>
      <c r="K1170" s="97">
        <v>46263.199999999997</v>
      </c>
      <c r="L1170" s="97">
        <v>14426.6</v>
      </c>
      <c r="M1170" s="97">
        <v>80655.899999999994</v>
      </c>
      <c r="N1170" s="102">
        <v>23961.599999999999</v>
      </c>
      <c r="O1170" s="12"/>
      <c r="P1170" s="142"/>
      <c r="Q1170" s="104"/>
      <c r="R1170" s="104"/>
      <c r="S1170" s="104"/>
      <c r="T1170" s="104"/>
      <c r="U1170" s="104"/>
      <c r="V1170" s="104"/>
      <c r="W1170" s="104"/>
      <c r="X1170" s="104"/>
      <c r="Y1170" s="142"/>
      <c r="Z1170" s="104"/>
      <c r="AA1170" s="104"/>
    </row>
    <row r="1171" spans="1:27" ht="15.75" thickBot="1">
      <c r="A1171" s="423"/>
      <c r="B1171" s="3" t="s">
        <v>3</v>
      </c>
      <c r="C1171" s="71">
        <f>C1170/C1169</f>
        <v>0.78770955509045315</v>
      </c>
      <c r="D1171" s="72">
        <f t="shared" ref="D1171:E1171" si="982">D1170/D1169</f>
        <v>0.69627944593035052</v>
      </c>
      <c r="E1171" s="72">
        <f t="shared" si="982"/>
        <v>0.71212327736700798</v>
      </c>
      <c r="F1171" s="72">
        <f>F1170/F1169</f>
        <v>0.81444995488956473</v>
      </c>
      <c r="G1171" s="72">
        <f>G1170/G1169</f>
        <v>0.16888812331144842</v>
      </c>
      <c r="H1171" s="72">
        <f t="shared" ref="H1171:N1171" si="983">H1170/H1169</f>
        <v>0.37487678508320471</v>
      </c>
      <c r="I1171" s="72">
        <f t="shared" si="983"/>
        <v>0.17236618924305086</v>
      </c>
      <c r="J1171" s="72">
        <f t="shared" si="983"/>
        <v>0.78538565201827715</v>
      </c>
      <c r="K1171" s="72">
        <f t="shared" si="983"/>
        <v>0.35012812925236991</v>
      </c>
      <c r="L1171" s="72">
        <f t="shared" si="983"/>
        <v>0.23780410411779929</v>
      </c>
      <c r="M1171" s="72">
        <f t="shared" si="983"/>
        <v>0.45701873328093912</v>
      </c>
      <c r="N1171" s="83">
        <f t="shared" si="983"/>
        <v>0.43629212869394218</v>
      </c>
      <c r="O1171" s="12"/>
      <c r="Y1171" s="14"/>
      <c r="Z1171" s="104"/>
      <c r="AA1171" s="104"/>
    </row>
    <row r="1172" spans="1:27" ht="15" customHeight="1">
      <c r="A1172" s="411" t="s">
        <v>6</v>
      </c>
      <c r="B1172" s="27" t="s">
        <v>7</v>
      </c>
      <c r="C1172" s="68">
        <v>5006</v>
      </c>
      <c r="D1172" s="68">
        <v>3200</v>
      </c>
      <c r="E1172" s="68">
        <v>3183</v>
      </c>
      <c r="F1172" s="68">
        <v>9526</v>
      </c>
      <c r="G1172" s="68">
        <v>5000</v>
      </c>
      <c r="H1172" s="68">
        <f>(11504-(HEX2DEC("3520")-HEX2DEC("33EC")))</f>
        <v>11196</v>
      </c>
      <c r="I1172" s="68">
        <f>(4000-2000)</f>
        <v>2000</v>
      </c>
      <c r="J1172" s="68">
        <v>9194</v>
      </c>
      <c r="K1172" s="68">
        <f>8610-(HEX2DEC("2a3c")-HEX2DEC("1fb0"))</f>
        <v>5910</v>
      </c>
      <c r="L1172" s="68">
        <v>2500</v>
      </c>
      <c r="M1172" s="68">
        <f>5451-2614</f>
        <v>2837</v>
      </c>
      <c r="N1172" s="80">
        <v>830</v>
      </c>
      <c r="O1172" s="12"/>
      <c r="P1172" s="142"/>
      <c r="Y1172" s="142"/>
      <c r="Z1172" s="104"/>
      <c r="AA1172" s="104"/>
    </row>
    <row r="1173" spans="1:27">
      <c r="A1173" s="412"/>
      <c r="B1173" s="28" t="s">
        <v>11</v>
      </c>
      <c r="C1173" s="73">
        <f t="shared" ref="C1173:I1173" si="984">C1172*33.72</f>
        <v>168802.32</v>
      </c>
      <c r="D1173" s="73">
        <f t="shared" si="984"/>
        <v>107904</v>
      </c>
      <c r="E1173" s="73">
        <f t="shared" si="984"/>
        <v>107330.76</v>
      </c>
      <c r="F1173" s="73">
        <f t="shared" si="984"/>
        <v>321216.71999999997</v>
      </c>
      <c r="G1173" s="73">
        <f t="shared" si="984"/>
        <v>168600</v>
      </c>
      <c r="H1173" s="73">
        <f t="shared" si="984"/>
        <v>377529.12</v>
      </c>
      <c r="I1173" s="73">
        <f t="shared" si="984"/>
        <v>67440</v>
      </c>
      <c r="J1173" s="73">
        <f>J1172*33.72</f>
        <v>310021.68</v>
      </c>
      <c r="K1173" s="73">
        <f t="shared" ref="K1173:N1173" si="985">K1172*33.72</f>
        <v>199285.19999999998</v>
      </c>
      <c r="L1173" s="73">
        <f t="shared" si="985"/>
        <v>84300</v>
      </c>
      <c r="M1173" s="73">
        <f t="shared" si="985"/>
        <v>95663.64</v>
      </c>
      <c r="N1173" s="73">
        <f t="shared" si="985"/>
        <v>27987.599999999999</v>
      </c>
      <c r="O1173" s="12"/>
      <c r="P1173" s="142"/>
      <c r="Y1173" s="142"/>
      <c r="Z1173" s="104"/>
      <c r="AA1173" s="104"/>
    </row>
    <row r="1174" spans="1:27">
      <c r="A1174" s="412"/>
      <c r="B1174" s="28" t="s">
        <v>79</v>
      </c>
      <c r="C1174" s="73">
        <v>164000</v>
      </c>
      <c r="D1174" s="73">
        <v>109880</v>
      </c>
      <c r="E1174" s="73">
        <v>109880</v>
      </c>
      <c r="F1174" s="73">
        <v>328000</v>
      </c>
      <c r="G1174" s="73">
        <f>G1169*2</f>
        <v>242663.6</v>
      </c>
      <c r="H1174" s="73">
        <f>H1169*2</f>
        <v>220143.8</v>
      </c>
      <c r="I1174" s="73">
        <f>I1169*2</f>
        <v>242663.6</v>
      </c>
      <c r="J1174" s="73">
        <v>328000</v>
      </c>
      <c r="K1174" s="73">
        <f>K1169*2</f>
        <v>264264.40000000002</v>
      </c>
      <c r="L1174" s="73">
        <v>328000</v>
      </c>
      <c r="M1174" s="73">
        <f>2*M1169</f>
        <v>352965.4</v>
      </c>
      <c r="N1174" s="84">
        <f>2*N1169</f>
        <v>109842</v>
      </c>
      <c r="O1174" s="12"/>
      <c r="Y1174" s="14"/>
      <c r="Z1174" s="104"/>
      <c r="AA1174" s="104"/>
    </row>
    <row r="1175" spans="1:27" s="64" customFormat="1">
      <c r="A1175" s="412"/>
      <c r="B1175" s="66" t="s">
        <v>8</v>
      </c>
      <c r="C1175" s="98">
        <f>SUM(C1172-650)</f>
        <v>4356</v>
      </c>
      <c r="D1175" s="98">
        <f>SUM(D1172-719)</f>
        <v>2481</v>
      </c>
      <c r="E1175" s="98">
        <f>SUM(E1172-720)</f>
        <v>2463</v>
      </c>
      <c r="F1175" s="98">
        <f>SUM(F1172-1142)</f>
        <v>8384</v>
      </c>
      <c r="G1175" s="98">
        <f>SUM(G1172-3111)</f>
        <v>1889</v>
      </c>
      <c r="H1175" s="98">
        <f>SUM(H1172-1984)</f>
        <v>9212</v>
      </c>
      <c r="I1175" s="98">
        <f>SUM(I1172-(2451-2000))</f>
        <v>1549</v>
      </c>
      <c r="J1175" s="98">
        <f>SUM(J1172-1333)</f>
        <v>7861</v>
      </c>
      <c r="K1175" s="98">
        <f>SUM(K1172-823)</f>
        <v>5087</v>
      </c>
      <c r="L1175" s="98">
        <f>SUM(L1172-305)</f>
        <v>2195</v>
      </c>
      <c r="M1175" s="98">
        <f>SUM(M1172-(2880-2614))</f>
        <v>2571</v>
      </c>
      <c r="N1175" s="103">
        <f>SUM(N1172-46)</f>
        <v>784</v>
      </c>
      <c r="O1175" s="12"/>
      <c r="P1175" s="175"/>
      <c r="Q1175" s="67"/>
      <c r="R1175" s="67"/>
      <c r="S1175" s="67"/>
      <c r="T1175" s="67"/>
      <c r="U1175" s="67"/>
      <c r="V1175" s="67"/>
      <c r="W1175" s="67"/>
    </row>
    <row r="1176" spans="1:27">
      <c r="A1176" s="412"/>
      <c r="B1176" s="29" t="s">
        <v>77</v>
      </c>
      <c r="C1176" s="75">
        <f>C1175*33.72</f>
        <v>146884.32</v>
      </c>
      <c r="D1176" s="75">
        <f>D1175*33.72</f>
        <v>83659.319999999992</v>
      </c>
      <c r="E1176" s="75">
        <f>E1175*33.72</f>
        <v>83052.36</v>
      </c>
      <c r="F1176" s="75">
        <f>F1175*33.72</f>
        <v>282708.47999999998</v>
      </c>
      <c r="G1176" s="75">
        <f>G1175*33.72*2</f>
        <v>127394.15999999999</v>
      </c>
      <c r="H1176" s="75">
        <f>H1175*33.72</f>
        <v>310628.64</v>
      </c>
      <c r="I1176" s="75">
        <f>I1175*33.72</f>
        <v>52232.28</v>
      </c>
      <c r="J1176" s="75">
        <f>J1175*33.72</f>
        <v>265072.92</v>
      </c>
      <c r="K1176" s="75">
        <f>K1175*33.72</f>
        <v>171533.63999999998</v>
      </c>
      <c r="L1176" s="75">
        <f>L1175*33.72</f>
        <v>74015.399999999994</v>
      </c>
      <c r="M1176" s="75">
        <f>M1175*33.72*2</f>
        <v>173388.24</v>
      </c>
      <c r="N1176" s="11">
        <f>N1175*33.72</f>
        <v>26436.48</v>
      </c>
      <c r="O1176" s="12"/>
      <c r="P1176" s="175"/>
    </row>
    <row r="1177" spans="1:27" ht="15.75" thickBot="1">
      <c r="A1177" s="412"/>
      <c r="B1177" s="30" t="s">
        <v>10</v>
      </c>
      <c r="C1177" s="71">
        <f>C1175*33.7/C1169</f>
        <v>1.2674948712103944</v>
      </c>
      <c r="D1177" s="71">
        <f t="shared" ref="D1177:N1177" si="986">D1175*33.7/D1169</f>
        <v>0.84418684251179066</v>
      </c>
      <c r="E1177" s="78">
        <f t="shared" si="986"/>
        <v>0.83806214957941971</v>
      </c>
      <c r="F1177" s="78">
        <f t="shared" si="986"/>
        <v>1.5524407437892109</v>
      </c>
      <c r="G1177" s="78">
        <f t="shared" si="986"/>
        <v>0.52467119089966519</v>
      </c>
      <c r="H1177" s="78">
        <f t="shared" si="986"/>
        <v>2.8203783163550376</v>
      </c>
      <c r="I1177" s="78">
        <f t="shared" si="986"/>
        <v>0.43023593155298118</v>
      </c>
      <c r="J1177" s="78">
        <f t="shared" si="986"/>
        <v>1.5495082109124769</v>
      </c>
      <c r="K1177" s="78">
        <f t="shared" si="986"/>
        <v>1.2974271222306146</v>
      </c>
      <c r="L1177" s="78">
        <f t="shared" si="986"/>
        <v>1.2193258486233618</v>
      </c>
      <c r="M1177" s="79">
        <f t="shared" si="986"/>
        <v>0.49094160504117407</v>
      </c>
      <c r="N1177" s="26">
        <f t="shared" si="986"/>
        <v>0.48106917208353822</v>
      </c>
      <c r="O1177" s="12"/>
      <c r="P1177" s="175"/>
    </row>
    <row r="1178" spans="1:27" ht="15.75" customHeight="1" thickBot="1">
      <c r="A1178" s="424" t="s">
        <v>83</v>
      </c>
      <c r="B1178" s="425"/>
      <c r="C1178" s="76">
        <f>MIN(2*C1169,C1174)-C1176</f>
        <v>17115.679999999993</v>
      </c>
      <c r="D1178" s="76">
        <f t="shared" ref="D1178:N1178" si="987">MIN(2*D1169,D1174)-D1176</f>
        <v>26220.680000000008</v>
      </c>
      <c r="E1178" s="76">
        <f t="shared" si="987"/>
        <v>26827.64</v>
      </c>
      <c r="F1178" s="76">
        <f t="shared" si="987"/>
        <v>45291.520000000019</v>
      </c>
      <c r="G1178" s="76">
        <f t="shared" si="987"/>
        <v>115269.44000000002</v>
      </c>
      <c r="H1178" s="76">
        <f t="shared" si="987"/>
        <v>-90484.840000000026</v>
      </c>
      <c r="I1178" s="76">
        <f t="shared" si="987"/>
        <v>190431.32</v>
      </c>
      <c r="J1178" s="76">
        <f t="shared" si="987"/>
        <v>62927.080000000016</v>
      </c>
      <c r="K1178" s="76">
        <f t="shared" si="987"/>
        <v>92730.760000000038</v>
      </c>
      <c r="L1178" s="76">
        <f t="shared" si="987"/>
        <v>47316.400000000009</v>
      </c>
      <c r="M1178" s="76">
        <f t="shared" si="987"/>
        <v>179577.16000000003</v>
      </c>
      <c r="N1178" s="22">
        <f t="shared" si="987"/>
        <v>83405.52</v>
      </c>
      <c r="O1178" s="12"/>
      <c r="P1178" s="175"/>
    </row>
    <row r="1179" spans="1:27" ht="15.75" thickBot="1">
      <c r="A1179" s="368">
        <v>41066</v>
      </c>
      <c r="B1179" s="368"/>
      <c r="C1179" s="368"/>
      <c r="N1179" s="15"/>
    </row>
    <row r="1180" spans="1:27">
      <c r="A1180" s="407" t="s">
        <v>1</v>
      </c>
      <c r="B1180" s="420"/>
      <c r="C1180" s="68" t="s">
        <v>12</v>
      </c>
      <c r="D1180" s="68" t="s">
        <v>12</v>
      </c>
      <c r="E1180" s="68" t="s">
        <v>13</v>
      </c>
      <c r="F1180" s="68" t="s">
        <v>13</v>
      </c>
      <c r="G1180" s="68" t="s">
        <v>13</v>
      </c>
      <c r="H1180" s="68" t="s">
        <v>13</v>
      </c>
      <c r="I1180" s="68" t="s">
        <v>13</v>
      </c>
      <c r="J1180" s="68" t="s">
        <v>2</v>
      </c>
      <c r="K1180" s="68" t="s">
        <v>2</v>
      </c>
      <c r="L1180" s="68" t="s">
        <v>2</v>
      </c>
      <c r="M1180" s="68" t="s">
        <v>2</v>
      </c>
      <c r="N1180" s="4" t="s">
        <v>84</v>
      </c>
      <c r="P1180" s="174"/>
      <c r="Q1180" s="175"/>
      <c r="R1180" s="175"/>
      <c r="S1180" s="175"/>
      <c r="T1180" s="175"/>
      <c r="U1180" s="175"/>
      <c r="V1180" s="175"/>
      <c r="W1180" s="175"/>
      <c r="X1180" s="175"/>
      <c r="Y1180" s="174"/>
      <c r="Z1180" s="175"/>
      <c r="AA1180" s="175"/>
    </row>
    <row r="1181" spans="1:27" ht="15.75" thickBot="1">
      <c r="A1181" s="409" t="s">
        <v>0</v>
      </c>
      <c r="B1181" s="414"/>
      <c r="C1181" s="99" t="s">
        <v>102</v>
      </c>
      <c r="D1181" s="99" t="s">
        <v>103</v>
      </c>
      <c r="E1181" s="99" t="s">
        <v>104</v>
      </c>
      <c r="F1181" s="99" t="s">
        <v>105</v>
      </c>
      <c r="G1181" s="99" t="s">
        <v>100</v>
      </c>
      <c r="H1181" s="99" t="s">
        <v>107</v>
      </c>
      <c r="I1181" s="99" t="s">
        <v>106</v>
      </c>
      <c r="J1181" s="99" t="s">
        <v>108</v>
      </c>
      <c r="K1181" s="99" t="s">
        <v>110</v>
      </c>
      <c r="L1181" s="99" t="s">
        <v>101</v>
      </c>
      <c r="M1181" s="99" t="s">
        <v>109</v>
      </c>
      <c r="N1181" s="101" t="s">
        <v>111</v>
      </c>
      <c r="P1181" s="142"/>
      <c r="Y1181" s="142"/>
      <c r="Z1181" s="104"/>
      <c r="AA1181" s="104"/>
    </row>
    <row r="1182" spans="1:27" ht="15" customHeight="1">
      <c r="A1182" s="421" t="s">
        <v>9</v>
      </c>
      <c r="B1182" s="2" t="s">
        <v>4</v>
      </c>
      <c r="C1182" s="96">
        <v>115816.8</v>
      </c>
      <c r="D1182" s="96">
        <v>99041.7</v>
      </c>
      <c r="E1182" s="96">
        <v>99041.7</v>
      </c>
      <c r="F1182" s="96">
        <v>181997.8</v>
      </c>
      <c r="G1182" s="96">
        <v>121331.8</v>
      </c>
      <c r="H1182" s="96">
        <v>110071.9</v>
      </c>
      <c r="I1182" s="96">
        <v>121331.8</v>
      </c>
      <c r="J1182" s="96">
        <v>170967.6</v>
      </c>
      <c r="K1182" s="96">
        <v>132132.20000000001</v>
      </c>
      <c r="L1182" s="96">
        <v>60665.9</v>
      </c>
      <c r="M1182" s="96">
        <v>176482.7</v>
      </c>
      <c r="N1182" s="100">
        <v>54921</v>
      </c>
      <c r="O1182" s="12"/>
      <c r="P1182" s="142"/>
      <c r="Y1182" s="142"/>
      <c r="Z1182" s="104"/>
      <c r="AA1182" s="104"/>
    </row>
    <row r="1183" spans="1:27" s="64" customFormat="1">
      <c r="A1183" s="422"/>
      <c r="B1183" s="63" t="s">
        <v>5</v>
      </c>
      <c r="C1183" s="97">
        <v>91228.7</v>
      </c>
      <c r="D1183" s="97">
        <v>68959.600000000006</v>
      </c>
      <c r="E1183" s="97">
        <v>70528.7</v>
      </c>
      <c r="F1183" s="97">
        <v>148158</v>
      </c>
      <c r="G1183" s="97">
        <v>20491.5</v>
      </c>
      <c r="H1183" s="97">
        <v>40667.5</v>
      </c>
      <c r="I1183" s="97">
        <v>20910.599999999999</v>
      </c>
      <c r="J1183" s="97">
        <v>134244.29999999999</v>
      </c>
      <c r="K1183" s="97">
        <v>46203.199999999997</v>
      </c>
      <c r="L1183" s="97">
        <v>14420.8</v>
      </c>
      <c r="M1183" s="97">
        <v>80649.8</v>
      </c>
      <c r="N1183" s="102">
        <v>23961.1</v>
      </c>
      <c r="O1183" s="12"/>
      <c r="P1183" s="142"/>
      <c r="Q1183" s="104"/>
      <c r="R1183" s="104"/>
      <c r="S1183" s="104"/>
      <c r="T1183" s="104"/>
      <c r="U1183" s="104"/>
      <c r="V1183" s="104"/>
      <c r="W1183" s="104"/>
      <c r="X1183" s="104"/>
      <c r="Y1183" s="142"/>
      <c r="Z1183" s="104"/>
      <c r="AA1183" s="104"/>
    </row>
    <row r="1184" spans="1:27" ht="15.75" thickBot="1">
      <c r="A1184" s="423"/>
      <c r="B1184" s="3" t="s">
        <v>3</v>
      </c>
      <c r="C1184" s="71">
        <f>C1183/C1182</f>
        <v>0.7876983304667371</v>
      </c>
      <c r="D1184" s="72">
        <f t="shared" ref="D1184:E1184" si="988">D1183/D1182</f>
        <v>0.69626833949740374</v>
      </c>
      <c r="E1184" s="72">
        <f t="shared" si="988"/>
        <v>0.71211116125833862</v>
      </c>
      <c r="F1184" s="72">
        <f>F1183/F1182</f>
        <v>0.81406478539850491</v>
      </c>
      <c r="G1184" s="72">
        <f>G1183/G1182</f>
        <v>0.16888812331144842</v>
      </c>
      <c r="H1184" s="72">
        <f t="shared" ref="H1184:N1184" si="989">H1183/H1182</f>
        <v>0.36946305096941184</v>
      </c>
      <c r="I1184" s="72">
        <f t="shared" si="989"/>
        <v>0.1723422878420991</v>
      </c>
      <c r="J1184" s="72">
        <f t="shared" si="989"/>
        <v>0.78520316130073764</v>
      </c>
      <c r="K1184" s="72">
        <f t="shared" si="989"/>
        <v>0.34967403857651652</v>
      </c>
      <c r="L1184" s="72">
        <f t="shared" si="989"/>
        <v>0.2377084985139922</v>
      </c>
      <c r="M1184" s="72">
        <f t="shared" si="989"/>
        <v>0.45698416898653521</v>
      </c>
      <c r="N1184" s="83">
        <f t="shared" si="989"/>
        <v>0.43628302470821723</v>
      </c>
      <c r="O1184" s="12"/>
      <c r="Y1184" s="14"/>
      <c r="Z1184" s="104"/>
      <c r="AA1184" s="104"/>
    </row>
    <row r="1185" spans="1:27" ht="15" customHeight="1">
      <c r="A1185" s="411" t="s">
        <v>6</v>
      </c>
      <c r="B1185" s="27" t="s">
        <v>7</v>
      </c>
      <c r="C1185" s="68">
        <v>5006</v>
      </c>
      <c r="D1185" s="68">
        <v>3200</v>
      </c>
      <c r="E1185" s="68">
        <v>3183</v>
      </c>
      <c r="F1185" s="68">
        <v>9526</v>
      </c>
      <c r="G1185" s="68">
        <v>5000</v>
      </c>
      <c r="H1185" s="68">
        <f>(11504-(HEX2DEC("3520")-HEX2DEC("33EC")))</f>
        <v>11196</v>
      </c>
      <c r="I1185" s="68">
        <f>(4000-2000)</f>
        <v>2000</v>
      </c>
      <c r="J1185" s="68">
        <v>9194</v>
      </c>
      <c r="K1185" s="68">
        <f>8610-(HEX2DEC("2a3c")-HEX2DEC("1fb0"))</f>
        <v>5910</v>
      </c>
      <c r="L1185" s="68">
        <v>2500</v>
      </c>
      <c r="M1185" s="68">
        <f>5451-2614</f>
        <v>2837</v>
      </c>
      <c r="N1185" s="80">
        <v>830</v>
      </c>
      <c r="O1185" s="12"/>
      <c r="P1185" s="142"/>
      <c r="Y1185" s="142"/>
      <c r="Z1185" s="104"/>
      <c r="AA1185" s="104"/>
    </row>
    <row r="1186" spans="1:27">
      <c r="A1186" s="412"/>
      <c r="B1186" s="28" t="s">
        <v>11</v>
      </c>
      <c r="C1186" s="73">
        <f t="shared" ref="C1186:I1186" si="990">C1185*33.72</f>
        <v>168802.32</v>
      </c>
      <c r="D1186" s="73">
        <f t="shared" si="990"/>
        <v>107904</v>
      </c>
      <c r="E1186" s="73">
        <f t="shared" si="990"/>
        <v>107330.76</v>
      </c>
      <c r="F1186" s="73">
        <f t="shared" si="990"/>
        <v>321216.71999999997</v>
      </c>
      <c r="G1186" s="73">
        <f t="shared" si="990"/>
        <v>168600</v>
      </c>
      <c r="H1186" s="73">
        <f t="shared" si="990"/>
        <v>377529.12</v>
      </c>
      <c r="I1186" s="73">
        <f t="shared" si="990"/>
        <v>67440</v>
      </c>
      <c r="J1186" s="73">
        <f>J1185*33.72</f>
        <v>310021.68</v>
      </c>
      <c r="K1186" s="73">
        <f t="shared" ref="K1186:N1186" si="991">K1185*33.72</f>
        <v>199285.19999999998</v>
      </c>
      <c r="L1186" s="73">
        <f t="shared" si="991"/>
        <v>84300</v>
      </c>
      <c r="M1186" s="73">
        <f t="shared" si="991"/>
        <v>95663.64</v>
      </c>
      <c r="N1186" s="73">
        <f t="shared" si="991"/>
        <v>27987.599999999999</v>
      </c>
      <c r="O1186" s="12"/>
      <c r="P1186" s="142"/>
      <c r="Y1186" s="142"/>
      <c r="Z1186" s="104"/>
      <c r="AA1186" s="104"/>
    </row>
    <row r="1187" spans="1:27">
      <c r="A1187" s="412"/>
      <c r="B1187" s="28" t="s">
        <v>79</v>
      </c>
      <c r="C1187" s="73">
        <v>164000</v>
      </c>
      <c r="D1187" s="73">
        <v>109880</v>
      </c>
      <c r="E1187" s="73">
        <v>109880</v>
      </c>
      <c r="F1187" s="73">
        <v>328000</v>
      </c>
      <c r="G1187" s="73">
        <f>G1182*2</f>
        <v>242663.6</v>
      </c>
      <c r="H1187" s="73">
        <f>H1182*2</f>
        <v>220143.8</v>
      </c>
      <c r="I1187" s="73">
        <f>I1182*2</f>
        <v>242663.6</v>
      </c>
      <c r="J1187" s="73">
        <v>328000</v>
      </c>
      <c r="K1187" s="73">
        <f>K1182*2</f>
        <v>264264.40000000002</v>
      </c>
      <c r="L1187" s="73">
        <v>328000</v>
      </c>
      <c r="M1187" s="73">
        <f>2*M1182</f>
        <v>352965.4</v>
      </c>
      <c r="N1187" s="84">
        <f>2*N1182</f>
        <v>109842</v>
      </c>
      <c r="O1187" s="12"/>
      <c r="Y1187" s="14"/>
      <c r="Z1187" s="104"/>
      <c r="AA1187" s="104"/>
    </row>
    <row r="1188" spans="1:27" s="64" customFormat="1">
      <c r="A1188" s="412"/>
      <c r="B1188" s="66" t="s">
        <v>8</v>
      </c>
      <c r="C1188" s="98">
        <f>SUM(C1185-650)</f>
        <v>4356</v>
      </c>
      <c r="D1188" s="98">
        <f>SUM(D1185-719)</f>
        <v>2481</v>
      </c>
      <c r="E1188" s="98">
        <f>SUM(E1185-720)</f>
        <v>2463</v>
      </c>
      <c r="F1188" s="98">
        <f>SUM(F1185-1142)</f>
        <v>8384</v>
      </c>
      <c r="G1188" s="98">
        <f>SUM(G1185-3111)</f>
        <v>1889</v>
      </c>
      <c r="H1188" s="98">
        <f>SUM(H1185-1985)</f>
        <v>9211</v>
      </c>
      <c r="I1188" s="98">
        <f>SUM(I1185-(2451-2000))</f>
        <v>1549</v>
      </c>
      <c r="J1188" s="98">
        <f>SUM(J1185-1333)</f>
        <v>7861</v>
      </c>
      <c r="K1188" s="98">
        <f>SUM(K1185-823)</f>
        <v>5087</v>
      </c>
      <c r="L1188" s="98">
        <f>SUM(L1185-305)</f>
        <v>2195</v>
      </c>
      <c r="M1188" s="98">
        <f>SUM(M1185-(2880-2614))</f>
        <v>2571</v>
      </c>
      <c r="N1188" s="103">
        <f>SUM(N1185-46)</f>
        <v>784</v>
      </c>
      <c r="O1188" s="12"/>
      <c r="P1188" s="175"/>
      <c r="Q1188" s="67"/>
      <c r="R1188" s="67"/>
      <c r="S1188" s="67"/>
      <c r="T1188" s="67"/>
      <c r="U1188" s="67"/>
      <c r="V1188" s="67"/>
      <c r="W1188" s="67"/>
    </row>
    <row r="1189" spans="1:27">
      <c r="A1189" s="412"/>
      <c r="B1189" s="29" t="s">
        <v>77</v>
      </c>
      <c r="C1189" s="75">
        <f>C1188*33.72</f>
        <v>146884.32</v>
      </c>
      <c r="D1189" s="75">
        <f>D1188*33.72</f>
        <v>83659.319999999992</v>
      </c>
      <c r="E1189" s="75">
        <f>E1188*33.72</f>
        <v>83052.36</v>
      </c>
      <c r="F1189" s="75">
        <f>F1188*33.72</f>
        <v>282708.47999999998</v>
      </c>
      <c r="G1189" s="75">
        <f>G1188*33.72*2</f>
        <v>127394.15999999999</v>
      </c>
      <c r="H1189" s="75">
        <f>H1188*33.72</f>
        <v>310594.92</v>
      </c>
      <c r="I1189" s="75">
        <f>I1188*33.72</f>
        <v>52232.28</v>
      </c>
      <c r="J1189" s="75">
        <f>J1188*33.72</f>
        <v>265072.92</v>
      </c>
      <c r="K1189" s="75">
        <f>K1188*33.72</f>
        <v>171533.63999999998</v>
      </c>
      <c r="L1189" s="75">
        <f>L1188*33.72</f>
        <v>74015.399999999994</v>
      </c>
      <c r="M1189" s="75">
        <f>M1188*33.72*2</f>
        <v>173388.24</v>
      </c>
      <c r="N1189" s="11">
        <f>N1188*33.72</f>
        <v>26436.48</v>
      </c>
      <c r="O1189" s="12"/>
      <c r="P1189" s="175"/>
    </row>
    <row r="1190" spans="1:27" ht="15.75" thickBot="1">
      <c r="A1190" s="412"/>
      <c r="B1190" s="30" t="s">
        <v>10</v>
      </c>
      <c r="C1190" s="71">
        <f>C1188*33.7/C1182</f>
        <v>1.2674948712103944</v>
      </c>
      <c r="D1190" s="71">
        <f t="shared" ref="D1190:N1190" si="992">D1188*33.7/D1182</f>
        <v>0.84418684251179066</v>
      </c>
      <c r="E1190" s="78">
        <f t="shared" si="992"/>
        <v>0.83806214957941971</v>
      </c>
      <c r="F1190" s="78">
        <f t="shared" si="992"/>
        <v>1.5524407437892109</v>
      </c>
      <c r="G1190" s="78">
        <f t="shared" si="992"/>
        <v>0.52467119089966519</v>
      </c>
      <c r="H1190" s="78">
        <f t="shared" si="992"/>
        <v>2.8200721528382813</v>
      </c>
      <c r="I1190" s="78">
        <f t="shared" si="992"/>
        <v>0.43023593155298118</v>
      </c>
      <c r="J1190" s="78">
        <f t="shared" si="992"/>
        <v>1.5495082109124769</v>
      </c>
      <c r="K1190" s="78">
        <f t="shared" si="992"/>
        <v>1.2974271222306146</v>
      </c>
      <c r="L1190" s="78">
        <f t="shared" si="992"/>
        <v>1.2193258486233618</v>
      </c>
      <c r="M1190" s="79">
        <f t="shared" si="992"/>
        <v>0.49094160504117407</v>
      </c>
      <c r="N1190" s="26">
        <f t="shared" si="992"/>
        <v>0.48106917208353822</v>
      </c>
      <c r="O1190" s="12"/>
      <c r="P1190" s="175"/>
    </row>
    <row r="1191" spans="1:27" ht="15.75" customHeight="1" thickBot="1">
      <c r="A1191" s="424" t="s">
        <v>83</v>
      </c>
      <c r="B1191" s="425"/>
      <c r="C1191" s="76">
        <f>MIN(2*C1182,C1187)-C1189</f>
        <v>17115.679999999993</v>
      </c>
      <c r="D1191" s="76">
        <f t="shared" ref="D1191:N1191" si="993">MIN(2*D1182,D1187)-D1189</f>
        <v>26220.680000000008</v>
      </c>
      <c r="E1191" s="76">
        <f t="shared" si="993"/>
        <v>26827.64</v>
      </c>
      <c r="F1191" s="76">
        <f t="shared" si="993"/>
        <v>45291.520000000019</v>
      </c>
      <c r="G1191" s="76">
        <f t="shared" si="993"/>
        <v>115269.44000000002</v>
      </c>
      <c r="H1191" s="76">
        <f t="shared" si="993"/>
        <v>-90451.12</v>
      </c>
      <c r="I1191" s="76">
        <f t="shared" si="993"/>
        <v>190431.32</v>
      </c>
      <c r="J1191" s="76">
        <f t="shared" si="993"/>
        <v>62927.080000000016</v>
      </c>
      <c r="K1191" s="76">
        <f t="shared" si="993"/>
        <v>92730.760000000038</v>
      </c>
      <c r="L1191" s="76">
        <f t="shared" si="993"/>
        <v>47316.400000000009</v>
      </c>
      <c r="M1191" s="76">
        <f t="shared" si="993"/>
        <v>179577.16000000003</v>
      </c>
      <c r="N1191" s="22">
        <f t="shared" si="993"/>
        <v>83405.52</v>
      </c>
      <c r="O1191" s="12"/>
      <c r="P1191" s="175"/>
    </row>
    <row r="1192" spans="1:27" ht="15.75" thickBot="1">
      <c r="A1192" s="368">
        <v>41059</v>
      </c>
      <c r="B1192" s="368"/>
      <c r="C1192" s="368"/>
      <c r="N1192" s="15"/>
    </row>
    <row r="1193" spans="1:27">
      <c r="A1193" s="407" t="s">
        <v>1</v>
      </c>
      <c r="B1193" s="420"/>
      <c r="C1193" s="68" t="s">
        <v>12</v>
      </c>
      <c r="D1193" s="68" t="s">
        <v>12</v>
      </c>
      <c r="E1193" s="68" t="s">
        <v>13</v>
      </c>
      <c r="F1193" s="68" t="s">
        <v>13</v>
      </c>
      <c r="G1193" s="68" t="s">
        <v>13</v>
      </c>
      <c r="H1193" s="68" t="s">
        <v>13</v>
      </c>
      <c r="I1193" s="68" t="s">
        <v>13</v>
      </c>
      <c r="J1193" s="68" t="s">
        <v>2</v>
      </c>
      <c r="K1193" s="68" t="s">
        <v>2</v>
      </c>
      <c r="L1193" s="68" t="s">
        <v>2</v>
      </c>
      <c r="M1193" s="68" t="s">
        <v>2</v>
      </c>
      <c r="N1193" s="4" t="s">
        <v>84</v>
      </c>
      <c r="P1193" s="174"/>
      <c r="Q1193" s="175"/>
      <c r="R1193" s="175"/>
      <c r="S1193" s="175"/>
      <c r="T1193" s="175"/>
      <c r="U1193" s="175"/>
      <c r="V1193" s="175"/>
      <c r="W1193" s="175"/>
      <c r="X1193" s="175"/>
      <c r="Y1193" s="174"/>
      <c r="Z1193" s="175"/>
      <c r="AA1193" s="175"/>
    </row>
    <row r="1194" spans="1:27" ht="15.75" thickBot="1">
      <c r="A1194" s="409" t="s">
        <v>0</v>
      </c>
      <c r="B1194" s="414"/>
      <c r="C1194" s="99" t="s">
        <v>102</v>
      </c>
      <c r="D1194" s="99" t="s">
        <v>103</v>
      </c>
      <c r="E1194" s="99" t="s">
        <v>104</v>
      </c>
      <c r="F1194" s="99" t="s">
        <v>105</v>
      </c>
      <c r="G1194" s="99" t="s">
        <v>100</v>
      </c>
      <c r="H1194" s="99" t="s">
        <v>107</v>
      </c>
      <c r="I1194" s="99" t="s">
        <v>106</v>
      </c>
      <c r="J1194" s="99" t="s">
        <v>108</v>
      </c>
      <c r="K1194" s="99" t="s">
        <v>110</v>
      </c>
      <c r="L1194" s="99" t="s">
        <v>101</v>
      </c>
      <c r="M1194" s="99" t="s">
        <v>109</v>
      </c>
      <c r="N1194" s="101" t="s">
        <v>111</v>
      </c>
      <c r="P1194" s="142"/>
      <c r="Y1194" s="142"/>
      <c r="Z1194" s="104"/>
      <c r="AA1194" s="104"/>
    </row>
    <row r="1195" spans="1:27" ht="15" customHeight="1">
      <c r="A1195" s="421" t="s">
        <v>9</v>
      </c>
      <c r="B1195" s="2" t="s">
        <v>4</v>
      </c>
      <c r="C1195" s="96">
        <v>115816.8</v>
      </c>
      <c r="D1195" s="96">
        <v>99041.7</v>
      </c>
      <c r="E1195" s="96">
        <v>99041.7</v>
      </c>
      <c r="F1195" s="96">
        <v>181997.8</v>
      </c>
      <c r="G1195" s="96">
        <v>121331.8</v>
      </c>
      <c r="H1195" s="96">
        <v>110071.9</v>
      </c>
      <c r="I1195" s="96">
        <v>121331.8</v>
      </c>
      <c r="J1195" s="96">
        <v>170967.6</v>
      </c>
      <c r="K1195" s="96">
        <v>132132.20000000001</v>
      </c>
      <c r="L1195" s="96">
        <v>60665.9</v>
      </c>
      <c r="M1195" s="96">
        <v>176482.7</v>
      </c>
      <c r="N1195" s="100">
        <v>54921</v>
      </c>
      <c r="O1195" s="12"/>
      <c r="P1195" s="142"/>
      <c r="Y1195" s="142"/>
      <c r="Z1195" s="104"/>
      <c r="AA1195" s="104"/>
    </row>
    <row r="1196" spans="1:27" s="64" customFormat="1">
      <c r="A1196" s="422"/>
      <c r="B1196" s="63" t="s">
        <v>5</v>
      </c>
      <c r="C1196" s="97">
        <v>91066.5</v>
      </c>
      <c r="D1196" s="97">
        <v>68594.7</v>
      </c>
      <c r="E1196" s="97">
        <v>70167</v>
      </c>
      <c r="F1196" s="97">
        <v>147434.6</v>
      </c>
      <c r="G1196" s="97">
        <v>20490.900000000001</v>
      </c>
      <c r="H1196" s="97">
        <v>38133.199999999997</v>
      </c>
      <c r="I1196" s="97">
        <v>20681.400000000001</v>
      </c>
      <c r="J1196" s="97">
        <v>133521.20000000001</v>
      </c>
      <c r="K1196" s="97">
        <v>45004.9</v>
      </c>
      <c r="L1196" s="97">
        <v>14303.9</v>
      </c>
      <c r="M1196" s="97">
        <v>80182.899999999994</v>
      </c>
      <c r="N1196" s="102">
        <v>23949.5</v>
      </c>
      <c r="O1196" s="12"/>
      <c r="P1196" s="142"/>
      <c r="Q1196" s="104"/>
      <c r="R1196" s="104"/>
      <c r="S1196" s="104"/>
      <c r="T1196" s="104"/>
      <c r="U1196" s="104"/>
      <c r="V1196" s="104"/>
      <c r="W1196" s="104"/>
      <c r="X1196" s="104"/>
      <c r="Y1196" s="142"/>
      <c r="Z1196" s="104"/>
      <c r="AA1196" s="104"/>
    </row>
    <row r="1197" spans="1:27" ht="15.75" thickBot="1">
      <c r="A1197" s="423"/>
      <c r="B1197" s="3" t="s">
        <v>3</v>
      </c>
      <c r="C1197" s="71">
        <f>C1196/C1195</f>
        <v>0.78629784280000825</v>
      </c>
      <c r="D1197" s="72">
        <f t="shared" ref="D1197:E1197" si="994">D1196/D1195</f>
        <v>0.69258403278619007</v>
      </c>
      <c r="E1197" s="72">
        <f t="shared" si="994"/>
        <v>0.70845916417024346</v>
      </c>
      <c r="F1197" s="72">
        <f>F1196/F1195</f>
        <v>0.8100900120770691</v>
      </c>
      <c r="G1197" s="72">
        <f>G1196/G1195</f>
        <v>0.16888317819401016</v>
      </c>
      <c r="H1197" s="72">
        <f t="shared" ref="H1197:N1197" si="995">H1196/H1195</f>
        <v>0.34643900941112127</v>
      </c>
      <c r="I1197" s="72">
        <f t="shared" si="995"/>
        <v>0.17045325298066955</v>
      </c>
      <c r="J1197" s="72">
        <f t="shared" si="995"/>
        <v>0.7809737049593023</v>
      </c>
      <c r="K1197" s="72">
        <f t="shared" si="995"/>
        <v>0.34060509096193053</v>
      </c>
      <c r="L1197" s="72">
        <f t="shared" si="995"/>
        <v>0.2357815510855357</v>
      </c>
      <c r="M1197" s="72">
        <f t="shared" si="995"/>
        <v>0.45433858389519194</v>
      </c>
      <c r="N1197" s="83">
        <f t="shared" si="995"/>
        <v>0.43607181223939839</v>
      </c>
      <c r="O1197" s="12"/>
      <c r="Y1197" s="14"/>
      <c r="Z1197" s="104"/>
      <c r="AA1197" s="104"/>
    </row>
    <row r="1198" spans="1:27" ht="15" customHeight="1">
      <c r="A1198" s="411" t="s">
        <v>6</v>
      </c>
      <c r="B1198" s="27" t="s">
        <v>7</v>
      </c>
      <c r="C1198" s="68">
        <v>5006</v>
      </c>
      <c r="D1198" s="68">
        <v>3200</v>
      </c>
      <c r="E1198" s="68">
        <v>3183</v>
      </c>
      <c r="F1198" s="68">
        <v>9526</v>
      </c>
      <c r="G1198" s="68">
        <v>5000</v>
      </c>
      <c r="H1198" s="68">
        <v>11196</v>
      </c>
      <c r="I1198" s="68">
        <f>(4000-2000)</f>
        <v>2000</v>
      </c>
      <c r="J1198" s="68">
        <v>9194</v>
      </c>
      <c r="K1198" s="68">
        <f>8610-(HEX2DEC("2a3c")-HEX2DEC("1fb0"))</f>
        <v>5910</v>
      </c>
      <c r="L1198" s="68">
        <v>2500</v>
      </c>
      <c r="M1198" s="68">
        <f>5451-2614</f>
        <v>2837</v>
      </c>
      <c r="N1198" s="80">
        <v>830</v>
      </c>
      <c r="O1198" s="12"/>
      <c r="P1198" s="142"/>
      <c r="Y1198" s="142"/>
      <c r="Z1198" s="104"/>
      <c r="AA1198" s="104"/>
    </row>
    <row r="1199" spans="1:27">
      <c r="A1199" s="412"/>
      <c r="B1199" s="28" t="s">
        <v>11</v>
      </c>
      <c r="C1199" s="73">
        <f t="shared" ref="C1199:I1199" si="996">C1198*33.72</f>
        <v>168802.32</v>
      </c>
      <c r="D1199" s="73">
        <f t="shared" si="996"/>
        <v>107904</v>
      </c>
      <c r="E1199" s="73">
        <f t="shared" si="996"/>
        <v>107330.76</v>
      </c>
      <c r="F1199" s="73">
        <f t="shared" si="996"/>
        <v>321216.71999999997</v>
      </c>
      <c r="G1199" s="73">
        <f t="shared" si="996"/>
        <v>168600</v>
      </c>
      <c r="H1199" s="73">
        <f t="shared" si="996"/>
        <v>377529.12</v>
      </c>
      <c r="I1199" s="73">
        <f t="shared" si="996"/>
        <v>67440</v>
      </c>
      <c r="J1199" s="73">
        <f>J1198*33.72</f>
        <v>310021.68</v>
      </c>
      <c r="K1199" s="73">
        <f t="shared" ref="K1199:N1199" si="997">K1198*33.72</f>
        <v>199285.19999999998</v>
      </c>
      <c r="L1199" s="73">
        <f t="shared" si="997"/>
        <v>84300</v>
      </c>
      <c r="M1199" s="73">
        <f t="shared" si="997"/>
        <v>95663.64</v>
      </c>
      <c r="N1199" s="73">
        <f t="shared" si="997"/>
        <v>27987.599999999999</v>
      </c>
      <c r="O1199" s="12"/>
      <c r="P1199" s="142"/>
      <c r="Y1199" s="142"/>
      <c r="Z1199" s="104"/>
      <c r="AA1199" s="104"/>
    </row>
    <row r="1200" spans="1:27">
      <c r="A1200" s="412"/>
      <c r="B1200" s="28" t="s">
        <v>79</v>
      </c>
      <c r="C1200" s="73">
        <v>164000</v>
      </c>
      <c r="D1200" s="73">
        <v>109880</v>
      </c>
      <c r="E1200" s="73">
        <v>109880</v>
      </c>
      <c r="F1200" s="73">
        <v>328000</v>
      </c>
      <c r="G1200" s="73">
        <f>G1195*2</f>
        <v>242663.6</v>
      </c>
      <c r="H1200" s="73">
        <f>H1195*2</f>
        <v>220143.8</v>
      </c>
      <c r="I1200" s="73">
        <f>I1195*2</f>
        <v>242663.6</v>
      </c>
      <c r="J1200" s="73">
        <v>328000</v>
      </c>
      <c r="K1200" s="73">
        <f>K1195*2</f>
        <v>264264.40000000002</v>
      </c>
      <c r="L1200" s="73">
        <v>328000</v>
      </c>
      <c r="M1200" s="73">
        <f>2*M1195</f>
        <v>352965.4</v>
      </c>
      <c r="N1200" s="84">
        <f>2*N1195</f>
        <v>109842</v>
      </c>
      <c r="O1200" s="12"/>
      <c r="Y1200" s="14"/>
      <c r="Z1200" s="104"/>
      <c r="AA1200" s="104"/>
    </row>
    <row r="1201" spans="1:27" s="64" customFormat="1">
      <c r="A1201" s="412"/>
      <c r="B1201" s="66" t="s">
        <v>8</v>
      </c>
      <c r="C1201" s="98">
        <f>SUM(C1198-650)</f>
        <v>4356</v>
      </c>
      <c r="D1201" s="98">
        <f>SUM(D1198-719)</f>
        <v>2481</v>
      </c>
      <c r="E1201" s="98">
        <f>SUM(E1198-727)</f>
        <v>2456</v>
      </c>
      <c r="F1201" s="98">
        <f>SUM(F1198-1142)</f>
        <v>8384</v>
      </c>
      <c r="G1201" s="98">
        <f>SUM(G1198-3111)</f>
        <v>1889</v>
      </c>
      <c r="H1201" s="98">
        <f>SUM(H1198-2122)</f>
        <v>9074</v>
      </c>
      <c r="I1201" s="98">
        <f>SUM(I1198-(2565-2000))</f>
        <v>1435</v>
      </c>
      <c r="J1201" s="98">
        <f>SUM(J1198-1333)</f>
        <v>7861</v>
      </c>
      <c r="K1201" s="98">
        <f>SUM(K1198-823)</f>
        <v>5087</v>
      </c>
      <c r="L1201" s="98">
        <f>SUM(L1198-305)</f>
        <v>2195</v>
      </c>
      <c r="M1201" s="98">
        <f>SUM(M1198-(2994-2614))</f>
        <v>2457</v>
      </c>
      <c r="N1201" s="103">
        <f>SUM(N1198-46)</f>
        <v>784</v>
      </c>
      <c r="O1201" s="12"/>
      <c r="P1201" s="175"/>
      <c r="Q1201" s="67"/>
      <c r="R1201" s="67"/>
      <c r="S1201" s="67"/>
      <c r="T1201" s="67"/>
      <c r="U1201" s="67"/>
      <c r="V1201" s="67"/>
      <c r="W1201" s="67"/>
    </row>
    <row r="1202" spans="1:27">
      <c r="A1202" s="412"/>
      <c r="B1202" s="29" t="s">
        <v>77</v>
      </c>
      <c r="C1202" s="75">
        <f>C1201*33.72</f>
        <v>146884.32</v>
      </c>
      <c r="D1202" s="75">
        <f>D1201*33.72</f>
        <v>83659.319999999992</v>
      </c>
      <c r="E1202" s="75">
        <f>E1201*33.72</f>
        <v>82816.319999999992</v>
      </c>
      <c r="F1202" s="75">
        <f>F1201*33.72</f>
        <v>282708.47999999998</v>
      </c>
      <c r="G1202" s="75">
        <f>G1201*33.72*2</f>
        <v>127394.15999999999</v>
      </c>
      <c r="H1202" s="75">
        <f>H1201*33.72</f>
        <v>305975.27999999997</v>
      </c>
      <c r="I1202" s="75">
        <f>I1201*33.72</f>
        <v>48388.2</v>
      </c>
      <c r="J1202" s="75">
        <f>J1201*33.72</f>
        <v>265072.92</v>
      </c>
      <c r="K1202" s="75">
        <f>K1201*33.72</f>
        <v>171533.63999999998</v>
      </c>
      <c r="L1202" s="75">
        <f>L1201*33.72</f>
        <v>74015.399999999994</v>
      </c>
      <c r="M1202" s="75">
        <f>M1201*33.72*2</f>
        <v>165700.07999999999</v>
      </c>
      <c r="N1202" s="11">
        <f>N1201*33.72</f>
        <v>26436.48</v>
      </c>
      <c r="O1202" s="12"/>
      <c r="P1202" s="175"/>
    </row>
    <row r="1203" spans="1:27" ht="15.75" thickBot="1">
      <c r="A1203" s="412"/>
      <c r="B1203" s="30" t="s">
        <v>10</v>
      </c>
      <c r="C1203" s="71">
        <f>C1201*33.7/C1195</f>
        <v>1.2674948712103944</v>
      </c>
      <c r="D1203" s="71">
        <f t="shared" ref="D1203:N1203" si="998">D1201*33.7/D1195</f>
        <v>0.84418684251179066</v>
      </c>
      <c r="E1203" s="78">
        <f t="shared" si="998"/>
        <v>0.83568032455016439</v>
      </c>
      <c r="F1203" s="78">
        <f t="shared" si="998"/>
        <v>1.5524407437892109</v>
      </c>
      <c r="G1203" s="78">
        <f t="shared" si="998"/>
        <v>0.52467119089966519</v>
      </c>
      <c r="H1203" s="78">
        <f t="shared" si="998"/>
        <v>2.778127751042728</v>
      </c>
      <c r="I1203" s="78">
        <f t="shared" si="998"/>
        <v>0.39857234459556362</v>
      </c>
      <c r="J1203" s="78">
        <f t="shared" si="998"/>
        <v>1.5495082109124769</v>
      </c>
      <c r="K1203" s="78">
        <f t="shared" si="998"/>
        <v>1.2974271222306146</v>
      </c>
      <c r="L1203" s="78">
        <f t="shared" si="998"/>
        <v>1.2193258486233618</v>
      </c>
      <c r="M1203" s="79">
        <f t="shared" si="998"/>
        <v>0.46917289910002513</v>
      </c>
      <c r="N1203" s="26">
        <f t="shared" si="998"/>
        <v>0.48106917208353822</v>
      </c>
      <c r="O1203" s="12"/>
      <c r="P1203" s="175"/>
    </row>
    <row r="1204" spans="1:27" ht="15.75" customHeight="1" thickBot="1">
      <c r="A1204" s="424" t="s">
        <v>83</v>
      </c>
      <c r="B1204" s="425"/>
      <c r="C1204" s="76">
        <f>MIN(2*C1195,C1200)-C1202</f>
        <v>17115.679999999993</v>
      </c>
      <c r="D1204" s="76">
        <f t="shared" ref="D1204:N1204" si="999">MIN(2*D1195,D1200)-D1202</f>
        <v>26220.680000000008</v>
      </c>
      <c r="E1204" s="76">
        <f t="shared" si="999"/>
        <v>27063.680000000008</v>
      </c>
      <c r="F1204" s="76">
        <f t="shared" si="999"/>
        <v>45291.520000000019</v>
      </c>
      <c r="G1204" s="76">
        <f t="shared" si="999"/>
        <v>115269.44000000002</v>
      </c>
      <c r="H1204" s="76">
        <f t="shared" si="999"/>
        <v>-85831.479999999981</v>
      </c>
      <c r="I1204" s="76">
        <f t="shared" si="999"/>
        <v>194275.40000000002</v>
      </c>
      <c r="J1204" s="76">
        <f t="shared" si="999"/>
        <v>62927.080000000016</v>
      </c>
      <c r="K1204" s="76">
        <f t="shared" si="999"/>
        <v>92730.760000000038</v>
      </c>
      <c r="L1204" s="76">
        <f t="shared" si="999"/>
        <v>47316.400000000009</v>
      </c>
      <c r="M1204" s="76">
        <f t="shared" si="999"/>
        <v>187265.32000000004</v>
      </c>
      <c r="N1204" s="22">
        <f t="shared" si="999"/>
        <v>83405.52</v>
      </c>
      <c r="O1204" s="12"/>
      <c r="P1204" s="175"/>
    </row>
    <row r="1205" spans="1:27" ht="15.75" thickBot="1">
      <c r="A1205" s="368">
        <v>41058</v>
      </c>
      <c r="B1205" s="368"/>
      <c r="C1205" s="368"/>
      <c r="N1205" s="15"/>
    </row>
    <row r="1206" spans="1:27">
      <c r="A1206" s="407" t="s">
        <v>1</v>
      </c>
      <c r="B1206" s="420"/>
      <c r="C1206" s="68" t="s">
        <v>12</v>
      </c>
      <c r="D1206" s="68" t="s">
        <v>12</v>
      </c>
      <c r="E1206" s="68" t="s">
        <v>13</v>
      </c>
      <c r="F1206" s="68" t="s">
        <v>13</v>
      </c>
      <c r="G1206" s="68" t="s">
        <v>13</v>
      </c>
      <c r="H1206" s="68" t="s">
        <v>13</v>
      </c>
      <c r="I1206" s="68" t="s">
        <v>13</v>
      </c>
      <c r="J1206" s="68" t="s">
        <v>2</v>
      </c>
      <c r="K1206" s="68" t="s">
        <v>2</v>
      </c>
      <c r="L1206" s="68" t="s">
        <v>2</v>
      </c>
      <c r="M1206" s="68" t="s">
        <v>2</v>
      </c>
      <c r="N1206" s="4" t="s">
        <v>84</v>
      </c>
      <c r="P1206" s="174"/>
      <c r="Q1206" s="175"/>
      <c r="R1206" s="175"/>
      <c r="S1206" s="175"/>
      <c r="T1206" s="175"/>
      <c r="U1206" s="175"/>
      <c r="V1206" s="175"/>
      <c r="W1206" s="175"/>
      <c r="X1206" s="175"/>
      <c r="Y1206" s="174"/>
      <c r="Z1206" s="175"/>
      <c r="AA1206" s="175"/>
    </row>
    <row r="1207" spans="1:27" ht="15.75" thickBot="1">
      <c r="A1207" s="409" t="s">
        <v>0</v>
      </c>
      <c r="B1207" s="414"/>
      <c r="C1207" s="99" t="s">
        <v>102</v>
      </c>
      <c r="D1207" s="99" t="s">
        <v>103</v>
      </c>
      <c r="E1207" s="99" t="s">
        <v>104</v>
      </c>
      <c r="F1207" s="99" t="s">
        <v>105</v>
      </c>
      <c r="G1207" s="99" t="s">
        <v>100</v>
      </c>
      <c r="H1207" s="99" t="s">
        <v>107</v>
      </c>
      <c r="I1207" s="99" t="s">
        <v>106</v>
      </c>
      <c r="J1207" s="99" t="s">
        <v>108</v>
      </c>
      <c r="K1207" s="99" t="s">
        <v>110</v>
      </c>
      <c r="L1207" s="99" t="s">
        <v>101</v>
      </c>
      <c r="M1207" s="99" t="s">
        <v>109</v>
      </c>
      <c r="N1207" s="101" t="s">
        <v>111</v>
      </c>
      <c r="P1207" s="142"/>
      <c r="Y1207" s="142"/>
      <c r="Z1207" s="104"/>
      <c r="AA1207" s="104"/>
    </row>
    <row r="1208" spans="1:27" ht="15" customHeight="1">
      <c r="A1208" s="421" t="s">
        <v>9</v>
      </c>
      <c r="B1208" s="2" t="s">
        <v>4</v>
      </c>
      <c r="C1208" s="96">
        <v>115816.8</v>
      </c>
      <c r="D1208" s="96">
        <v>99041.7</v>
      </c>
      <c r="E1208" s="96">
        <v>99041.7</v>
      </c>
      <c r="F1208" s="96">
        <v>181997.8</v>
      </c>
      <c r="G1208" s="96">
        <v>121331.8</v>
      </c>
      <c r="H1208" s="96">
        <v>110071.9</v>
      </c>
      <c r="I1208" s="96">
        <v>121331.8</v>
      </c>
      <c r="J1208" s="96">
        <v>170967.6</v>
      </c>
      <c r="K1208" s="96">
        <v>132132.20000000001</v>
      </c>
      <c r="L1208" s="96">
        <v>60665.9</v>
      </c>
      <c r="M1208" s="96">
        <v>176482.7</v>
      </c>
      <c r="N1208" s="100">
        <v>54921</v>
      </c>
      <c r="O1208" s="12"/>
      <c r="P1208" s="142"/>
      <c r="Y1208" s="142"/>
      <c r="Z1208" s="104"/>
      <c r="AA1208" s="104"/>
    </row>
    <row r="1209" spans="1:27" s="64" customFormat="1">
      <c r="A1209" s="422"/>
      <c r="B1209" s="63" t="s">
        <v>5</v>
      </c>
      <c r="C1209" s="97">
        <v>91057.8</v>
      </c>
      <c r="D1209" s="97">
        <v>68593.7</v>
      </c>
      <c r="E1209" s="97">
        <v>70163</v>
      </c>
      <c r="F1209" s="97">
        <v>146937.1</v>
      </c>
      <c r="G1209" s="97">
        <v>20490.900000000001</v>
      </c>
      <c r="H1209" s="97">
        <v>37667.4</v>
      </c>
      <c r="I1209" s="97">
        <v>20673.400000000001</v>
      </c>
      <c r="J1209" s="97">
        <v>132517.4</v>
      </c>
      <c r="K1209" s="97">
        <v>44819.199999999997</v>
      </c>
      <c r="L1209" s="97">
        <v>14303.4</v>
      </c>
      <c r="M1209" s="97">
        <v>80167</v>
      </c>
      <c r="N1209" s="102">
        <v>23949.4</v>
      </c>
      <c r="O1209" s="12"/>
      <c r="P1209" s="142"/>
      <c r="Q1209" s="104"/>
      <c r="R1209" s="104"/>
      <c r="S1209" s="104"/>
      <c r="T1209" s="104"/>
      <c r="U1209" s="104"/>
      <c r="V1209" s="104"/>
      <c r="W1209" s="104"/>
      <c r="X1209" s="104"/>
      <c r="Y1209" s="142"/>
      <c r="Z1209" s="104"/>
      <c r="AA1209" s="104"/>
    </row>
    <row r="1210" spans="1:27" ht="15.75" thickBot="1">
      <c r="A1210" s="423"/>
      <c r="B1210" s="3" t="s">
        <v>3</v>
      </c>
      <c r="C1210" s="71">
        <f>C1209/C1208</f>
        <v>0.78622272416436989</v>
      </c>
      <c r="D1210" s="72">
        <f t="shared" ref="D1210:E1210" si="1000">D1209/D1208</f>
        <v>0.69257393602896555</v>
      </c>
      <c r="E1210" s="72">
        <f t="shared" si="1000"/>
        <v>0.70841877714134549</v>
      </c>
      <c r="F1210" s="72">
        <f>F1209/F1208</f>
        <v>0.8073564625506463</v>
      </c>
      <c r="G1210" s="72">
        <f>G1209/G1208</f>
        <v>0.16888317819401016</v>
      </c>
      <c r="H1210" s="72">
        <f t="shared" ref="H1210:N1210" si="1001">H1209/H1208</f>
        <v>0.3422072300014809</v>
      </c>
      <c r="I1210" s="72">
        <f t="shared" si="1001"/>
        <v>0.17038731808149224</v>
      </c>
      <c r="J1210" s="72">
        <f t="shared" si="1001"/>
        <v>0.77510241706615746</v>
      </c>
      <c r="K1210" s="72">
        <f t="shared" si="1001"/>
        <v>0.33919968032016412</v>
      </c>
      <c r="L1210" s="72">
        <f t="shared" si="1001"/>
        <v>0.23577330922313852</v>
      </c>
      <c r="M1210" s="72">
        <f t="shared" si="1001"/>
        <v>0.45424849007863088</v>
      </c>
      <c r="N1210" s="83">
        <f t="shared" si="1001"/>
        <v>0.43606999144225345</v>
      </c>
      <c r="O1210" s="12"/>
      <c r="Y1210" s="14"/>
      <c r="Z1210" s="104"/>
      <c r="AA1210" s="104"/>
    </row>
    <row r="1211" spans="1:27" ht="15" customHeight="1">
      <c r="A1211" s="411" t="s">
        <v>6</v>
      </c>
      <c r="B1211" s="27" t="s">
        <v>7</v>
      </c>
      <c r="C1211" s="68">
        <v>5006</v>
      </c>
      <c r="D1211" s="68">
        <v>3200</v>
      </c>
      <c r="E1211" s="68">
        <v>3183</v>
      </c>
      <c r="F1211" s="68">
        <v>9526</v>
      </c>
      <c r="G1211" s="68">
        <v>5000</v>
      </c>
      <c r="H1211" s="68">
        <f>(11504-(HEX2DEC("3520")-HEX2DEC("33EC")))</f>
        <v>11196</v>
      </c>
      <c r="I1211" s="68">
        <f>(4000-2000)</f>
        <v>2000</v>
      </c>
      <c r="J1211" s="68">
        <v>9194</v>
      </c>
      <c r="K1211" s="68">
        <f>8610-(HEX2DEC("2a3c")-HEX2DEC("1fb0"))</f>
        <v>5910</v>
      </c>
      <c r="L1211" s="68">
        <v>2500</v>
      </c>
      <c r="M1211" s="68">
        <f>5451-2614</f>
        <v>2837</v>
      </c>
      <c r="N1211" s="80">
        <v>830</v>
      </c>
      <c r="O1211" s="12"/>
      <c r="P1211" s="142"/>
      <c r="Y1211" s="142"/>
      <c r="Z1211" s="104"/>
      <c r="AA1211" s="104"/>
    </row>
    <row r="1212" spans="1:27">
      <c r="A1212" s="412"/>
      <c r="B1212" s="28" t="s">
        <v>11</v>
      </c>
      <c r="C1212" s="73">
        <f t="shared" ref="C1212:I1212" si="1002">C1211*33.72</f>
        <v>168802.32</v>
      </c>
      <c r="D1212" s="73">
        <f t="shared" si="1002"/>
        <v>107904</v>
      </c>
      <c r="E1212" s="73">
        <f t="shared" si="1002"/>
        <v>107330.76</v>
      </c>
      <c r="F1212" s="73">
        <f t="shared" si="1002"/>
        <v>321216.71999999997</v>
      </c>
      <c r="G1212" s="73">
        <f t="shared" si="1002"/>
        <v>168600</v>
      </c>
      <c r="H1212" s="73">
        <f t="shared" si="1002"/>
        <v>377529.12</v>
      </c>
      <c r="I1212" s="73">
        <f t="shared" si="1002"/>
        <v>67440</v>
      </c>
      <c r="J1212" s="73">
        <f>J1211*33.72</f>
        <v>310021.68</v>
      </c>
      <c r="K1212" s="73">
        <f t="shared" ref="K1212:N1212" si="1003">K1211*33.72</f>
        <v>199285.19999999998</v>
      </c>
      <c r="L1212" s="73">
        <f t="shared" si="1003"/>
        <v>84300</v>
      </c>
      <c r="M1212" s="73">
        <f t="shared" si="1003"/>
        <v>95663.64</v>
      </c>
      <c r="N1212" s="73">
        <f t="shared" si="1003"/>
        <v>27987.599999999999</v>
      </c>
      <c r="O1212" s="12"/>
      <c r="P1212" s="142"/>
      <c r="Y1212" s="142"/>
      <c r="Z1212" s="104"/>
      <c r="AA1212" s="104"/>
    </row>
    <row r="1213" spans="1:27">
      <c r="A1213" s="412"/>
      <c r="B1213" s="28" t="s">
        <v>79</v>
      </c>
      <c r="C1213" s="73">
        <v>164000</v>
      </c>
      <c r="D1213" s="73">
        <v>109880</v>
      </c>
      <c r="E1213" s="73">
        <v>109880</v>
      </c>
      <c r="F1213" s="73">
        <v>328000</v>
      </c>
      <c r="G1213" s="73">
        <f>G1208*2</f>
        <v>242663.6</v>
      </c>
      <c r="H1213" s="73">
        <f>H1208*2</f>
        <v>220143.8</v>
      </c>
      <c r="I1213" s="73">
        <f>I1208*2</f>
        <v>242663.6</v>
      </c>
      <c r="J1213" s="73">
        <v>328000</v>
      </c>
      <c r="K1213" s="73">
        <f>K1208*2</f>
        <v>264264.40000000002</v>
      </c>
      <c r="L1213" s="73">
        <v>328000</v>
      </c>
      <c r="M1213" s="73">
        <f>2*M1208</f>
        <v>352965.4</v>
      </c>
      <c r="N1213" s="84">
        <f>2*N1208</f>
        <v>109842</v>
      </c>
      <c r="O1213" s="12"/>
      <c r="Y1213" s="14"/>
      <c r="Z1213" s="104"/>
      <c r="AA1213" s="104"/>
    </row>
    <row r="1214" spans="1:27" s="64" customFormat="1">
      <c r="A1214" s="412"/>
      <c r="B1214" s="66" t="s">
        <v>8</v>
      </c>
      <c r="C1214" s="98">
        <f>SUM(C1211-518)</f>
        <v>4488</v>
      </c>
      <c r="D1214" s="98">
        <f>SUM(D1211-719)</f>
        <v>2481</v>
      </c>
      <c r="E1214" s="98">
        <f>SUM(E1211-727)</f>
        <v>2456</v>
      </c>
      <c r="F1214" s="98">
        <f>SUM(F1211-1147)</f>
        <v>8379</v>
      </c>
      <c r="G1214" s="98">
        <f>SUM(G1211-3111)</f>
        <v>1889</v>
      </c>
      <c r="H1214" s="98">
        <f>SUM(H1211-2167)</f>
        <v>9029</v>
      </c>
      <c r="I1214" s="98">
        <f>SUM(I1211-(2565-2000))</f>
        <v>1435</v>
      </c>
      <c r="J1214" s="98">
        <f>SUM(J1211-1338)</f>
        <v>7856</v>
      </c>
      <c r="K1214" s="98">
        <f>SUM(K1211-841)</f>
        <v>5069</v>
      </c>
      <c r="L1214" s="98">
        <f>SUM(L1211-305)</f>
        <v>2195</v>
      </c>
      <c r="M1214" s="98">
        <f>SUM(M1211-(2994-2614))</f>
        <v>2457</v>
      </c>
      <c r="N1214" s="103">
        <f>SUM(N1211-46)</f>
        <v>784</v>
      </c>
      <c r="O1214" s="12"/>
      <c r="P1214" s="175"/>
      <c r="Q1214" s="67"/>
      <c r="R1214" s="67"/>
      <c r="S1214" s="67"/>
      <c r="T1214" s="67"/>
      <c r="U1214" s="67"/>
      <c r="V1214" s="67"/>
      <c r="W1214" s="67"/>
    </row>
    <row r="1215" spans="1:27">
      <c r="A1215" s="412"/>
      <c r="B1215" s="29" t="s">
        <v>77</v>
      </c>
      <c r="C1215" s="75">
        <f>C1214*33.72</f>
        <v>151335.35999999999</v>
      </c>
      <c r="D1215" s="75">
        <f>D1214*33.72</f>
        <v>83659.319999999992</v>
      </c>
      <c r="E1215" s="75">
        <f>E1214*33.72</f>
        <v>82816.319999999992</v>
      </c>
      <c r="F1215" s="75">
        <f>F1214*33.72</f>
        <v>282539.88</v>
      </c>
      <c r="G1215" s="75">
        <f>G1214*33.72*2</f>
        <v>127394.15999999999</v>
      </c>
      <c r="H1215" s="75">
        <f>H1214*33.72</f>
        <v>304457.88</v>
      </c>
      <c r="I1215" s="75">
        <f>I1214*33.72</f>
        <v>48388.2</v>
      </c>
      <c r="J1215" s="75">
        <f>J1214*33.72</f>
        <v>264904.32000000001</v>
      </c>
      <c r="K1215" s="75">
        <f>K1214*33.72</f>
        <v>170926.68</v>
      </c>
      <c r="L1215" s="75">
        <f>L1214*33.72</f>
        <v>74015.399999999994</v>
      </c>
      <c r="M1215" s="75">
        <f>M1214*33.72*2</f>
        <v>165700.07999999999</v>
      </c>
      <c r="N1215" s="11">
        <f>N1214*33.72</f>
        <v>26436.48</v>
      </c>
      <c r="O1215" s="12"/>
      <c r="P1215" s="175"/>
    </row>
    <row r="1216" spans="1:27" ht="15.75" thickBot="1">
      <c r="A1216" s="412"/>
      <c r="B1216" s="30" t="s">
        <v>10</v>
      </c>
      <c r="C1216" s="71">
        <f>C1214*33.7/C1208</f>
        <v>1.3059038067016184</v>
      </c>
      <c r="D1216" s="71">
        <f t="shared" ref="D1216:N1216" si="1004">D1214*33.7/D1208</f>
        <v>0.84418684251179066</v>
      </c>
      <c r="E1216" s="78">
        <f t="shared" si="1004"/>
        <v>0.83568032455016439</v>
      </c>
      <c r="F1216" s="78">
        <f t="shared" si="1004"/>
        <v>1.5515149084219704</v>
      </c>
      <c r="G1216" s="78">
        <f t="shared" si="1004"/>
        <v>0.52467119089966519</v>
      </c>
      <c r="H1216" s="78">
        <f t="shared" si="1004"/>
        <v>2.7643503927887143</v>
      </c>
      <c r="I1216" s="78">
        <f t="shared" si="1004"/>
        <v>0.39857234459556362</v>
      </c>
      <c r="J1216" s="78">
        <f t="shared" si="1004"/>
        <v>1.5485226440565347</v>
      </c>
      <c r="K1216" s="78">
        <f t="shared" si="1004"/>
        <v>1.2928362654977363</v>
      </c>
      <c r="L1216" s="78">
        <f t="shared" si="1004"/>
        <v>1.2193258486233618</v>
      </c>
      <c r="M1216" s="79">
        <f t="shared" si="1004"/>
        <v>0.46917289910002513</v>
      </c>
      <c r="N1216" s="26">
        <f t="shared" si="1004"/>
        <v>0.48106917208353822</v>
      </c>
      <c r="O1216" s="12"/>
      <c r="P1216" s="175"/>
    </row>
    <row r="1217" spans="1:27" ht="15.75" customHeight="1" thickBot="1">
      <c r="A1217" s="424" t="s">
        <v>83</v>
      </c>
      <c r="B1217" s="425"/>
      <c r="C1217" s="76">
        <f>MIN(2*C1208,C1213)-C1215</f>
        <v>12664.640000000014</v>
      </c>
      <c r="D1217" s="76">
        <f t="shared" ref="D1217:N1217" si="1005">MIN(2*D1208,D1213)-D1215</f>
        <v>26220.680000000008</v>
      </c>
      <c r="E1217" s="76">
        <f t="shared" si="1005"/>
        <v>27063.680000000008</v>
      </c>
      <c r="F1217" s="76">
        <f t="shared" si="1005"/>
        <v>45460.119999999995</v>
      </c>
      <c r="G1217" s="76">
        <f t="shared" si="1005"/>
        <v>115269.44000000002</v>
      </c>
      <c r="H1217" s="76">
        <f t="shared" si="1005"/>
        <v>-84314.080000000016</v>
      </c>
      <c r="I1217" s="76">
        <f t="shared" si="1005"/>
        <v>194275.40000000002</v>
      </c>
      <c r="J1217" s="76">
        <f t="shared" si="1005"/>
        <v>63095.679999999993</v>
      </c>
      <c r="K1217" s="76">
        <f t="shared" si="1005"/>
        <v>93337.72000000003</v>
      </c>
      <c r="L1217" s="76">
        <f t="shared" si="1005"/>
        <v>47316.400000000009</v>
      </c>
      <c r="M1217" s="76">
        <f t="shared" si="1005"/>
        <v>187265.32000000004</v>
      </c>
      <c r="N1217" s="22">
        <f t="shared" si="1005"/>
        <v>83405.52</v>
      </c>
      <c r="O1217" s="12"/>
      <c r="P1217" s="175"/>
    </row>
    <row r="1218" spans="1:27" ht="15.75" thickBot="1">
      <c r="A1218" s="368">
        <v>41057</v>
      </c>
      <c r="B1218" s="368"/>
      <c r="C1218" s="368"/>
      <c r="N1218" s="15"/>
    </row>
    <row r="1219" spans="1:27">
      <c r="A1219" s="407" t="s">
        <v>1</v>
      </c>
      <c r="B1219" s="420"/>
      <c r="C1219" s="68" t="s">
        <v>12</v>
      </c>
      <c r="D1219" s="68" t="s">
        <v>12</v>
      </c>
      <c r="E1219" s="68" t="s">
        <v>13</v>
      </c>
      <c r="F1219" s="68" t="s">
        <v>13</v>
      </c>
      <c r="G1219" s="68" t="s">
        <v>13</v>
      </c>
      <c r="H1219" s="68" t="s">
        <v>13</v>
      </c>
      <c r="I1219" s="68" t="s">
        <v>13</v>
      </c>
      <c r="J1219" s="68" t="s">
        <v>2</v>
      </c>
      <c r="K1219" s="68" t="s">
        <v>2</v>
      </c>
      <c r="L1219" s="68" t="s">
        <v>2</v>
      </c>
      <c r="M1219" s="68" t="s">
        <v>2</v>
      </c>
      <c r="N1219" s="4" t="s">
        <v>84</v>
      </c>
      <c r="P1219" s="174"/>
      <c r="Q1219" s="175"/>
      <c r="R1219" s="175"/>
      <c r="S1219" s="175"/>
      <c r="T1219" s="175"/>
      <c r="U1219" s="175"/>
      <c r="V1219" s="175"/>
      <c r="W1219" s="175"/>
      <c r="X1219" s="175"/>
      <c r="Y1219" s="174"/>
      <c r="Z1219" s="175"/>
      <c r="AA1219" s="175"/>
    </row>
    <row r="1220" spans="1:27" ht="15.75" thickBot="1">
      <c r="A1220" s="409" t="s">
        <v>0</v>
      </c>
      <c r="B1220" s="414"/>
      <c r="C1220" s="99" t="s">
        <v>102</v>
      </c>
      <c r="D1220" s="99" t="s">
        <v>103</v>
      </c>
      <c r="E1220" s="99" t="s">
        <v>104</v>
      </c>
      <c r="F1220" s="99" t="s">
        <v>105</v>
      </c>
      <c r="G1220" s="99" t="s">
        <v>100</v>
      </c>
      <c r="H1220" s="99" t="s">
        <v>107</v>
      </c>
      <c r="I1220" s="99" t="s">
        <v>106</v>
      </c>
      <c r="J1220" s="99" t="s">
        <v>108</v>
      </c>
      <c r="K1220" s="99" t="s">
        <v>110</v>
      </c>
      <c r="L1220" s="99" t="s">
        <v>101</v>
      </c>
      <c r="M1220" s="99" t="s">
        <v>109</v>
      </c>
      <c r="N1220" s="101" t="s">
        <v>111</v>
      </c>
      <c r="P1220" s="142"/>
      <c r="Y1220" s="142"/>
      <c r="Z1220" s="104"/>
      <c r="AA1220" s="104"/>
    </row>
    <row r="1221" spans="1:27" ht="15" customHeight="1">
      <c r="A1221" s="421" t="s">
        <v>9</v>
      </c>
      <c r="B1221" s="2" t="s">
        <v>4</v>
      </c>
      <c r="C1221" s="96">
        <v>115816.8</v>
      </c>
      <c r="D1221" s="96">
        <v>99041.7</v>
      </c>
      <c r="E1221" s="96">
        <v>99041.7</v>
      </c>
      <c r="F1221" s="96">
        <v>181997.8</v>
      </c>
      <c r="G1221" s="96">
        <v>121331.8</v>
      </c>
      <c r="H1221" s="96">
        <v>110071.9</v>
      </c>
      <c r="I1221" s="96">
        <v>121331.8</v>
      </c>
      <c r="J1221" s="96">
        <v>170967.6</v>
      </c>
      <c r="K1221" s="96">
        <v>132132.20000000001</v>
      </c>
      <c r="L1221" s="96">
        <v>60665.9</v>
      </c>
      <c r="M1221" s="96">
        <v>176482.7</v>
      </c>
      <c r="N1221" s="100">
        <v>54921</v>
      </c>
      <c r="O1221" s="12"/>
      <c r="P1221" s="142"/>
      <c r="Y1221" s="142"/>
      <c r="Z1221" s="104"/>
      <c r="AA1221" s="104"/>
    </row>
    <row r="1222" spans="1:27" s="64" customFormat="1">
      <c r="A1222" s="422"/>
      <c r="B1222" s="63" t="s">
        <v>5</v>
      </c>
      <c r="C1222" s="97">
        <v>91028</v>
      </c>
      <c r="D1222" s="97">
        <v>68592.800000000003</v>
      </c>
      <c r="E1222" s="97">
        <v>69913</v>
      </c>
      <c r="F1222" s="97">
        <v>146815.1</v>
      </c>
      <c r="G1222" s="97">
        <v>20490.8</v>
      </c>
      <c r="H1222" s="97">
        <v>37521.199999999997</v>
      </c>
      <c r="I1222" s="97">
        <v>20666.099999999999</v>
      </c>
      <c r="J1222" s="97">
        <v>132475.1</v>
      </c>
      <c r="K1222" s="97">
        <v>45020.7</v>
      </c>
      <c r="L1222" s="97">
        <v>14277.3</v>
      </c>
      <c r="M1222" s="97">
        <v>80154</v>
      </c>
      <c r="N1222" s="102">
        <v>23949.4</v>
      </c>
      <c r="O1222" s="12"/>
      <c r="P1222" s="142"/>
      <c r="Q1222" s="104"/>
      <c r="R1222" s="104"/>
      <c r="S1222" s="104"/>
      <c r="T1222" s="104"/>
      <c r="U1222" s="104"/>
      <c r="V1222" s="104"/>
      <c r="W1222" s="104"/>
      <c r="X1222" s="104"/>
      <c r="Y1222" s="142"/>
      <c r="Z1222" s="104"/>
      <c r="AA1222" s="104"/>
    </row>
    <row r="1223" spans="1:27" ht="15.75" thickBot="1">
      <c r="A1223" s="423"/>
      <c r="B1223" s="3" t="s">
        <v>3</v>
      </c>
      <c r="C1223" s="71">
        <f>C1222/C1221</f>
        <v>0.78596542125149371</v>
      </c>
      <c r="D1223" s="72">
        <f t="shared" ref="D1223:E1223" si="1006">D1222/D1221</f>
        <v>0.69256484894746362</v>
      </c>
      <c r="E1223" s="72">
        <f t="shared" si="1006"/>
        <v>0.70589458783522496</v>
      </c>
      <c r="F1223" s="72">
        <f>F1222/F1221</f>
        <v>0.80668612477733259</v>
      </c>
      <c r="G1223" s="72">
        <f>G1222/G1221</f>
        <v>0.16888235400777041</v>
      </c>
      <c r="H1223" s="72">
        <f t="shared" ref="H1223:N1223" si="1007">H1222/H1221</f>
        <v>0.34087900726706816</v>
      </c>
      <c r="I1223" s="72">
        <f t="shared" si="1007"/>
        <v>0.17032715248599295</v>
      </c>
      <c r="J1223" s="72">
        <f t="shared" si="1007"/>
        <v>0.77485500176641653</v>
      </c>
      <c r="K1223" s="72">
        <f t="shared" si="1007"/>
        <v>0.34072466817323854</v>
      </c>
      <c r="L1223" s="72">
        <f t="shared" si="1007"/>
        <v>0.23534308400600665</v>
      </c>
      <c r="M1223" s="72">
        <f t="shared" si="1007"/>
        <v>0.45417482846760615</v>
      </c>
      <c r="N1223" s="83">
        <f t="shared" si="1007"/>
        <v>0.43606999144225345</v>
      </c>
      <c r="O1223" s="12"/>
      <c r="Y1223" s="14"/>
      <c r="Z1223" s="104"/>
      <c r="AA1223" s="104"/>
    </row>
    <row r="1224" spans="1:27" ht="15" customHeight="1">
      <c r="A1224" s="411" t="s">
        <v>6</v>
      </c>
      <c r="B1224" s="27" t="s">
        <v>7</v>
      </c>
      <c r="C1224" s="68">
        <v>5006</v>
      </c>
      <c r="D1224" s="68">
        <v>3200</v>
      </c>
      <c r="E1224" s="68">
        <v>3183</v>
      </c>
      <c r="F1224" s="68">
        <v>9526</v>
      </c>
      <c r="G1224" s="68">
        <v>5000</v>
      </c>
      <c r="H1224" s="68">
        <f>(11504-(HEX2DEC("3520")-HEX2DEC("32c0")))</f>
        <v>10896</v>
      </c>
      <c r="I1224" s="68">
        <f>(4000-2000)</f>
        <v>2000</v>
      </c>
      <c r="J1224" s="68">
        <v>9194</v>
      </c>
      <c r="K1224" s="68">
        <f>8610-(HEX2DEC("2a3c")-HEX2DEC("1fb0"))</f>
        <v>5910</v>
      </c>
      <c r="L1224" s="68">
        <v>2500</v>
      </c>
      <c r="M1224" s="68">
        <f>5451-2614</f>
        <v>2837</v>
      </c>
      <c r="N1224" s="80">
        <v>830</v>
      </c>
      <c r="O1224" s="12"/>
      <c r="P1224" s="142"/>
      <c r="Y1224" s="142"/>
      <c r="Z1224" s="104"/>
      <c r="AA1224" s="104"/>
    </row>
    <row r="1225" spans="1:27">
      <c r="A1225" s="412"/>
      <c r="B1225" s="28" t="s">
        <v>11</v>
      </c>
      <c r="C1225" s="73">
        <f t="shared" ref="C1225:I1225" si="1008">C1224*33.72</f>
        <v>168802.32</v>
      </c>
      <c r="D1225" s="73">
        <f t="shared" si="1008"/>
        <v>107904</v>
      </c>
      <c r="E1225" s="73">
        <f t="shared" si="1008"/>
        <v>107330.76</v>
      </c>
      <c r="F1225" s="73">
        <f t="shared" si="1008"/>
        <v>321216.71999999997</v>
      </c>
      <c r="G1225" s="73">
        <f t="shared" si="1008"/>
        <v>168600</v>
      </c>
      <c r="H1225" s="73">
        <f t="shared" si="1008"/>
        <v>367413.12</v>
      </c>
      <c r="I1225" s="73">
        <f t="shared" si="1008"/>
        <v>67440</v>
      </c>
      <c r="J1225" s="73">
        <f>J1224*33.72</f>
        <v>310021.68</v>
      </c>
      <c r="K1225" s="73">
        <f t="shared" ref="K1225:N1225" si="1009">K1224*33.72</f>
        <v>199285.19999999998</v>
      </c>
      <c r="L1225" s="73">
        <f t="shared" si="1009"/>
        <v>84300</v>
      </c>
      <c r="M1225" s="73">
        <f t="shared" si="1009"/>
        <v>95663.64</v>
      </c>
      <c r="N1225" s="73">
        <f t="shared" si="1009"/>
        <v>27987.599999999999</v>
      </c>
      <c r="O1225" s="12"/>
      <c r="P1225" s="142"/>
      <c r="Y1225" s="142"/>
      <c r="Z1225" s="104"/>
      <c r="AA1225" s="104"/>
    </row>
    <row r="1226" spans="1:27">
      <c r="A1226" s="412"/>
      <c r="B1226" s="28" t="s">
        <v>79</v>
      </c>
      <c r="C1226" s="73">
        <v>164000</v>
      </c>
      <c r="D1226" s="73">
        <v>109880</v>
      </c>
      <c r="E1226" s="73">
        <v>109880</v>
      </c>
      <c r="F1226" s="73">
        <v>328000</v>
      </c>
      <c r="G1226" s="73">
        <f>G1221*2</f>
        <v>242663.6</v>
      </c>
      <c r="H1226" s="73">
        <f>H1221*2</f>
        <v>220143.8</v>
      </c>
      <c r="I1226" s="73">
        <f>I1221*2</f>
        <v>242663.6</v>
      </c>
      <c r="J1226" s="73">
        <v>328000</v>
      </c>
      <c r="K1226" s="73">
        <f>K1221*2</f>
        <v>264264.40000000002</v>
      </c>
      <c r="L1226" s="73">
        <v>328000</v>
      </c>
      <c r="M1226" s="73">
        <f>2*M1221</f>
        <v>352965.4</v>
      </c>
      <c r="N1226" s="84">
        <f>2*N1221</f>
        <v>109842</v>
      </c>
      <c r="O1226" s="12"/>
      <c r="Y1226" s="14"/>
      <c r="Z1226" s="104"/>
      <c r="AA1226" s="104"/>
    </row>
    <row r="1227" spans="1:27" s="64" customFormat="1">
      <c r="A1227" s="412"/>
      <c r="B1227" s="66" t="s">
        <v>8</v>
      </c>
      <c r="C1227" s="98">
        <f>SUM(C1224-522)</f>
        <v>4484</v>
      </c>
      <c r="D1227" s="98">
        <f>SUM(D1224-721)</f>
        <v>2479</v>
      </c>
      <c r="E1227" s="98">
        <f>SUM(E1224-729)</f>
        <v>2454</v>
      </c>
      <c r="F1227" s="98">
        <f>SUM(F1224-1147)</f>
        <v>8379</v>
      </c>
      <c r="G1227" s="98">
        <f>SUM(G1224-3111)</f>
        <v>1889</v>
      </c>
      <c r="H1227" s="98">
        <f>SUM(H1224-1867)</f>
        <v>9029</v>
      </c>
      <c r="I1227" s="98">
        <f>SUM(I1224-(2570-2000))</f>
        <v>1430</v>
      </c>
      <c r="J1227" s="98">
        <f>SUM(J1224-1338)</f>
        <v>7856</v>
      </c>
      <c r="K1227" s="98">
        <f>SUM(K1224-841)</f>
        <v>5069</v>
      </c>
      <c r="L1227" s="98">
        <f>SUM(L1224-305)</f>
        <v>2195</v>
      </c>
      <c r="M1227" s="98">
        <f>SUM(M1224-(2999-2614))</f>
        <v>2452</v>
      </c>
      <c r="N1227" s="103">
        <f>SUM(N1224-46)</f>
        <v>784</v>
      </c>
      <c r="O1227" s="12"/>
      <c r="P1227" s="175"/>
      <c r="Q1227" s="67"/>
      <c r="R1227" s="67"/>
      <c r="S1227" s="67"/>
      <c r="T1227" s="67"/>
      <c r="U1227" s="67"/>
      <c r="V1227" s="67"/>
      <c r="W1227" s="67"/>
    </row>
    <row r="1228" spans="1:27">
      <c r="A1228" s="412"/>
      <c r="B1228" s="29" t="s">
        <v>77</v>
      </c>
      <c r="C1228" s="75">
        <f>C1227*33.72</f>
        <v>151200.47999999998</v>
      </c>
      <c r="D1228" s="75">
        <f>D1227*33.72</f>
        <v>83591.87999999999</v>
      </c>
      <c r="E1228" s="75">
        <f>E1227*33.72</f>
        <v>82748.87999999999</v>
      </c>
      <c r="F1228" s="75">
        <f>F1227*33.72</f>
        <v>282539.88</v>
      </c>
      <c r="G1228" s="75">
        <f>G1227*33.72*2</f>
        <v>127394.15999999999</v>
      </c>
      <c r="H1228" s="75">
        <f>H1227*33.72</f>
        <v>304457.88</v>
      </c>
      <c r="I1228" s="75">
        <f>I1227*33.72</f>
        <v>48219.6</v>
      </c>
      <c r="J1228" s="75">
        <f>J1227*33.72</f>
        <v>264904.32000000001</v>
      </c>
      <c r="K1228" s="75">
        <f>K1227*33.72</f>
        <v>170926.68</v>
      </c>
      <c r="L1228" s="75">
        <f>L1227*33.72</f>
        <v>74015.399999999994</v>
      </c>
      <c r="M1228" s="75">
        <f>M1227*33.72*2</f>
        <v>165362.88</v>
      </c>
      <c r="N1228" s="11">
        <f>N1227*33.72</f>
        <v>26436.48</v>
      </c>
      <c r="O1228" s="12"/>
      <c r="P1228" s="175"/>
    </row>
    <row r="1229" spans="1:27" ht="15.75" thickBot="1">
      <c r="A1229" s="412"/>
      <c r="B1229" s="30" t="s">
        <v>10</v>
      </c>
      <c r="C1229" s="71">
        <f>C1227*33.7/C1221</f>
        <v>1.3047398995655208</v>
      </c>
      <c r="D1229" s="71">
        <f t="shared" ref="D1229:N1229" si="1010">D1227*33.7/D1221</f>
        <v>0.84350632107486045</v>
      </c>
      <c r="E1229" s="78">
        <f t="shared" si="1010"/>
        <v>0.83499980311323418</v>
      </c>
      <c r="F1229" s="78">
        <f t="shared" si="1010"/>
        <v>1.5515149084219704</v>
      </c>
      <c r="G1229" s="78">
        <f t="shared" si="1010"/>
        <v>0.52467119089966519</v>
      </c>
      <c r="H1229" s="78">
        <f t="shared" si="1010"/>
        <v>2.7643503927887143</v>
      </c>
      <c r="I1229" s="78">
        <f t="shared" si="1010"/>
        <v>0.39718359078164178</v>
      </c>
      <c r="J1229" s="78">
        <f t="shared" si="1010"/>
        <v>1.5485226440565347</v>
      </c>
      <c r="K1229" s="78">
        <f t="shared" si="1010"/>
        <v>1.2928362654977363</v>
      </c>
      <c r="L1229" s="78">
        <f t="shared" si="1010"/>
        <v>1.2193258486233618</v>
      </c>
      <c r="M1229" s="79">
        <f t="shared" si="1010"/>
        <v>0.46821813129558876</v>
      </c>
      <c r="N1229" s="26">
        <f t="shared" si="1010"/>
        <v>0.48106917208353822</v>
      </c>
      <c r="O1229" s="12"/>
      <c r="P1229" s="175"/>
    </row>
    <row r="1230" spans="1:27" ht="15.75" customHeight="1" thickBot="1">
      <c r="A1230" s="424" t="s">
        <v>83</v>
      </c>
      <c r="B1230" s="425"/>
      <c r="C1230" s="76">
        <f>MIN(2*C1221,C1226)-C1228</f>
        <v>12799.520000000019</v>
      </c>
      <c r="D1230" s="76">
        <f t="shared" ref="D1230:N1230" si="1011">MIN(2*D1221,D1226)-D1228</f>
        <v>26288.12000000001</v>
      </c>
      <c r="E1230" s="76">
        <f t="shared" si="1011"/>
        <v>27131.12000000001</v>
      </c>
      <c r="F1230" s="76">
        <f t="shared" si="1011"/>
        <v>45460.119999999995</v>
      </c>
      <c r="G1230" s="76">
        <f t="shared" si="1011"/>
        <v>115269.44000000002</v>
      </c>
      <c r="H1230" s="76">
        <f t="shared" si="1011"/>
        <v>-84314.080000000016</v>
      </c>
      <c r="I1230" s="76">
        <f t="shared" si="1011"/>
        <v>194444</v>
      </c>
      <c r="J1230" s="76">
        <f t="shared" si="1011"/>
        <v>63095.679999999993</v>
      </c>
      <c r="K1230" s="76">
        <f t="shared" si="1011"/>
        <v>93337.72000000003</v>
      </c>
      <c r="L1230" s="76">
        <f t="shared" si="1011"/>
        <v>47316.400000000009</v>
      </c>
      <c r="M1230" s="76">
        <f t="shared" si="1011"/>
        <v>187602.52000000002</v>
      </c>
      <c r="N1230" s="22">
        <f t="shared" si="1011"/>
        <v>83405.52</v>
      </c>
      <c r="O1230" s="12"/>
      <c r="P1230" s="175"/>
    </row>
    <row r="1231" spans="1:27" ht="15.75" thickBot="1">
      <c r="A1231" s="368">
        <v>41054</v>
      </c>
      <c r="B1231" s="368"/>
      <c r="C1231" s="368"/>
      <c r="N1231" s="15"/>
    </row>
    <row r="1232" spans="1:27">
      <c r="A1232" s="407" t="s">
        <v>1</v>
      </c>
      <c r="B1232" s="420"/>
      <c r="C1232" s="68" t="s">
        <v>12</v>
      </c>
      <c r="D1232" s="68" t="s">
        <v>12</v>
      </c>
      <c r="E1232" s="68" t="s">
        <v>13</v>
      </c>
      <c r="F1232" s="68" t="s">
        <v>13</v>
      </c>
      <c r="G1232" s="68" t="s">
        <v>13</v>
      </c>
      <c r="H1232" s="68" t="s">
        <v>13</v>
      </c>
      <c r="I1232" s="68" t="s">
        <v>13</v>
      </c>
      <c r="J1232" s="68" t="s">
        <v>2</v>
      </c>
      <c r="K1232" s="68" t="s">
        <v>2</v>
      </c>
      <c r="L1232" s="68" t="s">
        <v>2</v>
      </c>
      <c r="M1232" s="68" t="s">
        <v>2</v>
      </c>
      <c r="N1232" s="4" t="s">
        <v>84</v>
      </c>
      <c r="P1232" s="174"/>
      <c r="Q1232" s="175"/>
      <c r="R1232" s="175"/>
      <c r="S1232" s="175"/>
      <c r="T1232" s="175"/>
      <c r="U1232" s="175"/>
      <c r="V1232" s="175"/>
      <c r="W1232" s="175"/>
      <c r="X1232" s="175"/>
      <c r="Y1232" s="174"/>
      <c r="Z1232" s="175"/>
      <c r="AA1232" s="175"/>
    </row>
    <row r="1233" spans="1:27" ht="15.75" thickBot="1">
      <c r="A1233" s="409" t="s">
        <v>0</v>
      </c>
      <c r="B1233" s="414"/>
      <c r="C1233" s="99" t="s">
        <v>102</v>
      </c>
      <c r="D1233" s="99" t="s">
        <v>103</v>
      </c>
      <c r="E1233" s="99" t="s">
        <v>104</v>
      </c>
      <c r="F1233" s="99" t="s">
        <v>105</v>
      </c>
      <c r="G1233" s="99" t="s">
        <v>100</v>
      </c>
      <c r="H1233" s="99" t="s">
        <v>107</v>
      </c>
      <c r="I1233" s="99" t="s">
        <v>106</v>
      </c>
      <c r="J1233" s="99" t="s">
        <v>108</v>
      </c>
      <c r="K1233" s="99" t="s">
        <v>110</v>
      </c>
      <c r="L1233" s="99" t="s">
        <v>101</v>
      </c>
      <c r="M1233" s="99" t="s">
        <v>109</v>
      </c>
      <c r="N1233" s="101" t="s">
        <v>111</v>
      </c>
      <c r="P1233" s="142"/>
      <c r="Y1233" s="142"/>
      <c r="Z1233" s="104"/>
      <c r="AA1233" s="104"/>
    </row>
    <row r="1234" spans="1:27" ht="15" customHeight="1">
      <c r="A1234" s="421" t="s">
        <v>9</v>
      </c>
      <c r="B1234" s="2" t="s">
        <v>4</v>
      </c>
      <c r="C1234" s="96">
        <v>115816.8</v>
      </c>
      <c r="D1234" s="96">
        <v>99041.7</v>
      </c>
      <c r="E1234" s="96">
        <v>99041.7</v>
      </c>
      <c r="F1234" s="96">
        <v>181997.8</v>
      </c>
      <c r="G1234" s="96">
        <v>121331.8</v>
      </c>
      <c r="H1234" s="96">
        <v>110071.9</v>
      </c>
      <c r="I1234" s="96">
        <v>121331.8</v>
      </c>
      <c r="J1234" s="96">
        <v>170967.6</v>
      </c>
      <c r="K1234" s="96">
        <v>132132.20000000001</v>
      </c>
      <c r="L1234" s="96">
        <v>60665.9</v>
      </c>
      <c r="M1234" s="96">
        <v>176482.7</v>
      </c>
      <c r="N1234" s="100">
        <v>54921</v>
      </c>
      <c r="O1234" s="12"/>
      <c r="P1234" s="142"/>
      <c r="Y1234" s="142"/>
      <c r="Z1234" s="104"/>
      <c r="AA1234" s="104"/>
    </row>
    <row r="1235" spans="1:27" s="64" customFormat="1">
      <c r="A1235" s="422"/>
      <c r="B1235" s="63" t="s">
        <v>5</v>
      </c>
      <c r="C1235" s="97">
        <v>90897.3</v>
      </c>
      <c r="D1235" s="97">
        <v>68567.3</v>
      </c>
      <c r="E1235" s="97">
        <v>69884.399999999994</v>
      </c>
      <c r="F1235" s="97">
        <v>146310.6</v>
      </c>
      <c r="G1235" s="97">
        <v>20490</v>
      </c>
      <c r="H1235" s="97">
        <v>36799.300000000003</v>
      </c>
      <c r="I1235" s="97">
        <v>20653.7</v>
      </c>
      <c r="J1235" s="97">
        <v>131347.79999999999</v>
      </c>
      <c r="K1235" s="97">
        <v>45275.5</v>
      </c>
      <c r="L1235" s="97">
        <v>13928.6</v>
      </c>
      <c r="M1235" s="97">
        <v>80129.8</v>
      </c>
      <c r="N1235" s="102">
        <v>23948.9</v>
      </c>
      <c r="O1235" s="12"/>
      <c r="P1235" s="142"/>
      <c r="Q1235" s="104"/>
      <c r="R1235" s="104"/>
      <c r="S1235" s="104"/>
      <c r="T1235" s="104"/>
      <c r="U1235" s="104"/>
      <c r="V1235" s="104"/>
      <c r="W1235" s="104"/>
      <c r="X1235" s="104"/>
      <c r="Y1235" s="142"/>
      <c r="Z1235" s="104"/>
      <c r="AA1235" s="104"/>
    </row>
    <row r="1236" spans="1:27" ht="15.75" thickBot="1">
      <c r="A1236" s="423"/>
      <c r="B1236" s="3" t="s">
        <v>3</v>
      </c>
      <c r="C1236" s="71">
        <f>C1235/C1234</f>
        <v>0.78483691485173135</v>
      </c>
      <c r="D1236" s="72">
        <f t="shared" ref="D1236:F1236" si="1012">D1235/D1234</f>
        <v>0.69230738163823935</v>
      </c>
      <c r="E1236" s="72">
        <f t="shared" si="1012"/>
        <v>0.70560582057860477</v>
      </c>
      <c r="F1236" s="72">
        <f t="shared" si="1012"/>
        <v>0.80391411324752282</v>
      </c>
      <c r="G1236" s="72">
        <f>G1235/G1234</f>
        <v>0.16887576051785269</v>
      </c>
      <c r="H1236" s="72">
        <f t="shared" ref="H1236:N1236" si="1013">H1235/H1234</f>
        <v>0.33432056682949968</v>
      </c>
      <c r="I1236" s="72">
        <f t="shared" si="1013"/>
        <v>0.17022495339226815</v>
      </c>
      <c r="J1236" s="72">
        <f t="shared" si="1013"/>
        <v>0.76826135478301139</v>
      </c>
      <c r="K1236" s="72">
        <f t="shared" si="1013"/>
        <v>0.34265303991002949</v>
      </c>
      <c r="L1236" s="72">
        <f t="shared" si="1013"/>
        <v>0.22959520917022577</v>
      </c>
      <c r="M1236" s="72">
        <f t="shared" si="1013"/>
        <v>0.45403770454554465</v>
      </c>
      <c r="N1236" s="83">
        <f t="shared" si="1013"/>
        <v>0.43606088745652849</v>
      </c>
      <c r="O1236" s="12"/>
      <c r="Y1236" s="14"/>
      <c r="Z1236" s="104"/>
      <c r="AA1236" s="104"/>
    </row>
    <row r="1237" spans="1:27" ht="15" customHeight="1">
      <c r="A1237" s="411" t="s">
        <v>6</v>
      </c>
      <c r="B1237" s="27" t="s">
        <v>7</v>
      </c>
      <c r="C1237" s="68">
        <v>5006</v>
      </c>
      <c r="D1237" s="68">
        <v>3200</v>
      </c>
      <c r="E1237" s="68">
        <v>3183</v>
      </c>
      <c r="F1237" s="68">
        <v>9526</v>
      </c>
      <c r="G1237" s="68">
        <v>5000</v>
      </c>
      <c r="H1237" s="68">
        <f>(11504-(HEX2DEC("3520")-HEX2DEC("32c0")))</f>
        <v>10896</v>
      </c>
      <c r="I1237" s="68">
        <f>(4000-2000)</f>
        <v>2000</v>
      </c>
      <c r="J1237" s="68">
        <v>9194</v>
      </c>
      <c r="K1237" s="68">
        <f>8610-(HEX2DEC("2a3c")-HEX2DEC("1fb0"))</f>
        <v>5910</v>
      </c>
      <c r="L1237" s="68">
        <v>2500</v>
      </c>
      <c r="M1237" s="68">
        <f>5451-2614</f>
        <v>2837</v>
      </c>
      <c r="N1237" s="80">
        <v>830</v>
      </c>
      <c r="O1237" s="12"/>
      <c r="P1237" s="142"/>
      <c r="Y1237" s="142"/>
      <c r="Z1237" s="104"/>
      <c r="AA1237" s="104"/>
    </row>
    <row r="1238" spans="1:27">
      <c r="A1238" s="412"/>
      <c r="B1238" s="28" t="s">
        <v>11</v>
      </c>
      <c r="C1238" s="73">
        <f t="shared" ref="C1238:I1238" si="1014">C1237*33.72</f>
        <v>168802.32</v>
      </c>
      <c r="D1238" s="73">
        <f t="shared" si="1014"/>
        <v>107904</v>
      </c>
      <c r="E1238" s="73">
        <f t="shared" si="1014"/>
        <v>107330.76</v>
      </c>
      <c r="F1238" s="73">
        <f t="shared" si="1014"/>
        <v>321216.71999999997</v>
      </c>
      <c r="G1238" s="73">
        <f t="shared" si="1014"/>
        <v>168600</v>
      </c>
      <c r="H1238" s="73">
        <f t="shared" si="1014"/>
        <v>367413.12</v>
      </c>
      <c r="I1238" s="73">
        <f t="shared" si="1014"/>
        <v>67440</v>
      </c>
      <c r="J1238" s="73">
        <f>J1237*33.72</f>
        <v>310021.68</v>
      </c>
      <c r="K1238" s="73">
        <f t="shared" ref="K1238:N1238" si="1015">K1237*33.72</f>
        <v>199285.19999999998</v>
      </c>
      <c r="L1238" s="73">
        <f t="shared" si="1015"/>
        <v>84300</v>
      </c>
      <c r="M1238" s="73">
        <f t="shared" si="1015"/>
        <v>95663.64</v>
      </c>
      <c r="N1238" s="73">
        <f t="shared" si="1015"/>
        <v>27987.599999999999</v>
      </c>
      <c r="O1238" s="12"/>
      <c r="P1238" s="142"/>
      <c r="Y1238" s="142"/>
      <c r="Z1238" s="104"/>
      <c r="AA1238" s="104"/>
    </row>
    <row r="1239" spans="1:27">
      <c r="A1239" s="412"/>
      <c r="B1239" s="28" t="s">
        <v>79</v>
      </c>
      <c r="C1239" s="73">
        <v>164000</v>
      </c>
      <c r="D1239" s="73">
        <v>109880</v>
      </c>
      <c r="E1239" s="73">
        <v>109880</v>
      </c>
      <c r="F1239" s="73">
        <v>328000</v>
      </c>
      <c r="G1239" s="73">
        <f>G1234*2</f>
        <v>242663.6</v>
      </c>
      <c r="H1239" s="73">
        <f>H1234*2</f>
        <v>220143.8</v>
      </c>
      <c r="I1239" s="73">
        <f>I1234*2</f>
        <v>242663.6</v>
      </c>
      <c r="J1239" s="73">
        <v>328000</v>
      </c>
      <c r="K1239" s="73">
        <f>K1234*2</f>
        <v>264264.40000000002</v>
      </c>
      <c r="L1239" s="73">
        <v>328000</v>
      </c>
      <c r="M1239" s="73">
        <f>2*M1234</f>
        <v>352965.4</v>
      </c>
      <c r="N1239" s="84">
        <f>2*N1234</f>
        <v>109842</v>
      </c>
      <c r="O1239" s="12"/>
      <c r="Y1239" s="14"/>
      <c r="Z1239" s="104"/>
      <c r="AA1239" s="104"/>
    </row>
    <row r="1240" spans="1:27" s="64" customFormat="1">
      <c r="A1240" s="412"/>
      <c r="B1240" s="66" t="s">
        <v>8</v>
      </c>
      <c r="C1240" s="98">
        <f>SUM(C1237-555)</f>
        <v>4451</v>
      </c>
      <c r="D1240" s="98">
        <f>SUM(D1237-721)</f>
        <v>2479</v>
      </c>
      <c r="E1240" s="98">
        <f>SUM(E1237-729)</f>
        <v>2454</v>
      </c>
      <c r="F1240" s="98">
        <f>SUM(F1237-1204)</f>
        <v>8322</v>
      </c>
      <c r="G1240" s="98">
        <f>SUM(G1237-3111)</f>
        <v>1889</v>
      </c>
      <c r="H1240" s="98">
        <f>SUM(H1237-1870)</f>
        <v>9026</v>
      </c>
      <c r="I1240" s="98">
        <f>SUM(I1237-(2570-2000))</f>
        <v>1430</v>
      </c>
      <c r="J1240" s="98">
        <f>SUM(J1237-1338)</f>
        <v>7856</v>
      </c>
      <c r="K1240" s="98">
        <f>SUM(K1237-832)</f>
        <v>5078</v>
      </c>
      <c r="L1240" s="98">
        <f>SUM(L1237-305)</f>
        <v>2195</v>
      </c>
      <c r="M1240" s="98">
        <f>SUM(M1237-(2999-2614))</f>
        <v>2452</v>
      </c>
      <c r="N1240" s="103">
        <f>SUM(N1237-46)</f>
        <v>784</v>
      </c>
      <c r="O1240" s="12"/>
      <c r="P1240" s="175"/>
      <c r="Q1240" s="67"/>
      <c r="R1240" s="67"/>
      <c r="S1240" s="67"/>
      <c r="T1240" s="67"/>
      <c r="U1240" s="67"/>
      <c r="V1240" s="67"/>
      <c r="W1240" s="67"/>
    </row>
    <row r="1241" spans="1:27">
      <c r="A1241" s="412"/>
      <c r="B1241" s="29" t="s">
        <v>77</v>
      </c>
      <c r="C1241" s="75">
        <f>C1240*33.72</f>
        <v>150087.72</v>
      </c>
      <c r="D1241" s="75">
        <f>D1240*33.72</f>
        <v>83591.87999999999</v>
      </c>
      <c r="E1241" s="75">
        <f>E1240*33.72</f>
        <v>82748.87999999999</v>
      </c>
      <c r="F1241" s="75">
        <f>F1240*33.72</f>
        <v>280617.83999999997</v>
      </c>
      <c r="G1241" s="75">
        <f>G1240*33.72*2</f>
        <v>127394.15999999999</v>
      </c>
      <c r="H1241" s="75">
        <f>H1240*33.72</f>
        <v>304356.71999999997</v>
      </c>
      <c r="I1241" s="75">
        <f>I1240*33.72</f>
        <v>48219.6</v>
      </c>
      <c r="J1241" s="75">
        <f>J1240*33.72</f>
        <v>264904.32000000001</v>
      </c>
      <c r="K1241" s="75">
        <f>K1240*33.72</f>
        <v>171230.16</v>
      </c>
      <c r="L1241" s="75">
        <f>L1240*33.72</f>
        <v>74015.399999999994</v>
      </c>
      <c r="M1241" s="75">
        <f>M1240*33.72*2</f>
        <v>165362.88</v>
      </c>
      <c r="N1241" s="11">
        <f>N1240*33.72</f>
        <v>26436.48</v>
      </c>
      <c r="O1241" s="12"/>
      <c r="P1241" s="175"/>
    </row>
    <row r="1242" spans="1:27" ht="15.75" thickBot="1">
      <c r="A1242" s="412"/>
      <c r="B1242" s="30" t="s">
        <v>10</v>
      </c>
      <c r="C1242" s="71">
        <f>C1240*33.7/C1234</f>
        <v>1.2951376656927147</v>
      </c>
      <c r="D1242" s="71">
        <f t="shared" ref="D1242:N1242" si="1016">D1240*33.7/D1234</f>
        <v>0.84350632107486045</v>
      </c>
      <c r="E1242" s="78">
        <f t="shared" si="1016"/>
        <v>0.83499980311323418</v>
      </c>
      <c r="F1242" s="78">
        <f t="shared" si="1016"/>
        <v>1.5409603852354261</v>
      </c>
      <c r="G1242" s="78">
        <f t="shared" si="1016"/>
        <v>0.52467119089966519</v>
      </c>
      <c r="H1242" s="78">
        <f t="shared" si="1016"/>
        <v>2.7634319022384464</v>
      </c>
      <c r="I1242" s="78">
        <f t="shared" si="1016"/>
        <v>0.39718359078164178</v>
      </c>
      <c r="J1242" s="78">
        <f t="shared" si="1016"/>
        <v>1.5485226440565347</v>
      </c>
      <c r="K1242" s="78">
        <f t="shared" si="1016"/>
        <v>1.2951316938641753</v>
      </c>
      <c r="L1242" s="78">
        <f t="shared" si="1016"/>
        <v>1.2193258486233618</v>
      </c>
      <c r="M1242" s="79">
        <f t="shared" si="1016"/>
        <v>0.46821813129558876</v>
      </c>
      <c r="N1242" s="26">
        <f t="shared" si="1016"/>
        <v>0.48106917208353822</v>
      </c>
      <c r="O1242" s="12"/>
      <c r="P1242" s="175"/>
    </row>
    <row r="1243" spans="1:27" ht="15.75" customHeight="1" thickBot="1">
      <c r="A1243" s="424" t="s">
        <v>83</v>
      </c>
      <c r="B1243" s="425"/>
      <c r="C1243" s="76">
        <f>MIN(2*C1234,C1239)-C1241</f>
        <v>13912.279999999999</v>
      </c>
      <c r="D1243" s="76">
        <f t="shared" ref="D1243:N1243" si="1017">MIN(2*D1234,D1239)-D1241</f>
        <v>26288.12000000001</v>
      </c>
      <c r="E1243" s="76">
        <f t="shared" si="1017"/>
        <v>27131.12000000001</v>
      </c>
      <c r="F1243" s="76">
        <f t="shared" si="1017"/>
        <v>47382.160000000033</v>
      </c>
      <c r="G1243" s="76">
        <f t="shared" si="1017"/>
        <v>115269.44000000002</v>
      </c>
      <c r="H1243" s="76">
        <f t="shared" si="1017"/>
        <v>-84212.919999999984</v>
      </c>
      <c r="I1243" s="76">
        <f t="shared" si="1017"/>
        <v>194444</v>
      </c>
      <c r="J1243" s="76">
        <f t="shared" si="1017"/>
        <v>63095.679999999993</v>
      </c>
      <c r="K1243" s="76">
        <f t="shared" si="1017"/>
        <v>93034.24000000002</v>
      </c>
      <c r="L1243" s="76">
        <f t="shared" si="1017"/>
        <v>47316.400000000009</v>
      </c>
      <c r="M1243" s="76">
        <f t="shared" si="1017"/>
        <v>187602.52000000002</v>
      </c>
      <c r="N1243" s="22">
        <f t="shared" si="1017"/>
        <v>83405.52</v>
      </c>
      <c r="O1243" s="12"/>
      <c r="P1243" s="175"/>
    </row>
    <row r="1244" spans="1:27" ht="15.75" thickBot="1">
      <c r="A1244" s="368">
        <v>41053</v>
      </c>
      <c r="B1244" s="368"/>
      <c r="C1244" s="368"/>
      <c r="N1244" s="15"/>
    </row>
    <row r="1245" spans="1:27">
      <c r="A1245" s="407" t="s">
        <v>1</v>
      </c>
      <c r="B1245" s="420"/>
      <c r="C1245" s="68" t="s">
        <v>12</v>
      </c>
      <c r="D1245" s="68" t="s">
        <v>12</v>
      </c>
      <c r="E1245" s="68" t="s">
        <v>13</v>
      </c>
      <c r="F1245" s="68" t="s">
        <v>13</v>
      </c>
      <c r="G1245" s="68" t="s">
        <v>13</v>
      </c>
      <c r="H1245" s="68" t="s">
        <v>13</v>
      </c>
      <c r="I1245" s="68" t="s">
        <v>13</v>
      </c>
      <c r="J1245" s="68" t="s">
        <v>2</v>
      </c>
      <c r="K1245" s="68" t="s">
        <v>2</v>
      </c>
      <c r="L1245" s="68" t="s">
        <v>2</v>
      </c>
      <c r="M1245" s="68" t="s">
        <v>2</v>
      </c>
      <c r="N1245" s="4" t="s">
        <v>84</v>
      </c>
      <c r="P1245" s="174"/>
      <c r="Q1245" s="175"/>
      <c r="R1245" s="175"/>
      <c r="S1245" s="175"/>
      <c r="T1245" s="175"/>
      <c r="U1245" s="175"/>
      <c r="V1245" s="175"/>
      <c r="W1245" s="175"/>
      <c r="X1245" s="175"/>
      <c r="Y1245" s="174"/>
      <c r="Z1245" s="175"/>
      <c r="AA1245" s="175"/>
    </row>
    <row r="1246" spans="1:27" ht="15.75" thickBot="1">
      <c r="A1246" s="409" t="s">
        <v>0</v>
      </c>
      <c r="B1246" s="414"/>
      <c r="C1246" s="99" t="s">
        <v>102</v>
      </c>
      <c r="D1246" s="99" t="s">
        <v>103</v>
      </c>
      <c r="E1246" s="99" t="s">
        <v>104</v>
      </c>
      <c r="F1246" s="99" t="s">
        <v>105</v>
      </c>
      <c r="G1246" s="99" t="s">
        <v>100</v>
      </c>
      <c r="H1246" s="99" t="s">
        <v>107</v>
      </c>
      <c r="I1246" s="99" t="s">
        <v>106</v>
      </c>
      <c r="J1246" s="99" t="s">
        <v>108</v>
      </c>
      <c r="K1246" s="99" t="s">
        <v>110</v>
      </c>
      <c r="L1246" s="99" t="s">
        <v>101</v>
      </c>
      <c r="M1246" s="99" t="s">
        <v>109</v>
      </c>
      <c r="N1246" s="101" t="s">
        <v>111</v>
      </c>
      <c r="P1246" s="142"/>
      <c r="Y1246" s="142"/>
      <c r="Z1246" s="104"/>
      <c r="AA1246" s="104"/>
    </row>
    <row r="1247" spans="1:27" ht="15" customHeight="1">
      <c r="A1247" s="421" t="s">
        <v>9</v>
      </c>
      <c r="B1247" s="2" t="s">
        <v>4</v>
      </c>
      <c r="C1247" s="96">
        <v>115816.8</v>
      </c>
      <c r="D1247" s="96">
        <v>99041.7</v>
      </c>
      <c r="E1247" s="96">
        <v>99041.7</v>
      </c>
      <c r="F1247" s="96">
        <v>181997.8</v>
      </c>
      <c r="G1247" s="96">
        <v>121331.8</v>
      </c>
      <c r="H1247" s="96">
        <v>110071.9</v>
      </c>
      <c r="I1247" s="96">
        <v>121331.8</v>
      </c>
      <c r="J1247" s="96">
        <v>170967.6</v>
      </c>
      <c r="K1247" s="96">
        <v>132132.20000000001</v>
      </c>
      <c r="L1247" s="96">
        <v>60665.9</v>
      </c>
      <c r="M1247" s="96">
        <v>176482.7</v>
      </c>
      <c r="N1247" s="100">
        <v>54921</v>
      </c>
      <c r="O1247" s="12"/>
      <c r="P1247" s="142"/>
      <c r="Y1247" s="142"/>
      <c r="Z1247" s="104"/>
      <c r="AA1247" s="104"/>
    </row>
    <row r="1248" spans="1:27" s="64" customFormat="1">
      <c r="A1248" s="422"/>
      <c r="B1248" s="63" t="s">
        <v>5</v>
      </c>
      <c r="C1248" s="97">
        <v>90847.6</v>
      </c>
      <c r="D1248" s="97">
        <v>68538.899999999994</v>
      </c>
      <c r="E1248" s="97">
        <v>69856</v>
      </c>
      <c r="F1248" s="97">
        <v>146204.5</v>
      </c>
      <c r="G1248" s="97">
        <v>20486.2</v>
      </c>
      <c r="H1248" s="97">
        <v>36481.9</v>
      </c>
      <c r="I1248" s="97">
        <v>20648.8</v>
      </c>
      <c r="J1248" s="97">
        <v>131218.9</v>
      </c>
      <c r="K1248" s="97">
        <v>45240.2</v>
      </c>
      <c r="L1248" s="97">
        <v>13926.6</v>
      </c>
      <c r="M1248" s="97">
        <v>80120.800000000003</v>
      </c>
      <c r="N1248" s="102">
        <v>23948.9</v>
      </c>
      <c r="O1248" s="12"/>
      <c r="P1248" s="142"/>
      <c r="Q1248" s="104"/>
      <c r="R1248" s="104"/>
      <c r="S1248" s="104"/>
      <c r="T1248" s="104"/>
      <c r="U1248" s="104"/>
      <c r="V1248" s="104"/>
      <c r="W1248" s="104"/>
      <c r="X1248" s="104"/>
      <c r="Y1248" s="142"/>
      <c r="Z1248" s="104"/>
      <c r="AA1248" s="104"/>
    </row>
    <row r="1249" spans="1:27" ht="15.75" thickBot="1">
      <c r="A1249" s="423"/>
      <c r="B1249" s="3" t="s">
        <v>3</v>
      </c>
      <c r="C1249" s="71">
        <f>C1248/C1247</f>
        <v>0.78440778885273987</v>
      </c>
      <c r="D1249" s="72">
        <f t="shared" ref="D1249:F1249" si="1018">D1248/D1247</f>
        <v>0.69202063373306388</v>
      </c>
      <c r="E1249" s="72">
        <f t="shared" si="1018"/>
        <v>0.70531907267342953</v>
      </c>
      <c r="F1249" s="72">
        <f t="shared" si="1018"/>
        <v>0.80333113916761634</v>
      </c>
      <c r="G1249" s="72">
        <f>G1248/G1247</f>
        <v>0.16884444144074348</v>
      </c>
      <c r="H1249" s="72">
        <f t="shared" ref="H1249:N1249" si="1019">H1248/H1247</f>
        <v>0.3314369970900839</v>
      </c>
      <c r="I1249" s="72">
        <f t="shared" si="1019"/>
        <v>0.17018456826652203</v>
      </c>
      <c r="J1249" s="72">
        <f t="shared" si="1019"/>
        <v>0.76750741076086926</v>
      </c>
      <c r="K1249" s="72">
        <f t="shared" si="1019"/>
        <v>0.34238588322906904</v>
      </c>
      <c r="L1249" s="72">
        <f t="shared" si="1019"/>
        <v>0.22956224172063713</v>
      </c>
      <c r="M1249" s="72">
        <f t="shared" si="1019"/>
        <v>0.45398670804560448</v>
      </c>
      <c r="N1249" s="83">
        <f t="shared" si="1019"/>
        <v>0.43606088745652849</v>
      </c>
      <c r="O1249" s="12"/>
      <c r="Y1249" s="14"/>
      <c r="Z1249" s="104"/>
      <c r="AA1249" s="104"/>
    </row>
    <row r="1250" spans="1:27" ht="15" customHeight="1">
      <c r="A1250" s="411" t="s">
        <v>6</v>
      </c>
      <c r="B1250" s="27" t="s">
        <v>7</v>
      </c>
      <c r="C1250" s="68">
        <v>5006</v>
      </c>
      <c r="D1250" s="68">
        <v>3200</v>
      </c>
      <c r="E1250" s="68">
        <v>3183</v>
      </c>
      <c r="F1250" s="68">
        <v>9526</v>
      </c>
      <c r="G1250" s="68">
        <v>5000</v>
      </c>
      <c r="H1250" s="68">
        <f>(11504-(HEX2DEC("3520")-HEX2DEC("32c0")))</f>
        <v>10896</v>
      </c>
      <c r="I1250" s="68">
        <f>(4000-2000)</f>
        <v>2000</v>
      </c>
      <c r="J1250" s="68">
        <v>9194</v>
      </c>
      <c r="K1250" s="68">
        <f>8610-(HEX2DEC("2a3c")-HEX2DEC("1fb0"))</f>
        <v>5910</v>
      </c>
      <c r="L1250" s="68">
        <v>2500</v>
      </c>
      <c r="M1250" s="68">
        <f>5451-2614</f>
        <v>2837</v>
      </c>
      <c r="N1250" s="80">
        <v>830</v>
      </c>
      <c r="O1250" s="12"/>
      <c r="P1250" s="142"/>
      <c r="Y1250" s="142"/>
      <c r="Z1250" s="104"/>
      <c r="AA1250" s="104"/>
    </row>
    <row r="1251" spans="1:27">
      <c r="A1251" s="412"/>
      <c r="B1251" s="28" t="s">
        <v>11</v>
      </c>
      <c r="C1251" s="73">
        <f t="shared" ref="C1251:I1251" si="1020">C1250*33.72</f>
        <v>168802.32</v>
      </c>
      <c r="D1251" s="73">
        <f t="shared" si="1020"/>
        <v>107904</v>
      </c>
      <c r="E1251" s="73">
        <f t="shared" si="1020"/>
        <v>107330.76</v>
      </c>
      <c r="F1251" s="73">
        <f t="shared" si="1020"/>
        <v>321216.71999999997</v>
      </c>
      <c r="G1251" s="73">
        <f t="shared" si="1020"/>
        <v>168600</v>
      </c>
      <c r="H1251" s="73">
        <f t="shared" si="1020"/>
        <v>367413.12</v>
      </c>
      <c r="I1251" s="73">
        <f t="shared" si="1020"/>
        <v>67440</v>
      </c>
      <c r="J1251" s="73">
        <f>J1250*33.72</f>
        <v>310021.68</v>
      </c>
      <c r="K1251" s="73">
        <f t="shared" ref="K1251:N1251" si="1021">K1250*33.72</f>
        <v>199285.19999999998</v>
      </c>
      <c r="L1251" s="73">
        <f t="shared" si="1021"/>
        <v>84300</v>
      </c>
      <c r="M1251" s="73">
        <f t="shared" si="1021"/>
        <v>95663.64</v>
      </c>
      <c r="N1251" s="73">
        <f t="shared" si="1021"/>
        <v>27987.599999999999</v>
      </c>
      <c r="O1251" s="12"/>
      <c r="P1251" s="142"/>
      <c r="Y1251" s="142"/>
      <c r="Z1251" s="104"/>
      <c r="AA1251" s="104"/>
    </row>
    <row r="1252" spans="1:27">
      <c r="A1252" s="412"/>
      <c r="B1252" s="28" t="s">
        <v>79</v>
      </c>
      <c r="C1252" s="73">
        <v>164000</v>
      </c>
      <c r="D1252" s="73">
        <v>109880</v>
      </c>
      <c r="E1252" s="73">
        <v>109880</v>
      </c>
      <c r="F1252" s="73">
        <v>328000</v>
      </c>
      <c r="G1252" s="73">
        <f>G1247*2</f>
        <v>242663.6</v>
      </c>
      <c r="H1252" s="73">
        <f>H1247*2</f>
        <v>220143.8</v>
      </c>
      <c r="I1252" s="73">
        <f>I1247*2</f>
        <v>242663.6</v>
      </c>
      <c r="J1252" s="73">
        <v>328000</v>
      </c>
      <c r="K1252" s="73">
        <f>K1247*2</f>
        <v>264264.40000000002</v>
      </c>
      <c r="L1252" s="73">
        <v>328000</v>
      </c>
      <c r="M1252" s="73">
        <f>2*M1247</f>
        <v>352965.4</v>
      </c>
      <c r="N1252" s="84">
        <f>2*N1247</f>
        <v>109842</v>
      </c>
      <c r="O1252" s="12"/>
      <c r="Y1252" s="14"/>
      <c r="Z1252" s="104"/>
      <c r="AA1252" s="104"/>
    </row>
    <row r="1253" spans="1:27" s="64" customFormat="1">
      <c r="A1253" s="412"/>
      <c r="B1253" s="66" t="s">
        <v>8</v>
      </c>
      <c r="C1253" s="98">
        <f>SUM(C1250-555)</f>
        <v>4451</v>
      </c>
      <c r="D1253" s="98">
        <f>SUM(D1250-721)</f>
        <v>2479</v>
      </c>
      <c r="E1253" s="98">
        <f>SUM(E1250-729)</f>
        <v>2454</v>
      </c>
      <c r="F1253" s="98">
        <f>SUM(F1250-1204)</f>
        <v>8322</v>
      </c>
      <c r="G1253" s="98">
        <f>SUM(G1250-3111)</f>
        <v>1889</v>
      </c>
      <c r="H1253" s="98">
        <f>SUM(H1250-1873)</f>
        <v>9023</v>
      </c>
      <c r="I1253" s="98">
        <f>SUM(I1250-(2581-2000))</f>
        <v>1419</v>
      </c>
      <c r="J1253" s="98">
        <f>SUM(J1250-1338)</f>
        <v>7856</v>
      </c>
      <c r="K1253" s="98">
        <f>SUM(K1250-832)</f>
        <v>5078</v>
      </c>
      <c r="L1253" s="98">
        <f>SUM(L1250-305)</f>
        <v>2195</v>
      </c>
      <c r="M1253" s="98">
        <f>SUM(M1250-(2999-2614))</f>
        <v>2452</v>
      </c>
      <c r="N1253" s="103">
        <f>SUM(N1250-46)</f>
        <v>784</v>
      </c>
      <c r="O1253" s="12"/>
      <c r="P1253" s="175"/>
      <c r="Q1253" s="67"/>
      <c r="R1253" s="67"/>
      <c r="S1253" s="67"/>
      <c r="T1253" s="67"/>
      <c r="U1253" s="67"/>
      <c r="V1253" s="67"/>
      <c r="W1253" s="67"/>
    </row>
    <row r="1254" spans="1:27">
      <c r="A1254" s="412"/>
      <c r="B1254" s="29" t="s">
        <v>77</v>
      </c>
      <c r="C1254" s="75">
        <f>C1253*33.72</f>
        <v>150087.72</v>
      </c>
      <c r="D1254" s="75">
        <f>D1253*33.72</f>
        <v>83591.87999999999</v>
      </c>
      <c r="E1254" s="75">
        <f>E1253*33.72</f>
        <v>82748.87999999999</v>
      </c>
      <c r="F1254" s="75">
        <f>F1253*33.72</f>
        <v>280617.83999999997</v>
      </c>
      <c r="G1254" s="75">
        <f>G1253*33.72*2</f>
        <v>127394.15999999999</v>
      </c>
      <c r="H1254" s="75">
        <f>H1253*33.72</f>
        <v>304255.56</v>
      </c>
      <c r="I1254" s="75">
        <f>I1253*33.72</f>
        <v>47848.68</v>
      </c>
      <c r="J1254" s="75">
        <f>J1253*33.72</f>
        <v>264904.32000000001</v>
      </c>
      <c r="K1254" s="75">
        <f>K1253*33.72</f>
        <v>171230.16</v>
      </c>
      <c r="L1254" s="75">
        <f>L1253*33.72</f>
        <v>74015.399999999994</v>
      </c>
      <c r="M1254" s="75">
        <f>M1253*33.72*2</f>
        <v>165362.88</v>
      </c>
      <c r="N1254" s="11">
        <f>N1253*33.72</f>
        <v>26436.48</v>
      </c>
      <c r="O1254" s="12"/>
      <c r="P1254" s="175"/>
    </row>
    <row r="1255" spans="1:27" ht="15.75" thickBot="1">
      <c r="A1255" s="412"/>
      <c r="B1255" s="30" t="s">
        <v>10</v>
      </c>
      <c r="C1255" s="71">
        <f>C1253*33.7/C1247</f>
        <v>1.2951376656927147</v>
      </c>
      <c r="D1255" s="71">
        <f t="shared" ref="D1255:N1255" si="1022">D1253*33.7/D1247</f>
        <v>0.84350632107486045</v>
      </c>
      <c r="E1255" s="78">
        <f t="shared" si="1022"/>
        <v>0.83499980311323418</v>
      </c>
      <c r="F1255" s="78">
        <f t="shared" si="1022"/>
        <v>1.5409603852354261</v>
      </c>
      <c r="G1255" s="78">
        <f t="shared" si="1022"/>
        <v>0.52467119089966519</v>
      </c>
      <c r="H1255" s="78">
        <f t="shared" si="1022"/>
        <v>2.7625134116881789</v>
      </c>
      <c r="I1255" s="78">
        <f t="shared" si="1022"/>
        <v>0.39412833239101375</v>
      </c>
      <c r="J1255" s="78">
        <f t="shared" si="1022"/>
        <v>1.5485226440565347</v>
      </c>
      <c r="K1255" s="78">
        <f t="shared" si="1022"/>
        <v>1.2951316938641753</v>
      </c>
      <c r="L1255" s="78">
        <f t="shared" si="1022"/>
        <v>1.2193258486233618</v>
      </c>
      <c r="M1255" s="79">
        <f t="shared" si="1022"/>
        <v>0.46821813129558876</v>
      </c>
      <c r="N1255" s="26">
        <f t="shared" si="1022"/>
        <v>0.48106917208353822</v>
      </c>
      <c r="O1255" s="12"/>
      <c r="P1255" s="175"/>
    </row>
    <row r="1256" spans="1:27" ht="15.75" customHeight="1" thickBot="1">
      <c r="A1256" s="424" t="s">
        <v>83</v>
      </c>
      <c r="B1256" s="425"/>
      <c r="C1256" s="76">
        <f>MIN(2*C1247,C1252)-C1254</f>
        <v>13912.279999999999</v>
      </c>
      <c r="D1256" s="76">
        <f t="shared" ref="D1256:N1256" si="1023">MIN(2*D1247,D1252)-D1254</f>
        <v>26288.12000000001</v>
      </c>
      <c r="E1256" s="76">
        <f t="shared" si="1023"/>
        <v>27131.12000000001</v>
      </c>
      <c r="F1256" s="76">
        <f t="shared" si="1023"/>
        <v>47382.160000000033</v>
      </c>
      <c r="G1256" s="76">
        <f t="shared" si="1023"/>
        <v>115269.44000000002</v>
      </c>
      <c r="H1256" s="76">
        <f t="shared" si="1023"/>
        <v>-84111.760000000009</v>
      </c>
      <c r="I1256" s="76">
        <f t="shared" si="1023"/>
        <v>194814.92</v>
      </c>
      <c r="J1256" s="76">
        <f t="shared" si="1023"/>
        <v>63095.679999999993</v>
      </c>
      <c r="K1256" s="76">
        <f t="shared" si="1023"/>
        <v>93034.24000000002</v>
      </c>
      <c r="L1256" s="76">
        <f t="shared" si="1023"/>
        <v>47316.400000000009</v>
      </c>
      <c r="M1256" s="76">
        <f t="shared" si="1023"/>
        <v>187602.52000000002</v>
      </c>
      <c r="N1256" s="22">
        <f t="shared" si="1023"/>
        <v>83405.52</v>
      </c>
      <c r="O1256" s="12"/>
      <c r="P1256" s="175"/>
    </row>
    <row r="1257" spans="1:27" ht="15.75" thickBot="1">
      <c r="A1257" s="368">
        <v>41051</v>
      </c>
      <c r="B1257" s="368"/>
      <c r="C1257" s="368"/>
      <c r="N1257" s="15"/>
    </row>
    <row r="1258" spans="1:27">
      <c r="A1258" s="407" t="s">
        <v>1</v>
      </c>
      <c r="B1258" s="420"/>
      <c r="C1258" s="68" t="s">
        <v>12</v>
      </c>
      <c r="D1258" s="68" t="s">
        <v>12</v>
      </c>
      <c r="E1258" s="68" t="s">
        <v>13</v>
      </c>
      <c r="F1258" s="68" t="s">
        <v>13</v>
      </c>
      <c r="G1258" s="68" t="s">
        <v>13</v>
      </c>
      <c r="H1258" s="68" t="s">
        <v>13</v>
      </c>
      <c r="I1258" s="68" t="s">
        <v>13</v>
      </c>
      <c r="J1258" s="68" t="s">
        <v>2</v>
      </c>
      <c r="K1258" s="68" t="s">
        <v>2</v>
      </c>
      <c r="L1258" s="68" t="s">
        <v>2</v>
      </c>
      <c r="M1258" s="68" t="s">
        <v>2</v>
      </c>
      <c r="N1258" s="4" t="s">
        <v>84</v>
      </c>
      <c r="P1258" s="174"/>
      <c r="Q1258" s="175"/>
      <c r="R1258" s="175"/>
      <c r="S1258" s="175"/>
      <c r="T1258" s="175"/>
      <c r="U1258" s="175"/>
      <c r="V1258" s="175"/>
      <c r="W1258" s="175"/>
      <c r="X1258" s="175"/>
      <c r="Y1258" s="174"/>
      <c r="Z1258" s="175"/>
      <c r="AA1258" s="175"/>
    </row>
    <row r="1259" spans="1:27" ht="15.75" thickBot="1">
      <c r="A1259" s="409" t="s">
        <v>0</v>
      </c>
      <c r="B1259" s="414"/>
      <c r="C1259" s="99" t="s">
        <v>102</v>
      </c>
      <c r="D1259" s="99" t="s">
        <v>103</v>
      </c>
      <c r="E1259" s="99" t="s">
        <v>104</v>
      </c>
      <c r="F1259" s="99" t="s">
        <v>105</v>
      </c>
      <c r="G1259" s="99" t="s">
        <v>100</v>
      </c>
      <c r="H1259" s="99" t="s">
        <v>107</v>
      </c>
      <c r="I1259" s="99" t="s">
        <v>106</v>
      </c>
      <c r="J1259" s="99" t="s">
        <v>108</v>
      </c>
      <c r="K1259" s="99" t="s">
        <v>110</v>
      </c>
      <c r="L1259" s="99" t="s">
        <v>101</v>
      </c>
      <c r="M1259" s="99" t="s">
        <v>109</v>
      </c>
      <c r="N1259" s="101" t="s">
        <v>111</v>
      </c>
      <c r="P1259" s="142"/>
      <c r="Y1259" s="142"/>
      <c r="Z1259" s="104"/>
      <c r="AA1259" s="104"/>
    </row>
    <row r="1260" spans="1:27" ht="15" customHeight="1">
      <c r="A1260" s="421" t="s">
        <v>9</v>
      </c>
      <c r="B1260" s="2" t="s">
        <v>4</v>
      </c>
      <c r="C1260" s="96">
        <v>115816.8</v>
      </c>
      <c r="D1260" s="96">
        <v>99041.7</v>
      </c>
      <c r="E1260" s="96">
        <v>99041.7</v>
      </c>
      <c r="F1260" s="96">
        <v>181997.8</v>
      </c>
      <c r="G1260" s="96">
        <v>121331.8</v>
      </c>
      <c r="H1260" s="96">
        <v>110071.9</v>
      </c>
      <c r="I1260" s="96">
        <v>121331.8</v>
      </c>
      <c r="J1260" s="96">
        <v>170967.6</v>
      </c>
      <c r="K1260" s="96">
        <v>132132.20000000001</v>
      </c>
      <c r="L1260" s="96">
        <v>60665.9</v>
      </c>
      <c r="M1260" s="96">
        <v>176482.7</v>
      </c>
      <c r="N1260" s="100">
        <v>54921</v>
      </c>
      <c r="O1260" s="12"/>
      <c r="P1260" s="142"/>
      <c r="Y1260" s="142"/>
      <c r="Z1260" s="104"/>
      <c r="AA1260" s="104"/>
    </row>
    <row r="1261" spans="1:27" s="64" customFormat="1">
      <c r="A1261" s="422"/>
      <c r="B1261" s="63" t="s">
        <v>5</v>
      </c>
      <c r="C1261" s="97">
        <v>90716.7</v>
      </c>
      <c r="D1261" s="97">
        <v>68493.7</v>
      </c>
      <c r="E1261" s="97">
        <v>69810.899999999994</v>
      </c>
      <c r="F1261" s="97">
        <v>145928.6</v>
      </c>
      <c r="G1261" s="97">
        <v>20454.400000000001</v>
      </c>
      <c r="H1261" s="97">
        <v>35220.6</v>
      </c>
      <c r="I1261" s="97">
        <v>20636.7</v>
      </c>
      <c r="J1261" s="97">
        <v>130904.6</v>
      </c>
      <c r="K1261" s="97">
        <v>45263.5</v>
      </c>
      <c r="L1261" s="97">
        <v>13909.1</v>
      </c>
      <c r="M1261" s="97">
        <v>80096.5</v>
      </c>
      <c r="N1261" s="102">
        <v>23948.3</v>
      </c>
      <c r="O1261" s="12"/>
      <c r="P1261" s="142"/>
      <c r="Q1261" s="104"/>
      <c r="R1261" s="104"/>
      <c r="S1261" s="104"/>
      <c r="T1261" s="104"/>
      <c r="U1261" s="104"/>
      <c r="V1261" s="104"/>
      <c r="W1261" s="104"/>
      <c r="X1261" s="104"/>
      <c r="Y1261" s="142"/>
      <c r="Z1261" s="104"/>
      <c r="AA1261" s="104"/>
    </row>
    <row r="1262" spans="1:27" ht="15.75" thickBot="1">
      <c r="A1262" s="423"/>
      <c r="B1262" s="3" t="s">
        <v>3</v>
      </c>
      <c r="C1262" s="71">
        <f>C1261/C1260</f>
        <v>0.78327755558779033</v>
      </c>
      <c r="D1262" s="72">
        <f t="shared" ref="D1262:F1262" si="1024">D1261/D1260</f>
        <v>0.6915642603065173</v>
      </c>
      <c r="E1262" s="72">
        <f t="shared" si="1024"/>
        <v>0.7048637089226053</v>
      </c>
      <c r="F1262" s="72">
        <f t="shared" si="1024"/>
        <v>0.80181518677698305</v>
      </c>
      <c r="G1262" s="72">
        <f>G1261/G1260</f>
        <v>0.16858235021651374</v>
      </c>
      <c r="H1262" s="72">
        <f t="shared" ref="H1262:N1262" si="1025">H1261/H1260</f>
        <v>0.31997812339025672</v>
      </c>
      <c r="I1262" s="72">
        <f t="shared" si="1025"/>
        <v>0.17008484173151639</v>
      </c>
      <c r="J1262" s="72">
        <f t="shared" si="1025"/>
        <v>0.76566905074411762</v>
      </c>
      <c r="K1262" s="72">
        <f t="shared" si="1025"/>
        <v>0.34256222177485879</v>
      </c>
      <c r="L1262" s="72">
        <f t="shared" si="1025"/>
        <v>0.22927377653673645</v>
      </c>
      <c r="M1262" s="72">
        <f t="shared" si="1025"/>
        <v>0.45384901749576584</v>
      </c>
      <c r="N1262" s="83">
        <f t="shared" si="1025"/>
        <v>0.43604996267365853</v>
      </c>
      <c r="O1262" s="12"/>
      <c r="Y1262" s="14"/>
      <c r="Z1262" s="104"/>
      <c r="AA1262" s="104"/>
    </row>
    <row r="1263" spans="1:27" ht="15" customHeight="1">
      <c r="A1263" s="411" t="s">
        <v>6</v>
      </c>
      <c r="B1263" s="27" t="s">
        <v>7</v>
      </c>
      <c r="C1263" s="68">
        <v>5006</v>
      </c>
      <c r="D1263" s="68">
        <v>3200</v>
      </c>
      <c r="E1263" s="68">
        <v>3183</v>
      </c>
      <c r="F1263" s="68">
        <v>9526</v>
      </c>
      <c r="G1263" s="68">
        <v>5000</v>
      </c>
      <c r="H1263" s="68">
        <f>(11504-(HEX2DEC("3520")-HEX2DEC("32c0")))</f>
        <v>10896</v>
      </c>
      <c r="I1263" s="68">
        <f>(4000-2000)</f>
        <v>2000</v>
      </c>
      <c r="J1263" s="68">
        <v>9194</v>
      </c>
      <c r="K1263" s="68">
        <f>8610-(HEX2DEC("2a3c")-HEX2DEC("1fb0"))</f>
        <v>5910</v>
      </c>
      <c r="L1263" s="68">
        <v>2500</v>
      </c>
      <c r="M1263" s="68">
        <f>5451-2614</f>
        <v>2837</v>
      </c>
      <c r="N1263" s="80">
        <v>830</v>
      </c>
      <c r="O1263" s="12"/>
      <c r="P1263" s="142"/>
      <c r="Y1263" s="142"/>
      <c r="Z1263" s="104"/>
      <c r="AA1263" s="104"/>
    </row>
    <row r="1264" spans="1:27">
      <c r="A1264" s="412"/>
      <c r="B1264" s="28" t="s">
        <v>11</v>
      </c>
      <c r="C1264" s="73">
        <f t="shared" ref="C1264:I1264" si="1026">C1263*33.72</f>
        <v>168802.32</v>
      </c>
      <c r="D1264" s="73">
        <f t="shared" si="1026"/>
        <v>107904</v>
      </c>
      <c r="E1264" s="73">
        <f t="shared" si="1026"/>
        <v>107330.76</v>
      </c>
      <c r="F1264" s="73">
        <f t="shared" si="1026"/>
        <v>321216.71999999997</v>
      </c>
      <c r="G1264" s="73">
        <f t="shared" si="1026"/>
        <v>168600</v>
      </c>
      <c r="H1264" s="73">
        <f t="shared" si="1026"/>
        <v>367413.12</v>
      </c>
      <c r="I1264" s="73">
        <f t="shared" si="1026"/>
        <v>67440</v>
      </c>
      <c r="J1264" s="73">
        <f>J1263*33.72</f>
        <v>310021.68</v>
      </c>
      <c r="K1264" s="73">
        <f t="shared" ref="K1264:N1264" si="1027">K1263*33.72</f>
        <v>199285.19999999998</v>
      </c>
      <c r="L1264" s="73">
        <f t="shared" si="1027"/>
        <v>84300</v>
      </c>
      <c r="M1264" s="73">
        <f t="shared" si="1027"/>
        <v>95663.64</v>
      </c>
      <c r="N1264" s="73">
        <f t="shared" si="1027"/>
        <v>27987.599999999999</v>
      </c>
      <c r="O1264" s="12"/>
      <c r="P1264" s="142"/>
      <c r="Y1264" s="142"/>
      <c r="Z1264" s="104"/>
      <c r="AA1264" s="104"/>
    </row>
    <row r="1265" spans="1:27">
      <c r="A1265" s="412"/>
      <c r="B1265" s="28" t="s">
        <v>79</v>
      </c>
      <c r="C1265" s="73">
        <v>164000</v>
      </c>
      <c r="D1265" s="73">
        <v>109880</v>
      </c>
      <c r="E1265" s="73">
        <v>109880</v>
      </c>
      <c r="F1265" s="73">
        <v>328000</v>
      </c>
      <c r="G1265" s="73">
        <f>G1260*2</f>
        <v>242663.6</v>
      </c>
      <c r="H1265" s="73">
        <f>H1260*2</f>
        <v>220143.8</v>
      </c>
      <c r="I1265" s="73">
        <f>I1260*2</f>
        <v>242663.6</v>
      </c>
      <c r="J1265" s="73">
        <v>328000</v>
      </c>
      <c r="K1265" s="73">
        <f>K1260*2</f>
        <v>264264.40000000002</v>
      </c>
      <c r="L1265" s="73">
        <v>328000</v>
      </c>
      <c r="M1265" s="73">
        <f>2*M1260</f>
        <v>352965.4</v>
      </c>
      <c r="N1265" s="84">
        <f>2*N1260</f>
        <v>109842</v>
      </c>
      <c r="O1265" s="12"/>
      <c r="Y1265" s="14"/>
      <c r="Z1265" s="104"/>
      <c r="AA1265" s="104"/>
    </row>
    <row r="1266" spans="1:27" s="64" customFormat="1">
      <c r="A1266" s="412"/>
      <c r="B1266" s="66" t="s">
        <v>8</v>
      </c>
      <c r="C1266" s="98">
        <f>SUM(C1263-555)</f>
        <v>4451</v>
      </c>
      <c r="D1266" s="98">
        <f>SUM(D1263-721)</f>
        <v>2479</v>
      </c>
      <c r="E1266" s="98">
        <f>SUM(E1263-729)</f>
        <v>2454</v>
      </c>
      <c r="F1266" s="98">
        <f>SUM(F1263-1204)</f>
        <v>8322</v>
      </c>
      <c r="G1266" s="98">
        <f>SUM(G1263-3224)</f>
        <v>1776</v>
      </c>
      <c r="H1266" s="98">
        <f>SUM(H1263-1933)</f>
        <v>8963</v>
      </c>
      <c r="I1266" s="98">
        <f>SUM(I1263-(2581-2000))</f>
        <v>1419</v>
      </c>
      <c r="J1266" s="98">
        <f>SUM(J1263-1338)</f>
        <v>7856</v>
      </c>
      <c r="K1266" s="98">
        <f>SUM(K1263-832)</f>
        <v>5078</v>
      </c>
      <c r="L1266" s="98">
        <f>SUM(L1263-450)</f>
        <v>2050</v>
      </c>
      <c r="M1266" s="98">
        <f>SUM(M1263-(3010-2614))</f>
        <v>2441</v>
      </c>
      <c r="N1266" s="103">
        <f>SUM(N1263-46)</f>
        <v>784</v>
      </c>
      <c r="O1266" s="12"/>
      <c r="P1266" s="175"/>
      <c r="Q1266" s="67"/>
      <c r="R1266" s="67"/>
      <c r="S1266" s="67"/>
      <c r="T1266" s="67"/>
      <c r="U1266" s="67"/>
      <c r="V1266" s="67"/>
      <c r="W1266" s="67"/>
    </row>
    <row r="1267" spans="1:27">
      <c r="A1267" s="412"/>
      <c r="B1267" s="29" t="s">
        <v>77</v>
      </c>
      <c r="C1267" s="75">
        <f>C1266*33.72</f>
        <v>150087.72</v>
      </c>
      <c r="D1267" s="75">
        <f>D1266*33.72</f>
        <v>83591.87999999999</v>
      </c>
      <c r="E1267" s="75">
        <f>E1266*33.72</f>
        <v>82748.87999999999</v>
      </c>
      <c r="F1267" s="75">
        <f>F1266*33.72</f>
        <v>280617.83999999997</v>
      </c>
      <c r="G1267" s="75">
        <f>G1266*33.72*2</f>
        <v>119773.44</v>
      </c>
      <c r="H1267" s="75">
        <f>H1266*33.72</f>
        <v>302232.36</v>
      </c>
      <c r="I1267" s="75">
        <f>I1266*33.72</f>
        <v>47848.68</v>
      </c>
      <c r="J1267" s="75">
        <f>J1266*33.72</f>
        <v>264904.32000000001</v>
      </c>
      <c r="K1267" s="75">
        <f>K1266*33.72</f>
        <v>171230.16</v>
      </c>
      <c r="L1267" s="75">
        <f>L1266*33.72</f>
        <v>69126</v>
      </c>
      <c r="M1267" s="75">
        <f>M1266*33.72*2</f>
        <v>164621.04</v>
      </c>
      <c r="N1267" s="11">
        <f>N1266*33.72</f>
        <v>26436.48</v>
      </c>
      <c r="O1267" s="12"/>
      <c r="P1267" s="175"/>
    </row>
    <row r="1268" spans="1:27" ht="15.75" thickBot="1">
      <c r="A1268" s="412"/>
      <c r="B1268" s="30" t="s">
        <v>10</v>
      </c>
      <c r="C1268" s="71">
        <f>C1266*33.7/C1260</f>
        <v>1.2951376656927147</v>
      </c>
      <c r="D1268" s="71">
        <f t="shared" ref="D1268:N1268" si="1028">D1266*33.7/D1260</f>
        <v>0.84350632107486045</v>
      </c>
      <c r="E1268" s="78">
        <f t="shared" si="1028"/>
        <v>0.83499980311323418</v>
      </c>
      <c r="F1268" s="78">
        <f t="shared" si="1028"/>
        <v>1.5409603852354261</v>
      </c>
      <c r="G1268" s="78">
        <f t="shared" si="1028"/>
        <v>0.49328535470503199</v>
      </c>
      <c r="H1268" s="78">
        <f t="shared" si="1028"/>
        <v>2.7441436006828268</v>
      </c>
      <c r="I1268" s="78">
        <f t="shared" si="1028"/>
        <v>0.39412833239101375</v>
      </c>
      <c r="J1268" s="78">
        <f t="shared" si="1028"/>
        <v>1.5485226440565347</v>
      </c>
      <c r="K1268" s="78">
        <f t="shared" si="1028"/>
        <v>1.2951316938641753</v>
      </c>
      <c r="L1268" s="78">
        <f t="shared" si="1028"/>
        <v>1.1387781274158959</v>
      </c>
      <c r="M1268" s="79">
        <f t="shared" si="1028"/>
        <v>0.46611764212582879</v>
      </c>
      <c r="N1268" s="26">
        <f t="shared" si="1028"/>
        <v>0.48106917208353822</v>
      </c>
      <c r="O1268" s="12"/>
      <c r="P1268" s="175"/>
    </row>
    <row r="1269" spans="1:27" ht="15.75" customHeight="1" thickBot="1">
      <c r="A1269" s="424" t="s">
        <v>83</v>
      </c>
      <c r="B1269" s="425"/>
      <c r="C1269" s="76">
        <f>MIN(2*C1260,C1265)-C1267</f>
        <v>13912.279999999999</v>
      </c>
      <c r="D1269" s="76">
        <f t="shared" ref="D1269:N1269" si="1029">MIN(2*D1260,D1265)-D1267</f>
        <v>26288.12000000001</v>
      </c>
      <c r="E1269" s="76">
        <f t="shared" si="1029"/>
        <v>27131.12000000001</v>
      </c>
      <c r="F1269" s="76">
        <f t="shared" si="1029"/>
        <v>47382.160000000033</v>
      </c>
      <c r="G1269" s="76">
        <f t="shared" si="1029"/>
        <v>122890.16</v>
      </c>
      <c r="H1269" s="76">
        <f t="shared" si="1029"/>
        <v>-82088.56</v>
      </c>
      <c r="I1269" s="76">
        <f t="shared" si="1029"/>
        <v>194814.92</v>
      </c>
      <c r="J1269" s="76">
        <f t="shared" si="1029"/>
        <v>63095.679999999993</v>
      </c>
      <c r="K1269" s="76">
        <f t="shared" si="1029"/>
        <v>93034.24000000002</v>
      </c>
      <c r="L1269" s="76">
        <f t="shared" si="1029"/>
        <v>52205.8</v>
      </c>
      <c r="M1269" s="76">
        <f t="shared" si="1029"/>
        <v>188344.36000000002</v>
      </c>
      <c r="N1269" s="22">
        <f t="shared" si="1029"/>
        <v>83405.52</v>
      </c>
      <c r="O1269" s="12"/>
      <c r="P1269" s="175"/>
    </row>
    <row r="1270" spans="1:27" ht="15.75" thickBot="1">
      <c r="A1270" s="368">
        <v>41050</v>
      </c>
      <c r="B1270" s="368"/>
      <c r="C1270" s="368"/>
      <c r="N1270" s="15"/>
    </row>
    <row r="1271" spans="1:27">
      <c r="A1271" s="407" t="s">
        <v>1</v>
      </c>
      <c r="B1271" s="420"/>
      <c r="C1271" s="68" t="s">
        <v>12</v>
      </c>
      <c r="D1271" s="68" t="s">
        <v>12</v>
      </c>
      <c r="E1271" s="68" t="s">
        <v>13</v>
      </c>
      <c r="F1271" s="68" t="s">
        <v>13</v>
      </c>
      <c r="G1271" s="68" t="s">
        <v>13</v>
      </c>
      <c r="H1271" s="68" t="s">
        <v>13</v>
      </c>
      <c r="I1271" s="68" t="s">
        <v>13</v>
      </c>
      <c r="J1271" s="68" t="s">
        <v>2</v>
      </c>
      <c r="K1271" s="68" t="s">
        <v>2</v>
      </c>
      <c r="L1271" s="68" t="s">
        <v>2</v>
      </c>
      <c r="M1271" s="68" t="s">
        <v>2</v>
      </c>
      <c r="N1271" s="4" t="s">
        <v>84</v>
      </c>
      <c r="P1271" s="174"/>
      <c r="Q1271" s="175"/>
      <c r="R1271" s="175"/>
      <c r="S1271" s="175"/>
      <c r="T1271" s="175"/>
      <c r="U1271" s="175"/>
      <c r="V1271" s="175"/>
      <c r="W1271" s="175"/>
      <c r="X1271" s="175"/>
      <c r="Y1271" s="174"/>
      <c r="Z1271" s="175"/>
      <c r="AA1271" s="175"/>
    </row>
    <row r="1272" spans="1:27" ht="15.75" thickBot="1">
      <c r="A1272" s="409" t="s">
        <v>0</v>
      </c>
      <c r="B1272" s="414"/>
      <c r="C1272" s="99" t="s">
        <v>102</v>
      </c>
      <c r="D1272" s="99" t="s">
        <v>103</v>
      </c>
      <c r="E1272" s="99" t="s">
        <v>104</v>
      </c>
      <c r="F1272" s="99" t="s">
        <v>105</v>
      </c>
      <c r="G1272" s="99" t="s">
        <v>100</v>
      </c>
      <c r="H1272" s="99" t="s">
        <v>107</v>
      </c>
      <c r="I1272" s="99" t="s">
        <v>106</v>
      </c>
      <c r="J1272" s="99" t="s">
        <v>108</v>
      </c>
      <c r="K1272" s="99" t="s">
        <v>110</v>
      </c>
      <c r="L1272" s="99" t="s">
        <v>101</v>
      </c>
      <c r="M1272" s="99" t="s">
        <v>109</v>
      </c>
      <c r="N1272" s="101" t="s">
        <v>111</v>
      </c>
      <c r="P1272" s="142"/>
      <c r="Y1272" s="142"/>
      <c r="Z1272" s="104"/>
      <c r="AA1272" s="104"/>
    </row>
    <row r="1273" spans="1:27" ht="15" customHeight="1">
      <c r="A1273" s="421" t="s">
        <v>9</v>
      </c>
      <c r="B1273" s="2" t="s">
        <v>4</v>
      </c>
      <c r="C1273" s="96">
        <v>115816.8</v>
      </c>
      <c r="D1273" s="96">
        <v>99041.7</v>
      </c>
      <c r="E1273" s="96">
        <v>99041.7</v>
      </c>
      <c r="F1273" s="96">
        <v>181997.8</v>
      </c>
      <c r="G1273" s="96">
        <v>121331.8</v>
      </c>
      <c r="H1273" s="96">
        <v>110071.9</v>
      </c>
      <c r="I1273" s="96">
        <v>121331.8</v>
      </c>
      <c r="J1273" s="96">
        <v>170967.6</v>
      </c>
      <c r="K1273" s="96">
        <v>132132.20000000001</v>
      </c>
      <c r="L1273" s="96">
        <v>60665.9</v>
      </c>
      <c r="M1273" s="96">
        <v>176482.7</v>
      </c>
      <c r="N1273" s="100">
        <v>54921</v>
      </c>
      <c r="O1273" s="12"/>
      <c r="P1273" s="142"/>
      <c r="Y1273" s="142"/>
      <c r="Z1273" s="104"/>
      <c r="AA1273" s="104"/>
    </row>
    <row r="1274" spans="1:27" s="64" customFormat="1">
      <c r="A1274" s="422"/>
      <c r="B1274" s="63" t="s">
        <v>5</v>
      </c>
      <c r="C1274" s="97">
        <v>90601.2</v>
      </c>
      <c r="D1274" s="97">
        <v>68425.8</v>
      </c>
      <c r="E1274" s="97">
        <v>69743</v>
      </c>
      <c r="F1274" s="97">
        <v>145819.5</v>
      </c>
      <c r="G1274" s="97">
        <v>20452.900000000001</v>
      </c>
      <c r="H1274" s="97">
        <v>35067</v>
      </c>
      <c r="I1274" s="97">
        <v>20631.8</v>
      </c>
      <c r="J1274" s="97">
        <v>130838.3</v>
      </c>
      <c r="K1274" s="97">
        <v>45175.3</v>
      </c>
      <c r="L1274" s="97">
        <v>13908</v>
      </c>
      <c r="M1274" s="97">
        <v>80086.399999999994</v>
      </c>
      <c r="N1274" s="102">
        <v>23948.1</v>
      </c>
      <c r="O1274" s="12"/>
      <c r="P1274" s="142"/>
      <c r="Q1274" s="104"/>
      <c r="R1274" s="104"/>
      <c r="S1274" s="104"/>
      <c r="T1274" s="104"/>
      <c r="U1274" s="104"/>
      <c r="V1274" s="104"/>
      <c r="W1274" s="104"/>
      <c r="X1274" s="104"/>
      <c r="Y1274" s="142"/>
      <c r="Z1274" s="104"/>
      <c r="AA1274" s="104"/>
    </row>
    <row r="1275" spans="1:27" ht="15.75" thickBot="1">
      <c r="A1275" s="423"/>
      <c r="B1275" s="3" t="s">
        <v>3</v>
      </c>
      <c r="C1275" s="71">
        <f>C1274/C1273</f>
        <v>0.78228029094224671</v>
      </c>
      <c r="D1275" s="72">
        <f t="shared" ref="D1275:F1275" si="1030">D1274/D1273</f>
        <v>0.69087869049097506</v>
      </c>
      <c r="E1275" s="72">
        <f t="shared" si="1030"/>
        <v>0.70417813910706295</v>
      </c>
      <c r="F1275" s="72">
        <f t="shared" si="1030"/>
        <v>0.80121572898133941</v>
      </c>
      <c r="G1275" s="72">
        <f>G1274/G1273</f>
        <v>0.16856998742291798</v>
      </c>
      <c r="H1275" s="72">
        <f t="shared" ref="H1275:N1275" si="1031">H1274/H1273</f>
        <v>0.31858267187174932</v>
      </c>
      <c r="I1275" s="72">
        <f t="shared" si="1031"/>
        <v>0.17004445660577028</v>
      </c>
      <c r="J1275" s="72">
        <f t="shared" si="1031"/>
        <v>0.76528125796934621</v>
      </c>
      <c r="K1275" s="72">
        <f t="shared" si="1031"/>
        <v>0.34189470848135428</v>
      </c>
      <c r="L1275" s="72">
        <f t="shared" si="1031"/>
        <v>0.2292556444394627</v>
      </c>
      <c r="M1275" s="72">
        <f t="shared" si="1031"/>
        <v>0.45379178809027731</v>
      </c>
      <c r="N1275" s="83">
        <f t="shared" si="1031"/>
        <v>0.43604632107936853</v>
      </c>
      <c r="O1275" s="12"/>
      <c r="Y1275" s="14"/>
      <c r="Z1275" s="104"/>
      <c r="AA1275" s="104"/>
    </row>
    <row r="1276" spans="1:27" ht="15" customHeight="1">
      <c r="A1276" s="411" t="s">
        <v>6</v>
      </c>
      <c r="B1276" s="27" t="s">
        <v>7</v>
      </c>
      <c r="C1276" s="68">
        <v>5006</v>
      </c>
      <c r="D1276" s="68">
        <v>3200</v>
      </c>
      <c r="E1276" s="68">
        <v>3183</v>
      </c>
      <c r="F1276" s="68">
        <v>9526</v>
      </c>
      <c r="G1276" s="68">
        <v>5000</v>
      </c>
      <c r="H1276" s="68">
        <f>(11504-(HEX2DEC("3520")-HEX2DEC("32c0")))</f>
        <v>10896</v>
      </c>
      <c r="I1276" s="68">
        <f>(4000-2000)</f>
        <v>2000</v>
      </c>
      <c r="J1276" s="68">
        <v>9194</v>
      </c>
      <c r="K1276" s="68">
        <f>8610-(HEX2DEC("2a3c")-HEX2DEC("1fb0"))</f>
        <v>5910</v>
      </c>
      <c r="L1276" s="68">
        <v>2500</v>
      </c>
      <c r="M1276" s="68">
        <f>5451-2614</f>
        <v>2837</v>
      </c>
      <c r="N1276" s="80">
        <v>830</v>
      </c>
      <c r="O1276" s="12"/>
      <c r="P1276" s="142"/>
      <c r="Y1276" s="142"/>
      <c r="Z1276" s="104"/>
      <c r="AA1276" s="104"/>
    </row>
    <row r="1277" spans="1:27">
      <c r="A1277" s="412"/>
      <c r="B1277" s="28" t="s">
        <v>11</v>
      </c>
      <c r="C1277" s="73">
        <f t="shared" ref="C1277:I1277" si="1032">C1276*33.72</f>
        <v>168802.32</v>
      </c>
      <c r="D1277" s="73">
        <f t="shared" si="1032"/>
        <v>107904</v>
      </c>
      <c r="E1277" s="73">
        <f t="shared" si="1032"/>
        <v>107330.76</v>
      </c>
      <c r="F1277" s="73">
        <f t="shared" si="1032"/>
        <v>321216.71999999997</v>
      </c>
      <c r="G1277" s="73">
        <f t="shared" si="1032"/>
        <v>168600</v>
      </c>
      <c r="H1277" s="73">
        <f t="shared" si="1032"/>
        <v>367413.12</v>
      </c>
      <c r="I1277" s="73">
        <f t="shared" si="1032"/>
        <v>67440</v>
      </c>
      <c r="J1277" s="73">
        <f>J1276*33.72</f>
        <v>310021.68</v>
      </c>
      <c r="K1277" s="73">
        <f t="shared" ref="K1277:N1277" si="1033">K1276*33.72</f>
        <v>199285.19999999998</v>
      </c>
      <c r="L1277" s="73">
        <f t="shared" si="1033"/>
        <v>84300</v>
      </c>
      <c r="M1277" s="73">
        <f t="shared" si="1033"/>
        <v>95663.64</v>
      </c>
      <c r="N1277" s="73">
        <f t="shared" si="1033"/>
        <v>27987.599999999999</v>
      </c>
      <c r="O1277" s="12"/>
      <c r="P1277" s="142"/>
      <c r="Y1277" s="142"/>
      <c r="Z1277" s="104"/>
      <c r="AA1277" s="104"/>
    </row>
    <row r="1278" spans="1:27">
      <c r="A1278" s="412"/>
      <c r="B1278" s="28" t="s">
        <v>79</v>
      </c>
      <c r="C1278" s="73">
        <v>164000</v>
      </c>
      <c r="D1278" s="73">
        <v>109880</v>
      </c>
      <c r="E1278" s="73">
        <v>109880</v>
      </c>
      <c r="F1278" s="73">
        <v>328000</v>
      </c>
      <c r="G1278" s="73">
        <f>G1273*2</f>
        <v>242663.6</v>
      </c>
      <c r="H1278" s="73">
        <f>H1273*2</f>
        <v>220143.8</v>
      </c>
      <c r="I1278" s="73">
        <f>I1273*2</f>
        <v>242663.6</v>
      </c>
      <c r="J1278" s="73">
        <v>328000</v>
      </c>
      <c r="K1278" s="73">
        <f>K1273*2</f>
        <v>264264.40000000002</v>
      </c>
      <c r="L1278" s="73">
        <v>328000</v>
      </c>
      <c r="M1278" s="73">
        <f>2*M1273</f>
        <v>352965.4</v>
      </c>
      <c r="N1278" s="84">
        <f>2*N1273</f>
        <v>109842</v>
      </c>
      <c r="O1278" s="12"/>
      <c r="Y1278" s="14"/>
      <c r="Z1278" s="104"/>
      <c r="AA1278" s="104"/>
    </row>
    <row r="1279" spans="1:27" s="64" customFormat="1">
      <c r="A1279" s="412"/>
      <c r="B1279" s="66" t="s">
        <v>8</v>
      </c>
      <c r="C1279" s="98">
        <f>SUM(C1276-562)</f>
        <v>4444</v>
      </c>
      <c r="D1279" s="98">
        <f>SUM(D1276-730)</f>
        <v>2470</v>
      </c>
      <c r="E1279" s="98">
        <f>SUM(E1276-738)</f>
        <v>2445</v>
      </c>
      <c r="F1279" s="98">
        <f>SUM(F1276-1204)</f>
        <v>8322</v>
      </c>
      <c r="G1279" s="98">
        <f>SUM(G1276-3257)</f>
        <v>1743</v>
      </c>
      <c r="H1279" s="98">
        <f>SUM(H1276-1933)</f>
        <v>8963</v>
      </c>
      <c r="I1279" s="98">
        <f>SUM(I1276-(2581-2000))</f>
        <v>1419</v>
      </c>
      <c r="J1279" s="98">
        <f>SUM(J1276-1338)</f>
        <v>7856</v>
      </c>
      <c r="K1279" s="98">
        <f>SUM(K1276-832)</f>
        <v>5078</v>
      </c>
      <c r="L1279" s="98">
        <f>SUM(L1276-471)</f>
        <v>2029</v>
      </c>
      <c r="M1279" s="98">
        <f>SUM(M1276-(3010-2614))</f>
        <v>2441</v>
      </c>
      <c r="N1279" s="103">
        <f>SUM(N1276-46)</f>
        <v>784</v>
      </c>
      <c r="O1279" s="12"/>
      <c r="P1279" s="175"/>
      <c r="Q1279" s="67"/>
      <c r="R1279" s="67"/>
      <c r="S1279" s="67"/>
      <c r="T1279" s="67"/>
      <c r="U1279" s="67"/>
      <c r="V1279" s="67"/>
      <c r="W1279" s="67"/>
    </row>
    <row r="1280" spans="1:27">
      <c r="A1280" s="412"/>
      <c r="B1280" s="29" t="s">
        <v>77</v>
      </c>
      <c r="C1280" s="75">
        <f>C1279*33.72</f>
        <v>149851.68</v>
      </c>
      <c r="D1280" s="75">
        <f>D1279*33.72</f>
        <v>83288.399999999994</v>
      </c>
      <c r="E1280" s="75">
        <f>E1279*33.72</f>
        <v>82445.399999999994</v>
      </c>
      <c r="F1280" s="75">
        <f>F1279*33.72</f>
        <v>280617.83999999997</v>
      </c>
      <c r="G1280" s="75">
        <f>G1279*33.72*2</f>
        <v>117547.92</v>
      </c>
      <c r="H1280" s="75">
        <f>H1279*33.72</f>
        <v>302232.36</v>
      </c>
      <c r="I1280" s="75">
        <f>I1279*33.72</f>
        <v>47848.68</v>
      </c>
      <c r="J1280" s="75">
        <f>J1279*33.72</f>
        <v>264904.32000000001</v>
      </c>
      <c r="K1280" s="75">
        <f>K1279*33.72</f>
        <v>171230.16</v>
      </c>
      <c r="L1280" s="75">
        <f>L1279*33.72</f>
        <v>68417.88</v>
      </c>
      <c r="M1280" s="75">
        <f>M1279*33.72*2</f>
        <v>164621.04</v>
      </c>
      <c r="N1280" s="11">
        <f>N1279*33.72</f>
        <v>26436.48</v>
      </c>
      <c r="O1280" s="12"/>
      <c r="P1280" s="175"/>
    </row>
    <row r="1281" spans="1:27" ht="15.75" thickBot="1">
      <c r="A1281" s="412"/>
      <c r="B1281" s="30" t="s">
        <v>10</v>
      </c>
      <c r="C1281" s="71">
        <f>C1279*33.7/C1273</f>
        <v>1.2931008282045438</v>
      </c>
      <c r="D1281" s="71">
        <f t="shared" ref="D1281:N1281" si="1034">D1279*33.7/D1273</f>
        <v>0.84044397460867493</v>
      </c>
      <c r="E1281" s="78">
        <f t="shared" si="1034"/>
        <v>0.83193745664704866</v>
      </c>
      <c r="F1281" s="78">
        <f t="shared" si="1034"/>
        <v>1.5409603852354261</v>
      </c>
      <c r="G1281" s="78">
        <f t="shared" si="1034"/>
        <v>0.48411957953314799</v>
      </c>
      <c r="H1281" s="78">
        <f t="shared" si="1034"/>
        <v>2.7441436006828268</v>
      </c>
      <c r="I1281" s="78">
        <f t="shared" si="1034"/>
        <v>0.39412833239101375</v>
      </c>
      <c r="J1281" s="78">
        <f t="shared" si="1034"/>
        <v>1.5485226440565347</v>
      </c>
      <c r="K1281" s="78">
        <f t="shared" si="1034"/>
        <v>1.2951316938641753</v>
      </c>
      <c r="L1281" s="78">
        <f t="shared" si="1034"/>
        <v>1.1271125953789527</v>
      </c>
      <c r="M1281" s="79">
        <f t="shared" si="1034"/>
        <v>0.46611764212582879</v>
      </c>
      <c r="N1281" s="26">
        <f t="shared" si="1034"/>
        <v>0.48106917208353822</v>
      </c>
      <c r="O1281" s="12"/>
      <c r="P1281" s="175"/>
    </row>
    <row r="1282" spans="1:27" ht="15.75" customHeight="1" thickBot="1">
      <c r="A1282" s="424" t="s">
        <v>83</v>
      </c>
      <c r="B1282" s="425"/>
      <c r="C1282" s="76">
        <f>MIN(2*C1273,C1278)-C1280</f>
        <v>14148.320000000007</v>
      </c>
      <c r="D1282" s="76">
        <f t="shared" ref="D1282:N1282" si="1035">MIN(2*D1273,D1278)-D1280</f>
        <v>26591.600000000006</v>
      </c>
      <c r="E1282" s="76">
        <f t="shared" si="1035"/>
        <v>27434.600000000006</v>
      </c>
      <c r="F1282" s="76">
        <f t="shared" si="1035"/>
        <v>47382.160000000033</v>
      </c>
      <c r="G1282" s="76">
        <f t="shared" si="1035"/>
        <v>125115.68000000001</v>
      </c>
      <c r="H1282" s="76">
        <f t="shared" si="1035"/>
        <v>-82088.56</v>
      </c>
      <c r="I1282" s="76">
        <f t="shared" si="1035"/>
        <v>194814.92</v>
      </c>
      <c r="J1282" s="76">
        <f t="shared" si="1035"/>
        <v>63095.679999999993</v>
      </c>
      <c r="K1282" s="76">
        <f t="shared" si="1035"/>
        <v>93034.24000000002</v>
      </c>
      <c r="L1282" s="76">
        <f t="shared" si="1035"/>
        <v>52913.919999999998</v>
      </c>
      <c r="M1282" s="76">
        <f t="shared" si="1035"/>
        <v>188344.36000000002</v>
      </c>
      <c r="N1282" s="22">
        <f t="shared" si="1035"/>
        <v>83405.52</v>
      </c>
      <c r="O1282" s="12"/>
      <c r="P1282" s="175"/>
    </row>
    <row r="1283" spans="1:27" ht="15.75" thickBot="1">
      <c r="A1283" s="368">
        <v>41047</v>
      </c>
      <c r="B1283" s="368"/>
      <c r="C1283" s="368"/>
      <c r="N1283" s="15"/>
    </row>
    <row r="1284" spans="1:27">
      <c r="A1284" s="407" t="s">
        <v>1</v>
      </c>
      <c r="B1284" s="420"/>
      <c r="C1284" s="68" t="s">
        <v>12</v>
      </c>
      <c r="D1284" s="68" t="s">
        <v>12</v>
      </c>
      <c r="E1284" s="68" t="s">
        <v>13</v>
      </c>
      <c r="F1284" s="68" t="s">
        <v>13</v>
      </c>
      <c r="G1284" s="68" t="s">
        <v>13</v>
      </c>
      <c r="H1284" s="68" t="s">
        <v>13</v>
      </c>
      <c r="I1284" s="68" t="s">
        <v>13</v>
      </c>
      <c r="J1284" s="68" t="s">
        <v>2</v>
      </c>
      <c r="K1284" s="68" t="s">
        <v>2</v>
      </c>
      <c r="L1284" s="68" t="s">
        <v>2</v>
      </c>
      <c r="M1284" s="68" t="s">
        <v>2</v>
      </c>
      <c r="N1284" s="4" t="s">
        <v>84</v>
      </c>
      <c r="P1284" s="174"/>
      <c r="Q1284" s="175"/>
      <c r="R1284" s="175"/>
      <c r="S1284" s="175"/>
      <c r="T1284" s="175"/>
      <c r="U1284" s="175"/>
      <c r="V1284" s="175"/>
      <c r="W1284" s="175"/>
      <c r="X1284" s="175"/>
      <c r="Y1284" s="174"/>
      <c r="Z1284" s="175"/>
      <c r="AA1284" s="175"/>
    </row>
    <row r="1285" spans="1:27" ht="15.75" thickBot="1">
      <c r="A1285" s="409" t="s">
        <v>0</v>
      </c>
      <c r="B1285" s="414"/>
      <c r="C1285" s="99" t="s">
        <v>102</v>
      </c>
      <c r="D1285" s="99" t="s">
        <v>103</v>
      </c>
      <c r="E1285" s="99" t="s">
        <v>104</v>
      </c>
      <c r="F1285" s="99" t="s">
        <v>105</v>
      </c>
      <c r="G1285" s="99" t="s">
        <v>100</v>
      </c>
      <c r="H1285" s="99" t="s">
        <v>107</v>
      </c>
      <c r="I1285" s="99" t="s">
        <v>106</v>
      </c>
      <c r="J1285" s="99" t="s">
        <v>108</v>
      </c>
      <c r="K1285" s="99" t="s">
        <v>110</v>
      </c>
      <c r="L1285" s="99" t="s">
        <v>101</v>
      </c>
      <c r="M1285" s="99" t="s">
        <v>109</v>
      </c>
      <c r="N1285" s="101" t="s">
        <v>111</v>
      </c>
      <c r="P1285" s="142"/>
      <c r="Y1285" s="142"/>
      <c r="Z1285" s="104"/>
      <c r="AA1285" s="104"/>
    </row>
    <row r="1286" spans="1:27" ht="15" customHeight="1">
      <c r="A1286" s="421" t="s">
        <v>9</v>
      </c>
      <c r="B1286" s="2" t="s">
        <v>4</v>
      </c>
      <c r="C1286" s="96">
        <v>115816.8</v>
      </c>
      <c r="D1286" s="96">
        <v>99041.7</v>
      </c>
      <c r="E1286" s="96">
        <v>99041.7</v>
      </c>
      <c r="F1286" s="96">
        <v>181997.8</v>
      </c>
      <c r="G1286" s="96">
        <v>121331.8</v>
      </c>
      <c r="H1286" s="96">
        <v>110071.9</v>
      </c>
      <c r="I1286" s="96">
        <v>121331.8</v>
      </c>
      <c r="J1286" s="96">
        <v>170967.6</v>
      </c>
      <c r="K1286" s="96">
        <v>132132.20000000001</v>
      </c>
      <c r="L1286" s="96">
        <v>60665.9</v>
      </c>
      <c r="M1286" s="96">
        <v>176482.7</v>
      </c>
      <c r="N1286" s="100">
        <v>54921</v>
      </c>
      <c r="O1286" s="12"/>
      <c r="P1286" s="142"/>
      <c r="Y1286" s="142"/>
      <c r="Z1286" s="104"/>
      <c r="AA1286" s="104"/>
    </row>
    <row r="1287" spans="1:27" s="64" customFormat="1">
      <c r="A1287" s="422"/>
      <c r="B1287" s="63" t="s">
        <v>5</v>
      </c>
      <c r="C1287" s="97">
        <v>90245.6</v>
      </c>
      <c r="D1287" s="97">
        <v>66966</v>
      </c>
      <c r="E1287" s="97">
        <v>68290.399999999994</v>
      </c>
      <c r="F1287" s="97">
        <v>145588.29999999999</v>
      </c>
      <c r="G1287" s="97">
        <v>16345.6</v>
      </c>
      <c r="H1287" s="97">
        <v>34359</v>
      </c>
      <c r="I1287" s="97">
        <v>20576.599999999999</v>
      </c>
      <c r="J1287" s="97">
        <v>130078.9</v>
      </c>
      <c r="K1287" s="97">
        <v>44735.199999999997</v>
      </c>
      <c r="L1287" s="97">
        <v>11786.3</v>
      </c>
      <c r="M1287" s="97">
        <v>79973.899999999994</v>
      </c>
      <c r="N1287" s="102">
        <v>23947</v>
      </c>
      <c r="O1287" s="12"/>
      <c r="P1287" s="142"/>
      <c r="Q1287" s="104"/>
      <c r="R1287" s="104"/>
      <c r="S1287" s="104"/>
      <c r="T1287" s="104"/>
      <c r="U1287" s="104"/>
      <c r="V1287" s="104"/>
      <c r="W1287" s="104"/>
      <c r="X1287" s="104"/>
      <c r="Y1287" s="142"/>
      <c r="Z1287" s="104"/>
      <c r="AA1287" s="104"/>
    </row>
    <row r="1288" spans="1:27" ht="15.75" thickBot="1">
      <c r="A1288" s="423"/>
      <c r="B1288" s="3" t="s">
        <v>3</v>
      </c>
      <c r="C1288" s="71">
        <f>C1287/C1286</f>
        <v>0.77920992463960326</v>
      </c>
      <c r="D1288" s="72">
        <f t="shared" ref="D1288:F1288" si="1036">D1287/D1286</f>
        <v>0.67613944429467587</v>
      </c>
      <c r="E1288" s="72">
        <f t="shared" si="1036"/>
        <v>0.68951158956278014</v>
      </c>
      <c r="F1288" s="72">
        <f t="shared" si="1036"/>
        <v>0.79994538395519066</v>
      </c>
      <c r="G1288" s="72">
        <f>G1287/G1286</f>
        <v>0.13471818599905383</v>
      </c>
      <c r="H1288" s="72">
        <f t="shared" ref="H1288:N1288" si="1037">H1287/H1286</f>
        <v>0.31215051252862902</v>
      </c>
      <c r="I1288" s="72">
        <f t="shared" si="1037"/>
        <v>0.16958950580144694</v>
      </c>
      <c r="J1288" s="72">
        <f t="shared" si="1037"/>
        <v>0.76083948069692731</v>
      </c>
      <c r="K1288" s="72">
        <f t="shared" si="1037"/>
        <v>0.33856395337396933</v>
      </c>
      <c r="L1288" s="72">
        <f t="shared" si="1037"/>
        <v>0.19428212554334476</v>
      </c>
      <c r="M1288" s="72">
        <f t="shared" si="1037"/>
        <v>0.4531543318410246</v>
      </c>
      <c r="N1288" s="83">
        <f t="shared" si="1037"/>
        <v>0.43602629231077367</v>
      </c>
      <c r="O1288" s="12"/>
      <c r="Y1288" s="14"/>
      <c r="Z1288" s="104"/>
      <c r="AA1288" s="104"/>
    </row>
    <row r="1289" spans="1:27" ht="15" customHeight="1">
      <c r="A1289" s="411" t="s">
        <v>6</v>
      </c>
      <c r="B1289" s="27" t="s">
        <v>7</v>
      </c>
      <c r="C1289" s="68">
        <v>5006</v>
      </c>
      <c r="D1289" s="68">
        <v>3200</v>
      </c>
      <c r="E1289" s="68">
        <v>3183</v>
      </c>
      <c r="F1289" s="68">
        <v>9526</v>
      </c>
      <c r="G1289" s="68">
        <v>5000</v>
      </c>
      <c r="H1289" s="68">
        <f>(11504-(HEX2DEC("3520")-HEX2DEC("32c0")))</f>
        <v>10896</v>
      </c>
      <c r="I1289" s="68">
        <f>(4000-2000)</f>
        <v>2000</v>
      </c>
      <c r="J1289" s="68">
        <v>9194</v>
      </c>
      <c r="K1289" s="68">
        <f>8610-(HEX2DEC("2a3c")-HEX2DEC("1fb0"))</f>
        <v>5910</v>
      </c>
      <c r="L1289" s="68">
        <v>2500</v>
      </c>
      <c r="M1289" s="68">
        <f>5451-2614</f>
        <v>2837</v>
      </c>
      <c r="N1289" s="80">
        <v>830</v>
      </c>
      <c r="O1289" s="12"/>
      <c r="P1289" s="142"/>
      <c r="Y1289" s="142"/>
      <c r="Z1289" s="104"/>
      <c r="AA1289" s="104"/>
    </row>
    <row r="1290" spans="1:27">
      <c r="A1290" s="412"/>
      <c r="B1290" s="28" t="s">
        <v>11</v>
      </c>
      <c r="C1290" s="73">
        <f t="shared" ref="C1290:I1290" si="1038">C1289*33.72</f>
        <v>168802.32</v>
      </c>
      <c r="D1290" s="73">
        <f t="shared" si="1038"/>
        <v>107904</v>
      </c>
      <c r="E1290" s="73">
        <f t="shared" si="1038"/>
        <v>107330.76</v>
      </c>
      <c r="F1290" s="73">
        <f t="shared" si="1038"/>
        <v>321216.71999999997</v>
      </c>
      <c r="G1290" s="73">
        <f t="shared" si="1038"/>
        <v>168600</v>
      </c>
      <c r="H1290" s="73">
        <f t="shared" si="1038"/>
        <v>367413.12</v>
      </c>
      <c r="I1290" s="73">
        <f t="shared" si="1038"/>
        <v>67440</v>
      </c>
      <c r="J1290" s="73">
        <f>J1289*33.72</f>
        <v>310021.68</v>
      </c>
      <c r="K1290" s="73">
        <f t="shared" ref="K1290:N1290" si="1039">K1289*33.72</f>
        <v>199285.19999999998</v>
      </c>
      <c r="L1290" s="73">
        <f t="shared" si="1039"/>
        <v>84300</v>
      </c>
      <c r="M1290" s="73">
        <f t="shared" si="1039"/>
        <v>95663.64</v>
      </c>
      <c r="N1290" s="73">
        <f t="shared" si="1039"/>
        <v>27987.599999999999</v>
      </c>
      <c r="O1290" s="12"/>
      <c r="P1290" s="142"/>
      <c r="Y1290" s="142"/>
      <c r="Z1290" s="104"/>
      <c r="AA1290" s="104"/>
    </row>
    <row r="1291" spans="1:27">
      <c r="A1291" s="412"/>
      <c r="B1291" s="28" t="s">
        <v>79</v>
      </c>
      <c r="C1291" s="73">
        <v>164000</v>
      </c>
      <c r="D1291" s="73">
        <v>109880</v>
      </c>
      <c r="E1291" s="73">
        <v>109880</v>
      </c>
      <c r="F1291" s="73">
        <v>328000</v>
      </c>
      <c r="G1291" s="73">
        <f>G1286*2</f>
        <v>242663.6</v>
      </c>
      <c r="H1291" s="73">
        <f>H1286*2</f>
        <v>220143.8</v>
      </c>
      <c r="I1291" s="73">
        <f>I1286*2</f>
        <v>242663.6</v>
      </c>
      <c r="J1291" s="73">
        <v>328000</v>
      </c>
      <c r="K1291" s="73">
        <f>K1286*2</f>
        <v>264264.40000000002</v>
      </c>
      <c r="L1291" s="73">
        <v>328000</v>
      </c>
      <c r="M1291" s="73">
        <f>2*M1286</f>
        <v>352965.4</v>
      </c>
      <c r="N1291" s="84">
        <f>2*N1286</f>
        <v>109842</v>
      </c>
      <c r="O1291" s="12"/>
      <c r="Y1291" s="14"/>
      <c r="Z1291" s="104"/>
      <c r="AA1291" s="104"/>
    </row>
    <row r="1292" spans="1:27" s="64" customFormat="1">
      <c r="A1292" s="412"/>
      <c r="B1292" s="66" t="s">
        <v>8</v>
      </c>
      <c r="C1292" s="98">
        <f>SUM(C1289-524)</f>
        <v>4482</v>
      </c>
      <c r="D1292" s="98">
        <f>SUM(D1289-736)</f>
        <v>2464</v>
      </c>
      <c r="E1292" s="98">
        <f>SUM(E1289-738)</f>
        <v>2445</v>
      </c>
      <c r="F1292" s="98">
        <f>SUM(F1289-1193)</f>
        <v>8333</v>
      </c>
      <c r="G1292" s="98">
        <f>SUM(G1289-3411)</f>
        <v>1589</v>
      </c>
      <c r="H1292" s="98">
        <f>SUM(H1289-1933)</f>
        <v>8963</v>
      </c>
      <c r="I1292" s="98">
        <f>SUM(I1289-(2581-2000))</f>
        <v>1419</v>
      </c>
      <c r="J1292" s="98">
        <f>SUM(J1289-1336)</f>
        <v>7858</v>
      </c>
      <c r="K1292" s="98">
        <f>SUM(K1289-835)</f>
        <v>5075</v>
      </c>
      <c r="L1292" s="98">
        <f>SUM(L1289-645)</f>
        <v>1855</v>
      </c>
      <c r="M1292" s="98">
        <f>SUM(M1289-(3022-2614))</f>
        <v>2429</v>
      </c>
      <c r="N1292" s="103">
        <f>SUM(N1289-46)</f>
        <v>784</v>
      </c>
      <c r="O1292" s="12"/>
      <c r="P1292" s="175"/>
      <c r="Q1292" s="67"/>
      <c r="R1292" s="67"/>
      <c r="S1292" s="67"/>
      <c r="T1292" s="67"/>
      <c r="U1292" s="67"/>
      <c r="V1292" s="67"/>
      <c r="W1292" s="67"/>
    </row>
    <row r="1293" spans="1:27">
      <c r="A1293" s="412"/>
      <c r="B1293" s="29" t="s">
        <v>77</v>
      </c>
      <c r="C1293" s="75">
        <f>C1292*33.72</f>
        <v>151133.04</v>
      </c>
      <c r="D1293" s="75">
        <f>D1292*33.72</f>
        <v>83086.080000000002</v>
      </c>
      <c r="E1293" s="75">
        <f>E1292*33.72</f>
        <v>82445.399999999994</v>
      </c>
      <c r="F1293" s="75">
        <f>F1292*33.72</f>
        <v>280988.76</v>
      </c>
      <c r="G1293" s="75">
        <f>G1292*33.72*2</f>
        <v>107162.16</v>
      </c>
      <c r="H1293" s="75">
        <f>H1292*33.72</f>
        <v>302232.36</v>
      </c>
      <c r="I1293" s="75">
        <f>I1292*33.72</f>
        <v>47848.68</v>
      </c>
      <c r="J1293" s="75">
        <f>J1292*33.72</f>
        <v>264971.76</v>
      </c>
      <c r="K1293" s="75">
        <f>K1292*33.72</f>
        <v>171129</v>
      </c>
      <c r="L1293" s="75">
        <f>L1292*33.72</f>
        <v>62550.6</v>
      </c>
      <c r="M1293" s="75">
        <f>M1292*33.72*2</f>
        <v>163811.75999999998</v>
      </c>
      <c r="N1293" s="11">
        <f>N1292*33.72</f>
        <v>26436.48</v>
      </c>
      <c r="O1293" s="12"/>
      <c r="P1293" s="175"/>
    </row>
    <row r="1294" spans="1:27" ht="15.75" thickBot="1">
      <c r="A1294" s="412"/>
      <c r="B1294" s="30" t="s">
        <v>10</v>
      </c>
      <c r="C1294" s="71">
        <f>C1292*33.7/C1286</f>
        <v>1.3041579459974721</v>
      </c>
      <c r="D1294" s="71">
        <f t="shared" ref="D1294:N1294" si="1040">D1292*33.7/D1286</f>
        <v>0.83840241029788465</v>
      </c>
      <c r="E1294" s="78">
        <f t="shared" si="1040"/>
        <v>0.83193745664704866</v>
      </c>
      <c r="F1294" s="78">
        <f t="shared" si="1040"/>
        <v>1.5429972230433557</v>
      </c>
      <c r="G1294" s="78">
        <f t="shared" si="1040"/>
        <v>0.44134596206435578</v>
      </c>
      <c r="H1294" s="78">
        <f t="shared" si="1040"/>
        <v>2.7441436006828268</v>
      </c>
      <c r="I1294" s="78">
        <f t="shared" si="1040"/>
        <v>0.39412833239101375</v>
      </c>
      <c r="J1294" s="78">
        <f t="shared" si="1040"/>
        <v>1.5489168707989118</v>
      </c>
      <c r="K1294" s="78">
        <f t="shared" si="1040"/>
        <v>1.2943665510753624</v>
      </c>
      <c r="L1294" s="78">
        <f t="shared" si="1040"/>
        <v>1.0304553299299937</v>
      </c>
      <c r="M1294" s="79">
        <f t="shared" si="1040"/>
        <v>0.46382619939518149</v>
      </c>
      <c r="N1294" s="26">
        <f t="shared" si="1040"/>
        <v>0.48106917208353822</v>
      </c>
      <c r="O1294" s="12"/>
      <c r="P1294" s="175"/>
    </row>
    <row r="1295" spans="1:27" ht="15.75" customHeight="1" thickBot="1">
      <c r="A1295" s="424" t="s">
        <v>83</v>
      </c>
      <c r="B1295" s="425"/>
      <c r="C1295" s="76">
        <f>MIN(2*C1286,C1291)-C1293</f>
        <v>12866.959999999992</v>
      </c>
      <c r="D1295" s="76">
        <f t="shared" ref="D1295:N1295" si="1041">MIN(2*D1286,D1291)-D1293</f>
        <v>26793.919999999998</v>
      </c>
      <c r="E1295" s="76">
        <f t="shared" si="1041"/>
        <v>27434.600000000006</v>
      </c>
      <c r="F1295" s="76">
        <f t="shared" si="1041"/>
        <v>47011.239999999991</v>
      </c>
      <c r="G1295" s="76">
        <f t="shared" si="1041"/>
        <v>135501.44</v>
      </c>
      <c r="H1295" s="76">
        <f t="shared" si="1041"/>
        <v>-82088.56</v>
      </c>
      <c r="I1295" s="76">
        <f t="shared" si="1041"/>
        <v>194814.92</v>
      </c>
      <c r="J1295" s="76">
        <f t="shared" si="1041"/>
        <v>63028.239999999991</v>
      </c>
      <c r="K1295" s="76">
        <f t="shared" si="1041"/>
        <v>93135.400000000023</v>
      </c>
      <c r="L1295" s="76">
        <f t="shared" si="1041"/>
        <v>58781.200000000004</v>
      </c>
      <c r="M1295" s="76">
        <f t="shared" si="1041"/>
        <v>189153.64000000004</v>
      </c>
      <c r="N1295" s="22">
        <f t="shared" si="1041"/>
        <v>83405.52</v>
      </c>
      <c r="O1295" s="12"/>
      <c r="P1295" s="175"/>
    </row>
    <row r="1296" spans="1:27" ht="15.75" thickBot="1">
      <c r="A1296" s="368">
        <v>41046</v>
      </c>
      <c r="B1296" s="368"/>
      <c r="C1296" s="368"/>
      <c r="N1296" s="15"/>
    </row>
    <row r="1297" spans="1:27">
      <c r="A1297" s="407" t="s">
        <v>1</v>
      </c>
      <c r="B1297" s="420"/>
      <c r="C1297" s="68" t="s">
        <v>12</v>
      </c>
      <c r="D1297" s="68" t="s">
        <v>12</v>
      </c>
      <c r="E1297" s="68" t="s">
        <v>13</v>
      </c>
      <c r="F1297" s="68" t="s">
        <v>13</v>
      </c>
      <c r="G1297" s="68" t="s">
        <v>13</v>
      </c>
      <c r="H1297" s="68" t="s">
        <v>13</v>
      </c>
      <c r="I1297" s="68" t="s">
        <v>13</v>
      </c>
      <c r="J1297" s="68" t="s">
        <v>2</v>
      </c>
      <c r="K1297" s="68" t="s">
        <v>2</v>
      </c>
      <c r="L1297" s="68" t="s">
        <v>2</v>
      </c>
      <c r="M1297" s="68" t="s">
        <v>2</v>
      </c>
      <c r="N1297" s="4" t="s">
        <v>84</v>
      </c>
      <c r="P1297" s="174"/>
      <c r="Q1297" s="175"/>
      <c r="R1297" s="175"/>
      <c r="S1297" s="175"/>
      <c r="T1297" s="175"/>
      <c r="U1297" s="175"/>
      <c r="V1297" s="175"/>
      <c r="W1297" s="175"/>
      <c r="X1297" s="175"/>
      <c r="Y1297" s="174"/>
      <c r="Z1297" s="175"/>
      <c r="AA1297" s="175"/>
    </row>
    <row r="1298" spans="1:27" ht="15.75" thickBot="1">
      <c r="A1298" s="409" t="s">
        <v>0</v>
      </c>
      <c r="B1298" s="414"/>
      <c r="C1298" s="99" t="s">
        <v>102</v>
      </c>
      <c r="D1298" s="99" t="s">
        <v>103</v>
      </c>
      <c r="E1298" s="99" t="s">
        <v>104</v>
      </c>
      <c r="F1298" s="99" t="s">
        <v>105</v>
      </c>
      <c r="G1298" s="99" t="s">
        <v>100</v>
      </c>
      <c r="H1298" s="99" t="s">
        <v>107</v>
      </c>
      <c r="I1298" s="99" t="s">
        <v>106</v>
      </c>
      <c r="J1298" s="99" t="s">
        <v>108</v>
      </c>
      <c r="K1298" s="99" t="s">
        <v>110</v>
      </c>
      <c r="L1298" s="99" t="s">
        <v>101</v>
      </c>
      <c r="M1298" s="99" t="s">
        <v>109</v>
      </c>
      <c r="N1298" s="101" t="s">
        <v>111</v>
      </c>
      <c r="P1298" s="142"/>
      <c r="Y1298" s="142"/>
      <c r="Z1298" s="104"/>
      <c r="AA1298" s="104"/>
    </row>
    <row r="1299" spans="1:27" ht="15" customHeight="1">
      <c r="A1299" s="421" t="s">
        <v>9</v>
      </c>
      <c r="B1299" s="2" t="s">
        <v>4</v>
      </c>
      <c r="C1299" s="96">
        <v>115816.8</v>
      </c>
      <c r="D1299" s="96">
        <v>99041.7</v>
      </c>
      <c r="E1299" s="96">
        <v>99041.7</v>
      </c>
      <c r="F1299" s="96">
        <v>181997.8</v>
      </c>
      <c r="G1299" s="96">
        <v>121331.8</v>
      </c>
      <c r="H1299" s="96">
        <v>110071.9</v>
      </c>
      <c r="I1299" s="96">
        <v>121331.8</v>
      </c>
      <c r="J1299" s="96">
        <v>170967.6</v>
      </c>
      <c r="K1299" s="96">
        <v>132132.20000000001</v>
      </c>
      <c r="L1299" s="96">
        <v>60665.9</v>
      </c>
      <c r="M1299" s="96">
        <v>176482.7</v>
      </c>
      <c r="N1299" s="100">
        <v>54921</v>
      </c>
      <c r="O1299" s="12"/>
      <c r="P1299" s="142"/>
      <c r="Y1299" s="142"/>
      <c r="Z1299" s="104"/>
      <c r="AA1299" s="104"/>
    </row>
    <row r="1300" spans="1:27" s="64" customFormat="1">
      <c r="A1300" s="422"/>
      <c r="B1300" s="63" t="s">
        <v>5</v>
      </c>
      <c r="C1300" s="97">
        <v>90237.5</v>
      </c>
      <c r="D1300" s="97">
        <v>66951</v>
      </c>
      <c r="E1300" s="97">
        <v>68275.399999999994</v>
      </c>
      <c r="F1300" s="97">
        <v>145516.20000000001</v>
      </c>
      <c r="G1300" s="97">
        <v>16308.1</v>
      </c>
      <c r="H1300" s="97">
        <v>34191</v>
      </c>
      <c r="I1300" s="97">
        <v>20568.5</v>
      </c>
      <c r="J1300" s="97">
        <v>129229.5</v>
      </c>
      <c r="K1300" s="97">
        <v>44680.3</v>
      </c>
      <c r="L1300" s="97">
        <v>11711</v>
      </c>
      <c r="M1300" s="97">
        <v>79955.199999999997</v>
      </c>
      <c r="N1300" s="102">
        <v>23946.3</v>
      </c>
      <c r="O1300" s="12"/>
      <c r="P1300" s="142"/>
      <c r="Q1300" s="104"/>
      <c r="R1300" s="104"/>
      <c r="S1300" s="104"/>
      <c r="T1300" s="104"/>
      <c r="U1300" s="104"/>
      <c r="V1300" s="104"/>
      <c r="W1300" s="104"/>
      <c r="X1300" s="104"/>
      <c r="Y1300" s="142"/>
      <c r="Z1300" s="104"/>
      <c r="AA1300" s="104"/>
    </row>
    <row r="1301" spans="1:27" ht="15.75" thickBot="1">
      <c r="A1301" s="423"/>
      <c r="B1301" s="3" t="s">
        <v>3</v>
      </c>
      <c r="C1301" s="71">
        <f>C1300/C1299</f>
        <v>0.7791399865995261</v>
      </c>
      <c r="D1301" s="72">
        <f t="shared" ref="D1301:F1301" si="1042">D1300/D1299</f>
        <v>0.67598799293630862</v>
      </c>
      <c r="E1301" s="72">
        <f t="shared" si="1042"/>
        <v>0.68936013820441289</v>
      </c>
      <c r="F1301" s="72">
        <f t="shared" si="1042"/>
        <v>0.79954922532030615</v>
      </c>
      <c r="G1301" s="72">
        <f>G1300/G1299</f>
        <v>0.13440911615916026</v>
      </c>
      <c r="H1301" s="72">
        <f t="shared" ref="H1301:N1301" si="1043">H1300/H1299</f>
        <v>0.31062423743026152</v>
      </c>
      <c r="I1301" s="72">
        <f t="shared" si="1043"/>
        <v>0.16952274671602993</v>
      </c>
      <c r="J1301" s="72">
        <f t="shared" si="1043"/>
        <v>0.75587128789314462</v>
      </c>
      <c r="K1301" s="72">
        <f t="shared" si="1043"/>
        <v>0.33814846040556351</v>
      </c>
      <c r="L1301" s="72">
        <f t="shared" si="1043"/>
        <v>0.19304090106633215</v>
      </c>
      <c r="M1301" s="72">
        <f t="shared" si="1043"/>
        <v>0.45304837244670437</v>
      </c>
      <c r="N1301" s="83">
        <f t="shared" si="1043"/>
        <v>0.43601354673075871</v>
      </c>
      <c r="O1301" s="12"/>
      <c r="Y1301" s="14"/>
      <c r="Z1301" s="104"/>
      <c r="AA1301" s="104"/>
    </row>
    <row r="1302" spans="1:27" ht="15" customHeight="1">
      <c r="A1302" s="411" t="s">
        <v>6</v>
      </c>
      <c r="B1302" s="27" t="s">
        <v>7</v>
      </c>
      <c r="C1302" s="68">
        <v>5006</v>
      </c>
      <c r="D1302" s="68">
        <v>3200</v>
      </c>
      <c r="E1302" s="68">
        <v>3183</v>
      </c>
      <c r="F1302" s="68">
        <v>9526</v>
      </c>
      <c r="G1302" s="68">
        <v>5000</v>
      </c>
      <c r="H1302" s="68">
        <f>(11504-(HEX2DEC("3520")-HEX2DEC("32c0")))</f>
        <v>10896</v>
      </c>
      <c r="I1302" s="68">
        <f>(4000-2000)</f>
        <v>2000</v>
      </c>
      <c r="J1302" s="68">
        <v>9194</v>
      </c>
      <c r="K1302" s="68">
        <f>8610-(HEX2DEC("2a3c")-HEX2DEC("1d10"))</f>
        <v>5238</v>
      </c>
      <c r="L1302" s="68">
        <v>2500</v>
      </c>
      <c r="M1302" s="68">
        <f>5451-2614</f>
        <v>2837</v>
      </c>
      <c r="N1302" s="80">
        <v>830</v>
      </c>
      <c r="O1302" s="12"/>
      <c r="P1302" s="142"/>
      <c r="Y1302" s="142"/>
      <c r="Z1302" s="104"/>
      <c r="AA1302" s="104"/>
    </row>
    <row r="1303" spans="1:27">
      <c r="A1303" s="412"/>
      <c r="B1303" s="28" t="s">
        <v>11</v>
      </c>
      <c r="C1303" s="73">
        <f t="shared" ref="C1303:I1303" si="1044">C1302*33.72</f>
        <v>168802.32</v>
      </c>
      <c r="D1303" s="73">
        <f t="shared" si="1044"/>
        <v>107904</v>
      </c>
      <c r="E1303" s="73">
        <f t="shared" si="1044"/>
        <v>107330.76</v>
      </c>
      <c r="F1303" s="73">
        <f t="shared" si="1044"/>
        <v>321216.71999999997</v>
      </c>
      <c r="G1303" s="73">
        <f t="shared" si="1044"/>
        <v>168600</v>
      </c>
      <c r="H1303" s="73">
        <f t="shared" si="1044"/>
        <v>367413.12</v>
      </c>
      <c r="I1303" s="73">
        <f t="shared" si="1044"/>
        <v>67440</v>
      </c>
      <c r="J1303" s="73">
        <f>J1302*33.72</f>
        <v>310021.68</v>
      </c>
      <c r="K1303" s="73">
        <f t="shared" ref="K1303:N1303" si="1045">K1302*33.72</f>
        <v>176625.36</v>
      </c>
      <c r="L1303" s="73">
        <f t="shared" si="1045"/>
        <v>84300</v>
      </c>
      <c r="M1303" s="73">
        <f t="shared" si="1045"/>
        <v>95663.64</v>
      </c>
      <c r="N1303" s="73">
        <f t="shared" si="1045"/>
        <v>27987.599999999999</v>
      </c>
      <c r="O1303" s="12"/>
      <c r="P1303" s="142"/>
      <c r="Y1303" s="142"/>
      <c r="Z1303" s="104"/>
      <c r="AA1303" s="104"/>
    </row>
    <row r="1304" spans="1:27">
      <c r="A1304" s="412"/>
      <c r="B1304" s="28" t="s">
        <v>79</v>
      </c>
      <c r="C1304" s="73">
        <v>164000</v>
      </c>
      <c r="D1304" s="73">
        <v>109880</v>
      </c>
      <c r="E1304" s="73">
        <v>109880</v>
      </c>
      <c r="F1304" s="73">
        <v>328000</v>
      </c>
      <c r="G1304" s="73">
        <f>G1299*2</f>
        <v>242663.6</v>
      </c>
      <c r="H1304" s="73">
        <f>H1299*2</f>
        <v>220143.8</v>
      </c>
      <c r="I1304" s="73">
        <f>I1299*2</f>
        <v>242663.6</v>
      </c>
      <c r="J1304" s="73">
        <v>328000</v>
      </c>
      <c r="K1304" s="73">
        <f>K1299*2</f>
        <v>264264.40000000002</v>
      </c>
      <c r="L1304" s="73">
        <v>328000</v>
      </c>
      <c r="M1304" s="73">
        <f>2*M1299</f>
        <v>352965.4</v>
      </c>
      <c r="N1304" s="84">
        <f>2*N1299</f>
        <v>109842</v>
      </c>
      <c r="O1304" s="12"/>
      <c r="Y1304" s="14"/>
      <c r="Z1304" s="104"/>
      <c r="AA1304" s="104"/>
    </row>
    <row r="1305" spans="1:27" s="64" customFormat="1">
      <c r="A1305" s="412"/>
      <c r="B1305" s="66" t="s">
        <v>8</v>
      </c>
      <c r="C1305" s="98">
        <f>SUM(C1302-524)</f>
        <v>4482</v>
      </c>
      <c r="D1305" s="98">
        <f>SUM(D1302-736)</f>
        <v>2464</v>
      </c>
      <c r="E1305" s="98">
        <f>SUM(E1302-738)</f>
        <v>2445</v>
      </c>
      <c r="F1305" s="98">
        <f>SUM(F1302-1193)</f>
        <v>8333</v>
      </c>
      <c r="G1305" s="98">
        <f>SUM(G1302-3448)</f>
        <v>1552</v>
      </c>
      <c r="H1305" s="98">
        <f>SUM(H1302-1933)</f>
        <v>8963</v>
      </c>
      <c r="I1305" s="98">
        <f>SUM(I1302-(2581-2000))</f>
        <v>1419</v>
      </c>
      <c r="J1305" s="98">
        <f>SUM(J1302-1336)</f>
        <v>7858</v>
      </c>
      <c r="K1305" s="98">
        <f>SUM(K1302-835)</f>
        <v>4403</v>
      </c>
      <c r="L1305" s="98">
        <f>SUM(L1302-682)</f>
        <v>1818</v>
      </c>
      <c r="M1305" s="98">
        <f>SUM(M1302-(3022-2614))</f>
        <v>2429</v>
      </c>
      <c r="N1305" s="103">
        <f>SUM(N1302-46)</f>
        <v>784</v>
      </c>
      <c r="O1305" s="12"/>
      <c r="P1305" s="175"/>
      <c r="Q1305" s="67"/>
      <c r="R1305" s="67"/>
      <c r="S1305" s="67"/>
      <c r="T1305" s="67"/>
      <c r="U1305" s="67"/>
      <c r="V1305" s="67"/>
      <c r="W1305" s="67"/>
    </row>
    <row r="1306" spans="1:27">
      <c r="A1306" s="412"/>
      <c r="B1306" s="29" t="s">
        <v>77</v>
      </c>
      <c r="C1306" s="75">
        <f>C1305*33.72</f>
        <v>151133.04</v>
      </c>
      <c r="D1306" s="75">
        <f>D1305*33.72</f>
        <v>83086.080000000002</v>
      </c>
      <c r="E1306" s="75">
        <f>E1305*33.72</f>
        <v>82445.399999999994</v>
      </c>
      <c r="F1306" s="75">
        <f>F1305*33.72</f>
        <v>280988.76</v>
      </c>
      <c r="G1306" s="75">
        <f>G1305*33.72*2</f>
        <v>104666.87999999999</v>
      </c>
      <c r="H1306" s="75">
        <f>H1305*33.72</f>
        <v>302232.36</v>
      </c>
      <c r="I1306" s="75">
        <f>I1305*33.72</f>
        <v>47848.68</v>
      </c>
      <c r="J1306" s="75">
        <f>J1305*33.72</f>
        <v>264971.76</v>
      </c>
      <c r="K1306" s="75">
        <f>K1305*33.72</f>
        <v>148469.16</v>
      </c>
      <c r="L1306" s="75">
        <f>L1305*33.72</f>
        <v>61302.96</v>
      </c>
      <c r="M1306" s="75">
        <f>M1305*33.72*2</f>
        <v>163811.75999999998</v>
      </c>
      <c r="N1306" s="11">
        <f>N1305*33.72</f>
        <v>26436.48</v>
      </c>
      <c r="O1306" s="12"/>
      <c r="P1306" s="175"/>
    </row>
    <row r="1307" spans="1:27" ht="15.75" thickBot="1">
      <c r="A1307" s="412"/>
      <c r="B1307" s="30" t="s">
        <v>10</v>
      </c>
      <c r="C1307" s="71">
        <f>C1305*33.7/C1299</f>
        <v>1.3041579459974721</v>
      </c>
      <c r="D1307" s="71">
        <f t="shared" ref="D1307:N1307" si="1046">D1305*33.7/D1299</f>
        <v>0.83840241029788465</v>
      </c>
      <c r="E1307" s="78">
        <f t="shared" si="1046"/>
        <v>0.83193745664704866</v>
      </c>
      <c r="F1307" s="78">
        <f t="shared" si="1046"/>
        <v>1.5429972230433557</v>
      </c>
      <c r="G1307" s="78">
        <f t="shared" si="1046"/>
        <v>0.43106918384133425</v>
      </c>
      <c r="H1307" s="78">
        <f t="shared" si="1046"/>
        <v>2.7441436006828268</v>
      </c>
      <c r="I1307" s="78">
        <f t="shared" si="1046"/>
        <v>0.39412833239101375</v>
      </c>
      <c r="J1307" s="78">
        <f t="shared" si="1046"/>
        <v>1.5489168707989118</v>
      </c>
      <c r="K1307" s="78">
        <f t="shared" si="1046"/>
        <v>1.1229745663812454</v>
      </c>
      <c r="L1307" s="78">
        <f t="shared" si="1046"/>
        <v>1.0099017734839506</v>
      </c>
      <c r="M1307" s="79">
        <f t="shared" si="1046"/>
        <v>0.46382619939518149</v>
      </c>
      <c r="N1307" s="26">
        <f t="shared" si="1046"/>
        <v>0.48106917208353822</v>
      </c>
      <c r="O1307" s="12"/>
      <c r="P1307" s="175"/>
    </row>
    <row r="1308" spans="1:27" ht="15.75" customHeight="1" thickBot="1">
      <c r="A1308" s="424" t="s">
        <v>83</v>
      </c>
      <c r="B1308" s="425"/>
      <c r="C1308" s="76">
        <f>MIN(2*C1299,C1304)-C1306</f>
        <v>12866.959999999992</v>
      </c>
      <c r="D1308" s="76">
        <f t="shared" ref="D1308:N1308" si="1047">MIN(2*D1299,D1304)-D1306</f>
        <v>26793.919999999998</v>
      </c>
      <c r="E1308" s="76">
        <f t="shared" si="1047"/>
        <v>27434.600000000006</v>
      </c>
      <c r="F1308" s="76">
        <f t="shared" si="1047"/>
        <v>47011.239999999991</v>
      </c>
      <c r="G1308" s="76">
        <f t="shared" si="1047"/>
        <v>137996.72000000003</v>
      </c>
      <c r="H1308" s="76">
        <f t="shared" si="1047"/>
        <v>-82088.56</v>
      </c>
      <c r="I1308" s="76">
        <f t="shared" si="1047"/>
        <v>194814.92</v>
      </c>
      <c r="J1308" s="76">
        <f t="shared" si="1047"/>
        <v>63028.239999999991</v>
      </c>
      <c r="K1308" s="76">
        <f t="shared" si="1047"/>
        <v>115795.24000000002</v>
      </c>
      <c r="L1308" s="76">
        <f t="shared" si="1047"/>
        <v>60028.840000000004</v>
      </c>
      <c r="M1308" s="76">
        <f t="shared" si="1047"/>
        <v>189153.64000000004</v>
      </c>
      <c r="N1308" s="22">
        <f t="shared" si="1047"/>
        <v>83405.52</v>
      </c>
      <c r="O1308" s="12"/>
      <c r="P1308" s="175"/>
    </row>
    <row r="1309" spans="1:27" ht="15.75" thickBot="1">
      <c r="A1309" s="368">
        <v>41045</v>
      </c>
      <c r="B1309" s="368"/>
      <c r="C1309" s="368"/>
      <c r="N1309" s="15"/>
    </row>
    <row r="1310" spans="1:27">
      <c r="A1310" s="407" t="s">
        <v>1</v>
      </c>
      <c r="B1310" s="420"/>
      <c r="C1310" s="68" t="s">
        <v>12</v>
      </c>
      <c r="D1310" s="68" t="s">
        <v>12</v>
      </c>
      <c r="E1310" s="68" t="s">
        <v>13</v>
      </c>
      <c r="F1310" s="68" t="s">
        <v>13</v>
      </c>
      <c r="G1310" s="68" t="s">
        <v>13</v>
      </c>
      <c r="H1310" s="68" t="s">
        <v>13</v>
      </c>
      <c r="I1310" s="68" t="s">
        <v>13</v>
      </c>
      <c r="J1310" s="68" t="s">
        <v>2</v>
      </c>
      <c r="K1310" s="68" t="s">
        <v>2</v>
      </c>
      <c r="L1310" s="68" t="s">
        <v>2</v>
      </c>
      <c r="M1310" s="68" t="s">
        <v>2</v>
      </c>
      <c r="N1310" s="4" t="s">
        <v>84</v>
      </c>
      <c r="P1310" s="174"/>
      <c r="Q1310" s="175"/>
      <c r="R1310" s="175"/>
      <c r="S1310" s="175"/>
      <c r="T1310" s="175"/>
      <c r="U1310" s="175"/>
      <c r="V1310" s="175"/>
      <c r="W1310" s="175"/>
      <c r="X1310" s="175"/>
      <c r="Y1310" s="174"/>
      <c r="Z1310" s="175"/>
      <c r="AA1310" s="175"/>
    </row>
    <row r="1311" spans="1:27" ht="15.75" thickBot="1">
      <c r="A1311" s="409" t="s">
        <v>0</v>
      </c>
      <c r="B1311" s="414"/>
      <c r="C1311" s="99" t="s">
        <v>102</v>
      </c>
      <c r="D1311" s="99" t="s">
        <v>103</v>
      </c>
      <c r="E1311" s="99" t="s">
        <v>104</v>
      </c>
      <c r="F1311" s="99" t="s">
        <v>105</v>
      </c>
      <c r="G1311" s="99" t="s">
        <v>100</v>
      </c>
      <c r="H1311" s="99" t="s">
        <v>107</v>
      </c>
      <c r="I1311" s="99" t="s">
        <v>106</v>
      </c>
      <c r="J1311" s="99" t="s">
        <v>108</v>
      </c>
      <c r="K1311" s="99" t="s">
        <v>110</v>
      </c>
      <c r="L1311" s="99" t="s">
        <v>101</v>
      </c>
      <c r="M1311" s="99" t="s">
        <v>109</v>
      </c>
      <c r="N1311" s="101" t="s">
        <v>111</v>
      </c>
      <c r="P1311" s="142"/>
      <c r="Y1311" s="142"/>
      <c r="Z1311" s="104"/>
      <c r="AA1311" s="104"/>
    </row>
    <row r="1312" spans="1:27" ht="15" customHeight="1">
      <c r="A1312" s="421" t="s">
        <v>9</v>
      </c>
      <c r="B1312" s="2" t="s">
        <v>4</v>
      </c>
      <c r="C1312" s="96">
        <v>115816.8</v>
      </c>
      <c r="D1312" s="96">
        <v>99041.7</v>
      </c>
      <c r="E1312" s="96">
        <v>99041.7</v>
      </c>
      <c r="F1312" s="96">
        <v>181997.8</v>
      </c>
      <c r="G1312" s="96">
        <v>121331.8</v>
      </c>
      <c r="H1312" s="96">
        <v>110071.9</v>
      </c>
      <c r="I1312" s="96">
        <v>121331.8</v>
      </c>
      <c r="J1312" s="96">
        <v>170967.6</v>
      </c>
      <c r="K1312" s="96">
        <v>132132.20000000001</v>
      </c>
      <c r="L1312" s="96">
        <v>60665.9</v>
      </c>
      <c r="M1312" s="96">
        <v>176482.7</v>
      </c>
      <c r="N1312" s="100">
        <v>54921</v>
      </c>
      <c r="O1312" s="12"/>
      <c r="P1312" s="142"/>
      <c r="Y1312" s="142"/>
      <c r="Z1312" s="104"/>
      <c r="AA1312" s="104"/>
    </row>
    <row r="1313" spans="1:27" s="64" customFormat="1">
      <c r="A1313" s="422"/>
      <c r="B1313" s="63" t="s">
        <v>5</v>
      </c>
      <c r="C1313" s="97">
        <v>90144.5</v>
      </c>
      <c r="D1313" s="97">
        <v>66945.399999999994</v>
      </c>
      <c r="E1313" s="97">
        <v>68269.899999999994</v>
      </c>
      <c r="F1313" s="97">
        <v>145160.1</v>
      </c>
      <c r="G1313" s="97">
        <v>16307.3</v>
      </c>
      <c r="H1313" s="97">
        <v>34089.300000000003</v>
      </c>
      <c r="I1313" s="97">
        <v>20562.599999999999</v>
      </c>
      <c r="J1313" s="97">
        <v>128538.5</v>
      </c>
      <c r="K1313" s="97">
        <v>44065.5</v>
      </c>
      <c r="L1313" s="97">
        <v>11665.6</v>
      </c>
      <c r="M1313" s="97">
        <v>79943.600000000006</v>
      </c>
      <c r="N1313" s="102">
        <v>23946.2</v>
      </c>
      <c r="O1313" s="12"/>
      <c r="P1313" s="142"/>
      <c r="Q1313" s="104"/>
      <c r="R1313" s="104"/>
      <c r="S1313" s="104"/>
      <c r="T1313" s="104"/>
      <c r="U1313" s="104"/>
      <c r="V1313" s="104"/>
      <c r="W1313" s="104"/>
      <c r="X1313" s="104"/>
      <c r="Y1313" s="142"/>
      <c r="Z1313" s="104"/>
      <c r="AA1313" s="104"/>
    </row>
    <row r="1314" spans="1:27" ht="15.75" thickBot="1">
      <c r="A1314" s="423"/>
      <c r="B1314" s="3" t="s">
        <v>3</v>
      </c>
      <c r="C1314" s="71">
        <f>C1313/C1312</f>
        <v>0.77833699428752989</v>
      </c>
      <c r="D1314" s="72">
        <f t="shared" ref="D1314:F1314" si="1048">D1313/D1312</f>
        <v>0.67593145109585151</v>
      </c>
      <c r="E1314" s="72">
        <f t="shared" si="1048"/>
        <v>0.68930460603967825</v>
      </c>
      <c r="F1314" s="72">
        <f t="shared" si="1048"/>
        <v>0.79759260826229772</v>
      </c>
      <c r="G1314" s="72">
        <f>G1313/G1312</f>
        <v>0.13440252266924252</v>
      </c>
      <c r="H1314" s="72">
        <f t="shared" ref="H1314:N1314" si="1049">H1313/H1312</f>
        <v>0.30970029589749976</v>
      </c>
      <c r="I1314" s="72">
        <f t="shared" si="1049"/>
        <v>0.16947411972788665</v>
      </c>
      <c r="J1314" s="72">
        <f t="shared" si="1049"/>
        <v>0.75182958642456232</v>
      </c>
      <c r="K1314" s="72">
        <f t="shared" si="1049"/>
        <v>0.33349554461365205</v>
      </c>
      <c r="L1314" s="72">
        <f t="shared" si="1049"/>
        <v>0.19229253996066983</v>
      </c>
      <c r="M1314" s="72">
        <f t="shared" si="1049"/>
        <v>0.45298264362455926</v>
      </c>
      <c r="N1314" s="83">
        <f t="shared" si="1049"/>
        <v>0.43601172593361376</v>
      </c>
      <c r="O1314" s="12"/>
      <c r="Y1314" s="14"/>
      <c r="Z1314" s="104"/>
      <c r="AA1314" s="104"/>
    </row>
    <row r="1315" spans="1:27" ht="15" customHeight="1">
      <c r="A1315" s="411" t="s">
        <v>6</v>
      </c>
      <c r="B1315" s="27" t="s">
        <v>7</v>
      </c>
      <c r="C1315" s="68">
        <v>5006</v>
      </c>
      <c r="D1315" s="68">
        <v>3200</v>
      </c>
      <c r="E1315" s="68">
        <v>3183</v>
      </c>
      <c r="F1315" s="68">
        <v>9526</v>
      </c>
      <c r="G1315" s="68">
        <v>5000</v>
      </c>
      <c r="H1315" s="68">
        <f>(11504-(HEX2DEC("3520")-HEX2DEC("32c0")))</f>
        <v>10896</v>
      </c>
      <c r="I1315" s="68">
        <f>(4000-2000)</f>
        <v>2000</v>
      </c>
      <c r="J1315" s="68">
        <v>9194</v>
      </c>
      <c r="K1315" s="68">
        <f>8610-(HEX2DEC("2a3c")-HEX2DEC("1d10"))</f>
        <v>5238</v>
      </c>
      <c r="L1315" s="68">
        <v>2500</v>
      </c>
      <c r="M1315" s="68">
        <f>5451-2614</f>
        <v>2837</v>
      </c>
      <c r="N1315" s="80">
        <v>830</v>
      </c>
      <c r="O1315" s="12"/>
      <c r="P1315" s="142"/>
      <c r="Y1315" s="142"/>
      <c r="Z1315" s="104"/>
      <c r="AA1315" s="104"/>
    </row>
    <row r="1316" spans="1:27">
      <c r="A1316" s="412"/>
      <c r="B1316" s="28" t="s">
        <v>11</v>
      </c>
      <c r="C1316" s="73">
        <f t="shared" ref="C1316:I1316" si="1050">C1315*33.72</f>
        <v>168802.32</v>
      </c>
      <c r="D1316" s="73">
        <f t="shared" si="1050"/>
        <v>107904</v>
      </c>
      <c r="E1316" s="73">
        <f t="shared" si="1050"/>
        <v>107330.76</v>
      </c>
      <c r="F1316" s="73">
        <f t="shared" si="1050"/>
        <v>321216.71999999997</v>
      </c>
      <c r="G1316" s="73">
        <f t="shared" si="1050"/>
        <v>168600</v>
      </c>
      <c r="H1316" s="73">
        <f t="shared" si="1050"/>
        <v>367413.12</v>
      </c>
      <c r="I1316" s="73">
        <f t="shared" si="1050"/>
        <v>67440</v>
      </c>
      <c r="J1316" s="73">
        <f>J1315*33.72</f>
        <v>310021.68</v>
      </c>
      <c r="K1316" s="73">
        <f t="shared" ref="K1316:N1316" si="1051">K1315*33.72</f>
        <v>176625.36</v>
      </c>
      <c r="L1316" s="73">
        <f t="shared" si="1051"/>
        <v>84300</v>
      </c>
      <c r="M1316" s="73">
        <f t="shared" si="1051"/>
        <v>95663.64</v>
      </c>
      <c r="N1316" s="73">
        <f t="shared" si="1051"/>
        <v>27987.599999999999</v>
      </c>
      <c r="O1316" s="12"/>
      <c r="P1316" s="142"/>
      <c r="Y1316" s="142"/>
      <c r="Z1316" s="104"/>
      <c r="AA1316" s="104"/>
    </row>
    <row r="1317" spans="1:27">
      <c r="A1317" s="412"/>
      <c r="B1317" s="28" t="s">
        <v>79</v>
      </c>
      <c r="C1317" s="73">
        <v>164000</v>
      </c>
      <c r="D1317" s="73">
        <v>109880</v>
      </c>
      <c r="E1317" s="73">
        <v>109880</v>
      </c>
      <c r="F1317" s="73">
        <v>328000</v>
      </c>
      <c r="G1317" s="73">
        <f>G1312*2</f>
        <v>242663.6</v>
      </c>
      <c r="H1317" s="73">
        <f>H1312*2</f>
        <v>220143.8</v>
      </c>
      <c r="I1317" s="73">
        <f>I1312*2</f>
        <v>242663.6</v>
      </c>
      <c r="J1317" s="73">
        <v>328000</v>
      </c>
      <c r="K1317" s="73">
        <f>K1312*2</f>
        <v>264264.40000000002</v>
      </c>
      <c r="L1317" s="73">
        <v>328000</v>
      </c>
      <c r="M1317" s="73">
        <f>2*M1312</f>
        <v>352965.4</v>
      </c>
      <c r="N1317" s="84">
        <f>2*N1312</f>
        <v>109842</v>
      </c>
      <c r="O1317" s="12"/>
      <c r="Y1317" s="14"/>
      <c r="Z1317" s="104"/>
      <c r="AA1317" s="104"/>
    </row>
    <row r="1318" spans="1:27" s="64" customFormat="1">
      <c r="A1318" s="412"/>
      <c r="B1318" s="66" t="s">
        <v>8</v>
      </c>
      <c r="C1318" s="98">
        <f>SUM(C1315-524)</f>
        <v>4482</v>
      </c>
      <c r="D1318" s="98">
        <f>SUM(D1315-736)</f>
        <v>2464</v>
      </c>
      <c r="E1318" s="98">
        <f>SUM(E1315-738)</f>
        <v>2445</v>
      </c>
      <c r="F1318" s="98">
        <f>SUM(F1315-1193)</f>
        <v>8333</v>
      </c>
      <c r="G1318" s="98">
        <f>SUM(G1315-3448)</f>
        <v>1552</v>
      </c>
      <c r="H1318" s="98">
        <f>SUM(H1315-2036)</f>
        <v>8860</v>
      </c>
      <c r="I1318" s="98">
        <f>SUM(I1315-(2581-2000))</f>
        <v>1419</v>
      </c>
      <c r="J1318" s="98">
        <f>SUM(J1315-1345)</f>
        <v>7849</v>
      </c>
      <c r="K1318" s="98">
        <f>SUM(K1315-847)</f>
        <v>4391</v>
      </c>
      <c r="L1318" s="98">
        <f>SUM(L1315-682)</f>
        <v>1818</v>
      </c>
      <c r="M1318" s="98">
        <f>SUM(M1315-(3022-2614))</f>
        <v>2429</v>
      </c>
      <c r="N1318" s="103">
        <f>SUM(N1315-46)</f>
        <v>784</v>
      </c>
      <c r="O1318" s="12"/>
      <c r="P1318" s="175"/>
      <c r="Q1318" s="67"/>
      <c r="R1318" s="67"/>
      <c r="S1318" s="67"/>
      <c r="T1318" s="67"/>
      <c r="U1318" s="67"/>
      <c r="V1318" s="67"/>
      <c r="W1318" s="67"/>
    </row>
    <row r="1319" spans="1:27">
      <c r="A1319" s="412"/>
      <c r="B1319" s="29" t="s">
        <v>77</v>
      </c>
      <c r="C1319" s="75">
        <f>C1318*33.72</f>
        <v>151133.04</v>
      </c>
      <c r="D1319" s="75">
        <f>D1318*33.72</f>
        <v>83086.080000000002</v>
      </c>
      <c r="E1319" s="75">
        <f>E1318*33.72</f>
        <v>82445.399999999994</v>
      </c>
      <c r="F1319" s="75">
        <f>F1318*33.72</f>
        <v>280988.76</v>
      </c>
      <c r="G1319" s="75">
        <f>G1318*33.72*2</f>
        <v>104666.87999999999</v>
      </c>
      <c r="H1319" s="75">
        <f>H1318*33.72</f>
        <v>298759.2</v>
      </c>
      <c r="I1319" s="75">
        <f>I1318*33.72</f>
        <v>47848.68</v>
      </c>
      <c r="J1319" s="75">
        <f>J1318*33.72</f>
        <v>264668.27999999997</v>
      </c>
      <c r="K1319" s="75">
        <f>K1318*33.72</f>
        <v>148064.51999999999</v>
      </c>
      <c r="L1319" s="75">
        <f>L1318*33.72</f>
        <v>61302.96</v>
      </c>
      <c r="M1319" s="75">
        <f>M1318*33.72*2</f>
        <v>163811.75999999998</v>
      </c>
      <c r="N1319" s="11">
        <f>N1318*33.72</f>
        <v>26436.48</v>
      </c>
      <c r="O1319" s="12"/>
      <c r="P1319" s="175"/>
    </row>
    <row r="1320" spans="1:27" ht="15.75" thickBot="1">
      <c r="A1320" s="412"/>
      <c r="B1320" s="30" t="s">
        <v>10</v>
      </c>
      <c r="C1320" s="71">
        <f>C1318*33.7/C1312</f>
        <v>1.3041579459974721</v>
      </c>
      <c r="D1320" s="71">
        <f t="shared" ref="D1320:N1320" si="1052">D1318*33.7/D1312</f>
        <v>0.83840241029788465</v>
      </c>
      <c r="E1320" s="78">
        <f t="shared" si="1052"/>
        <v>0.83193745664704866</v>
      </c>
      <c r="F1320" s="78">
        <f t="shared" si="1052"/>
        <v>1.5429972230433557</v>
      </c>
      <c r="G1320" s="78">
        <f t="shared" si="1052"/>
        <v>0.43106918384133425</v>
      </c>
      <c r="H1320" s="78">
        <f t="shared" si="1052"/>
        <v>2.7126087584569722</v>
      </c>
      <c r="I1320" s="78">
        <f t="shared" si="1052"/>
        <v>0.39412833239101375</v>
      </c>
      <c r="J1320" s="78">
        <f t="shared" si="1052"/>
        <v>1.5471428504582156</v>
      </c>
      <c r="K1320" s="78">
        <f t="shared" si="1052"/>
        <v>1.1199139952259933</v>
      </c>
      <c r="L1320" s="78">
        <f t="shared" si="1052"/>
        <v>1.0099017734839506</v>
      </c>
      <c r="M1320" s="79">
        <f t="shared" si="1052"/>
        <v>0.46382619939518149</v>
      </c>
      <c r="N1320" s="26">
        <f t="shared" si="1052"/>
        <v>0.48106917208353822</v>
      </c>
      <c r="O1320" s="12"/>
      <c r="P1320" s="175"/>
    </row>
    <row r="1321" spans="1:27" ht="15.75" customHeight="1" thickBot="1">
      <c r="A1321" s="424" t="s">
        <v>83</v>
      </c>
      <c r="B1321" s="425"/>
      <c r="C1321" s="76">
        <f>MIN(2*C1312,C1317)-C1319</f>
        <v>12866.959999999992</v>
      </c>
      <c r="D1321" s="76">
        <f t="shared" ref="D1321:N1321" si="1053">MIN(2*D1312,D1317)-D1319</f>
        <v>26793.919999999998</v>
      </c>
      <c r="E1321" s="76">
        <f t="shared" si="1053"/>
        <v>27434.600000000006</v>
      </c>
      <c r="F1321" s="76">
        <f t="shared" si="1053"/>
        <v>47011.239999999991</v>
      </c>
      <c r="G1321" s="76">
        <f t="shared" si="1053"/>
        <v>137996.72000000003</v>
      </c>
      <c r="H1321" s="76">
        <f t="shared" si="1053"/>
        <v>-78615.400000000023</v>
      </c>
      <c r="I1321" s="76">
        <f t="shared" si="1053"/>
        <v>194814.92</v>
      </c>
      <c r="J1321" s="76">
        <f t="shared" si="1053"/>
        <v>63331.72000000003</v>
      </c>
      <c r="K1321" s="76">
        <f t="shared" si="1053"/>
        <v>116199.88000000003</v>
      </c>
      <c r="L1321" s="76">
        <f t="shared" si="1053"/>
        <v>60028.840000000004</v>
      </c>
      <c r="M1321" s="76">
        <f t="shared" si="1053"/>
        <v>189153.64000000004</v>
      </c>
      <c r="N1321" s="22">
        <f t="shared" si="1053"/>
        <v>83405.52</v>
      </c>
      <c r="O1321" s="12"/>
      <c r="P1321" s="175"/>
    </row>
    <row r="1322" spans="1:27" ht="15.75" thickBot="1">
      <c r="A1322" s="368">
        <v>41044</v>
      </c>
      <c r="B1322" s="368"/>
      <c r="C1322" s="368"/>
      <c r="N1322" s="15"/>
    </row>
    <row r="1323" spans="1:27">
      <c r="A1323" s="407" t="s">
        <v>1</v>
      </c>
      <c r="B1323" s="420"/>
      <c r="C1323" s="68" t="s">
        <v>12</v>
      </c>
      <c r="D1323" s="68" t="s">
        <v>12</v>
      </c>
      <c r="E1323" s="68" t="s">
        <v>13</v>
      </c>
      <c r="F1323" s="68" t="s">
        <v>13</v>
      </c>
      <c r="G1323" s="68" t="s">
        <v>13</v>
      </c>
      <c r="H1323" s="68" t="s">
        <v>13</v>
      </c>
      <c r="I1323" s="68" t="s">
        <v>13</v>
      </c>
      <c r="J1323" s="68" t="s">
        <v>2</v>
      </c>
      <c r="K1323" s="68" t="s">
        <v>2</v>
      </c>
      <c r="L1323" s="68" t="s">
        <v>2</v>
      </c>
      <c r="M1323" s="68" t="s">
        <v>2</v>
      </c>
      <c r="N1323" s="4" t="s">
        <v>84</v>
      </c>
      <c r="P1323" s="174"/>
      <c r="Q1323" s="175"/>
      <c r="R1323" s="175"/>
      <c r="S1323" s="175"/>
      <c r="T1323" s="175"/>
      <c r="U1323" s="175"/>
      <c r="V1323" s="175"/>
      <c r="W1323" s="175"/>
      <c r="X1323" s="175"/>
      <c r="Y1323" s="174"/>
      <c r="Z1323" s="175"/>
      <c r="AA1323" s="175"/>
    </row>
    <row r="1324" spans="1:27" ht="15.75" thickBot="1">
      <c r="A1324" s="409" t="s">
        <v>0</v>
      </c>
      <c r="B1324" s="414"/>
      <c r="C1324" s="99" t="s">
        <v>102</v>
      </c>
      <c r="D1324" s="99" t="s">
        <v>103</v>
      </c>
      <c r="E1324" s="99" t="s">
        <v>104</v>
      </c>
      <c r="F1324" s="99" t="s">
        <v>105</v>
      </c>
      <c r="G1324" s="99" t="s">
        <v>100</v>
      </c>
      <c r="H1324" s="99" t="s">
        <v>107</v>
      </c>
      <c r="I1324" s="99" t="s">
        <v>106</v>
      </c>
      <c r="J1324" s="99" t="s">
        <v>108</v>
      </c>
      <c r="K1324" s="99" t="s">
        <v>110</v>
      </c>
      <c r="L1324" s="99" t="s">
        <v>101</v>
      </c>
      <c r="M1324" s="99" t="s">
        <v>109</v>
      </c>
      <c r="N1324" s="101" t="s">
        <v>111</v>
      </c>
      <c r="P1324" s="142"/>
      <c r="Y1324" s="142"/>
      <c r="Z1324" s="104"/>
      <c r="AA1324" s="104"/>
    </row>
    <row r="1325" spans="1:27" ht="15" customHeight="1">
      <c r="A1325" s="421" t="s">
        <v>9</v>
      </c>
      <c r="B1325" s="2" t="s">
        <v>4</v>
      </c>
      <c r="C1325" s="96">
        <v>115816.8</v>
      </c>
      <c r="D1325" s="96">
        <v>99041.7</v>
      </c>
      <c r="E1325" s="96">
        <v>99041.7</v>
      </c>
      <c r="F1325" s="96">
        <v>181997.8</v>
      </c>
      <c r="G1325" s="96">
        <v>121331.8</v>
      </c>
      <c r="H1325" s="96">
        <v>110071.9</v>
      </c>
      <c r="I1325" s="96">
        <v>121331.8</v>
      </c>
      <c r="J1325" s="96">
        <v>170967.6</v>
      </c>
      <c r="K1325" s="96">
        <v>132132.20000000001</v>
      </c>
      <c r="L1325" s="96">
        <v>60665.9</v>
      </c>
      <c r="M1325" s="96">
        <v>176482.7</v>
      </c>
      <c r="N1325" s="100">
        <v>54921</v>
      </c>
      <c r="O1325" s="12"/>
      <c r="P1325" s="142"/>
      <c r="Y1325" s="142"/>
      <c r="Z1325" s="104"/>
      <c r="AA1325" s="104"/>
    </row>
    <row r="1326" spans="1:27" s="64" customFormat="1">
      <c r="A1326" s="422"/>
      <c r="B1326" s="63" t="s">
        <v>5</v>
      </c>
      <c r="C1326" s="97">
        <v>90127.5</v>
      </c>
      <c r="D1326" s="97">
        <v>66939</v>
      </c>
      <c r="E1326" s="97">
        <v>68254.899999999994</v>
      </c>
      <c r="F1326" s="97">
        <v>145035</v>
      </c>
      <c r="G1326" s="97">
        <v>16305.5</v>
      </c>
      <c r="H1326" s="97">
        <v>33673</v>
      </c>
      <c r="I1326" s="97">
        <v>20557.2</v>
      </c>
      <c r="J1326" s="97">
        <v>128434.5</v>
      </c>
      <c r="K1326" s="97">
        <v>44062.5</v>
      </c>
      <c r="L1326" s="97">
        <v>11643.4</v>
      </c>
      <c r="M1326" s="97">
        <v>79933.399999999994</v>
      </c>
      <c r="N1326" s="102">
        <v>23945.8</v>
      </c>
      <c r="O1326" s="12"/>
      <c r="P1326" s="142"/>
      <c r="Q1326" s="104"/>
      <c r="R1326" s="104"/>
      <c r="S1326" s="104"/>
      <c r="T1326" s="104"/>
      <c r="U1326" s="104"/>
      <c r="V1326" s="104"/>
      <c r="W1326" s="104"/>
      <c r="X1326" s="104"/>
      <c r="Y1326" s="142"/>
      <c r="Z1326" s="104"/>
      <c r="AA1326" s="104"/>
    </row>
    <row r="1327" spans="1:27" ht="15.75" thickBot="1">
      <c r="A1327" s="423"/>
      <c r="B1327" s="3" t="s">
        <v>3</v>
      </c>
      <c r="C1327" s="71">
        <f>C1326/C1325</f>
        <v>0.77819021074662742</v>
      </c>
      <c r="D1327" s="72">
        <f t="shared" ref="D1327:F1327" si="1054">D1326/D1325</f>
        <v>0.67586683184961482</v>
      </c>
      <c r="E1327" s="72">
        <f t="shared" si="1054"/>
        <v>0.689153154681311</v>
      </c>
      <c r="F1327" s="72">
        <f t="shared" si="1054"/>
        <v>0.79690523731605556</v>
      </c>
      <c r="G1327" s="72">
        <f>G1326/G1325</f>
        <v>0.13438768731692763</v>
      </c>
      <c r="H1327" s="72">
        <f t="shared" ref="H1327:N1327" si="1055">H1326/H1325</f>
        <v>0.30591822254362833</v>
      </c>
      <c r="I1327" s="72">
        <f t="shared" si="1055"/>
        <v>0.169429613670942</v>
      </c>
      <c r="J1327" s="72">
        <f t="shared" si="1055"/>
        <v>0.75122128403276411</v>
      </c>
      <c r="K1327" s="72">
        <f t="shared" si="1055"/>
        <v>0.33347284007985939</v>
      </c>
      <c r="L1327" s="72">
        <f t="shared" si="1055"/>
        <v>0.19192660127023581</v>
      </c>
      <c r="M1327" s="72">
        <f t="shared" si="1055"/>
        <v>0.45292484759129359</v>
      </c>
      <c r="N1327" s="83">
        <f t="shared" si="1055"/>
        <v>0.43600444274503375</v>
      </c>
      <c r="O1327" s="12"/>
      <c r="Y1327" s="14"/>
      <c r="Z1327" s="104"/>
      <c r="AA1327" s="104"/>
    </row>
    <row r="1328" spans="1:27" ht="15" customHeight="1">
      <c r="A1328" s="411" t="s">
        <v>6</v>
      </c>
      <c r="B1328" s="27" t="s">
        <v>7</v>
      </c>
      <c r="C1328" s="68">
        <v>5006</v>
      </c>
      <c r="D1328" s="68">
        <v>3200</v>
      </c>
      <c r="E1328" s="68">
        <v>3183</v>
      </c>
      <c r="F1328" s="68">
        <v>9526</v>
      </c>
      <c r="G1328" s="68">
        <v>5000</v>
      </c>
      <c r="H1328" s="68">
        <f>(11504-(HEX2DEC("3520")-HEX2DEC("2e5e")))</f>
        <v>9774</v>
      </c>
      <c r="I1328" s="68">
        <f>(4000-2000)</f>
        <v>2000</v>
      </c>
      <c r="J1328" s="68">
        <v>9194</v>
      </c>
      <c r="K1328" s="68">
        <f>8610-(HEX2DEC("2a3c")-HEX2DEC("1d10"))</f>
        <v>5238</v>
      </c>
      <c r="L1328" s="68">
        <v>2500</v>
      </c>
      <c r="M1328" s="68">
        <f>5451-2614</f>
        <v>2837</v>
      </c>
      <c r="N1328" s="80">
        <v>830</v>
      </c>
      <c r="O1328" s="12"/>
      <c r="P1328" s="142"/>
      <c r="Y1328" s="142"/>
      <c r="Z1328" s="104"/>
      <c r="AA1328" s="104"/>
    </row>
    <row r="1329" spans="1:27">
      <c r="A1329" s="412"/>
      <c r="B1329" s="28" t="s">
        <v>11</v>
      </c>
      <c r="C1329" s="73">
        <f t="shared" ref="C1329:I1329" si="1056">C1328*33.72</f>
        <v>168802.32</v>
      </c>
      <c r="D1329" s="73">
        <f t="shared" si="1056"/>
        <v>107904</v>
      </c>
      <c r="E1329" s="73">
        <f t="shared" si="1056"/>
        <v>107330.76</v>
      </c>
      <c r="F1329" s="73">
        <f t="shared" si="1056"/>
        <v>321216.71999999997</v>
      </c>
      <c r="G1329" s="73">
        <f t="shared" si="1056"/>
        <v>168600</v>
      </c>
      <c r="H1329" s="73">
        <f t="shared" si="1056"/>
        <v>329579.27999999997</v>
      </c>
      <c r="I1329" s="73">
        <f t="shared" si="1056"/>
        <v>67440</v>
      </c>
      <c r="J1329" s="73">
        <f>J1328*33.72</f>
        <v>310021.68</v>
      </c>
      <c r="K1329" s="73">
        <f t="shared" ref="K1329:N1329" si="1057">K1328*33.72</f>
        <v>176625.36</v>
      </c>
      <c r="L1329" s="73">
        <f t="shared" si="1057"/>
        <v>84300</v>
      </c>
      <c r="M1329" s="73">
        <f t="shared" si="1057"/>
        <v>95663.64</v>
      </c>
      <c r="N1329" s="73">
        <f t="shared" si="1057"/>
        <v>27987.599999999999</v>
      </c>
      <c r="O1329" s="12"/>
      <c r="P1329" s="142"/>
      <c r="Y1329" s="142"/>
      <c r="Z1329" s="104"/>
      <c r="AA1329" s="104"/>
    </row>
    <row r="1330" spans="1:27">
      <c r="A1330" s="412"/>
      <c r="B1330" s="28" t="s">
        <v>79</v>
      </c>
      <c r="C1330" s="73">
        <v>164000</v>
      </c>
      <c r="D1330" s="73">
        <v>109880</v>
      </c>
      <c r="E1330" s="73">
        <v>109880</v>
      </c>
      <c r="F1330" s="73">
        <v>328000</v>
      </c>
      <c r="G1330" s="73">
        <f>G1325*2</f>
        <v>242663.6</v>
      </c>
      <c r="H1330" s="73">
        <f>H1325*2</f>
        <v>220143.8</v>
      </c>
      <c r="I1330" s="73">
        <f>I1325*2</f>
        <v>242663.6</v>
      </c>
      <c r="J1330" s="73">
        <v>328000</v>
      </c>
      <c r="K1330" s="73">
        <f>K1325*2</f>
        <v>264264.40000000002</v>
      </c>
      <c r="L1330" s="73">
        <v>328000</v>
      </c>
      <c r="M1330" s="73">
        <f>2*M1325</f>
        <v>352965.4</v>
      </c>
      <c r="N1330" s="84">
        <f>2*N1325</f>
        <v>109842</v>
      </c>
      <c r="O1330" s="12"/>
      <c r="Y1330" s="14"/>
      <c r="Z1330" s="104"/>
      <c r="AA1330" s="104"/>
    </row>
    <row r="1331" spans="1:27" s="64" customFormat="1">
      <c r="A1331" s="412"/>
      <c r="B1331" s="66" t="s">
        <v>8</v>
      </c>
      <c r="C1331" s="98">
        <f>SUM(C1328-524)</f>
        <v>4482</v>
      </c>
      <c r="D1331" s="98">
        <f>SUM(D1328-736)</f>
        <v>2464</v>
      </c>
      <c r="E1331" s="98">
        <f>SUM(E1328-738)</f>
        <v>2445</v>
      </c>
      <c r="F1331" s="98">
        <f>SUM(F1328-1205)</f>
        <v>8321</v>
      </c>
      <c r="G1331" s="98">
        <f>SUM(G1328-3513)</f>
        <v>1487</v>
      </c>
      <c r="H1331" s="98">
        <f>SUM(H1328-1586)</f>
        <v>8188</v>
      </c>
      <c r="I1331" s="98">
        <f>SUM(I1328-(2581-2000))</f>
        <v>1419</v>
      </c>
      <c r="J1331" s="98">
        <f>SUM(J1328-1347)</f>
        <v>7847</v>
      </c>
      <c r="K1331" s="98">
        <f>SUM(K1328-847)</f>
        <v>4391</v>
      </c>
      <c r="L1331" s="98">
        <f>SUM(L1328-682)</f>
        <v>1818</v>
      </c>
      <c r="M1331" s="98">
        <f>SUM(M1328-(3022-2614))</f>
        <v>2429</v>
      </c>
      <c r="N1331" s="103">
        <f>SUM(N1328-46)</f>
        <v>784</v>
      </c>
      <c r="O1331" s="12"/>
      <c r="P1331" s="175"/>
      <c r="Q1331" s="67"/>
      <c r="R1331" s="67"/>
      <c r="S1331" s="67"/>
      <c r="T1331" s="67"/>
      <c r="U1331" s="67"/>
      <c r="V1331" s="67"/>
      <c r="W1331" s="67"/>
    </row>
    <row r="1332" spans="1:27">
      <c r="A1332" s="412"/>
      <c r="B1332" s="29" t="s">
        <v>77</v>
      </c>
      <c r="C1332" s="75">
        <f>C1331*33.72</f>
        <v>151133.04</v>
      </c>
      <c r="D1332" s="75">
        <f>D1331*33.72</f>
        <v>83086.080000000002</v>
      </c>
      <c r="E1332" s="75">
        <f>E1331*33.72</f>
        <v>82445.399999999994</v>
      </c>
      <c r="F1332" s="75">
        <f>F1331*33.72</f>
        <v>280584.12</v>
      </c>
      <c r="G1332" s="75">
        <f>G1331*33.72*2</f>
        <v>100283.28</v>
      </c>
      <c r="H1332" s="75">
        <f>H1331*33.72</f>
        <v>276099.36</v>
      </c>
      <c r="I1332" s="75">
        <f>I1331*33.72</f>
        <v>47848.68</v>
      </c>
      <c r="J1332" s="75">
        <f>J1331*33.72</f>
        <v>264600.83999999997</v>
      </c>
      <c r="K1332" s="75">
        <f>K1331*33.72</f>
        <v>148064.51999999999</v>
      </c>
      <c r="L1332" s="75">
        <f>L1331*33.72</f>
        <v>61302.96</v>
      </c>
      <c r="M1332" s="75">
        <f>M1331*33.72*2</f>
        <v>163811.75999999998</v>
      </c>
      <c r="N1332" s="11">
        <f>N1331*33.72</f>
        <v>26436.48</v>
      </c>
      <c r="O1332" s="12"/>
      <c r="P1332" s="175"/>
    </row>
    <row r="1333" spans="1:27" ht="15.75" thickBot="1">
      <c r="A1333" s="412"/>
      <c r="B1333" s="30" t="s">
        <v>10</v>
      </c>
      <c r="C1333" s="71">
        <f>C1331*33.7/C1325</f>
        <v>1.3041579459974721</v>
      </c>
      <c r="D1333" s="71">
        <f t="shared" ref="D1333:N1333" si="1058">D1331*33.7/D1325</f>
        <v>0.83840241029788465</v>
      </c>
      <c r="E1333" s="78">
        <f t="shared" si="1058"/>
        <v>0.83193745664704866</v>
      </c>
      <c r="F1333" s="78">
        <f t="shared" si="1058"/>
        <v>1.540775218161978</v>
      </c>
      <c r="G1333" s="78">
        <f t="shared" si="1058"/>
        <v>0.41301538426035056</v>
      </c>
      <c r="H1333" s="78">
        <f t="shared" si="1058"/>
        <v>2.5068668751970309</v>
      </c>
      <c r="I1333" s="78">
        <f t="shared" si="1058"/>
        <v>0.39412833239101375</v>
      </c>
      <c r="J1333" s="78">
        <f t="shared" si="1058"/>
        <v>1.5467486237158385</v>
      </c>
      <c r="K1333" s="78">
        <f t="shared" si="1058"/>
        <v>1.1199139952259933</v>
      </c>
      <c r="L1333" s="78">
        <f t="shared" si="1058"/>
        <v>1.0099017734839506</v>
      </c>
      <c r="M1333" s="79">
        <f t="shared" si="1058"/>
        <v>0.46382619939518149</v>
      </c>
      <c r="N1333" s="26">
        <f t="shared" si="1058"/>
        <v>0.48106917208353822</v>
      </c>
      <c r="O1333" s="12"/>
      <c r="P1333" s="175"/>
    </row>
    <row r="1334" spans="1:27" ht="15.75" customHeight="1" thickBot="1">
      <c r="A1334" s="424" t="s">
        <v>83</v>
      </c>
      <c r="B1334" s="425"/>
      <c r="C1334" s="76">
        <f>MIN(2*C1325,C1330)-C1332</f>
        <v>12866.959999999992</v>
      </c>
      <c r="D1334" s="76">
        <f t="shared" ref="D1334:N1334" si="1059">MIN(2*D1325,D1330)-D1332</f>
        <v>26793.919999999998</v>
      </c>
      <c r="E1334" s="76">
        <f t="shared" si="1059"/>
        <v>27434.600000000006</v>
      </c>
      <c r="F1334" s="76">
        <f t="shared" si="1059"/>
        <v>47415.880000000005</v>
      </c>
      <c r="G1334" s="76">
        <f t="shared" si="1059"/>
        <v>142380.32</v>
      </c>
      <c r="H1334" s="76">
        <f t="shared" si="1059"/>
        <v>-55955.56</v>
      </c>
      <c r="I1334" s="76">
        <f t="shared" si="1059"/>
        <v>194814.92</v>
      </c>
      <c r="J1334" s="76">
        <f t="shared" si="1059"/>
        <v>63399.160000000033</v>
      </c>
      <c r="K1334" s="76">
        <f t="shared" si="1059"/>
        <v>116199.88000000003</v>
      </c>
      <c r="L1334" s="76">
        <f t="shared" si="1059"/>
        <v>60028.840000000004</v>
      </c>
      <c r="M1334" s="76">
        <f t="shared" si="1059"/>
        <v>189153.64000000004</v>
      </c>
      <c r="N1334" s="22">
        <f t="shared" si="1059"/>
        <v>83405.52</v>
      </c>
      <c r="O1334" s="12"/>
      <c r="P1334" s="175"/>
    </row>
    <row r="1335" spans="1:27" ht="15.75" thickBot="1">
      <c r="A1335" s="368">
        <v>41043</v>
      </c>
      <c r="B1335" s="368"/>
      <c r="C1335" s="368"/>
      <c r="N1335" s="15"/>
    </row>
    <row r="1336" spans="1:27">
      <c r="A1336" s="407" t="s">
        <v>1</v>
      </c>
      <c r="B1336" s="420"/>
      <c r="C1336" s="68" t="s">
        <v>12</v>
      </c>
      <c r="D1336" s="68" t="s">
        <v>12</v>
      </c>
      <c r="E1336" s="68" t="s">
        <v>13</v>
      </c>
      <c r="F1336" s="68" t="s">
        <v>13</v>
      </c>
      <c r="G1336" s="68" t="s">
        <v>13</v>
      </c>
      <c r="H1336" s="68" t="s">
        <v>13</v>
      </c>
      <c r="I1336" s="68" t="s">
        <v>13</v>
      </c>
      <c r="J1336" s="68" t="s">
        <v>2</v>
      </c>
      <c r="K1336" s="68" t="s">
        <v>2</v>
      </c>
      <c r="L1336" s="68" t="s">
        <v>2</v>
      </c>
      <c r="M1336" s="68" t="s">
        <v>2</v>
      </c>
      <c r="N1336" s="4" t="s">
        <v>84</v>
      </c>
      <c r="P1336" s="174"/>
      <c r="Q1336" s="175"/>
      <c r="R1336" s="175"/>
      <c r="S1336" s="175"/>
      <c r="T1336" s="175"/>
      <c r="U1336" s="175"/>
      <c r="V1336" s="175"/>
      <c r="W1336" s="175"/>
      <c r="X1336" s="175"/>
      <c r="Y1336" s="174"/>
      <c r="Z1336" s="175"/>
      <c r="AA1336" s="175"/>
    </row>
    <row r="1337" spans="1:27" ht="15.75" thickBot="1">
      <c r="A1337" s="409" t="s">
        <v>0</v>
      </c>
      <c r="B1337" s="414"/>
      <c r="C1337" s="99" t="s">
        <v>102</v>
      </c>
      <c r="D1337" s="99" t="s">
        <v>103</v>
      </c>
      <c r="E1337" s="99" t="s">
        <v>104</v>
      </c>
      <c r="F1337" s="99" t="s">
        <v>105</v>
      </c>
      <c r="G1337" s="99" t="s">
        <v>100</v>
      </c>
      <c r="H1337" s="99" t="s">
        <v>107</v>
      </c>
      <c r="I1337" s="99" t="s">
        <v>106</v>
      </c>
      <c r="J1337" s="99" t="s">
        <v>108</v>
      </c>
      <c r="K1337" s="99" t="s">
        <v>110</v>
      </c>
      <c r="L1337" s="99" t="s">
        <v>101</v>
      </c>
      <c r="M1337" s="99" t="s">
        <v>109</v>
      </c>
      <c r="N1337" s="101" t="s">
        <v>111</v>
      </c>
      <c r="P1337" s="142"/>
      <c r="Y1337" s="142"/>
      <c r="Z1337" s="104"/>
      <c r="AA1337" s="104"/>
    </row>
    <row r="1338" spans="1:27" ht="15" customHeight="1">
      <c r="A1338" s="421" t="s">
        <v>9</v>
      </c>
      <c r="B1338" s="2" t="s">
        <v>4</v>
      </c>
      <c r="C1338" s="96">
        <v>115816.8</v>
      </c>
      <c r="D1338" s="96">
        <v>99041.7</v>
      </c>
      <c r="E1338" s="96">
        <v>99041.7</v>
      </c>
      <c r="F1338" s="96">
        <v>181997.8</v>
      </c>
      <c r="G1338" s="96">
        <v>121331.8</v>
      </c>
      <c r="H1338" s="96">
        <v>110071.9</v>
      </c>
      <c r="I1338" s="96">
        <v>121331.8</v>
      </c>
      <c r="J1338" s="96">
        <v>170967.6</v>
      </c>
      <c r="K1338" s="96">
        <v>132132.20000000001</v>
      </c>
      <c r="L1338" s="96">
        <v>60665.9</v>
      </c>
      <c r="M1338" s="96">
        <v>176482.7</v>
      </c>
      <c r="N1338" s="100">
        <v>54921</v>
      </c>
      <c r="O1338" s="12"/>
      <c r="P1338" s="142"/>
      <c r="Y1338" s="142"/>
      <c r="Z1338" s="104"/>
      <c r="AA1338" s="104"/>
    </row>
    <row r="1339" spans="1:27" s="64" customFormat="1">
      <c r="A1339" s="422"/>
      <c r="B1339" s="63" t="s">
        <v>5</v>
      </c>
      <c r="C1339" s="97">
        <v>89852.2</v>
      </c>
      <c r="D1339" s="97">
        <v>66927.5</v>
      </c>
      <c r="E1339" s="97">
        <v>68243.399999999994</v>
      </c>
      <c r="F1339" s="97">
        <v>144720.29999999999</v>
      </c>
      <c r="G1339" s="97">
        <v>16294.7</v>
      </c>
      <c r="H1339" s="97">
        <v>33630</v>
      </c>
      <c r="I1339" s="97">
        <v>20549.5</v>
      </c>
      <c r="J1339" s="97">
        <v>127965.2</v>
      </c>
      <c r="K1339" s="97">
        <v>44140.7</v>
      </c>
      <c r="L1339" s="97">
        <v>11617.5</v>
      </c>
      <c r="M1339" s="97">
        <v>79912.600000000006</v>
      </c>
      <c r="N1339" s="102">
        <v>23945.5</v>
      </c>
      <c r="O1339" s="12"/>
      <c r="P1339" s="142"/>
      <c r="Q1339" s="104"/>
      <c r="R1339" s="104"/>
      <c r="S1339" s="104"/>
      <c r="T1339" s="104"/>
      <c r="U1339" s="104"/>
      <c r="V1339" s="104"/>
      <c r="W1339" s="104"/>
      <c r="X1339" s="104"/>
      <c r="Y1339" s="142"/>
      <c r="Z1339" s="104"/>
      <c r="AA1339" s="104"/>
    </row>
    <row r="1340" spans="1:27" ht="15.75" thickBot="1">
      <c r="A1340" s="423"/>
      <c r="B1340" s="3" t="s">
        <v>3</v>
      </c>
      <c r="C1340" s="71">
        <f>C1339/C1338</f>
        <v>0.7758131808166</v>
      </c>
      <c r="D1340" s="72">
        <f t="shared" ref="D1340:F1340" si="1060">D1339/D1338</f>
        <v>0.67575071914153328</v>
      </c>
      <c r="E1340" s="72">
        <f t="shared" si="1060"/>
        <v>0.68903704197322946</v>
      </c>
      <c r="F1340" s="72">
        <f t="shared" si="1060"/>
        <v>0.79517609553522073</v>
      </c>
      <c r="G1340" s="72">
        <f>G1339/G1338</f>
        <v>0.13429867520303829</v>
      </c>
      <c r="H1340" s="72">
        <f t="shared" ref="H1340:N1340" si="1061">H1339/H1338</f>
        <v>0.3055275687982128</v>
      </c>
      <c r="I1340" s="72">
        <f t="shared" si="1061"/>
        <v>0.16936615133048386</v>
      </c>
      <c r="J1340" s="72">
        <f t="shared" si="1061"/>
        <v>0.74847631948977467</v>
      </c>
      <c r="K1340" s="72">
        <f t="shared" si="1061"/>
        <v>0.33406467159405501</v>
      </c>
      <c r="L1340" s="72">
        <f t="shared" si="1061"/>
        <v>0.19149967279806282</v>
      </c>
      <c r="M1340" s="72">
        <f t="shared" si="1061"/>
        <v>0.45280698901365402</v>
      </c>
      <c r="N1340" s="83">
        <f t="shared" si="1061"/>
        <v>0.4359989803535988</v>
      </c>
      <c r="O1340" s="12"/>
      <c r="Y1340" s="14"/>
      <c r="Z1340" s="104"/>
      <c r="AA1340" s="104"/>
    </row>
    <row r="1341" spans="1:27" ht="15" customHeight="1">
      <c r="A1341" s="411" t="s">
        <v>6</v>
      </c>
      <c r="B1341" s="27" t="s">
        <v>7</v>
      </c>
      <c r="C1341" s="68">
        <v>5006</v>
      </c>
      <c r="D1341" s="68">
        <v>3200</v>
      </c>
      <c r="E1341" s="68">
        <v>3183</v>
      </c>
      <c r="F1341" s="68">
        <v>9526</v>
      </c>
      <c r="G1341" s="68">
        <v>5000</v>
      </c>
      <c r="H1341" s="68">
        <f>(11504-(HEX2DEC("3520")-HEX2DEC("2e5e")))</f>
        <v>9774</v>
      </c>
      <c r="I1341" s="68">
        <f>(4000-2000)</f>
        <v>2000</v>
      </c>
      <c r="J1341" s="68">
        <v>9194</v>
      </c>
      <c r="K1341" s="68">
        <f>8610-(HEX2DEC("2a3c")-HEX2DEC("1d10"))</f>
        <v>5238</v>
      </c>
      <c r="L1341" s="68">
        <v>2500</v>
      </c>
      <c r="M1341" s="68">
        <f>5451-2614</f>
        <v>2837</v>
      </c>
      <c r="N1341" s="80">
        <v>830</v>
      </c>
      <c r="O1341" s="12"/>
      <c r="P1341" s="142"/>
      <c r="Y1341" s="142"/>
      <c r="Z1341" s="104"/>
      <c r="AA1341" s="104"/>
    </row>
    <row r="1342" spans="1:27">
      <c r="A1342" s="412"/>
      <c r="B1342" s="28" t="s">
        <v>11</v>
      </c>
      <c r="C1342" s="73">
        <f t="shared" ref="C1342:I1342" si="1062">C1341*33.72</f>
        <v>168802.32</v>
      </c>
      <c r="D1342" s="73">
        <f t="shared" si="1062"/>
        <v>107904</v>
      </c>
      <c r="E1342" s="73">
        <f t="shared" si="1062"/>
        <v>107330.76</v>
      </c>
      <c r="F1342" s="73">
        <f t="shared" si="1062"/>
        <v>321216.71999999997</v>
      </c>
      <c r="G1342" s="73">
        <f t="shared" si="1062"/>
        <v>168600</v>
      </c>
      <c r="H1342" s="73">
        <f t="shared" si="1062"/>
        <v>329579.27999999997</v>
      </c>
      <c r="I1342" s="73">
        <f t="shared" si="1062"/>
        <v>67440</v>
      </c>
      <c r="J1342" s="73">
        <f>J1341*33.72</f>
        <v>310021.68</v>
      </c>
      <c r="K1342" s="73">
        <f t="shared" ref="K1342:N1342" si="1063">K1341*33.72</f>
        <v>176625.36</v>
      </c>
      <c r="L1342" s="73">
        <f t="shared" si="1063"/>
        <v>84300</v>
      </c>
      <c r="M1342" s="73">
        <f t="shared" si="1063"/>
        <v>95663.64</v>
      </c>
      <c r="N1342" s="73">
        <f t="shared" si="1063"/>
        <v>27987.599999999999</v>
      </c>
      <c r="O1342" s="12"/>
      <c r="P1342" s="142"/>
      <c r="Y1342" s="142"/>
      <c r="Z1342" s="104"/>
      <c r="AA1342" s="104"/>
    </row>
    <row r="1343" spans="1:27">
      <c r="A1343" s="412"/>
      <c r="B1343" s="28" t="s">
        <v>79</v>
      </c>
      <c r="C1343" s="73">
        <v>164000</v>
      </c>
      <c r="D1343" s="73">
        <v>109880</v>
      </c>
      <c r="E1343" s="73">
        <v>109880</v>
      </c>
      <c r="F1343" s="73">
        <v>328000</v>
      </c>
      <c r="G1343" s="73">
        <f>G1338*2</f>
        <v>242663.6</v>
      </c>
      <c r="H1343" s="73">
        <f>H1338*2</f>
        <v>220143.8</v>
      </c>
      <c r="I1343" s="73">
        <f>I1338*2</f>
        <v>242663.6</v>
      </c>
      <c r="J1343" s="73">
        <v>328000</v>
      </c>
      <c r="K1343" s="73">
        <f>K1338*2</f>
        <v>264264.40000000002</v>
      </c>
      <c r="L1343" s="73">
        <v>328000</v>
      </c>
      <c r="M1343" s="73">
        <f>2*M1338</f>
        <v>352965.4</v>
      </c>
      <c r="N1343" s="84">
        <f>2*N1338</f>
        <v>109842</v>
      </c>
      <c r="O1343" s="12"/>
      <c r="Y1343" s="14"/>
      <c r="Z1343" s="104"/>
      <c r="AA1343" s="104"/>
    </row>
    <row r="1344" spans="1:27" s="64" customFormat="1">
      <c r="A1344" s="412"/>
      <c r="B1344" s="66" t="s">
        <v>8</v>
      </c>
      <c r="C1344" s="98">
        <f>SUM(C1341-533)</f>
        <v>4473</v>
      </c>
      <c r="D1344" s="98">
        <f>SUM(D1341-736)</f>
        <v>2464</v>
      </c>
      <c r="E1344" s="98">
        <f>SUM(E1341-738)</f>
        <v>2445</v>
      </c>
      <c r="F1344" s="98">
        <f>SUM(F1341-1205)</f>
        <v>8321</v>
      </c>
      <c r="G1344" s="98">
        <f>SUM(G1341-3575)</f>
        <v>1425</v>
      </c>
      <c r="H1344" s="98">
        <f>SUM(H1341-1586)</f>
        <v>8188</v>
      </c>
      <c r="I1344" s="98">
        <f>SUM(I1341-(2668-2000))</f>
        <v>1332</v>
      </c>
      <c r="J1344" s="98">
        <f>SUM(J1341-1377)</f>
        <v>7817</v>
      </c>
      <c r="K1344" s="98">
        <f>SUM(K1341-966)</f>
        <v>4272</v>
      </c>
      <c r="L1344" s="98">
        <f>SUM(L1341-682)</f>
        <v>1818</v>
      </c>
      <c r="M1344" s="98">
        <f>SUM(M1341-(3109-2614))</f>
        <v>2342</v>
      </c>
      <c r="N1344" s="103">
        <f>SUM(N1341-46)</f>
        <v>784</v>
      </c>
      <c r="O1344" s="12"/>
      <c r="P1344" s="175"/>
      <c r="Q1344" s="67"/>
      <c r="R1344" s="67"/>
      <c r="S1344" s="67"/>
      <c r="T1344" s="67"/>
      <c r="U1344" s="67"/>
      <c r="V1344" s="67"/>
      <c r="W1344" s="67"/>
    </row>
    <row r="1345" spans="1:27">
      <c r="A1345" s="412"/>
      <c r="B1345" s="29" t="s">
        <v>77</v>
      </c>
      <c r="C1345" s="75">
        <f>C1344*33.72</f>
        <v>150829.56</v>
      </c>
      <c r="D1345" s="75">
        <f>D1344*33.72</f>
        <v>83086.080000000002</v>
      </c>
      <c r="E1345" s="75">
        <f>E1344*33.72</f>
        <v>82445.399999999994</v>
      </c>
      <c r="F1345" s="75">
        <f>F1344*33.72</f>
        <v>280584.12</v>
      </c>
      <c r="G1345" s="75">
        <f>G1344*33.72*2</f>
        <v>96102</v>
      </c>
      <c r="H1345" s="75">
        <f>H1344*33.72</f>
        <v>276099.36</v>
      </c>
      <c r="I1345" s="75">
        <f>I1344*33.72</f>
        <v>44915.040000000001</v>
      </c>
      <c r="J1345" s="75">
        <f>J1344*33.72</f>
        <v>263589.24</v>
      </c>
      <c r="K1345" s="75">
        <f>K1344*33.72</f>
        <v>144051.84</v>
      </c>
      <c r="L1345" s="75">
        <f>L1344*33.72</f>
        <v>61302.96</v>
      </c>
      <c r="M1345" s="75">
        <f>M1344*33.72*2</f>
        <v>157944.47999999998</v>
      </c>
      <c r="N1345" s="11">
        <f>N1344*33.72</f>
        <v>26436.48</v>
      </c>
      <c r="O1345" s="12"/>
      <c r="P1345" s="175"/>
    </row>
    <row r="1346" spans="1:27" ht="15.75" thickBot="1">
      <c r="A1346" s="412"/>
      <c r="B1346" s="30" t="s">
        <v>10</v>
      </c>
      <c r="C1346" s="71">
        <f>C1344*33.7/C1338</f>
        <v>1.3015391549412521</v>
      </c>
      <c r="D1346" s="71">
        <f t="shared" ref="D1346:N1346" si="1064">D1344*33.7/D1338</f>
        <v>0.83840241029788465</v>
      </c>
      <c r="E1346" s="78">
        <f t="shared" si="1064"/>
        <v>0.83193745664704866</v>
      </c>
      <c r="F1346" s="78">
        <f t="shared" si="1064"/>
        <v>1.540775218161978</v>
      </c>
      <c r="G1346" s="78">
        <f t="shared" si="1064"/>
        <v>0.39579483696772</v>
      </c>
      <c r="H1346" s="78">
        <f t="shared" si="1064"/>
        <v>2.5068668751970309</v>
      </c>
      <c r="I1346" s="78">
        <f t="shared" si="1064"/>
        <v>0.36996401602877399</v>
      </c>
      <c r="J1346" s="78">
        <f t="shared" si="1064"/>
        <v>1.5408352225801849</v>
      </c>
      <c r="K1346" s="78">
        <f t="shared" si="1064"/>
        <v>1.0895633312697435</v>
      </c>
      <c r="L1346" s="78">
        <f t="shared" si="1064"/>
        <v>1.0099017734839506</v>
      </c>
      <c r="M1346" s="79">
        <f t="shared" si="1064"/>
        <v>0.44721323959798892</v>
      </c>
      <c r="N1346" s="26">
        <f t="shared" si="1064"/>
        <v>0.48106917208353822</v>
      </c>
      <c r="O1346" s="12"/>
      <c r="P1346" s="175"/>
    </row>
    <row r="1347" spans="1:27" ht="15.75" customHeight="1" thickBot="1">
      <c r="A1347" s="424" t="s">
        <v>83</v>
      </c>
      <c r="B1347" s="425"/>
      <c r="C1347" s="76">
        <f>MIN(2*C1338,C1343)-C1345</f>
        <v>13170.440000000002</v>
      </c>
      <c r="D1347" s="76">
        <f t="shared" ref="D1347:N1347" si="1065">MIN(2*D1338,D1343)-D1345</f>
        <v>26793.919999999998</v>
      </c>
      <c r="E1347" s="76">
        <f t="shared" si="1065"/>
        <v>27434.600000000006</v>
      </c>
      <c r="F1347" s="76">
        <f t="shared" si="1065"/>
        <v>47415.880000000005</v>
      </c>
      <c r="G1347" s="76">
        <f t="shared" si="1065"/>
        <v>146561.60000000001</v>
      </c>
      <c r="H1347" s="76">
        <f t="shared" si="1065"/>
        <v>-55955.56</v>
      </c>
      <c r="I1347" s="76">
        <f t="shared" si="1065"/>
        <v>197748.56</v>
      </c>
      <c r="J1347" s="76">
        <f t="shared" si="1065"/>
        <v>64410.760000000009</v>
      </c>
      <c r="K1347" s="76">
        <f t="shared" si="1065"/>
        <v>120212.56000000003</v>
      </c>
      <c r="L1347" s="76">
        <f t="shared" si="1065"/>
        <v>60028.840000000004</v>
      </c>
      <c r="M1347" s="76">
        <f t="shared" si="1065"/>
        <v>195020.92000000004</v>
      </c>
      <c r="N1347" s="22">
        <f t="shared" si="1065"/>
        <v>83405.52</v>
      </c>
      <c r="O1347" s="12"/>
      <c r="P1347" s="175"/>
    </row>
    <row r="1348" spans="1:27" ht="15.75" thickBot="1">
      <c r="A1348" s="368">
        <v>41040</v>
      </c>
      <c r="B1348" s="368"/>
      <c r="C1348" s="368"/>
      <c r="N1348" s="15"/>
    </row>
    <row r="1349" spans="1:27">
      <c r="A1349" s="407" t="s">
        <v>1</v>
      </c>
      <c r="B1349" s="420"/>
      <c r="C1349" s="68" t="s">
        <v>12</v>
      </c>
      <c r="D1349" s="68" t="s">
        <v>12</v>
      </c>
      <c r="E1349" s="68" t="s">
        <v>13</v>
      </c>
      <c r="F1349" s="68" t="s">
        <v>13</v>
      </c>
      <c r="G1349" s="68" t="s">
        <v>13</v>
      </c>
      <c r="H1349" s="68" t="s">
        <v>13</v>
      </c>
      <c r="I1349" s="68" t="s">
        <v>13</v>
      </c>
      <c r="J1349" s="68" t="s">
        <v>2</v>
      </c>
      <c r="K1349" s="68" t="s">
        <v>2</v>
      </c>
      <c r="L1349" s="68" t="s">
        <v>2</v>
      </c>
      <c r="M1349" s="68" t="s">
        <v>2</v>
      </c>
      <c r="N1349" s="4" t="s">
        <v>84</v>
      </c>
      <c r="P1349" s="174"/>
      <c r="Q1349" s="175"/>
      <c r="R1349" s="175"/>
      <c r="S1349" s="175"/>
      <c r="T1349" s="175"/>
      <c r="U1349" s="175"/>
      <c r="V1349" s="175"/>
      <c r="W1349" s="175"/>
      <c r="X1349" s="175"/>
      <c r="Y1349" s="174"/>
      <c r="Z1349" s="175"/>
      <c r="AA1349" s="175"/>
    </row>
    <row r="1350" spans="1:27" ht="15.75" thickBot="1">
      <c r="A1350" s="409" t="s">
        <v>0</v>
      </c>
      <c r="B1350" s="414"/>
      <c r="C1350" s="99" t="s">
        <v>102</v>
      </c>
      <c r="D1350" s="99" t="s">
        <v>103</v>
      </c>
      <c r="E1350" s="99" t="s">
        <v>104</v>
      </c>
      <c r="F1350" s="99" t="s">
        <v>105</v>
      </c>
      <c r="G1350" s="99" t="s">
        <v>100</v>
      </c>
      <c r="H1350" s="99" t="s">
        <v>107</v>
      </c>
      <c r="I1350" s="99" t="s">
        <v>106</v>
      </c>
      <c r="J1350" s="99" t="s">
        <v>108</v>
      </c>
      <c r="K1350" s="99" t="s">
        <v>110</v>
      </c>
      <c r="L1350" s="99" t="s">
        <v>101</v>
      </c>
      <c r="M1350" s="99" t="s">
        <v>109</v>
      </c>
      <c r="N1350" s="101" t="s">
        <v>111</v>
      </c>
      <c r="P1350" s="142"/>
      <c r="Y1350" s="142"/>
      <c r="Z1350" s="104"/>
      <c r="AA1350" s="104"/>
    </row>
    <row r="1351" spans="1:27" ht="15" customHeight="1">
      <c r="A1351" s="421" t="s">
        <v>9</v>
      </c>
      <c r="B1351" s="2" t="s">
        <v>4</v>
      </c>
      <c r="C1351" s="96">
        <v>115816.8</v>
      </c>
      <c r="D1351" s="96">
        <v>99041.7</v>
      </c>
      <c r="E1351" s="96">
        <v>99041.7</v>
      </c>
      <c r="F1351" s="96">
        <v>181997.8</v>
      </c>
      <c r="G1351" s="96">
        <v>121331.8</v>
      </c>
      <c r="H1351" s="96">
        <v>110071.9</v>
      </c>
      <c r="I1351" s="96">
        <v>121331.8</v>
      </c>
      <c r="J1351" s="96">
        <v>170967.6</v>
      </c>
      <c r="K1351" s="96">
        <v>132132.20000000001</v>
      </c>
      <c r="L1351" s="96">
        <v>60665.9</v>
      </c>
      <c r="M1351" s="96">
        <v>176482.7</v>
      </c>
      <c r="N1351" s="100">
        <v>54921</v>
      </c>
      <c r="O1351" s="12"/>
      <c r="P1351" s="142"/>
      <c r="Y1351" s="142"/>
      <c r="Z1351" s="104"/>
      <c r="AA1351" s="104"/>
    </row>
    <row r="1352" spans="1:27" s="64" customFormat="1">
      <c r="A1352" s="422"/>
      <c r="B1352" s="63" t="s">
        <v>5</v>
      </c>
      <c r="C1352" s="97">
        <v>88642</v>
      </c>
      <c r="D1352" s="97">
        <v>66850.7</v>
      </c>
      <c r="E1352" s="97">
        <v>68225.8</v>
      </c>
      <c r="F1352" s="97">
        <v>143688.70000000001</v>
      </c>
      <c r="G1352" s="97">
        <v>9459.7999999999993</v>
      </c>
      <c r="H1352" s="97">
        <v>33316.400000000001</v>
      </c>
      <c r="I1352" s="97">
        <v>20534.400000000001</v>
      </c>
      <c r="J1352" s="97">
        <v>127689.60000000001</v>
      </c>
      <c r="K1352" s="97">
        <v>44040.2</v>
      </c>
      <c r="L1352" s="97">
        <v>6235.7</v>
      </c>
      <c r="M1352" s="97">
        <v>79878.2</v>
      </c>
      <c r="N1352" s="102">
        <v>23944.1</v>
      </c>
      <c r="O1352" s="12"/>
      <c r="P1352" s="142"/>
      <c r="Q1352" s="104"/>
      <c r="R1352" s="104"/>
      <c r="S1352" s="104"/>
      <c r="T1352" s="104"/>
      <c r="U1352" s="104"/>
      <c r="V1352" s="104"/>
      <c r="W1352" s="104"/>
      <c r="X1352" s="104"/>
      <c r="Y1352" s="142"/>
      <c r="Z1352" s="104"/>
      <c r="AA1352" s="104"/>
    </row>
    <row r="1353" spans="1:27" ht="15.75" thickBot="1">
      <c r="A1353" s="423"/>
      <c r="B1353" s="3" t="s">
        <v>3</v>
      </c>
      <c r="C1353" s="71">
        <f>C1352/C1351</f>
        <v>0.76536391956952698</v>
      </c>
      <c r="D1353" s="72">
        <f t="shared" ref="D1353:F1353" si="1066">D1352/D1351</f>
        <v>0.67497528818669306</v>
      </c>
      <c r="E1353" s="72">
        <f t="shared" si="1066"/>
        <v>0.68885933904607866</v>
      </c>
      <c r="F1353" s="72">
        <f t="shared" si="1066"/>
        <v>0.789507895150381</v>
      </c>
      <c r="G1353" s="72">
        <f>G1352/G1351</f>
        <v>7.7966369904674607E-2</v>
      </c>
      <c r="H1353" s="72">
        <f t="shared" ref="H1353:N1353" si="1067">H1352/H1351</f>
        <v>0.30267852194792677</v>
      </c>
      <c r="I1353" s="72">
        <f t="shared" si="1067"/>
        <v>0.16924169920828672</v>
      </c>
      <c r="J1353" s="72">
        <f t="shared" si="1067"/>
        <v>0.74686431815150944</v>
      </c>
      <c r="K1353" s="72">
        <f t="shared" si="1067"/>
        <v>0.33330406971200049</v>
      </c>
      <c r="L1353" s="72">
        <f t="shared" si="1067"/>
        <v>0.10278756269996818</v>
      </c>
      <c r="M1353" s="72">
        <f t="shared" si="1067"/>
        <v>0.4526120690583269</v>
      </c>
      <c r="N1353" s="83">
        <f t="shared" si="1067"/>
        <v>0.43597348919356893</v>
      </c>
      <c r="O1353" s="12"/>
      <c r="Y1353" s="14"/>
      <c r="Z1353" s="104"/>
      <c r="AA1353" s="104"/>
    </row>
    <row r="1354" spans="1:27" ht="15" customHeight="1">
      <c r="A1354" s="411" t="s">
        <v>6</v>
      </c>
      <c r="B1354" s="27" t="s">
        <v>7</v>
      </c>
      <c r="C1354" s="68">
        <v>5006</v>
      </c>
      <c r="D1354" s="68">
        <v>3200</v>
      </c>
      <c r="E1354" s="68">
        <v>3183</v>
      </c>
      <c r="F1354" s="68">
        <v>9526</v>
      </c>
      <c r="G1354" s="68">
        <v>5000</v>
      </c>
      <c r="H1354" s="68">
        <f>(11504-(HEX2DEC("3520")-HEX2DEC("2e5e")))</f>
        <v>9774</v>
      </c>
      <c r="I1354" s="68">
        <f>(4000-2000)</f>
        <v>2000</v>
      </c>
      <c r="J1354" s="68">
        <v>9194</v>
      </c>
      <c r="K1354" s="68">
        <f>8610-(HEX2DEC("2a3c")-HEX2DEC("1d10"))</f>
        <v>5238</v>
      </c>
      <c r="L1354" s="68">
        <v>2500</v>
      </c>
      <c r="M1354" s="68">
        <f>5451-2614</f>
        <v>2837</v>
      </c>
      <c r="N1354" s="80">
        <v>830</v>
      </c>
      <c r="O1354" s="12"/>
      <c r="P1354" s="142"/>
      <c r="Y1354" s="142"/>
      <c r="Z1354" s="104"/>
      <c r="AA1354" s="104"/>
    </row>
    <row r="1355" spans="1:27">
      <c r="A1355" s="412"/>
      <c r="B1355" s="28" t="s">
        <v>11</v>
      </c>
      <c r="C1355" s="73">
        <f t="shared" ref="C1355:I1355" si="1068">C1354*33.72</f>
        <v>168802.32</v>
      </c>
      <c r="D1355" s="73">
        <f t="shared" si="1068"/>
        <v>107904</v>
      </c>
      <c r="E1355" s="73">
        <f t="shared" si="1068"/>
        <v>107330.76</v>
      </c>
      <c r="F1355" s="73">
        <f t="shared" si="1068"/>
        <v>321216.71999999997</v>
      </c>
      <c r="G1355" s="73">
        <f t="shared" si="1068"/>
        <v>168600</v>
      </c>
      <c r="H1355" s="73">
        <f t="shared" si="1068"/>
        <v>329579.27999999997</v>
      </c>
      <c r="I1355" s="73">
        <f t="shared" si="1068"/>
        <v>67440</v>
      </c>
      <c r="J1355" s="73">
        <f>J1354*33.72</f>
        <v>310021.68</v>
      </c>
      <c r="K1355" s="73">
        <f t="shared" ref="K1355:N1355" si="1069">K1354*33.72</f>
        <v>176625.36</v>
      </c>
      <c r="L1355" s="73">
        <f t="shared" si="1069"/>
        <v>84300</v>
      </c>
      <c r="M1355" s="73">
        <f t="shared" si="1069"/>
        <v>95663.64</v>
      </c>
      <c r="N1355" s="73">
        <f t="shared" si="1069"/>
        <v>27987.599999999999</v>
      </c>
      <c r="O1355" s="12"/>
      <c r="P1355" s="142"/>
      <c r="Y1355" s="142"/>
      <c r="Z1355" s="104"/>
      <c r="AA1355" s="104"/>
    </row>
    <row r="1356" spans="1:27">
      <c r="A1356" s="412"/>
      <c r="B1356" s="28" t="s">
        <v>79</v>
      </c>
      <c r="C1356" s="73">
        <v>164000</v>
      </c>
      <c r="D1356" s="73">
        <v>109880</v>
      </c>
      <c r="E1356" s="73">
        <v>109880</v>
      </c>
      <c r="F1356" s="73">
        <v>328000</v>
      </c>
      <c r="G1356" s="73">
        <f>G1351*2</f>
        <v>242663.6</v>
      </c>
      <c r="H1356" s="73">
        <f>H1351*2</f>
        <v>220143.8</v>
      </c>
      <c r="I1356" s="73">
        <f>I1351*2</f>
        <v>242663.6</v>
      </c>
      <c r="J1356" s="73">
        <v>328000</v>
      </c>
      <c r="K1356" s="73">
        <f>K1351*2</f>
        <v>264264.40000000002</v>
      </c>
      <c r="L1356" s="73">
        <v>328000</v>
      </c>
      <c r="M1356" s="73">
        <f>2*M1351</f>
        <v>352965.4</v>
      </c>
      <c r="N1356" s="84">
        <f>2*N1351</f>
        <v>109842</v>
      </c>
      <c r="O1356" s="12"/>
      <c r="Y1356" s="14"/>
      <c r="Z1356" s="104"/>
      <c r="AA1356" s="104"/>
    </row>
    <row r="1357" spans="1:27" s="64" customFormat="1">
      <c r="A1357" s="412"/>
      <c r="B1357" s="66" t="s">
        <v>8</v>
      </c>
      <c r="C1357" s="98">
        <f>SUM(C1354-533)</f>
        <v>4473</v>
      </c>
      <c r="D1357" s="98">
        <f>SUM(D1354-736)</f>
        <v>2464</v>
      </c>
      <c r="E1357" s="98">
        <f>SUM(E1354-738)</f>
        <v>2445</v>
      </c>
      <c r="F1357" s="98">
        <f>SUM(F1354-1205)</f>
        <v>8321</v>
      </c>
      <c r="G1357" s="98">
        <f>SUM(G1354-3805)</f>
        <v>1195</v>
      </c>
      <c r="H1357" s="98">
        <f>SUM(H1354-1586)</f>
        <v>8188</v>
      </c>
      <c r="I1357" s="98">
        <f>SUM(I1354-(2670-2000))</f>
        <v>1330</v>
      </c>
      <c r="J1357" s="98">
        <f>SUM(J1354-1377)</f>
        <v>7817</v>
      </c>
      <c r="K1357" s="98">
        <f>SUM(K1354-1297)</f>
        <v>3941</v>
      </c>
      <c r="L1357" s="98">
        <f>SUM(L1354-913)</f>
        <v>1587</v>
      </c>
      <c r="M1357" s="98">
        <f>SUM(M1354-(3111-2614))</f>
        <v>2340</v>
      </c>
      <c r="N1357" s="103">
        <f>SUM(N1354-46)</f>
        <v>784</v>
      </c>
      <c r="O1357" s="12"/>
      <c r="P1357" s="175"/>
      <c r="Q1357" s="67"/>
      <c r="R1357" s="67"/>
      <c r="S1357" s="67"/>
      <c r="T1357" s="67"/>
      <c r="U1357" s="67"/>
      <c r="V1357" s="67"/>
      <c r="W1357" s="67"/>
    </row>
    <row r="1358" spans="1:27">
      <c r="A1358" s="412"/>
      <c r="B1358" s="29" t="s">
        <v>77</v>
      </c>
      <c r="C1358" s="75">
        <f>C1357*33.72</f>
        <v>150829.56</v>
      </c>
      <c r="D1358" s="75">
        <f>D1357*33.72</f>
        <v>83086.080000000002</v>
      </c>
      <c r="E1358" s="75">
        <f>E1357*33.72</f>
        <v>82445.399999999994</v>
      </c>
      <c r="F1358" s="75">
        <f>F1357*33.72</f>
        <v>280584.12</v>
      </c>
      <c r="G1358" s="75">
        <f>G1357*33.72*2</f>
        <v>80590.8</v>
      </c>
      <c r="H1358" s="75">
        <f>H1357*33.72</f>
        <v>276099.36</v>
      </c>
      <c r="I1358" s="75">
        <f>I1357*33.72</f>
        <v>44847.6</v>
      </c>
      <c r="J1358" s="75">
        <f>J1357*33.72</f>
        <v>263589.24</v>
      </c>
      <c r="K1358" s="75">
        <f>K1357*33.72</f>
        <v>132890.51999999999</v>
      </c>
      <c r="L1358" s="75">
        <f>L1357*33.72</f>
        <v>53513.64</v>
      </c>
      <c r="M1358" s="75">
        <f>M1357*33.72*2</f>
        <v>157809.60000000001</v>
      </c>
      <c r="N1358" s="11">
        <f>N1357*33.72</f>
        <v>26436.48</v>
      </c>
      <c r="O1358" s="12"/>
      <c r="P1358" s="175"/>
    </row>
    <row r="1359" spans="1:27" ht="15.75" thickBot="1">
      <c r="A1359" s="412"/>
      <c r="B1359" s="30" t="s">
        <v>10</v>
      </c>
      <c r="C1359" s="71">
        <f>C1357*33.7/C1351</f>
        <v>1.3015391549412521</v>
      </c>
      <c r="D1359" s="71">
        <f t="shared" ref="D1359:N1359" si="1070">D1357*33.7/D1351</f>
        <v>0.83840241029788465</v>
      </c>
      <c r="E1359" s="78">
        <f t="shared" si="1070"/>
        <v>0.83193745664704866</v>
      </c>
      <c r="F1359" s="78">
        <f t="shared" si="1070"/>
        <v>1.540775218161978</v>
      </c>
      <c r="G1359" s="78">
        <f t="shared" si="1070"/>
        <v>0.33191216152731601</v>
      </c>
      <c r="H1359" s="78">
        <f t="shared" si="1070"/>
        <v>2.5068668751970309</v>
      </c>
      <c r="I1359" s="78">
        <f t="shared" si="1070"/>
        <v>0.36940851450320533</v>
      </c>
      <c r="J1359" s="78">
        <f t="shared" si="1070"/>
        <v>1.5408352225801849</v>
      </c>
      <c r="K1359" s="78">
        <f t="shared" si="1070"/>
        <v>1.0051425769040401</v>
      </c>
      <c r="L1359" s="78">
        <f t="shared" si="1070"/>
        <v>0.88158092107757402</v>
      </c>
      <c r="M1359" s="79">
        <f t="shared" si="1070"/>
        <v>0.44683133247621437</v>
      </c>
      <c r="N1359" s="26">
        <f t="shared" si="1070"/>
        <v>0.48106917208353822</v>
      </c>
      <c r="O1359" s="12"/>
      <c r="P1359" s="175"/>
    </row>
    <row r="1360" spans="1:27" ht="15.75" customHeight="1" thickBot="1">
      <c r="A1360" s="424" t="s">
        <v>83</v>
      </c>
      <c r="B1360" s="425"/>
      <c r="C1360" s="76">
        <f>MIN(2*C1351,C1356)-C1358</f>
        <v>13170.440000000002</v>
      </c>
      <c r="D1360" s="76">
        <f t="shared" ref="D1360:N1360" si="1071">MIN(2*D1351,D1356)-D1358</f>
        <v>26793.919999999998</v>
      </c>
      <c r="E1360" s="76">
        <f t="shared" si="1071"/>
        <v>27434.600000000006</v>
      </c>
      <c r="F1360" s="76">
        <f t="shared" si="1071"/>
        <v>47415.880000000005</v>
      </c>
      <c r="G1360" s="76">
        <f t="shared" si="1071"/>
        <v>162072.79999999999</v>
      </c>
      <c r="H1360" s="76">
        <f t="shared" si="1071"/>
        <v>-55955.56</v>
      </c>
      <c r="I1360" s="76">
        <f t="shared" si="1071"/>
        <v>197816</v>
      </c>
      <c r="J1360" s="76">
        <f t="shared" si="1071"/>
        <v>64410.760000000009</v>
      </c>
      <c r="K1360" s="76">
        <f t="shared" si="1071"/>
        <v>131373.88000000003</v>
      </c>
      <c r="L1360" s="76">
        <f t="shared" si="1071"/>
        <v>67818.16</v>
      </c>
      <c r="M1360" s="76">
        <f t="shared" si="1071"/>
        <v>195155.80000000002</v>
      </c>
      <c r="N1360" s="22">
        <f t="shared" si="1071"/>
        <v>83405.52</v>
      </c>
      <c r="O1360" s="12"/>
      <c r="P1360" s="175"/>
    </row>
    <row r="1361" spans="1:27" ht="15.75" thickBot="1">
      <c r="A1361" s="368">
        <v>41039</v>
      </c>
      <c r="B1361" s="368"/>
      <c r="C1361" s="368"/>
      <c r="N1361" s="15"/>
    </row>
    <row r="1362" spans="1:27">
      <c r="A1362" s="407" t="s">
        <v>1</v>
      </c>
      <c r="B1362" s="420"/>
      <c r="C1362" s="68" t="s">
        <v>12</v>
      </c>
      <c r="D1362" s="68" t="s">
        <v>12</v>
      </c>
      <c r="E1362" s="68" t="s">
        <v>13</v>
      </c>
      <c r="F1362" s="68" t="s">
        <v>13</v>
      </c>
      <c r="G1362" s="68" t="s">
        <v>13</v>
      </c>
      <c r="H1362" s="68" t="s">
        <v>13</v>
      </c>
      <c r="I1362" s="68" t="s">
        <v>13</v>
      </c>
      <c r="J1362" s="68" t="s">
        <v>2</v>
      </c>
      <c r="K1362" s="68" t="s">
        <v>2</v>
      </c>
      <c r="L1362" s="68" t="s">
        <v>2</v>
      </c>
      <c r="M1362" s="68" t="s">
        <v>2</v>
      </c>
      <c r="N1362" s="4" t="s">
        <v>84</v>
      </c>
      <c r="P1362" s="174"/>
      <c r="Q1362" s="175"/>
      <c r="R1362" s="175"/>
      <c r="S1362" s="175"/>
      <c r="T1362" s="175"/>
      <c r="U1362" s="175"/>
      <c r="V1362" s="175"/>
      <c r="W1362" s="175"/>
      <c r="X1362" s="175"/>
      <c r="Y1362" s="174"/>
      <c r="Z1362" s="175"/>
      <c r="AA1362" s="175"/>
    </row>
    <row r="1363" spans="1:27" ht="15.75" thickBot="1">
      <c r="A1363" s="409" t="s">
        <v>0</v>
      </c>
      <c r="B1363" s="414"/>
      <c r="C1363" s="99" t="s">
        <v>102</v>
      </c>
      <c r="D1363" s="99" t="s">
        <v>103</v>
      </c>
      <c r="E1363" s="99" t="s">
        <v>104</v>
      </c>
      <c r="F1363" s="99" t="s">
        <v>105</v>
      </c>
      <c r="G1363" s="99" t="s">
        <v>100</v>
      </c>
      <c r="H1363" s="99" t="s">
        <v>107</v>
      </c>
      <c r="I1363" s="99" t="s">
        <v>106</v>
      </c>
      <c r="J1363" s="99" t="s">
        <v>108</v>
      </c>
      <c r="K1363" s="99" t="s">
        <v>110</v>
      </c>
      <c r="L1363" s="99" t="s">
        <v>101</v>
      </c>
      <c r="M1363" s="99" t="s">
        <v>109</v>
      </c>
      <c r="N1363" s="101" t="s">
        <v>111</v>
      </c>
      <c r="P1363" s="142"/>
      <c r="Y1363" s="142"/>
      <c r="Z1363" s="104"/>
      <c r="AA1363" s="104"/>
    </row>
    <row r="1364" spans="1:27" ht="15" customHeight="1">
      <c r="A1364" s="421" t="s">
        <v>9</v>
      </c>
      <c r="B1364" s="2" t="s">
        <v>4</v>
      </c>
      <c r="C1364" s="96">
        <v>115816.8</v>
      </c>
      <c r="D1364" s="96">
        <v>99041.7</v>
      </c>
      <c r="E1364" s="96">
        <v>99041.7</v>
      </c>
      <c r="F1364" s="96">
        <v>181997.8</v>
      </c>
      <c r="G1364" s="96">
        <v>121331.8</v>
      </c>
      <c r="H1364" s="96">
        <v>110071.9</v>
      </c>
      <c r="I1364" s="96">
        <v>121331.8</v>
      </c>
      <c r="J1364" s="96">
        <v>170967.6</v>
      </c>
      <c r="K1364" s="96">
        <v>132132.20000000001</v>
      </c>
      <c r="L1364" s="96">
        <v>60665.9</v>
      </c>
      <c r="M1364" s="96">
        <v>176482.7</v>
      </c>
      <c r="N1364" s="100">
        <v>54921</v>
      </c>
      <c r="O1364" s="12"/>
      <c r="P1364" s="142"/>
      <c r="Y1364" s="142"/>
      <c r="Z1364" s="104"/>
      <c r="AA1364" s="104"/>
    </row>
    <row r="1365" spans="1:27" s="64" customFormat="1">
      <c r="A1365" s="422"/>
      <c r="B1365" s="63" t="s">
        <v>5</v>
      </c>
      <c r="C1365" s="97">
        <v>88503.2</v>
      </c>
      <c r="D1365" s="97">
        <v>66845</v>
      </c>
      <c r="E1365" s="97">
        <v>68220.2</v>
      </c>
      <c r="F1365" s="97">
        <v>142674.6</v>
      </c>
      <c r="G1365" s="97">
        <v>9396.1</v>
      </c>
      <c r="H1365" s="97">
        <v>33247</v>
      </c>
      <c r="I1365" s="97">
        <v>20521.099999999999</v>
      </c>
      <c r="J1365" s="97">
        <v>127597.6</v>
      </c>
      <c r="K1365" s="97">
        <v>44169</v>
      </c>
      <c r="L1365" s="97">
        <v>6185.6</v>
      </c>
      <c r="M1365" s="97">
        <v>79856.5</v>
      </c>
      <c r="N1365" s="102">
        <v>23944.1</v>
      </c>
      <c r="O1365" s="12"/>
      <c r="P1365" s="142"/>
      <c r="Q1365" s="104"/>
      <c r="R1365" s="104"/>
      <c r="S1365" s="104"/>
      <c r="T1365" s="104"/>
      <c r="U1365" s="104"/>
      <c r="V1365" s="104"/>
      <c r="W1365" s="104"/>
      <c r="X1365" s="104"/>
      <c r="Y1365" s="142"/>
      <c r="Z1365" s="104"/>
      <c r="AA1365" s="104"/>
    </row>
    <row r="1366" spans="1:27" ht="15.75" thickBot="1">
      <c r="A1366" s="423"/>
      <c r="B1366" s="3" t="s">
        <v>3</v>
      </c>
      <c r="C1366" s="71">
        <f>C1365/C1364</f>
        <v>0.76416547512968758</v>
      </c>
      <c r="D1366" s="72">
        <f t="shared" ref="D1366:F1366" si="1072">D1365/D1364</f>
        <v>0.67491773667051358</v>
      </c>
      <c r="E1366" s="72">
        <f t="shared" si="1072"/>
        <v>0.68880279720562143</v>
      </c>
      <c r="F1366" s="72">
        <f t="shared" si="1072"/>
        <v>0.78393584977400832</v>
      </c>
      <c r="G1366" s="72">
        <f>G1365/G1364</f>
        <v>7.7441363269975388E-2</v>
      </c>
      <c r="H1366" s="72">
        <f t="shared" ref="H1366:N1366" si="1073">H1365/H1364</f>
        <v>0.30204802497276784</v>
      </c>
      <c r="I1366" s="72">
        <f t="shared" si="1073"/>
        <v>0.16913208243840441</v>
      </c>
      <c r="J1366" s="72">
        <f t="shared" si="1073"/>
        <v>0.74632620449722642</v>
      </c>
      <c r="K1366" s="72">
        <f t="shared" si="1073"/>
        <v>0.33427885102949922</v>
      </c>
      <c r="L1366" s="72">
        <f t="shared" si="1073"/>
        <v>0.10196172808777254</v>
      </c>
      <c r="M1366" s="72">
        <f t="shared" si="1073"/>
        <v>0.45248911083069326</v>
      </c>
      <c r="N1366" s="83">
        <f t="shared" si="1073"/>
        <v>0.43597348919356893</v>
      </c>
      <c r="O1366" s="12"/>
      <c r="Y1366" s="14"/>
      <c r="Z1366" s="104"/>
      <c r="AA1366" s="104"/>
    </row>
    <row r="1367" spans="1:27" ht="15" customHeight="1">
      <c r="A1367" s="411" t="s">
        <v>6</v>
      </c>
      <c r="B1367" s="27" t="s">
        <v>7</v>
      </c>
      <c r="C1367" s="68">
        <v>5006</v>
      </c>
      <c r="D1367" s="68">
        <v>3200</v>
      </c>
      <c r="E1367" s="68">
        <v>3183</v>
      </c>
      <c r="F1367" s="68">
        <v>9526</v>
      </c>
      <c r="G1367" s="68">
        <v>5000</v>
      </c>
      <c r="H1367" s="68">
        <f>(11504-(HEX2DEC("3520")-HEX2DEC("2e5e")))</f>
        <v>9774</v>
      </c>
      <c r="I1367" s="68">
        <f>(4000-2000)</f>
        <v>2000</v>
      </c>
      <c r="J1367" s="68">
        <v>9194</v>
      </c>
      <c r="K1367" s="68">
        <f>8610-(HEX2DEC("2a3c")-HEX2DEC("1d10"))</f>
        <v>5238</v>
      </c>
      <c r="L1367" s="68">
        <v>2500</v>
      </c>
      <c r="M1367" s="68">
        <f>5451-2614</f>
        <v>2837</v>
      </c>
      <c r="N1367" s="80">
        <v>830</v>
      </c>
      <c r="O1367" s="12"/>
      <c r="P1367" s="142"/>
      <c r="Y1367" s="142"/>
      <c r="Z1367" s="104"/>
      <c r="AA1367" s="104"/>
    </row>
    <row r="1368" spans="1:27">
      <c r="A1368" s="412"/>
      <c r="B1368" s="28" t="s">
        <v>11</v>
      </c>
      <c r="C1368" s="73">
        <f t="shared" ref="C1368:I1368" si="1074">C1367*33.72</f>
        <v>168802.32</v>
      </c>
      <c r="D1368" s="73">
        <f t="shared" si="1074"/>
        <v>107904</v>
      </c>
      <c r="E1368" s="73">
        <f t="shared" si="1074"/>
        <v>107330.76</v>
      </c>
      <c r="F1368" s="73">
        <f t="shared" si="1074"/>
        <v>321216.71999999997</v>
      </c>
      <c r="G1368" s="73">
        <f t="shared" si="1074"/>
        <v>168600</v>
      </c>
      <c r="H1368" s="73">
        <f t="shared" si="1074"/>
        <v>329579.27999999997</v>
      </c>
      <c r="I1368" s="73">
        <f t="shared" si="1074"/>
        <v>67440</v>
      </c>
      <c r="J1368" s="73">
        <f>J1367*33.72</f>
        <v>310021.68</v>
      </c>
      <c r="K1368" s="73">
        <f t="shared" ref="K1368:N1368" si="1075">K1367*33.72</f>
        <v>176625.36</v>
      </c>
      <c r="L1368" s="73">
        <f t="shared" si="1075"/>
        <v>84300</v>
      </c>
      <c r="M1368" s="73">
        <f t="shared" si="1075"/>
        <v>95663.64</v>
      </c>
      <c r="N1368" s="73">
        <f t="shared" si="1075"/>
        <v>27987.599999999999</v>
      </c>
      <c r="O1368" s="12"/>
      <c r="P1368" s="142"/>
      <c r="Y1368" s="142"/>
      <c r="Z1368" s="104"/>
      <c r="AA1368" s="104"/>
    </row>
    <row r="1369" spans="1:27">
      <c r="A1369" s="412"/>
      <c r="B1369" s="28" t="s">
        <v>79</v>
      </c>
      <c r="C1369" s="73">
        <v>164000</v>
      </c>
      <c r="D1369" s="73">
        <v>109880</v>
      </c>
      <c r="E1369" s="73">
        <v>109880</v>
      </c>
      <c r="F1369" s="73">
        <v>328000</v>
      </c>
      <c r="G1369" s="73">
        <f>G1364*2</f>
        <v>242663.6</v>
      </c>
      <c r="H1369" s="73">
        <f>H1364*2</f>
        <v>220143.8</v>
      </c>
      <c r="I1369" s="73">
        <f>I1364*2</f>
        <v>242663.6</v>
      </c>
      <c r="J1369" s="73">
        <v>328000</v>
      </c>
      <c r="K1369" s="73">
        <f>K1364*2</f>
        <v>264264.40000000002</v>
      </c>
      <c r="L1369" s="73">
        <v>328000</v>
      </c>
      <c r="M1369" s="73">
        <f>2*M1364</f>
        <v>352965.4</v>
      </c>
      <c r="N1369" s="84">
        <f>2*N1364</f>
        <v>109842</v>
      </c>
      <c r="O1369" s="12"/>
      <c r="Y1369" s="14"/>
      <c r="Z1369" s="104"/>
      <c r="AA1369" s="104"/>
    </row>
    <row r="1370" spans="1:27" s="64" customFormat="1">
      <c r="A1370" s="412"/>
      <c r="B1370" s="66" t="s">
        <v>8</v>
      </c>
      <c r="C1370" s="98">
        <f>SUM(C1367-536)</f>
        <v>4470</v>
      </c>
      <c r="D1370" s="98">
        <f>SUM(D1367-736)</f>
        <v>2464</v>
      </c>
      <c r="E1370" s="98">
        <f>SUM(E1367-738)</f>
        <v>2445</v>
      </c>
      <c r="F1370" s="98">
        <f>SUM(F1367-1205)</f>
        <v>8321</v>
      </c>
      <c r="G1370" s="98">
        <f>SUM(G1367-3805)</f>
        <v>1195</v>
      </c>
      <c r="H1370" s="98">
        <f>SUM(H1367-1586)</f>
        <v>8188</v>
      </c>
      <c r="I1370" s="98">
        <f>SUM(I1367-(2670-2000))</f>
        <v>1330</v>
      </c>
      <c r="J1370" s="98">
        <f>SUM(J1367-1407)</f>
        <v>7787</v>
      </c>
      <c r="K1370" s="98">
        <f>SUM(K1367-1297)</f>
        <v>3941</v>
      </c>
      <c r="L1370" s="98">
        <f>SUM(L1367-913)</f>
        <v>1587</v>
      </c>
      <c r="M1370" s="98">
        <f>SUM(M1367-(3111-2614))</f>
        <v>2340</v>
      </c>
      <c r="N1370" s="103">
        <f>SUM(N1367-46)</f>
        <v>784</v>
      </c>
      <c r="O1370" s="12"/>
      <c r="P1370" s="175"/>
      <c r="Q1370" s="67"/>
      <c r="R1370" s="67"/>
      <c r="S1370" s="67"/>
      <c r="T1370" s="67"/>
      <c r="U1370" s="67"/>
      <c r="V1370" s="67"/>
      <c r="W1370" s="67"/>
    </row>
    <row r="1371" spans="1:27">
      <c r="A1371" s="412"/>
      <c r="B1371" s="29" t="s">
        <v>77</v>
      </c>
      <c r="C1371" s="75">
        <f>C1370*33.72</f>
        <v>150728.4</v>
      </c>
      <c r="D1371" s="75">
        <f>D1370*33.72</f>
        <v>83086.080000000002</v>
      </c>
      <c r="E1371" s="75">
        <f>E1370*33.72</f>
        <v>82445.399999999994</v>
      </c>
      <c r="F1371" s="75">
        <f>F1370*33.72</f>
        <v>280584.12</v>
      </c>
      <c r="G1371" s="75">
        <f>G1370*33.72*2</f>
        <v>80590.8</v>
      </c>
      <c r="H1371" s="75">
        <f>H1370*33.72</f>
        <v>276099.36</v>
      </c>
      <c r="I1371" s="75">
        <f>I1370*33.72</f>
        <v>44847.6</v>
      </c>
      <c r="J1371" s="75">
        <f>J1370*33.72</f>
        <v>262577.64</v>
      </c>
      <c r="K1371" s="75">
        <f>K1370*33.72</f>
        <v>132890.51999999999</v>
      </c>
      <c r="L1371" s="75">
        <f>L1370*33.72</f>
        <v>53513.64</v>
      </c>
      <c r="M1371" s="75">
        <f>M1370*33.72*2</f>
        <v>157809.60000000001</v>
      </c>
      <c r="N1371" s="11">
        <f>N1370*33.72</f>
        <v>26436.48</v>
      </c>
      <c r="O1371" s="12"/>
      <c r="P1371" s="175"/>
    </row>
    <row r="1372" spans="1:27" ht="15.75" thickBot="1">
      <c r="A1372" s="412"/>
      <c r="B1372" s="30" t="s">
        <v>10</v>
      </c>
      <c r="C1372" s="71">
        <f>C1370*33.7/C1364</f>
        <v>1.3006662245891787</v>
      </c>
      <c r="D1372" s="71">
        <f t="shared" ref="D1372:N1372" si="1076">D1370*33.7/D1364</f>
        <v>0.83840241029788465</v>
      </c>
      <c r="E1372" s="78">
        <f t="shared" si="1076"/>
        <v>0.83193745664704866</v>
      </c>
      <c r="F1372" s="78">
        <f t="shared" si="1076"/>
        <v>1.540775218161978</v>
      </c>
      <c r="G1372" s="78">
        <f t="shared" si="1076"/>
        <v>0.33191216152731601</v>
      </c>
      <c r="H1372" s="78">
        <f t="shared" si="1076"/>
        <v>2.5068668751970309</v>
      </c>
      <c r="I1372" s="78">
        <f t="shared" si="1076"/>
        <v>0.36940851450320533</v>
      </c>
      <c r="J1372" s="78">
        <f t="shared" si="1076"/>
        <v>1.534921821444531</v>
      </c>
      <c r="K1372" s="78">
        <f t="shared" si="1076"/>
        <v>1.0051425769040401</v>
      </c>
      <c r="L1372" s="78">
        <f t="shared" si="1076"/>
        <v>0.88158092107757402</v>
      </c>
      <c r="M1372" s="79">
        <f t="shared" si="1076"/>
        <v>0.44683133247621437</v>
      </c>
      <c r="N1372" s="26">
        <f t="shared" si="1076"/>
        <v>0.48106917208353822</v>
      </c>
      <c r="O1372" s="12"/>
      <c r="P1372" s="175"/>
    </row>
    <row r="1373" spans="1:27" ht="15.75" customHeight="1" thickBot="1">
      <c r="A1373" s="424" t="s">
        <v>83</v>
      </c>
      <c r="B1373" s="425"/>
      <c r="C1373" s="76">
        <f>MIN(2*C1364,C1369)-C1371</f>
        <v>13271.600000000006</v>
      </c>
      <c r="D1373" s="76">
        <f t="shared" ref="D1373:N1373" si="1077">MIN(2*D1364,D1369)-D1371</f>
        <v>26793.919999999998</v>
      </c>
      <c r="E1373" s="76">
        <f t="shared" si="1077"/>
        <v>27434.600000000006</v>
      </c>
      <c r="F1373" s="76">
        <f t="shared" si="1077"/>
        <v>47415.880000000005</v>
      </c>
      <c r="G1373" s="76">
        <f t="shared" si="1077"/>
        <v>162072.79999999999</v>
      </c>
      <c r="H1373" s="76">
        <f t="shared" si="1077"/>
        <v>-55955.56</v>
      </c>
      <c r="I1373" s="76">
        <f t="shared" si="1077"/>
        <v>197816</v>
      </c>
      <c r="J1373" s="76">
        <f t="shared" si="1077"/>
        <v>65422.359999999986</v>
      </c>
      <c r="K1373" s="76">
        <f t="shared" si="1077"/>
        <v>131373.88000000003</v>
      </c>
      <c r="L1373" s="76">
        <f t="shared" si="1077"/>
        <v>67818.16</v>
      </c>
      <c r="M1373" s="76">
        <f t="shared" si="1077"/>
        <v>195155.80000000002</v>
      </c>
      <c r="N1373" s="22">
        <f t="shared" si="1077"/>
        <v>83405.52</v>
      </c>
      <c r="O1373" s="12"/>
      <c r="P1373" s="175"/>
    </row>
    <row r="1374" spans="1:27" ht="15.75" thickBot="1">
      <c r="A1374" s="368">
        <v>41038</v>
      </c>
      <c r="B1374" s="368"/>
      <c r="C1374" s="368"/>
      <c r="N1374" s="15"/>
    </row>
    <row r="1375" spans="1:27">
      <c r="A1375" s="407" t="s">
        <v>1</v>
      </c>
      <c r="B1375" s="420"/>
      <c r="C1375" s="68" t="s">
        <v>12</v>
      </c>
      <c r="D1375" s="68" t="s">
        <v>12</v>
      </c>
      <c r="E1375" s="68" t="s">
        <v>13</v>
      </c>
      <c r="F1375" s="68" t="s">
        <v>13</v>
      </c>
      <c r="G1375" s="68" t="s">
        <v>13</v>
      </c>
      <c r="H1375" s="68" t="s">
        <v>13</v>
      </c>
      <c r="I1375" s="68" t="s">
        <v>13</v>
      </c>
      <c r="J1375" s="68" t="s">
        <v>2</v>
      </c>
      <c r="K1375" s="68" t="s">
        <v>2</v>
      </c>
      <c r="L1375" s="68" t="s">
        <v>2</v>
      </c>
      <c r="M1375" s="68" t="s">
        <v>2</v>
      </c>
      <c r="N1375" s="4" t="s">
        <v>84</v>
      </c>
      <c r="P1375" s="174"/>
      <c r="Q1375" s="175"/>
      <c r="R1375" s="175"/>
      <c r="S1375" s="175"/>
      <c r="T1375" s="175"/>
      <c r="U1375" s="175"/>
      <c r="V1375" s="175"/>
      <c r="W1375" s="175"/>
      <c r="X1375" s="175"/>
      <c r="Y1375" s="174"/>
      <c r="Z1375" s="175"/>
      <c r="AA1375" s="175"/>
    </row>
    <row r="1376" spans="1:27" ht="15.75" thickBot="1">
      <c r="A1376" s="409" t="s">
        <v>0</v>
      </c>
      <c r="B1376" s="414"/>
      <c r="C1376" s="99" t="s">
        <v>102</v>
      </c>
      <c r="D1376" s="99" t="s">
        <v>103</v>
      </c>
      <c r="E1376" s="99" t="s">
        <v>104</v>
      </c>
      <c r="F1376" s="99" t="s">
        <v>105</v>
      </c>
      <c r="G1376" s="99" t="s">
        <v>100</v>
      </c>
      <c r="H1376" s="99" t="s">
        <v>107</v>
      </c>
      <c r="I1376" s="99" t="s">
        <v>106</v>
      </c>
      <c r="J1376" s="99" t="s">
        <v>108</v>
      </c>
      <c r="K1376" s="99" t="s">
        <v>110</v>
      </c>
      <c r="L1376" s="99" t="s">
        <v>101</v>
      </c>
      <c r="M1376" s="99" t="s">
        <v>109</v>
      </c>
      <c r="N1376" s="101" t="s">
        <v>111</v>
      </c>
      <c r="P1376" s="142"/>
      <c r="Y1376" s="142"/>
      <c r="Z1376" s="104"/>
      <c r="AA1376" s="104"/>
    </row>
    <row r="1377" spans="1:27" ht="15" customHeight="1">
      <c r="A1377" s="421" t="s">
        <v>9</v>
      </c>
      <c r="B1377" s="2" t="s">
        <v>4</v>
      </c>
      <c r="C1377" s="96">
        <v>115816.8</v>
      </c>
      <c r="D1377" s="96">
        <v>99041.7</v>
      </c>
      <c r="E1377" s="96">
        <v>99041.7</v>
      </c>
      <c r="F1377" s="96">
        <v>181997.8</v>
      </c>
      <c r="G1377" s="96">
        <v>121331.8</v>
      </c>
      <c r="H1377" s="96">
        <v>110071.9</v>
      </c>
      <c r="I1377" s="96">
        <v>121331.8</v>
      </c>
      <c r="J1377" s="96">
        <v>170967.6</v>
      </c>
      <c r="K1377" s="96">
        <v>132132.20000000001</v>
      </c>
      <c r="L1377" s="96">
        <v>60665.9</v>
      </c>
      <c r="M1377" s="96">
        <v>176482.7</v>
      </c>
      <c r="N1377" s="100">
        <v>54921</v>
      </c>
      <c r="O1377" s="12"/>
      <c r="P1377" s="142"/>
      <c r="Y1377" s="142"/>
      <c r="Z1377" s="104"/>
      <c r="AA1377" s="104"/>
    </row>
    <row r="1378" spans="1:27" s="64" customFormat="1">
      <c r="A1378" s="422"/>
      <c r="B1378" s="63" t="s">
        <v>5</v>
      </c>
      <c r="C1378" s="97">
        <v>88314.3</v>
      </c>
      <c r="D1378" s="97">
        <v>66795.5</v>
      </c>
      <c r="E1378" s="97">
        <v>68170.7</v>
      </c>
      <c r="F1378" s="97">
        <v>141676.29999999999</v>
      </c>
      <c r="G1378" s="97">
        <v>9372.1</v>
      </c>
      <c r="H1378" s="97">
        <v>33231.5</v>
      </c>
      <c r="I1378" s="97">
        <v>20515.3</v>
      </c>
      <c r="J1378" s="97">
        <v>127531.6</v>
      </c>
      <c r="K1378" s="97">
        <v>42885.8</v>
      </c>
      <c r="L1378" s="97">
        <v>6153.1</v>
      </c>
      <c r="M1378" s="97">
        <v>79845.100000000006</v>
      </c>
      <c r="N1378" s="102">
        <v>23943.599999999999</v>
      </c>
      <c r="O1378" s="12"/>
      <c r="P1378" s="142"/>
      <c r="Q1378" s="104"/>
      <c r="R1378" s="104"/>
      <c r="S1378" s="104"/>
      <c r="T1378" s="104"/>
      <c r="U1378" s="104"/>
      <c r="V1378" s="104"/>
      <c r="W1378" s="104"/>
      <c r="X1378" s="104"/>
      <c r="Y1378" s="142"/>
      <c r="Z1378" s="104"/>
      <c r="AA1378" s="104"/>
    </row>
    <row r="1379" spans="1:27" ht="15.75" thickBot="1">
      <c r="A1379" s="423"/>
      <c r="B1379" s="3" t="s">
        <v>3</v>
      </c>
      <c r="C1379" s="71">
        <f>C1378/C1377</f>
        <v>0.76253445096048245</v>
      </c>
      <c r="D1379" s="72">
        <f t="shared" ref="D1379:F1379" si="1078">D1378/D1377</f>
        <v>0.67441794718790171</v>
      </c>
      <c r="E1379" s="72">
        <f t="shared" si="1078"/>
        <v>0.68830300772300956</v>
      </c>
      <c r="F1379" s="72">
        <f t="shared" si="1078"/>
        <v>0.77845061863385157</v>
      </c>
      <c r="G1379" s="72">
        <f>G1378/G1377</f>
        <v>7.7243558572443499E-2</v>
      </c>
      <c r="H1379" s="72">
        <f t="shared" ref="H1379:N1379" si="1079">H1378/H1377</f>
        <v>0.30190720792500175</v>
      </c>
      <c r="I1379" s="72">
        <f t="shared" si="1079"/>
        <v>0.16908427963650088</v>
      </c>
      <c r="J1379" s="72">
        <f t="shared" si="1079"/>
        <v>0.74594016644089289</v>
      </c>
      <c r="K1379" s="72">
        <f t="shared" si="1079"/>
        <v>0.32456736510858064</v>
      </c>
      <c r="L1379" s="72">
        <f t="shared" si="1079"/>
        <v>0.10142600703195701</v>
      </c>
      <c r="M1379" s="72">
        <f t="shared" si="1079"/>
        <v>0.45242451526410238</v>
      </c>
      <c r="N1379" s="83">
        <f t="shared" si="1079"/>
        <v>0.43596438520784397</v>
      </c>
      <c r="O1379" s="12"/>
      <c r="Y1379" s="14"/>
      <c r="Z1379" s="104"/>
      <c r="AA1379" s="104"/>
    </row>
    <row r="1380" spans="1:27" ht="15" customHeight="1">
      <c r="A1380" s="411" t="s">
        <v>6</v>
      </c>
      <c r="B1380" s="27" t="s">
        <v>7</v>
      </c>
      <c r="C1380" s="68">
        <v>5006</v>
      </c>
      <c r="D1380" s="68">
        <v>3200</v>
      </c>
      <c r="E1380" s="68">
        <v>3183</v>
      </c>
      <c r="F1380" s="68">
        <v>9526</v>
      </c>
      <c r="G1380" s="68">
        <v>5000</v>
      </c>
      <c r="H1380" s="68">
        <f>(11504-(HEX2DEC("3520")-HEX2DEC("2e5e")))</f>
        <v>9774</v>
      </c>
      <c r="I1380" s="68">
        <f>(4000-2000)</f>
        <v>2000</v>
      </c>
      <c r="J1380" s="68">
        <v>9194</v>
      </c>
      <c r="K1380" s="68">
        <f>8610-(HEX2DEC("2a3c")-HEX2DEC("1d10"))</f>
        <v>5238</v>
      </c>
      <c r="L1380" s="68">
        <v>2500</v>
      </c>
      <c r="M1380" s="68">
        <f>5451-2614</f>
        <v>2837</v>
      </c>
      <c r="N1380" s="80">
        <v>830</v>
      </c>
      <c r="O1380" s="12"/>
      <c r="P1380" s="142"/>
      <c r="Y1380" s="142"/>
      <c r="Z1380" s="104"/>
      <c r="AA1380" s="104"/>
    </row>
    <row r="1381" spans="1:27">
      <c r="A1381" s="412"/>
      <c r="B1381" s="28" t="s">
        <v>11</v>
      </c>
      <c r="C1381" s="73">
        <f t="shared" ref="C1381:I1381" si="1080">C1380*33.72</f>
        <v>168802.32</v>
      </c>
      <c r="D1381" s="73">
        <f t="shared" si="1080"/>
        <v>107904</v>
      </c>
      <c r="E1381" s="73">
        <f t="shared" si="1080"/>
        <v>107330.76</v>
      </c>
      <c r="F1381" s="73">
        <f t="shared" si="1080"/>
        <v>321216.71999999997</v>
      </c>
      <c r="G1381" s="73">
        <f t="shared" si="1080"/>
        <v>168600</v>
      </c>
      <c r="H1381" s="73">
        <f t="shared" si="1080"/>
        <v>329579.27999999997</v>
      </c>
      <c r="I1381" s="73">
        <f t="shared" si="1080"/>
        <v>67440</v>
      </c>
      <c r="J1381" s="73">
        <f>J1380*33.72</f>
        <v>310021.68</v>
      </c>
      <c r="K1381" s="73">
        <f t="shared" ref="K1381:N1381" si="1081">K1380*33.72</f>
        <v>176625.36</v>
      </c>
      <c r="L1381" s="73">
        <f t="shared" si="1081"/>
        <v>84300</v>
      </c>
      <c r="M1381" s="73">
        <f t="shared" si="1081"/>
        <v>95663.64</v>
      </c>
      <c r="N1381" s="73">
        <f t="shared" si="1081"/>
        <v>27987.599999999999</v>
      </c>
      <c r="O1381" s="12"/>
      <c r="P1381" s="142"/>
      <c r="Y1381" s="142"/>
      <c r="Z1381" s="104"/>
      <c r="AA1381" s="104"/>
    </row>
    <row r="1382" spans="1:27">
      <c r="A1382" s="412"/>
      <c r="B1382" s="28" t="s">
        <v>79</v>
      </c>
      <c r="C1382" s="73">
        <v>164000</v>
      </c>
      <c r="D1382" s="73">
        <v>109880</v>
      </c>
      <c r="E1382" s="73">
        <v>109880</v>
      </c>
      <c r="F1382" s="73">
        <v>328000</v>
      </c>
      <c r="G1382" s="73">
        <f>G1377*2</f>
        <v>242663.6</v>
      </c>
      <c r="H1382" s="73">
        <f>H1377*2</f>
        <v>220143.8</v>
      </c>
      <c r="I1382" s="73">
        <f>I1377*2</f>
        <v>242663.6</v>
      </c>
      <c r="J1382" s="73">
        <v>328000</v>
      </c>
      <c r="K1382" s="73">
        <f>K1377*2</f>
        <v>264264.40000000002</v>
      </c>
      <c r="L1382" s="73">
        <v>328000</v>
      </c>
      <c r="M1382" s="73">
        <f>2*M1377</f>
        <v>352965.4</v>
      </c>
      <c r="N1382" s="84">
        <f>2*N1377</f>
        <v>109842</v>
      </c>
      <c r="O1382" s="12"/>
      <c r="Y1382" s="14"/>
      <c r="Z1382" s="104"/>
      <c r="AA1382" s="104"/>
    </row>
    <row r="1383" spans="1:27" s="64" customFormat="1">
      <c r="A1383" s="412"/>
      <c r="B1383" s="66" t="s">
        <v>8</v>
      </c>
      <c r="C1383" s="98">
        <f>SUM(C1380-536)</f>
        <v>4470</v>
      </c>
      <c r="D1383" s="98">
        <f>SUM(D1380-736)</f>
        <v>2464</v>
      </c>
      <c r="E1383" s="98">
        <f>SUM(E1380-738)</f>
        <v>2445</v>
      </c>
      <c r="F1383" s="98">
        <f>SUM(F1380-1205)</f>
        <v>8321</v>
      </c>
      <c r="G1383" s="98">
        <f>SUM(G1380-3890)</f>
        <v>1110</v>
      </c>
      <c r="H1383" s="98">
        <f>SUM(H1380-1592)</f>
        <v>8182</v>
      </c>
      <c r="I1383" s="98">
        <f>SUM(I1380-(2670-2000))</f>
        <v>1330</v>
      </c>
      <c r="J1383" s="98">
        <f>SUM(J1380-1409)</f>
        <v>7785</v>
      </c>
      <c r="K1383" s="98">
        <f>SUM(K1380-1309)</f>
        <v>3929</v>
      </c>
      <c r="L1383" s="98">
        <f>SUM(L1380-998)</f>
        <v>1502</v>
      </c>
      <c r="M1383" s="98">
        <f>SUM(M1380-(3111-2614))</f>
        <v>2340</v>
      </c>
      <c r="N1383" s="103">
        <f>SUM(N1380-46)</f>
        <v>784</v>
      </c>
      <c r="O1383" s="12"/>
      <c r="P1383" s="175"/>
      <c r="Q1383" s="67"/>
      <c r="R1383" s="67"/>
      <c r="S1383" s="67"/>
      <c r="T1383" s="67"/>
      <c r="U1383" s="67"/>
      <c r="V1383" s="67"/>
      <c r="W1383" s="67"/>
    </row>
    <row r="1384" spans="1:27">
      <c r="A1384" s="412"/>
      <c r="B1384" s="29" t="s">
        <v>77</v>
      </c>
      <c r="C1384" s="75">
        <f>C1383*33.72</f>
        <v>150728.4</v>
      </c>
      <c r="D1384" s="75">
        <f>D1383*33.72</f>
        <v>83086.080000000002</v>
      </c>
      <c r="E1384" s="75">
        <f>E1383*33.72</f>
        <v>82445.399999999994</v>
      </c>
      <c r="F1384" s="75">
        <f>F1383*33.72</f>
        <v>280584.12</v>
      </c>
      <c r="G1384" s="75">
        <f>G1383*33.72*2</f>
        <v>74858.399999999994</v>
      </c>
      <c r="H1384" s="75">
        <f>H1383*33.72</f>
        <v>275897.03999999998</v>
      </c>
      <c r="I1384" s="75">
        <f>I1383*33.72</f>
        <v>44847.6</v>
      </c>
      <c r="J1384" s="75">
        <f>J1383*33.72</f>
        <v>262510.2</v>
      </c>
      <c r="K1384" s="75">
        <f>K1383*33.72</f>
        <v>132485.88</v>
      </c>
      <c r="L1384" s="75">
        <f>L1383*33.72</f>
        <v>50647.439999999995</v>
      </c>
      <c r="M1384" s="75">
        <f>M1383*33.72*2</f>
        <v>157809.60000000001</v>
      </c>
      <c r="N1384" s="11">
        <f>N1383*33.72</f>
        <v>26436.48</v>
      </c>
      <c r="O1384" s="12"/>
      <c r="P1384" s="175"/>
    </row>
    <row r="1385" spans="1:27" ht="15.75" thickBot="1">
      <c r="A1385" s="412"/>
      <c r="B1385" s="30" t="s">
        <v>10</v>
      </c>
      <c r="C1385" s="71">
        <f>C1383*33.7/C1377</f>
        <v>1.3006662245891787</v>
      </c>
      <c r="D1385" s="71">
        <f t="shared" ref="D1385:N1385" si="1082">D1383*33.7/D1377</f>
        <v>0.83840241029788465</v>
      </c>
      <c r="E1385" s="78">
        <f t="shared" si="1082"/>
        <v>0.83193745664704866</v>
      </c>
      <c r="F1385" s="78">
        <f t="shared" si="1082"/>
        <v>1.540775218161978</v>
      </c>
      <c r="G1385" s="78">
        <f t="shared" si="1082"/>
        <v>0.30830334669064496</v>
      </c>
      <c r="H1385" s="78">
        <f t="shared" si="1082"/>
        <v>2.5050298940964955</v>
      </c>
      <c r="I1385" s="78">
        <f t="shared" si="1082"/>
        <v>0.36940851450320533</v>
      </c>
      <c r="J1385" s="78">
        <f t="shared" si="1082"/>
        <v>1.5345275947021539</v>
      </c>
      <c r="K1385" s="78">
        <f t="shared" si="1082"/>
        <v>1.002082005748788</v>
      </c>
      <c r="L1385" s="78">
        <f t="shared" si="1082"/>
        <v>0.83436329140423204</v>
      </c>
      <c r="M1385" s="79">
        <f t="shared" si="1082"/>
        <v>0.44683133247621437</v>
      </c>
      <c r="N1385" s="26">
        <f t="shared" si="1082"/>
        <v>0.48106917208353822</v>
      </c>
      <c r="O1385" s="12"/>
      <c r="P1385" s="175"/>
    </row>
    <row r="1386" spans="1:27" ht="15.75" customHeight="1" thickBot="1">
      <c r="A1386" s="424" t="s">
        <v>83</v>
      </c>
      <c r="B1386" s="425"/>
      <c r="C1386" s="76">
        <f>MIN(2*C1377,C1382)-C1384</f>
        <v>13271.600000000006</v>
      </c>
      <c r="D1386" s="76">
        <f t="shared" ref="D1386:N1386" si="1083">MIN(2*D1377,D1382)-D1384</f>
        <v>26793.919999999998</v>
      </c>
      <c r="E1386" s="76">
        <f t="shared" si="1083"/>
        <v>27434.600000000006</v>
      </c>
      <c r="F1386" s="76">
        <f t="shared" si="1083"/>
        <v>47415.880000000005</v>
      </c>
      <c r="G1386" s="76">
        <f t="shared" si="1083"/>
        <v>167805.2</v>
      </c>
      <c r="H1386" s="76">
        <f t="shared" si="1083"/>
        <v>-55753.239999999991</v>
      </c>
      <c r="I1386" s="76">
        <f t="shared" si="1083"/>
        <v>197816</v>
      </c>
      <c r="J1386" s="76">
        <f t="shared" si="1083"/>
        <v>65489.799999999988</v>
      </c>
      <c r="K1386" s="76">
        <f t="shared" si="1083"/>
        <v>131778.52000000002</v>
      </c>
      <c r="L1386" s="76">
        <f t="shared" si="1083"/>
        <v>70684.360000000015</v>
      </c>
      <c r="M1386" s="76">
        <f t="shared" si="1083"/>
        <v>195155.80000000002</v>
      </c>
      <c r="N1386" s="22">
        <f t="shared" si="1083"/>
        <v>83405.52</v>
      </c>
      <c r="O1386" s="12"/>
      <c r="P1386" s="175"/>
    </row>
    <row r="1387" spans="1:27" ht="15.75" thickBot="1">
      <c r="A1387" s="368">
        <v>41037</v>
      </c>
      <c r="B1387" s="368"/>
      <c r="C1387" s="368"/>
      <c r="N1387" s="15"/>
    </row>
    <row r="1388" spans="1:27">
      <c r="A1388" s="407" t="s">
        <v>1</v>
      </c>
      <c r="B1388" s="420"/>
      <c r="C1388" s="68" t="s">
        <v>12</v>
      </c>
      <c r="D1388" s="68" t="s">
        <v>12</v>
      </c>
      <c r="E1388" s="68" t="s">
        <v>13</v>
      </c>
      <c r="F1388" s="68" t="s">
        <v>13</v>
      </c>
      <c r="G1388" s="68" t="s">
        <v>13</v>
      </c>
      <c r="H1388" s="68" t="s">
        <v>13</v>
      </c>
      <c r="I1388" s="68" t="s">
        <v>13</v>
      </c>
      <c r="J1388" s="68" t="s">
        <v>2</v>
      </c>
      <c r="K1388" s="68" t="s">
        <v>2</v>
      </c>
      <c r="L1388" s="68" t="s">
        <v>2</v>
      </c>
      <c r="M1388" s="68" t="s">
        <v>2</v>
      </c>
      <c r="N1388" s="4" t="s">
        <v>84</v>
      </c>
      <c r="P1388" s="174"/>
      <c r="Q1388" s="175"/>
      <c r="R1388" s="175"/>
      <c r="S1388" s="175"/>
      <c r="T1388" s="175"/>
      <c r="U1388" s="175"/>
      <c r="V1388" s="175"/>
      <c r="W1388" s="175"/>
      <c r="X1388" s="175"/>
      <c r="Y1388" s="174"/>
      <c r="Z1388" s="175"/>
      <c r="AA1388" s="175"/>
    </row>
    <row r="1389" spans="1:27" ht="15.75" thickBot="1">
      <c r="A1389" s="409" t="s">
        <v>0</v>
      </c>
      <c r="B1389" s="414"/>
      <c r="C1389" s="99" t="s">
        <v>102</v>
      </c>
      <c r="D1389" s="99" t="s">
        <v>103</v>
      </c>
      <c r="E1389" s="99" t="s">
        <v>104</v>
      </c>
      <c r="F1389" s="99" t="s">
        <v>105</v>
      </c>
      <c r="G1389" s="99" t="s">
        <v>100</v>
      </c>
      <c r="H1389" s="99" t="s">
        <v>107</v>
      </c>
      <c r="I1389" s="99" t="s">
        <v>106</v>
      </c>
      <c r="J1389" s="99" t="s">
        <v>108</v>
      </c>
      <c r="K1389" s="99" t="s">
        <v>110</v>
      </c>
      <c r="L1389" s="99" t="s">
        <v>101</v>
      </c>
      <c r="M1389" s="99" t="s">
        <v>109</v>
      </c>
      <c r="N1389" s="101" t="s">
        <v>111</v>
      </c>
      <c r="P1389" s="142"/>
      <c r="Y1389" s="142"/>
      <c r="Z1389" s="104"/>
      <c r="AA1389" s="104"/>
    </row>
    <row r="1390" spans="1:27" ht="15" customHeight="1">
      <c r="A1390" s="421" t="s">
        <v>9</v>
      </c>
      <c r="B1390" s="2" t="s">
        <v>4</v>
      </c>
      <c r="C1390" s="96">
        <v>115816.8</v>
      </c>
      <c r="D1390" s="96">
        <v>99041.7</v>
      </c>
      <c r="E1390" s="96">
        <v>99041.7</v>
      </c>
      <c r="F1390" s="96">
        <v>181997.8</v>
      </c>
      <c r="G1390" s="96">
        <v>121331.8</v>
      </c>
      <c r="H1390" s="96">
        <v>110071.9</v>
      </c>
      <c r="I1390" s="96">
        <v>121331.8</v>
      </c>
      <c r="J1390" s="96">
        <v>170967.6</v>
      </c>
      <c r="K1390" s="96">
        <v>132132.20000000001</v>
      </c>
      <c r="L1390" s="96">
        <v>60665.9</v>
      </c>
      <c r="M1390" s="96">
        <v>176482.7</v>
      </c>
      <c r="N1390" s="100">
        <v>54921</v>
      </c>
      <c r="O1390" s="12"/>
      <c r="P1390" s="142"/>
      <c r="Y1390" s="142"/>
      <c r="Z1390" s="104"/>
      <c r="AA1390" s="104"/>
    </row>
    <row r="1391" spans="1:27" s="64" customFormat="1">
      <c r="A1391" s="422"/>
      <c r="B1391" s="63" t="s">
        <v>5</v>
      </c>
      <c r="C1391" s="97">
        <v>88265.9</v>
      </c>
      <c r="D1391" s="97">
        <v>66772.800000000003</v>
      </c>
      <c r="E1391" s="97">
        <v>68148.100000000006</v>
      </c>
      <c r="F1391" s="97">
        <v>140997</v>
      </c>
      <c r="G1391" s="97">
        <v>9362.5</v>
      </c>
      <c r="H1391" s="97">
        <v>33023.9</v>
      </c>
      <c r="I1391" s="97">
        <v>20487.3</v>
      </c>
      <c r="J1391" s="97">
        <v>127461.5</v>
      </c>
      <c r="K1391" s="97">
        <v>42789.7</v>
      </c>
      <c r="L1391" s="97">
        <v>6128</v>
      </c>
      <c r="M1391" s="97">
        <v>79789.399999999994</v>
      </c>
      <c r="N1391" s="102">
        <v>23943.599999999999</v>
      </c>
      <c r="O1391" s="12"/>
      <c r="P1391" s="142"/>
      <c r="Q1391" s="104"/>
      <c r="R1391" s="104"/>
      <c r="S1391" s="104"/>
      <c r="T1391" s="104"/>
      <c r="U1391" s="104"/>
      <c r="V1391" s="104"/>
      <c r="W1391" s="104"/>
      <c r="X1391" s="104"/>
      <c r="Y1391" s="142"/>
      <c r="Z1391" s="104"/>
      <c r="AA1391" s="104"/>
    </row>
    <row r="1392" spans="1:27" ht="15.75" thickBot="1">
      <c r="A1392" s="423"/>
      <c r="B1392" s="3" t="s">
        <v>3</v>
      </c>
      <c r="C1392" s="71">
        <f>C1391/C1390</f>
        <v>0.76211654958520691</v>
      </c>
      <c r="D1392" s="72">
        <f t="shared" ref="D1392:F1392" si="1084">D1391/D1390</f>
        <v>0.67418875079890594</v>
      </c>
      <c r="E1392" s="72">
        <f t="shared" si="1084"/>
        <v>0.68807482100973638</v>
      </c>
      <c r="F1392" s="72">
        <f t="shared" si="1084"/>
        <v>0.77471815593375315</v>
      </c>
      <c r="G1392" s="72">
        <f>G1391/G1390</f>
        <v>7.7164436693430732E-2</v>
      </c>
      <c r="H1392" s="72">
        <f t="shared" ref="H1392:N1392" si="1085">H1391/H1390</f>
        <v>0.30002116798201905</v>
      </c>
      <c r="I1392" s="72">
        <f t="shared" si="1085"/>
        <v>0.16885350748938036</v>
      </c>
      <c r="J1392" s="72">
        <f t="shared" si="1085"/>
        <v>0.74553014723257505</v>
      </c>
      <c r="K1392" s="72">
        <f t="shared" si="1085"/>
        <v>0.32384006320942205</v>
      </c>
      <c r="L1392" s="72">
        <f t="shared" si="1085"/>
        <v>0.10101226553961945</v>
      </c>
      <c r="M1392" s="72">
        <f t="shared" si="1085"/>
        <v>0.45210890359225003</v>
      </c>
      <c r="N1392" s="83">
        <f t="shared" si="1085"/>
        <v>0.43596438520784397</v>
      </c>
      <c r="O1392" s="12"/>
      <c r="Y1392" s="14"/>
      <c r="Z1392" s="104"/>
      <c r="AA1392" s="104"/>
    </row>
    <row r="1393" spans="1:27" ht="15" customHeight="1">
      <c r="A1393" s="411" t="s">
        <v>6</v>
      </c>
      <c r="B1393" s="27" t="s">
        <v>7</v>
      </c>
      <c r="C1393" s="68">
        <v>5006</v>
      </c>
      <c r="D1393" s="68">
        <v>3200</v>
      </c>
      <c r="E1393" s="68">
        <v>3183</v>
      </c>
      <c r="F1393" s="68">
        <v>9526</v>
      </c>
      <c r="G1393" s="68">
        <v>5000</v>
      </c>
      <c r="H1393" s="68">
        <f>(11504-(HEX2DEC("3520")-HEX2DEC("2e5e")))</f>
        <v>9774</v>
      </c>
      <c r="I1393" s="68">
        <f>(4000-2000)</f>
        <v>2000</v>
      </c>
      <c r="J1393" s="68">
        <v>9194</v>
      </c>
      <c r="K1393" s="68">
        <f>8610-(HEX2DEC("2a3c")-HEX2DEC("1d10"))</f>
        <v>5238</v>
      </c>
      <c r="L1393" s="68">
        <v>2500</v>
      </c>
      <c r="M1393" s="68">
        <f>5451-2614</f>
        <v>2837</v>
      </c>
      <c r="N1393" s="80">
        <v>830</v>
      </c>
      <c r="O1393" s="12"/>
      <c r="P1393" s="142"/>
      <c r="Y1393" s="142"/>
      <c r="Z1393" s="104"/>
      <c r="AA1393" s="104"/>
    </row>
    <row r="1394" spans="1:27">
      <c r="A1394" s="412"/>
      <c r="B1394" s="28" t="s">
        <v>11</v>
      </c>
      <c r="C1394" s="73">
        <f t="shared" ref="C1394:I1394" si="1086">C1393*33.72</f>
        <v>168802.32</v>
      </c>
      <c r="D1394" s="73">
        <f t="shared" si="1086"/>
        <v>107904</v>
      </c>
      <c r="E1394" s="73">
        <f t="shared" si="1086"/>
        <v>107330.76</v>
      </c>
      <c r="F1394" s="73">
        <f t="shared" si="1086"/>
        <v>321216.71999999997</v>
      </c>
      <c r="G1394" s="73">
        <f t="shared" si="1086"/>
        <v>168600</v>
      </c>
      <c r="H1394" s="73">
        <f t="shared" si="1086"/>
        <v>329579.27999999997</v>
      </c>
      <c r="I1394" s="73">
        <f t="shared" si="1086"/>
        <v>67440</v>
      </c>
      <c r="J1394" s="73">
        <f>J1393*33.72</f>
        <v>310021.68</v>
      </c>
      <c r="K1394" s="73">
        <f t="shared" ref="K1394:N1394" si="1087">K1393*33.72</f>
        <v>176625.36</v>
      </c>
      <c r="L1394" s="73">
        <f t="shared" si="1087"/>
        <v>84300</v>
      </c>
      <c r="M1394" s="73">
        <f t="shared" si="1087"/>
        <v>95663.64</v>
      </c>
      <c r="N1394" s="73">
        <f t="shared" si="1087"/>
        <v>27987.599999999999</v>
      </c>
      <c r="O1394" s="12"/>
      <c r="P1394" s="142"/>
      <c r="Y1394" s="142"/>
      <c r="Z1394" s="104"/>
      <c r="AA1394" s="104"/>
    </row>
    <row r="1395" spans="1:27">
      <c r="A1395" s="412"/>
      <c r="B1395" s="28" t="s">
        <v>79</v>
      </c>
      <c r="C1395" s="73">
        <v>164000</v>
      </c>
      <c r="D1395" s="73">
        <v>109880</v>
      </c>
      <c r="E1395" s="73">
        <v>109880</v>
      </c>
      <c r="F1395" s="73">
        <v>328000</v>
      </c>
      <c r="G1395" s="73">
        <f>G1390*2</f>
        <v>242663.6</v>
      </c>
      <c r="H1395" s="73">
        <f>H1390*2</f>
        <v>220143.8</v>
      </c>
      <c r="I1395" s="73">
        <f>I1390*2</f>
        <v>242663.6</v>
      </c>
      <c r="J1395" s="73">
        <v>328000</v>
      </c>
      <c r="K1395" s="73">
        <f>K1390*2</f>
        <v>264264.40000000002</v>
      </c>
      <c r="L1395" s="73">
        <v>328000</v>
      </c>
      <c r="M1395" s="73">
        <f>2*M1390</f>
        <v>352965.4</v>
      </c>
      <c r="N1395" s="84">
        <f>2*N1390</f>
        <v>109842</v>
      </c>
      <c r="O1395" s="12"/>
      <c r="Y1395" s="14"/>
      <c r="Z1395" s="104"/>
      <c r="AA1395" s="104"/>
    </row>
    <row r="1396" spans="1:27" s="64" customFormat="1">
      <c r="A1396" s="412"/>
      <c r="B1396" s="66" t="s">
        <v>8</v>
      </c>
      <c r="C1396" s="98">
        <f>SUM(C1393-536)</f>
        <v>4470</v>
      </c>
      <c r="D1396" s="98">
        <f>SUM(D1393-736)</f>
        <v>2464</v>
      </c>
      <c r="E1396" s="98">
        <f>SUM(E1393-738)</f>
        <v>2445</v>
      </c>
      <c r="F1396" s="98">
        <f>SUM(F1393-1205)</f>
        <v>8321</v>
      </c>
      <c r="G1396" s="98">
        <f>SUM(G1393-3890)</f>
        <v>1110</v>
      </c>
      <c r="H1396" s="98">
        <f>SUM(H1393-1616)</f>
        <v>8158</v>
      </c>
      <c r="I1396" s="98">
        <f>SUM(I1393-(2670-2000))</f>
        <v>1330</v>
      </c>
      <c r="J1396" s="98">
        <f>SUM(J1393-1409)</f>
        <v>7785</v>
      </c>
      <c r="K1396" s="98">
        <f>SUM(K1393-1309)</f>
        <v>3929</v>
      </c>
      <c r="L1396" s="98">
        <f>SUM(L1393-998)</f>
        <v>1502</v>
      </c>
      <c r="M1396" s="98">
        <f>SUM(M1393-(3111-2614))</f>
        <v>2340</v>
      </c>
      <c r="N1396" s="103">
        <f>SUM(N1393-46)</f>
        <v>784</v>
      </c>
      <c r="O1396" s="12"/>
      <c r="P1396" s="175"/>
      <c r="Q1396" s="67"/>
      <c r="R1396" s="67"/>
      <c r="S1396" s="67"/>
      <c r="T1396" s="67"/>
      <c r="U1396" s="67"/>
      <c r="V1396" s="67"/>
      <c r="W1396" s="67"/>
    </row>
    <row r="1397" spans="1:27">
      <c r="A1397" s="412"/>
      <c r="B1397" s="29" t="s">
        <v>77</v>
      </c>
      <c r="C1397" s="75">
        <f>C1396*33.72</f>
        <v>150728.4</v>
      </c>
      <c r="D1397" s="75">
        <f>D1396*33.72</f>
        <v>83086.080000000002</v>
      </c>
      <c r="E1397" s="75">
        <f>E1396*33.72</f>
        <v>82445.399999999994</v>
      </c>
      <c r="F1397" s="75">
        <f>F1396*33.72</f>
        <v>280584.12</v>
      </c>
      <c r="G1397" s="75">
        <f>G1396*33.72*2</f>
        <v>74858.399999999994</v>
      </c>
      <c r="H1397" s="75">
        <f>H1396*33.72</f>
        <v>275087.76</v>
      </c>
      <c r="I1397" s="75">
        <f>I1396*33.72</f>
        <v>44847.6</v>
      </c>
      <c r="J1397" s="75">
        <f>J1396*33.72</f>
        <v>262510.2</v>
      </c>
      <c r="K1397" s="75">
        <f>K1396*33.72</f>
        <v>132485.88</v>
      </c>
      <c r="L1397" s="75">
        <f>L1396*33.72</f>
        <v>50647.439999999995</v>
      </c>
      <c r="M1397" s="75">
        <f>M1396*33.72*2</f>
        <v>157809.60000000001</v>
      </c>
      <c r="N1397" s="11">
        <f>N1396*33.72</f>
        <v>26436.48</v>
      </c>
      <c r="O1397" s="12"/>
      <c r="P1397" s="175"/>
    </row>
    <row r="1398" spans="1:27" ht="15.75" thickBot="1">
      <c r="A1398" s="412"/>
      <c r="B1398" s="30" t="s">
        <v>10</v>
      </c>
      <c r="C1398" s="71">
        <f>C1396*33.7/C1390</f>
        <v>1.3006662245891787</v>
      </c>
      <c r="D1398" s="71">
        <f t="shared" ref="D1398:N1398" si="1088">D1396*33.7/D1390</f>
        <v>0.83840241029788465</v>
      </c>
      <c r="E1398" s="78">
        <f t="shared" si="1088"/>
        <v>0.83193745664704866</v>
      </c>
      <c r="F1398" s="78">
        <f t="shared" si="1088"/>
        <v>1.540775218161978</v>
      </c>
      <c r="G1398" s="78">
        <f t="shared" si="1088"/>
        <v>0.30830334669064496</v>
      </c>
      <c r="H1398" s="78">
        <f t="shared" si="1088"/>
        <v>2.4976819696943546</v>
      </c>
      <c r="I1398" s="78">
        <f t="shared" si="1088"/>
        <v>0.36940851450320533</v>
      </c>
      <c r="J1398" s="78">
        <f t="shared" si="1088"/>
        <v>1.5345275947021539</v>
      </c>
      <c r="K1398" s="78">
        <f t="shared" si="1088"/>
        <v>1.002082005748788</v>
      </c>
      <c r="L1398" s="78">
        <f t="shared" si="1088"/>
        <v>0.83436329140423204</v>
      </c>
      <c r="M1398" s="79">
        <f t="shared" si="1088"/>
        <v>0.44683133247621437</v>
      </c>
      <c r="N1398" s="26">
        <f t="shared" si="1088"/>
        <v>0.48106917208353822</v>
      </c>
      <c r="O1398" s="12"/>
      <c r="P1398" s="175"/>
    </row>
    <row r="1399" spans="1:27" ht="15.75" customHeight="1" thickBot="1">
      <c r="A1399" s="424" t="s">
        <v>83</v>
      </c>
      <c r="B1399" s="425"/>
      <c r="C1399" s="76">
        <f>MIN(2*C1390,C1395)-C1397</f>
        <v>13271.600000000006</v>
      </c>
      <c r="D1399" s="76">
        <f t="shared" ref="D1399:N1399" si="1089">MIN(2*D1390,D1395)-D1397</f>
        <v>26793.919999999998</v>
      </c>
      <c r="E1399" s="76">
        <f t="shared" si="1089"/>
        <v>27434.600000000006</v>
      </c>
      <c r="F1399" s="76">
        <f t="shared" si="1089"/>
        <v>47415.880000000005</v>
      </c>
      <c r="G1399" s="76">
        <f t="shared" si="1089"/>
        <v>167805.2</v>
      </c>
      <c r="H1399" s="76">
        <f t="shared" si="1089"/>
        <v>-54943.960000000021</v>
      </c>
      <c r="I1399" s="76">
        <f t="shared" si="1089"/>
        <v>197816</v>
      </c>
      <c r="J1399" s="76">
        <f t="shared" si="1089"/>
        <v>65489.799999999988</v>
      </c>
      <c r="K1399" s="76">
        <f t="shared" si="1089"/>
        <v>131778.52000000002</v>
      </c>
      <c r="L1399" s="76">
        <f t="shared" si="1089"/>
        <v>70684.360000000015</v>
      </c>
      <c r="M1399" s="76">
        <f t="shared" si="1089"/>
        <v>195155.80000000002</v>
      </c>
      <c r="N1399" s="22">
        <f t="shared" si="1089"/>
        <v>83405.52</v>
      </c>
      <c r="O1399" s="12"/>
      <c r="P1399" s="175"/>
    </row>
    <row r="1400" spans="1:27" ht="15.75" thickBot="1">
      <c r="A1400" s="368">
        <v>41033</v>
      </c>
      <c r="B1400" s="368"/>
      <c r="C1400" s="368"/>
      <c r="N1400" s="15"/>
    </row>
    <row r="1401" spans="1:27">
      <c r="A1401" s="407" t="s">
        <v>1</v>
      </c>
      <c r="B1401" s="420"/>
      <c r="C1401" s="68" t="s">
        <v>12</v>
      </c>
      <c r="D1401" s="68" t="s">
        <v>12</v>
      </c>
      <c r="E1401" s="68" t="s">
        <v>13</v>
      </c>
      <c r="F1401" s="68" t="s">
        <v>13</v>
      </c>
      <c r="G1401" s="68" t="s">
        <v>13</v>
      </c>
      <c r="H1401" s="68" t="s">
        <v>13</v>
      </c>
      <c r="I1401" s="68" t="s">
        <v>13</v>
      </c>
      <c r="J1401" s="68" t="s">
        <v>2</v>
      </c>
      <c r="K1401" s="68" t="s">
        <v>2</v>
      </c>
      <c r="L1401" s="68" t="s">
        <v>2</v>
      </c>
      <c r="M1401" s="68" t="s">
        <v>2</v>
      </c>
      <c r="N1401" s="4" t="s">
        <v>84</v>
      </c>
      <c r="P1401" s="174"/>
      <c r="Q1401" s="175"/>
      <c r="R1401" s="175"/>
      <c r="S1401" s="175"/>
      <c r="T1401" s="175"/>
      <c r="U1401" s="175"/>
      <c r="V1401" s="175"/>
      <c r="W1401" s="175"/>
      <c r="X1401" s="175"/>
      <c r="Y1401" s="174"/>
      <c r="Z1401" s="175"/>
      <c r="AA1401" s="175"/>
    </row>
    <row r="1402" spans="1:27" ht="15.75" thickBot="1">
      <c r="A1402" s="409" t="s">
        <v>0</v>
      </c>
      <c r="B1402" s="414"/>
      <c r="C1402" s="99" t="s">
        <v>102</v>
      </c>
      <c r="D1402" s="99" t="s">
        <v>103</v>
      </c>
      <c r="E1402" s="99" t="s">
        <v>104</v>
      </c>
      <c r="F1402" s="99" t="s">
        <v>105</v>
      </c>
      <c r="G1402" s="99" t="s">
        <v>100</v>
      </c>
      <c r="H1402" s="99" t="s">
        <v>107</v>
      </c>
      <c r="I1402" s="99" t="s">
        <v>106</v>
      </c>
      <c r="J1402" s="99" t="s">
        <v>108</v>
      </c>
      <c r="K1402" s="99" t="s">
        <v>110</v>
      </c>
      <c r="L1402" s="99" t="s">
        <v>101</v>
      </c>
      <c r="M1402" s="99" t="s">
        <v>109</v>
      </c>
      <c r="N1402" s="101" t="s">
        <v>111</v>
      </c>
      <c r="P1402" s="142"/>
      <c r="Y1402" s="142"/>
      <c r="Z1402" s="104"/>
      <c r="AA1402" s="104"/>
    </row>
    <row r="1403" spans="1:27" ht="15" customHeight="1">
      <c r="A1403" s="421" t="s">
        <v>9</v>
      </c>
      <c r="B1403" s="2" t="s">
        <v>4</v>
      </c>
      <c r="C1403" s="96">
        <v>115816.8</v>
      </c>
      <c r="D1403" s="96">
        <v>99041.7</v>
      </c>
      <c r="E1403" s="96">
        <v>99041.7</v>
      </c>
      <c r="F1403" s="96">
        <v>181997.8</v>
      </c>
      <c r="G1403" s="96">
        <v>121331.8</v>
      </c>
      <c r="H1403" s="96">
        <v>110071.9</v>
      </c>
      <c r="I1403" s="96">
        <v>121331.8</v>
      </c>
      <c r="J1403" s="96">
        <v>170967.6</v>
      </c>
      <c r="K1403" s="96">
        <v>132132.20000000001</v>
      </c>
      <c r="L1403" s="96">
        <v>60665.9</v>
      </c>
      <c r="M1403" s="96">
        <v>176482.7</v>
      </c>
      <c r="N1403" s="100">
        <v>54921</v>
      </c>
      <c r="O1403" s="12"/>
      <c r="P1403" s="142"/>
      <c r="Y1403" s="142"/>
      <c r="Z1403" s="104"/>
      <c r="AA1403" s="104"/>
    </row>
    <row r="1404" spans="1:27" s="64" customFormat="1">
      <c r="A1404" s="422"/>
      <c r="B1404" s="63" t="s">
        <v>5</v>
      </c>
      <c r="C1404" s="97">
        <v>88147</v>
      </c>
      <c r="D1404" s="97">
        <v>66748.2</v>
      </c>
      <c r="E1404" s="97">
        <v>68123.600000000006</v>
      </c>
      <c r="F1404" s="97">
        <v>138767.1</v>
      </c>
      <c r="G1404" s="97">
        <v>9123.4</v>
      </c>
      <c r="H1404" s="97">
        <v>33133.1</v>
      </c>
      <c r="I1404" s="97">
        <v>20468</v>
      </c>
      <c r="J1404" s="97">
        <v>126723.5</v>
      </c>
      <c r="K1404" s="97">
        <v>42482.6</v>
      </c>
      <c r="L1404" s="97">
        <v>4851.6000000000004</v>
      </c>
      <c r="M1404" s="97">
        <v>79741.8</v>
      </c>
      <c r="N1404" s="102">
        <v>23937.599999999999</v>
      </c>
      <c r="O1404" s="12"/>
      <c r="P1404" s="142"/>
      <c r="Q1404" s="104"/>
      <c r="R1404" s="104"/>
      <c r="S1404" s="104"/>
      <c r="T1404" s="104"/>
      <c r="U1404" s="104"/>
      <c r="V1404" s="104"/>
      <c r="W1404" s="104"/>
      <c r="X1404" s="104"/>
      <c r="Y1404" s="142"/>
      <c r="Z1404" s="104"/>
      <c r="AA1404" s="104"/>
    </row>
    <row r="1405" spans="1:27" ht="15.75" thickBot="1">
      <c r="A1405" s="423"/>
      <c r="B1405" s="3" t="s">
        <v>3</v>
      </c>
      <c r="C1405" s="71">
        <f>C1404/C1403</f>
        <v>0.7610899282314828</v>
      </c>
      <c r="D1405" s="72">
        <f t="shared" ref="D1405:F1405" si="1090">D1404/D1403</f>
        <v>0.67394037057118361</v>
      </c>
      <c r="E1405" s="72">
        <f t="shared" si="1090"/>
        <v>0.68782745045773652</v>
      </c>
      <c r="F1405" s="72">
        <f t="shared" si="1090"/>
        <v>0.76246581002627511</v>
      </c>
      <c r="G1405" s="72">
        <f>G1404/G1403</f>
        <v>7.5193807394269258E-2</v>
      </c>
      <c r="H1405" s="72">
        <f t="shared" ref="H1405:N1405" si="1091">H1404/H1403</f>
        <v>0.30101324679595792</v>
      </c>
      <c r="I1405" s="72">
        <f t="shared" si="1091"/>
        <v>0.16869443954511512</v>
      </c>
      <c r="J1405" s="72">
        <f t="shared" si="1091"/>
        <v>0.74121353987539162</v>
      </c>
      <c r="K1405" s="72">
        <f t="shared" si="1091"/>
        <v>0.32151587576684559</v>
      </c>
      <c r="L1405" s="72">
        <f t="shared" si="1091"/>
        <v>7.9972439212143892E-2</v>
      </c>
      <c r="M1405" s="72">
        <f t="shared" si="1091"/>
        <v>0.45183918877034407</v>
      </c>
      <c r="N1405" s="83">
        <f t="shared" si="1091"/>
        <v>0.43585513737914455</v>
      </c>
      <c r="O1405" s="12"/>
      <c r="Y1405" s="14"/>
      <c r="Z1405" s="104"/>
      <c r="AA1405" s="104"/>
    </row>
    <row r="1406" spans="1:27" ht="15" customHeight="1">
      <c r="A1406" s="411" t="s">
        <v>6</v>
      </c>
      <c r="B1406" s="27" t="s">
        <v>7</v>
      </c>
      <c r="C1406" s="68">
        <v>5006</v>
      </c>
      <c r="D1406" s="68">
        <v>3200</v>
      </c>
      <c r="E1406" s="68">
        <v>3183</v>
      </c>
      <c r="F1406" s="68">
        <v>9526</v>
      </c>
      <c r="G1406" s="68">
        <v>5000</v>
      </c>
      <c r="H1406" s="68">
        <f>(11504-(HEX2DEC("3520")-HEX2DEC("2e5e")))</f>
        <v>9774</v>
      </c>
      <c r="I1406" s="68">
        <f>(4000-2000)</f>
        <v>2000</v>
      </c>
      <c r="J1406" s="68">
        <v>9194</v>
      </c>
      <c r="K1406" s="68">
        <f>8610-(HEX2DEC("2a3c")-HEX2DEC("1d10"))</f>
        <v>5238</v>
      </c>
      <c r="L1406" s="68">
        <v>2500</v>
      </c>
      <c r="M1406" s="68">
        <f>5451-2614</f>
        <v>2837</v>
      </c>
      <c r="N1406" s="80">
        <v>830</v>
      </c>
      <c r="O1406" s="12"/>
      <c r="P1406" s="142"/>
      <c r="Y1406" s="142"/>
      <c r="Z1406" s="104"/>
      <c r="AA1406" s="104"/>
    </row>
    <row r="1407" spans="1:27">
      <c r="A1407" s="412"/>
      <c r="B1407" s="28" t="s">
        <v>11</v>
      </c>
      <c r="C1407" s="73">
        <f t="shared" ref="C1407:I1407" si="1092">C1406*33.72</f>
        <v>168802.32</v>
      </c>
      <c r="D1407" s="73">
        <f t="shared" si="1092"/>
        <v>107904</v>
      </c>
      <c r="E1407" s="73">
        <f t="shared" si="1092"/>
        <v>107330.76</v>
      </c>
      <c r="F1407" s="73">
        <f t="shared" si="1092"/>
        <v>321216.71999999997</v>
      </c>
      <c r="G1407" s="73">
        <f t="shared" si="1092"/>
        <v>168600</v>
      </c>
      <c r="H1407" s="73">
        <f t="shared" si="1092"/>
        <v>329579.27999999997</v>
      </c>
      <c r="I1407" s="73">
        <f t="shared" si="1092"/>
        <v>67440</v>
      </c>
      <c r="J1407" s="73">
        <f>J1406*33.72</f>
        <v>310021.68</v>
      </c>
      <c r="K1407" s="73">
        <f t="shared" ref="K1407:N1407" si="1093">K1406*33.72</f>
        <v>176625.36</v>
      </c>
      <c r="L1407" s="73">
        <f t="shared" si="1093"/>
        <v>84300</v>
      </c>
      <c r="M1407" s="73">
        <f t="shared" si="1093"/>
        <v>95663.64</v>
      </c>
      <c r="N1407" s="73">
        <f t="shared" si="1093"/>
        <v>27987.599999999999</v>
      </c>
      <c r="O1407" s="12"/>
      <c r="P1407" s="142"/>
      <c r="Y1407" s="142"/>
      <c r="Z1407" s="104"/>
      <c r="AA1407" s="104"/>
    </row>
    <row r="1408" spans="1:27">
      <c r="A1408" s="412"/>
      <c r="B1408" s="28" t="s">
        <v>79</v>
      </c>
      <c r="C1408" s="73">
        <v>164000</v>
      </c>
      <c r="D1408" s="73">
        <v>109880</v>
      </c>
      <c r="E1408" s="73">
        <v>109880</v>
      </c>
      <c r="F1408" s="73">
        <v>328000</v>
      </c>
      <c r="G1408" s="73">
        <f>G1403*2</f>
        <v>242663.6</v>
      </c>
      <c r="H1408" s="73">
        <f>H1403*2</f>
        <v>220143.8</v>
      </c>
      <c r="I1408" s="73">
        <f>I1403*2</f>
        <v>242663.6</v>
      </c>
      <c r="J1408" s="73">
        <v>328000</v>
      </c>
      <c r="K1408" s="73">
        <f>K1403*2</f>
        <v>264264.40000000002</v>
      </c>
      <c r="L1408" s="73">
        <v>328000</v>
      </c>
      <c r="M1408" s="73">
        <f>2*M1403</f>
        <v>352965.4</v>
      </c>
      <c r="N1408" s="84">
        <f>2*N1403</f>
        <v>109842</v>
      </c>
      <c r="O1408" s="12"/>
      <c r="Y1408" s="14"/>
      <c r="Z1408" s="104"/>
      <c r="AA1408" s="104"/>
    </row>
    <row r="1409" spans="1:27" s="64" customFormat="1">
      <c r="A1409" s="412"/>
      <c r="B1409" s="66" t="s">
        <v>8</v>
      </c>
      <c r="C1409" s="98">
        <f>SUM(C1406-536)</f>
        <v>4470</v>
      </c>
      <c r="D1409" s="98">
        <f>SUM(D1406-736)</f>
        <v>2464</v>
      </c>
      <c r="E1409" s="98">
        <f>SUM(E1406-738)</f>
        <v>2445</v>
      </c>
      <c r="F1409" s="98">
        <f>SUM(F1406-1205)</f>
        <v>8321</v>
      </c>
      <c r="G1409" s="98">
        <f>SUM(G1406-3890)</f>
        <v>1110</v>
      </c>
      <c r="H1409" s="98">
        <f>SUM(H1406-1616)</f>
        <v>8158</v>
      </c>
      <c r="I1409" s="98">
        <f>SUM(I1406-(2670-2000))</f>
        <v>1330</v>
      </c>
      <c r="J1409" s="98">
        <f>SUM(J1406-1409)</f>
        <v>7785</v>
      </c>
      <c r="K1409" s="98">
        <f>SUM(K1406-1309)</f>
        <v>3929</v>
      </c>
      <c r="L1409" s="98">
        <f>SUM(L1406-998)</f>
        <v>1502</v>
      </c>
      <c r="M1409" s="98">
        <f>SUM(M1406-(3111-2614))</f>
        <v>2340</v>
      </c>
      <c r="N1409" s="103">
        <f>SUM(N1406-46)</f>
        <v>784</v>
      </c>
      <c r="O1409" s="12"/>
      <c r="P1409" s="175"/>
      <c r="Q1409" s="67"/>
      <c r="R1409" s="67"/>
      <c r="S1409" s="67"/>
      <c r="T1409" s="67"/>
      <c r="U1409" s="67"/>
      <c r="V1409" s="67"/>
      <c r="W1409" s="67"/>
    </row>
    <row r="1410" spans="1:27">
      <c r="A1410" s="412"/>
      <c r="B1410" s="29" t="s">
        <v>77</v>
      </c>
      <c r="C1410" s="75">
        <f>C1409*33.72</f>
        <v>150728.4</v>
      </c>
      <c r="D1410" s="75">
        <f>D1409*33.72</f>
        <v>83086.080000000002</v>
      </c>
      <c r="E1410" s="75">
        <f>E1409*33.72</f>
        <v>82445.399999999994</v>
      </c>
      <c r="F1410" s="75">
        <f>F1409*33.72</f>
        <v>280584.12</v>
      </c>
      <c r="G1410" s="75">
        <f>G1409*33.72*2</f>
        <v>74858.399999999994</v>
      </c>
      <c r="H1410" s="75">
        <f>H1409*33.72</f>
        <v>275087.76</v>
      </c>
      <c r="I1410" s="75">
        <f>I1409*33.72</f>
        <v>44847.6</v>
      </c>
      <c r="J1410" s="75">
        <f>J1409*33.72</f>
        <v>262510.2</v>
      </c>
      <c r="K1410" s="75">
        <f>K1409*33.72</f>
        <v>132485.88</v>
      </c>
      <c r="L1410" s="75">
        <f>L1409*33.72</f>
        <v>50647.439999999995</v>
      </c>
      <c r="M1410" s="75">
        <f>M1409*33.72*2</f>
        <v>157809.60000000001</v>
      </c>
      <c r="N1410" s="11">
        <f>N1409*33.72</f>
        <v>26436.48</v>
      </c>
      <c r="O1410" s="12"/>
      <c r="P1410" s="175"/>
    </row>
    <row r="1411" spans="1:27" ht="15.75" thickBot="1">
      <c r="A1411" s="412"/>
      <c r="B1411" s="30" t="s">
        <v>10</v>
      </c>
      <c r="C1411" s="71">
        <f>C1409*33.7/C1403</f>
        <v>1.3006662245891787</v>
      </c>
      <c r="D1411" s="71">
        <f t="shared" ref="D1411:N1411" si="1094">D1409*33.7/D1403</f>
        <v>0.83840241029788465</v>
      </c>
      <c r="E1411" s="78">
        <f t="shared" si="1094"/>
        <v>0.83193745664704866</v>
      </c>
      <c r="F1411" s="78">
        <f t="shared" si="1094"/>
        <v>1.540775218161978</v>
      </c>
      <c r="G1411" s="78">
        <f t="shared" si="1094"/>
        <v>0.30830334669064496</v>
      </c>
      <c r="H1411" s="78">
        <f t="shared" si="1094"/>
        <v>2.4976819696943546</v>
      </c>
      <c r="I1411" s="78">
        <f t="shared" si="1094"/>
        <v>0.36940851450320533</v>
      </c>
      <c r="J1411" s="78">
        <f t="shared" si="1094"/>
        <v>1.5345275947021539</v>
      </c>
      <c r="K1411" s="78">
        <f t="shared" si="1094"/>
        <v>1.002082005748788</v>
      </c>
      <c r="L1411" s="78">
        <f t="shared" si="1094"/>
        <v>0.83436329140423204</v>
      </c>
      <c r="M1411" s="79">
        <f t="shared" si="1094"/>
        <v>0.44683133247621437</v>
      </c>
      <c r="N1411" s="26">
        <f t="shared" si="1094"/>
        <v>0.48106917208353822</v>
      </c>
      <c r="O1411" s="12"/>
      <c r="P1411" s="175"/>
    </row>
    <row r="1412" spans="1:27" ht="15.75" customHeight="1" thickBot="1">
      <c r="A1412" s="424" t="s">
        <v>83</v>
      </c>
      <c r="B1412" s="425"/>
      <c r="C1412" s="76">
        <f>MIN(2*C1403,C1408)-C1410</f>
        <v>13271.600000000006</v>
      </c>
      <c r="D1412" s="76">
        <f t="shared" ref="D1412:N1412" si="1095">MIN(2*D1403,D1408)-D1410</f>
        <v>26793.919999999998</v>
      </c>
      <c r="E1412" s="76">
        <f t="shared" si="1095"/>
        <v>27434.600000000006</v>
      </c>
      <c r="F1412" s="76">
        <f t="shared" si="1095"/>
        <v>47415.880000000005</v>
      </c>
      <c r="G1412" s="76">
        <f t="shared" si="1095"/>
        <v>167805.2</v>
      </c>
      <c r="H1412" s="76">
        <f t="shared" si="1095"/>
        <v>-54943.960000000021</v>
      </c>
      <c r="I1412" s="76">
        <f t="shared" si="1095"/>
        <v>197816</v>
      </c>
      <c r="J1412" s="76">
        <f t="shared" si="1095"/>
        <v>65489.799999999988</v>
      </c>
      <c r="K1412" s="76">
        <f t="shared" si="1095"/>
        <v>131778.52000000002</v>
      </c>
      <c r="L1412" s="76">
        <f t="shared" si="1095"/>
        <v>70684.360000000015</v>
      </c>
      <c r="M1412" s="76">
        <f t="shared" si="1095"/>
        <v>195155.80000000002</v>
      </c>
      <c r="N1412" s="22">
        <f t="shared" si="1095"/>
        <v>83405.52</v>
      </c>
      <c r="O1412" s="12"/>
      <c r="P1412" s="175"/>
    </row>
    <row r="1413" spans="1:27" ht="15.75" thickBot="1">
      <c r="A1413" s="368">
        <v>41031</v>
      </c>
      <c r="B1413" s="368"/>
      <c r="C1413" s="368"/>
      <c r="N1413" s="15"/>
    </row>
    <row r="1414" spans="1:27">
      <c r="A1414" s="407" t="s">
        <v>1</v>
      </c>
      <c r="B1414" s="420"/>
      <c r="C1414" s="68" t="s">
        <v>12</v>
      </c>
      <c r="D1414" s="68" t="s">
        <v>12</v>
      </c>
      <c r="E1414" s="68" t="s">
        <v>13</v>
      </c>
      <c r="F1414" s="68" t="s">
        <v>13</v>
      </c>
      <c r="G1414" s="68" t="s">
        <v>13</v>
      </c>
      <c r="H1414" s="68" t="s">
        <v>13</v>
      </c>
      <c r="I1414" s="68" t="s">
        <v>13</v>
      </c>
      <c r="J1414" s="68" t="s">
        <v>2</v>
      </c>
      <c r="K1414" s="68" t="s">
        <v>2</v>
      </c>
      <c r="L1414" s="68" t="s">
        <v>2</v>
      </c>
      <c r="M1414" s="68" t="s">
        <v>2</v>
      </c>
      <c r="N1414" s="4" t="s">
        <v>84</v>
      </c>
      <c r="P1414" s="174"/>
      <c r="Q1414" s="175"/>
      <c r="R1414" s="175"/>
      <c r="S1414" s="175"/>
      <c r="T1414" s="175"/>
      <c r="U1414" s="175"/>
      <c r="V1414" s="175"/>
      <c r="W1414" s="175"/>
      <c r="X1414" s="175"/>
      <c r="Y1414" s="174"/>
      <c r="Z1414" s="175"/>
      <c r="AA1414" s="175"/>
    </row>
    <row r="1415" spans="1:27" ht="15.75" thickBot="1">
      <c r="A1415" s="409" t="s">
        <v>0</v>
      </c>
      <c r="B1415" s="414"/>
      <c r="C1415" s="99" t="s">
        <v>102</v>
      </c>
      <c r="D1415" s="99" t="s">
        <v>103</v>
      </c>
      <c r="E1415" s="99" t="s">
        <v>104</v>
      </c>
      <c r="F1415" s="99" t="s">
        <v>105</v>
      </c>
      <c r="G1415" s="99" t="s">
        <v>100</v>
      </c>
      <c r="H1415" s="99" t="s">
        <v>107</v>
      </c>
      <c r="I1415" s="99" t="s">
        <v>106</v>
      </c>
      <c r="J1415" s="99" t="s">
        <v>108</v>
      </c>
      <c r="K1415" s="99" t="s">
        <v>110</v>
      </c>
      <c r="L1415" s="99" t="s">
        <v>101</v>
      </c>
      <c r="M1415" s="99" t="s">
        <v>109</v>
      </c>
      <c r="N1415" s="101" t="s">
        <v>111</v>
      </c>
      <c r="P1415" s="142"/>
      <c r="Y1415" s="142"/>
      <c r="Z1415" s="104"/>
      <c r="AA1415" s="104"/>
    </row>
    <row r="1416" spans="1:27" ht="15" customHeight="1">
      <c r="A1416" s="421" t="s">
        <v>9</v>
      </c>
      <c r="B1416" s="2" t="s">
        <v>4</v>
      </c>
      <c r="C1416" s="96">
        <v>115816.8</v>
      </c>
      <c r="D1416" s="96">
        <v>99041.7</v>
      </c>
      <c r="E1416" s="96">
        <v>99041.7</v>
      </c>
      <c r="F1416" s="96">
        <v>181997.8</v>
      </c>
      <c r="G1416" s="96">
        <v>121331.8</v>
      </c>
      <c r="H1416" s="96">
        <v>110071.9</v>
      </c>
      <c r="I1416" s="96">
        <v>121331.8</v>
      </c>
      <c r="J1416" s="96">
        <v>170967.6</v>
      </c>
      <c r="K1416" s="96">
        <v>132132.20000000001</v>
      </c>
      <c r="L1416" s="96">
        <v>60665.9</v>
      </c>
      <c r="M1416" s="96">
        <v>176482.7</v>
      </c>
      <c r="N1416" s="100">
        <v>54921</v>
      </c>
      <c r="O1416" s="12"/>
      <c r="P1416" s="142"/>
      <c r="Y1416" s="142"/>
      <c r="Z1416" s="104"/>
      <c r="AA1416" s="104"/>
    </row>
    <row r="1417" spans="1:27" s="64" customFormat="1">
      <c r="A1417" s="422"/>
      <c r="B1417" s="63" t="s">
        <v>5</v>
      </c>
      <c r="C1417" s="97">
        <v>88105.4</v>
      </c>
      <c r="D1417" s="97">
        <v>66733.899999999994</v>
      </c>
      <c r="E1417" s="97">
        <v>68109.399999999994</v>
      </c>
      <c r="F1417" s="97">
        <v>137414.1</v>
      </c>
      <c r="G1417" s="97">
        <v>8919.7000000000007</v>
      </c>
      <c r="H1417" s="97">
        <v>33031.699999999997</v>
      </c>
      <c r="I1417" s="97">
        <v>20457.099999999999</v>
      </c>
      <c r="J1417" s="97">
        <v>125856.3</v>
      </c>
      <c r="K1417" s="97">
        <v>42326.6</v>
      </c>
      <c r="L1417" s="97">
        <v>4736.1000000000004</v>
      </c>
      <c r="M1417" s="97">
        <v>79622</v>
      </c>
      <c r="N1417" s="102">
        <v>23923.4</v>
      </c>
      <c r="O1417" s="12"/>
      <c r="P1417" s="142"/>
      <c r="Q1417" s="104"/>
      <c r="R1417" s="104"/>
      <c r="S1417" s="104"/>
      <c r="T1417" s="104"/>
      <c r="U1417" s="104"/>
      <c r="V1417" s="104"/>
      <c r="W1417" s="104"/>
      <c r="X1417" s="104"/>
      <c r="Y1417" s="142"/>
      <c r="Z1417" s="104"/>
      <c r="AA1417" s="104"/>
    </row>
    <row r="1418" spans="1:27" ht="15.75" thickBot="1">
      <c r="A1418" s="423"/>
      <c r="B1418" s="3" t="s">
        <v>3</v>
      </c>
      <c r="C1418" s="71">
        <f>C1417/C1416</f>
        <v>0.76073074027256837</v>
      </c>
      <c r="D1418" s="72">
        <f t="shared" ref="D1418:F1418" si="1096">D1417/D1416</f>
        <v>0.67379598694287357</v>
      </c>
      <c r="E1418" s="72">
        <f t="shared" si="1096"/>
        <v>0.68768407650514884</v>
      </c>
      <c r="F1418" s="72">
        <f t="shared" si="1096"/>
        <v>0.75503165422878749</v>
      </c>
      <c r="G1418" s="72">
        <f>G1417/G1416</f>
        <v>7.3514940023967343E-2</v>
      </c>
      <c r="H1418" s="72">
        <f t="shared" ref="H1418:N1418" si="1097">H1417/H1416</f>
        <v>0.30009203075444324</v>
      </c>
      <c r="I1418" s="72">
        <f t="shared" si="1097"/>
        <v>0.16860460324498605</v>
      </c>
      <c r="J1418" s="72">
        <f t="shared" si="1097"/>
        <v>0.73614123377762808</v>
      </c>
      <c r="K1418" s="72">
        <f t="shared" si="1097"/>
        <v>0.32033524000962671</v>
      </c>
      <c r="L1418" s="72">
        <f t="shared" si="1097"/>
        <v>7.8068568998399437E-2</v>
      </c>
      <c r="M1418" s="72">
        <f t="shared" si="1097"/>
        <v>0.45116036869336196</v>
      </c>
      <c r="N1418" s="83">
        <f t="shared" si="1097"/>
        <v>0.43559658418455605</v>
      </c>
      <c r="O1418" s="12"/>
      <c r="Y1418" s="14"/>
      <c r="Z1418" s="104"/>
      <c r="AA1418" s="104"/>
    </row>
    <row r="1419" spans="1:27" ht="15" customHeight="1">
      <c r="A1419" s="411" t="s">
        <v>6</v>
      </c>
      <c r="B1419" s="27" t="s">
        <v>7</v>
      </c>
      <c r="C1419" s="68">
        <v>5006</v>
      </c>
      <c r="D1419" s="68">
        <v>3200</v>
      </c>
      <c r="E1419" s="68">
        <v>3183</v>
      </c>
      <c r="F1419" s="68">
        <v>9526</v>
      </c>
      <c r="G1419" s="68">
        <v>5000</v>
      </c>
      <c r="H1419" s="68">
        <f>(11504-(HEX2DEC("3520")-HEX2DEC("2e5e")))</f>
        <v>9774</v>
      </c>
      <c r="I1419" s="68">
        <f>(4000-2000)</f>
        <v>2000</v>
      </c>
      <c r="J1419" s="68">
        <v>9194</v>
      </c>
      <c r="K1419" s="68">
        <f>8610-(HEX2DEC("2a3c")-HEX2DEC("1d10"))</f>
        <v>5238</v>
      </c>
      <c r="L1419" s="68">
        <v>2500</v>
      </c>
      <c r="M1419" s="68">
        <f>5451-2614</f>
        <v>2837</v>
      </c>
      <c r="N1419" s="80">
        <v>830</v>
      </c>
      <c r="O1419" s="12"/>
      <c r="P1419" s="142"/>
      <c r="Y1419" s="142"/>
      <c r="Z1419" s="104"/>
      <c r="AA1419" s="104"/>
    </row>
    <row r="1420" spans="1:27">
      <c r="A1420" s="412"/>
      <c r="B1420" s="28" t="s">
        <v>11</v>
      </c>
      <c r="C1420" s="73">
        <f t="shared" ref="C1420:I1420" si="1098">C1419*33.72</f>
        <v>168802.32</v>
      </c>
      <c r="D1420" s="73">
        <f t="shared" si="1098"/>
        <v>107904</v>
      </c>
      <c r="E1420" s="73">
        <f t="shared" si="1098"/>
        <v>107330.76</v>
      </c>
      <c r="F1420" s="73">
        <f t="shared" si="1098"/>
        <v>321216.71999999997</v>
      </c>
      <c r="G1420" s="73">
        <f t="shared" si="1098"/>
        <v>168600</v>
      </c>
      <c r="H1420" s="73">
        <f t="shared" si="1098"/>
        <v>329579.27999999997</v>
      </c>
      <c r="I1420" s="73">
        <f t="shared" si="1098"/>
        <v>67440</v>
      </c>
      <c r="J1420" s="73">
        <f>J1419*33.72</f>
        <v>310021.68</v>
      </c>
      <c r="K1420" s="73">
        <f t="shared" ref="K1420:N1420" si="1099">K1419*33.72</f>
        <v>176625.36</v>
      </c>
      <c r="L1420" s="73">
        <f t="shared" si="1099"/>
        <v>84300</v>
      </c>
      <c r="M1420" s="73">
        <f t="shared" si="1099"/>
        <v>95663.64</v>
      </c>
      <c r="N1420" s="73">
        <f t="shared" si="1099"/>
        <v>27987.599999999999</v>
      </c>
      <c r="O1420" s="12"/>
      <c r="P1420" s="142"/>
      <c r="Y1420" s="142"/>
      <c r="Z1420" s="104"/>
      <c r="AA1420" s="104"/>
    </row>
    <row r="1421" spans="1:27">
      <c r="A1421" s="412"/>
      <c r="B1421" s="28" t="s">
        <v>79</v>
      </c>
      <c r="C1421" s="73">
        <v>164000</v>
      </c>
      <c r="D1421" s="73">
        <v>109880</v>
      </c>
      <c r="E1421" s="73">
        <v>109880</v>
      </c>
      <c r="F1421" s="73">
        <v>328000</v>
      </c>
      <c r="G1421" s="73">
        <f>G1416*2</f>
        <v>242663.6</v>
      </c>
      <c r="H1421" s="73">
        <f>H1416*2</f>
        <v>220143.8</v>
      </c>
      <c r="I1421" s="73">
        <f>I1416*2</f>
        <v>242663.6</v>
      </c>
      <c r="J1421" s="73">
        <v>328000</v>
      </c>
      <c r="K1421" s="73">
        <f>K1416*2</f>
        <v>264264.40000000002</v>
      </c>
      <c r="L1421" s="73">
        <v>328000</v>
      </c>
      <c r="M1421" s="73">
        <f>2*M1416</f>
        <v>352965.4</v>
      </c>
      <c r="N1421" s="84">
        <f>2*N1416</f>
        <v>109842</v>
      </c>
      <c r="O1421" s="12"/>
      <c r="Y1421" s="14"/>
      <c r="Z1421" s="104"/>
      <c r="AA1421" s="104"/>
    </row>
    <row r="1422" spans="1:27" s="64" customFormat="1">
      <c r="A1422" s="412"/>
      <c r="B1422" s="66" t="s">
        <v>8</v>
      </c>
      <c r="C1422" s="98">
        <f>SUM(C1419-536)</f>
        <v>4470</v>
      </c>
      <c r="D1422" s="98">
        <f>SUM(D1419-736)</f>
        <v>2464</v>
      </c>
      <c r="E1422" s="98">
        <f>SUM(E1419-738)</f>
        <v>2445</v>
      </c>
      <c r="F1422" s="98">
        <f>SUM(F1419-1205)</f>
        <v>8321</v>
      </c>
      <c r="G1422" s="98">
        <f>SUM(G1419-3890)</f>
        <v>1110</v>
      </c>
      <c r="H1422" s="98">
        <f>SUM(H1419-1616)</f>
        <v>8158</v>
      </c>
      <c r="I1422" s="98">
        <f>SUM(I1419-(2670-2000))</f>
        <v>1330</v>
      </c>
      <c r="J1422" s="98">
        <f>SUM(J1419-1409)</f>
        <v>7785</v>
      </c>
      <c r="K1422" s="98">
        <f>SUM(K1419-1309)</f>
        <v>3929</v>
      </c>
      <c r="L1422" s="98">
        <f>SUM(L1419-998)</f>
        <v>1502</v>
      </c>
      <c r="M1422" s="98">
        <f>SUM(M1419-(3111-2614))</f>
        <v>2340</v>
      </c>
      <c r="N1422" s="103">
        <f>SUM(N1419-46)</f>
        <v>784</v>
      </c>
      <c r="O1422" s="12"/>
      <c r="P1422" s="175"/>
      <c r="Q1422" s="67"/>
      <c r="R1422" s="67"/>
      <c r="S1422" s="67"/>
      <c r="T1422" s="67"/>
      <c r="U1422" s="67"/>
      <c r="V1422" s="67"/>
      <c r="W1422" s="67"/>
    </row>
    <row r="1423" spans="1:27">
      <c r="A1423" s="412"/>
      <c r="B1423" s="29" t="s">
        <v>77</v>
      </c>
      <c r="C1423" s="75">
        <f>C1422*33.72</f>
        <v>150728.4</v>
      </c>
      <c r="D1423" s="75">
        <f>D1422*33.72</f>
        <v>83086.080000000002</v>
      </c>
      <c r="E1423" s="75">
        <f>E1422*33.72</f>
        <v>82445.399999999994</v>
      </c>
      <c r="F1423" s="75">
        <f>F1422*33.72</f>
        <v>280584.12</v>
      </c>
      <c r="G1423" s="75">
        <f>G1422*33.72*2</f>
        <v>74858.399999999994</v>
      </c>
      <c r="H1423" s="75">
        <f>H1422*33.72</f>
        <v>275087.76</v>
      </c>
      <c r="I1423" s="75">
        <f>I1422*33.72</f>
        <v>44847.6</v>
      </c>
      <c r="J1423" s="75">
        <f>J1422*33.72</f>
        <v>262510.2</v>
      </c>
      <c r="K1423" s="75">
        <f>K1422*33.72</f>
        <v>132485.88</v>
      </c>
      <c r="L1423" s="75">
        <f>L1422*33.72</f>
        <v>50647.439999999995</v>
      </c>
      <c r="M1423" s="75">
        <f>M1422*33.72*2</f>
        <v>157809.60000000001</v>
      </c>
      <c r="N1423" s="11">
        <f>N1422*33.72</f>
        <v>26436.48</v>
      </c>
      <c r="O1423" s="12"/>
      <c r="P1423" s="175"/>
    </row>
    <row r="1424" spans="1:27" ht="15.75" thickBot="1">
      <c r="A1424" s="412"/>
      <c r="B1424" s="30" t="s">
        <v>10</v>
      </c>
      <c r="C1424" s="71">
        <f>C1422*33.7/C1416</f>
        <v>1.3006662245891787</v>
      </c>
      <c r="D1424" s="71">
        <f t="shared" ref="D1424:N1424" si="1100">D1422*33.7/D1416</f>
        <v>0.83840241029788465</v>
      </c>
      <c r="E1424" s="78">
        <f t="shared" si="1100"/>
        <v>0.83193745664704866</v>
      </c>
      <c r="F1424" s="78">
        <f t="shared" si="1100"/>
        <v>1.540775218161978</v>
      </c>
      <c r="G1424" s="78">
        <f t="shared" si="1100"/>
        <v>0.30830334669064496</v>
      </c>
      <c r="H1424" s="78">
        <f t="shared" si="1100"/>
        <v>2.4976819696943546</v>
      </c>
      <c r="I1424" s="78">
        <f t="shared" si="1100"/>
        <v>0.36940851450320533</v>
      </c>
      <c r="J1424" s="78">
        <f t="shared" si="1100"/>
        <v>1.5345275947021539</v>
      </c>
      <c r="K1424" s="78">
        <f t="shared" si="1100"/>
        <v>1.002082005748788</v>
      </c>
      <c r="L1424" s="78">
        <f t="shared" si="1100"/>
        <v>0.83436329140423204</v>
      </c>
      <c r="M1424" s="79">
        <f t="shared" si="1100"/>
        <v>0.44683133247621437</v>
      </c>
      <c r="N1424" s="26">
        <f t="shared" si="1100"/>
        <v>0.48106917208353822</v>
      </c>
      <c r="O1424" s="12"/>
      <c r="P1424" s="175"/>
    </row>
    <row r="1425" spans="1:27" ht="15.75" customHeight="1" thickBot="1">
      <c r="A1425" s="424" t="s">
        <v>83</v>
      </c>
      <c r="B1425" s="425"/>
      <c r="C1425" s="76">
        <f>MIN(2*C1416,C1421)-C1423</f>
        <v>13271.600000000006</v>
      </c>
      <c r="D1425" s="76">
        <f t="shared" ref="D1425:N1425" si="1101">MIN(2*D1416,D1421)-D1423</f>
        <v>26793.919999999998</v>
      </c>
      <c r="E1425" s="76">
        <f t="shared" si="1101"/>
        <v>27434.600000000006</v>
      </c>
      <c r="F1425" s="76">
        <f t="shared" si="1101"/>
        <v>47415.880000000005</v>
      </c>
      <c r="G1425" s="76">
        <f t="shared" si="1101"/>
        <v>167805.2</v>
      </c>
      <c r="H1425" s="76">
        <f t="shared" si="1101"/>
        <v>-54943.960000000021</v>
      </c>
      <c r="I1425" s="76">
        <f t="shared" si="1101"/>
        <v>197816</v>
      </c>
      <c r="J1425" s="76">
        <f t="shared" si="1101"/>
        <v>65489.799999999988</v>
      </c>
      <c r="K1425" s="76">
        <f t="shared" si="1101"/>
        <v>131778.52000000002</v>
      </c>
      <c r="L1425" s="76">
        <f t="shared" si="1101"/>
        <v>70684.360000000015</v>
      </c>
      <c r="M1425" s="76">
        <f t="shared" si="1101"/>
        <v>195155.80000000002</v>
      </c>
      <c r="N1425" s="22">
        <f t="shared" si="1101"/>
        <v>83405.52</v>
      </c>
      <c r="O1425" s="12"/>
      <c r="P1425" s="175"/>
    </row>
    <row r="1426" spans="1:27" ht="15.75" thickBot="1">
      <c r="A1426" s="368">
        <v>41030</v>
      </c>
      <c r="B1426" s="368"/>
      <c r="C1426" s="368"/>
      <c r="N1426" s="15"/>
    </row>
    <row r="1427" spans="1:27">
      <c r="A1427" s="407" t="s">
        <v>1</v>
      </c>
      <c r="B1427" s="420"/>
      <c r="C1427" s="68" t="s">
        <v>12</v>
      </c>
      <c r="D1427" s="68" t="s">
        <v>12</v>
      </c>
      <c r="E1427" s="68" t="s">
        <v>13</v>
      </c>
      <c r="F1427" s="68" t="s">
        <v>13</v>
      </c>
      <c r="G1427" s="68" t="s">
        <v>13</v>
      </c>
      <c r="H1427" s="68" t="s">
        <v>13</v>
      </c>
      <c r="I1427" s="68" t="s">
        <v>13</v>
      </c>
      <c r="J1427" s="68" t="s">
        <v>2</v>
      </c>
      <c r="K1427" s="68" t="s">
        <v>2</v>
      </c>
      <c r="L1427" s="68" t="s">
        <v>2</v>
      </c>
      <c r="M1427" s="68" t="s">
        <v>2</v>
      </c>
      <c r="N1427" s="4" t="s">
        <v>84</v>
      </c>
      <c r="P1427" s="174"/>
      <c r="Q1427" s="175"/>
      <c r="R1427" s="175"/>
      <c r="S1427" s="175"/>
      <c r="T1427" s="175"/>
      <c r="U1427" s="175"/>
      <c r="V1427" s="175"/>
      <c r="W1427" s="175"/>
      <c r="X1427" s="175"/>
      <c r="Y1427" s="174"/>
      <c r="Z1427" s="175"/>
      <c r="AA1427" s="175"/>
    </row>
    <row r="1428" spans="1:27" ht="15.75" thickBot="1">
      <c r="A1428" s="409" t="s">
        <v>0</v>
      </c>
      <c r="B1428" s="414"/>
      <c r="C1428" s="99" t="s">
        <v>102</v>
      </c>
      <c r="D1428" s="99" t="s">
        <v>103</v>
      </c>
      <c r="E1428" s="99" t="s">
        <v>104</v>
      </c>
      <c r="F1428" s="99" t="s">
        <v>105</v>
      </c>
      <c r="G1428" s="99" t="s">
        <v>100</v>
      </c>
      <c r="H1428" s="99" t="s">
        <v>107</v>
      </c>
      <c r="I1428" s="99" t="s">
        <v>106</v>
      </c>
      <c r="J1428" s="99" t="s">
        <v>108</v>
      </c>
      <c r="K1428" s="99" t="s">
        <v>110</v>
      </c>
      <c r="L1428" s="99" t="s">
        <v>101</v>
      </c>
      <c r="M1428" s="99" t="s">
        <v>109</v>
      </c>
      <c r="N1428" s="101" t="s">
        <v>111</v>
      </c>
      <c r="P1428" s="142"/>
      <c r="Y1428" s="142"/>
      <c r="Z1428" s="104"/>
      <c r="AA1428" s="104"/>
    </row>
    <row r="1429" spans="1:27" ht="15" customHeight="1">
      <c r="A1429" s="421" t="s">
        <v>9</v>
      </c>
      <c r="B1429" s="2" t="s">
        <v>4</v>
      </c>
      <c r="C1429" s="96">
        <v>115816.8</v>
      </c>
      <c r="D1429" s="96">
        <v>99041.7</v>
      </c>
      <c r="E1429" s="96">
        <v>99041.7</v>
      </c>
      <c r="F1429" s="96">
        <v>181997.8</v>
      </c>
      <c r="G1429" s="96">
        <v>121331.8</v>
      </c>
      <c r="H1429" s="96">
        <v>110071.9</v>
      </c>
      <c r="I1429" s="96">
        <v>121331.8</v>
      </c>
      <c r="J1429" s="96">
        <v>170967.6</v>
      </c>
      <c r="K1429" s="96">
        <v>132132.20000000001</v>
      </c>
      <c r="L1429" s="96">
        <v>60665.9</v>
      </c>
      <c r="M1429" s="96">
        <v>176482.7</v>
      </c>
      <c r="N1429" s="100">
        <v>54921</v>
      </c>
      <c r="O1429" s="12"/>
      <c r="P1429" s="142"/>
      <c r="Y1429" s="142"/>
      <c r="Z1429" s="104"/>
      <c r="AA1429" s="104"/>
    </row>
    <row r="1430" spans="1:27" s="64" customFormat="1">
      <c r="A1430" s="422"/>
      <c r="B1430" s="63" t="s">
        <v>5</v>
      </c>
      <c r="C1430" s="97">
        <v>88098.3</v>
      </c>
      <c r="D1430" s="97">
        <v>66719.7</v>
      </c>
      <c r="E1430" s="97">
        <v>68095.100000000006</v>
      </c>
      <c r="F1430" s="97">
        <v>136747.5</v>
      </c>
      <c r="G1430" s="97">
        <v>8864.9</v>
      </c>
      <c r="H1430" s="97">
        <v>32973</v>
      </c>
      <c r="I1430" s="97">
        <v>20450.5</v>
      </c>
      <c r="J1430" s="97">
        <v>125656.5</v>
      </c>
      <c r="K1430" s="97">
        <v>42302.7</v>
      </c>
      <c r="L1430" s="97">
        <v>4694.1000000000004</v>
      </c>
      <c r="M1430" s="97">
        <v>79554.600000000006</v>
      </c>
      <c r="N1430" s="102">
        <v>23923.1</v>
      </c>
      <c r="O1430" s="12"/>
      <c r="P1430" s="142"/>
      <c r="Q1430" s="104"/>
      <c r="R1430" s="104"/>
      <c r="S1430" s="104"/>
      <c r="T1430" s="104"/>
      <c r="U1430" s="104"/>
      <c r="V1430" s="104"/>
      <c r="W1430" s="104"/>
      <c r="X1430" s="104"/>
      <c r="Y1430" s="142"/>
      <c r="Z1430" s="104"/>
      <c r="AA1430" s="104"/>
    </row>
    <row r="1431" spans="1:27" ht="15.75" thickBot="1">
      <c r="A1431" s="423"/>
      <c r="B1431" s="3" t="s">
        <v>3</v>
      </c>
      <c r="C1431" s="71">
        <f>C1430/C1429</f>
        <v>0.76066943655842678</v>
      </c>
      <c r="D1431" s="72">
        <f t="shared" ref="D1431:F1431" si="1102">D1430/D1429</f>
        <v>0.67365261299028589</v>
      </c>
      <c r="E1431" s="72">
        <f t="shared" si="1102"/>
        <v>0.6875396928768388</v>
      </c>
      <c r="F1431" s="72">
        <f t="shared" si="1102"/>
        <v>0.75136897259197644</v>
      </c>
      <c r="G1431" s="72">
        <f>G1430/G1429</f>
        <v>7.3063285964602848E-2</v>
      </c>
      <c r="H1431" s="72">
        <f t="shared" ref="H1431:N1431" si="1103">H1430/H1429</f>
        <v>0.299558742967097</v>
      </c>
      <c r="I1431" s="72">
        <f t="shared" si="1103"/>
        <v>0.16855020695316478</v>
      </c>
      <c r="J1431" s="72">
        <f t="shared" si="1103"/>
        <v>0.7349725912980003</v>
      </c>
      <c r="K1431" s="72">
        <f t="shared" si="1103"/>
        <v>0.32015436055707841</v>
      </c>
      <c r="L1431" s="72">
        <f t="shared" si="1103"/>
        <v>7.7376252557037811E-2</v>
      </c>
      <c r="M1431" s="72">
        <f t="shared" si="1103"/>
        <v>0.45077846157158746</v>
      </c>
      <c r="N1431" s="83">
        <f t="shared" si="1103"/>
        <v>0.43559112179312098</v>
      </c>
      <c r="O1431" s="12"/>
      <c r="Y1431" s="14"/>
      <c r="Z1431" s="104"/>
      <c r="AA1431" s="104"/>
    </row>
    <row r="1432" spans="1:27" ht="15" customHeight="1">
      <c r="A1432" s="411" t="s">
        <v>6</v>
      </c>
      <c r="B1432" s="27" t="s">
        <v>7</v>
      </c>
      <c r="C1432" s="68">
        <v>5006</v>
      </c>
      <c r="D1432" s="68">
        <v>3200</v>
      </c>
      <c r="E1432" s="68">
        <v>3183</v>
      </c>
      <c r="F1432" s="68">
        <v>9526</v>
      </c>
      <c r="G1432" s="68">
        <v>5000</v>
      </c>
      <c r="H1432" s="68">
        <f>(11504-(HEX2DEC("3520")-HEX2DEC("2e5e")))</f>
        <v>9774</v>
      </c>
      <c r="I1432" s="68">
        <f>(4000-2000)</f>
        <v>2000</v>
      </c>
      <c r="J1432" s="68">
        <v>9194</v>
      </c>
      <c r="K1432" s="68">
        <f>8610-(HEX2DEC("2a3c")-HEX2DEC("1d10"))</f>
        <v>5238</v>
      </c>
      <c r="L1432" s="68">
        <v>2500</v>
      </c>
      <c r="M1432" s="68">
        <f>5451-2614</f>
        <v>2837</v>
      </c>
      <c r="N1432" s="80">
        <v>830</v>
      </c>
      <c r="O1432" s="12"/>
      <c r="P1432" s="142"/>
      <c r="Y1432" s="142"/>
      <c r="Z1432" s="104"/>
      <c r="AA1432" s="104"/>
    </row>
    <row r="1433" spans="1:27">
      <c r="A1433" s="412"/>
      <c r="B1433" s="28" t="s">
        <v>11</v>
      </c>
      <c r="C1433" s="73">
        <f t="shared" ref="C1433:I1433" si="1104">C1432*33.72</f>
        <v>168802.32</v>
      </c>
      <c r="D1433" s="73">
        <f t="shared" si="1104"/>
        <v>107904</v>
      </c>
      <c r="E1433" s="73">
        <f t="shared" si="1104"/>
        <v>107330.76</v>
      </c>
      <c r="F1433" s="73">
        <f t="shared" si="1104"/>
        <v>321216.71999999997</v>
      </c>
      <c r="G1433" s="73">
        <f t="shared" si="1104"/>
        <v>168600</v>
      </c>
      <c r="H1433" s="73">
        <f t="shared" si="1104"/>
        <v>329579.27999999997</v>
      </c>
      <c r="I1433" s="73">
        <f t="shared" si="1104"/>
        <v>67440</v>
      </c>
      <c r="J1433" s="73">
        <f>J1432*33.72</f>
        <v>310021.68</v>
      </c>
      <c r="K1433" s="73">
        <f t="shared" ref="K1433:N1433" si="1105">K1432*33.72</f>
        <v>176625.36</v>
      </c>
      <c r="L1433" s="73">
        <f t="shared" si="1105"/>
        <v>84300</v>
      </c>
      <c r="M1433" s="73">
        <f t="shared" si="1105"/>
        <v>95663.64</v>
      </c>
      <c r="N1433" s="73">
        <f t="shared" si="1105"/>
        <v>27987.599999999999</v>
      </c>
      <c r="O1433" s="12"/>
      <c r="P1433" s="142"/>
      <c r="Y1433" s="142"/>
      <c r="Z1433" s="104"/>
      <c r="AA1433" s="104"/>
    </row>
    <row r="1434" spans="1:27">
      <c r="A1434" s="412"/>
      <c r="B1434" s="28" t="s">
        <v>79</v>
      </c>
      <c r="C1434" s="73">
        <v>164000</v>
      </c>
      <c r="D1434" s="73">
        <v>109880</v>
      </c>
      <c r="E1434" s="73">
        <v>109880</v>
      </c>
      <c r="F1434" s="73">
        <v>328000</v>
      </c>
      <c r="G1434" s="73">
        <f>G1429*2</f>
        <v>242663.6</v>
      </c>
      <c r="H1434" s="73">
        <f>H1429*2</f>
        <v>220143.8</v>
      </c>
      <c r="I1434" s="73">
        <f>I1429*2</f>
        <v>242663.6</v>
      </c>
      <c r="J1434" s="73">
        <v>328000</v>
      </c>
      <c r="K1434" s="73">
        <f>K1429*2</f>
        <v>264264.40000000002</v>
      </c>
      <c r="L1434" s="73">
        <v>328000</v>
      </c>
      <c r="M1434" s="73">
        <f>2*M1429</f>
        <v>352965.4</v>
      </c>
      <c r="N1434" s="84">
        <f>2*N1429</f>
        <v>109842</v>
      </c>
      <c r="O1434" s="12"/>
      <c r="Y1434" s="14"/>
      <c r="Z1434" s="104"/>
      <c r="AA1434" s="104"/>
    </row>
    <row r="1435" spans="1:27" s="64" customFormat="1">
      <c r="A1435" s="412"/>
      <c r="B1435" s="66" t="s">
        <v>8</v>
      </c>
      <c r="C1435" s="98">
        <f>SUM(C1432-541)</f>
        <v>4465</v>
      </c>
      <c r="D1435" s="98">
        <f>SUM(D1432-736)</f>
        <v>2464</v>
      </c>
      <c r="E1435" s="98">
        <f>SUM(E1432-738)</f>
        <v>2445</v>
      </c>
      <c r="F1435" s="98">
        <f>SUM(F1432-1205)</f>
        <v>8321</v>
      </c>
      <c r="G1435" s="98">
        <f>SUM(G1432-3890)</f>
        <v>1110</v>
      </c>
      <c r="H1435" s="98">
        <f>SUM(H1432-1662)</f>
        <v>8112</v>
      </c>
      <c r="I1435" s="98">
        <f>SUM(I1432-(2670-2000))</f>
        <v>1330</v>
      </c>
      <c r="J1435" s="98">
        <f>SUM(J1432-1409)</f>
        <v>7785</v>
      </c>
      <c r="K1435" s="98">
        <f>SUM(K1432-1327)</f>
        <v>3911</v>
      </c>
      <c r="L1435" s="98">
        <f>SUM(L1432-1010)</f>
        <v>1490</v>
      </c>
      <c r="M1435" s="98">
        <f>SUM(M1432-(3111-2614))</f>
        <v>2340</v>
      </c>
      <c r="N1435" s="103">
        <f>SUM(N1432-46)</f>
        <v>784</v>
      </c>
      <c r="O1435" s="12"/>
      <c r="P1435" s="175"/>
      <c r="Q1435" s="67"/>
      <c r="R1435" s="67"/>
      <c r="S1435" s="67"/>
      <c r="T1435" s="67"/>
      <c r="U1435" s="67"/>
      <c r="V1435" s="67"/>
      <c r="W1435" s="67"/>
    </row>
    <row r="1436" spans="1:27">
      <c r="A1436" s="412"/>
      <c r="B1436" s="29" t="s">
        <v>77</v>
      </c>
      <c r="C1436" s="75">
        <f>C1435*33.72</f>
        <v>150559.79999999999</v>
      </c>
      <c r="D1436" s="75">
        <f>D1435*33.72</f>
        <v>83086.080000000002</v>
      </c>
      <c r="E1436" s="75">
        <f>E1435*33.72</f>
        <v>82445.399999999994</v>
      </c>
      <c r="F1436" s="75">
        <f>F1435*33.72</f>
        <v>280584.12</v>
      </c>
      <c r="G1436" s="75">
        <f>G1435*33.72*2</f>
        <v>74858.399999999994</v>
      </c>
      <c r="H1436" s="75">
        <f>H1435*33.72</f>
        <v>273536.64000000001</v>
      </c>
      <c r="I1436" s="75">
        <f>I1435*33.72</f>
        <v>44847.6</v>
      </c>
      <c r="J1436" s="75">
        <f>J1435*33.72</f>
        <v>262510.2</v>
      </c>
      <c r="K1436" s="75">
        <f>K1435*33.72</f>
        <v>131878.91999999998</v>
      </c>
      <c r="L1436" s="75">
        <f>L1435*33.72</f>
        <v>50242.799999999996</v>
      </c>
      <c r="M1436" s="75">
        <f>M1435*33.72*2</f>
        <v>157809.60000000001</v>
      </c>
      <c r="N1436" s="11">
        <f>N1435*33.72</f>
        <v>26436.48</v>
      </c>
      <c r="O1436" s="12"/>
      <c r="P1436" s="175"/>
    </row>
    <row r="1437" spans="1:27" ht="15.75" thickBot="1">
      <c r="A1437" s="412"/>
      <c r="B1437" s="30" t="s">
        <v>10</v>
      </c>
      <c r="C1437" s="71">
        <f>C1435*33.7/C1429</f>
        <v>1.2992113406690566</v>
      </c>
      <c r="D1437" s="71">
        <f t="shared" ref="D1437:N1437" si="1106">D1435*33.7/D1429</f>
        <v>0.83840241029788465</v>
      </c>
      <c r="E1437" s="78">
        <f t="shared" si="1106"/>
        <v>0.83193745664704866</v>
      </c>
      <c r="F1437" s="78">
        <f t="shared" si="1106"/>
        <v>1.540775218161978</v>
      </c>
      <c r="G1437" s="78">
        <f t="shared" si="1106"/>
        <v>0.30830334669064496</v>
      </c>
      <c r="H1437" s="78">
        <f t="shared" si="1106"/>
        <v>2.4835984479235846</v>
      </c>
      <c r="I1437" s="78">
        <f t="shared" si="1106"/>
        <v>0.36940851450320533</v>
      </c>
      <c r="J1437" s="78">
        <f t="shared" si="1106"/>
        <v>1.5345275947021539</v>
      </c>
      <c r="K1437" s="78">
        <f t="shared" si="1106"/>
        <v>0.99749114901590985</v>
      </c>
      <c r="L1437" s="78">
        <f t="shared" si="1106"/>
        <v>0.82769727309740737</v>
      </c>
      <c r="M1437" s="79">
        <f t="shared" si="1106"/>
        <v>0.44683133247621437</v>
      </c>
      <c r="N1437" s="26">
        <f t="shared" si="1106"/>
        <v>0.48106917208353822</v>
      </c>
      <c r="O1437" s="12"/>
      <c r="P1437" s="175"/>
    </row>
    <row r="1438" spans="1:27" ht="15.75" customHeight="1" thickBot="1">
      <c r="A1438" s="424" t="s">
        <v>83</v>
      </c>
      <c r="B1438" s="425"/>
      <c r="C1438" s="76">
        <f>MIN(2*C1429,C1434)-C1436</f>
        <v>13440.200000000012</v>
      </c>
      <c r="D1438" s="76">
        <f t="shared" ref="D1438:N1438" si="1107">MIN(2*D1429,D1434)-D1436</f>
        <v>26793.919999999998</v>
      </c>
      <c r="E1438" s="76">
        <f t="shared" si="1107"/>
        <v>27434.600000000006</v>
      </c>
      <c r="F1438" s="76">
        <f t="shared" si="1107"/>
        <v>47415.880000000005</v>
      </c>
      <c r="G1438" s="76">
        <f t="shared" si="1107"/>
        <v>167805.2</v>
      </c>
      <c r="H1438" s="76">
        <f t="shared" si="1107"/>
        <v>-53392.840000000026</v>
      </c>
      <c r="I1438" s="76">
        <f t="shared" si="1107"/>
        <v>197816</v>
      </c>
      <c r="J1438" s="76">
        <f t="shared" si="1107"/>
        <v>65489.799999999988</v>
      </c>
      <c r="K1438" s="76">
        <f t="shared" si="1107"/>
        <v>132385.48000000004</v>
      </c>
      <c r="L1438" s="76">
        <f t="shared" si="1107"/>
        <v>71089</v>
      </c>
      <c r="M1438" s="76">
        <f t="shared" si="1107"/>
        <v>195155.80000000002</v>
      </c>
      <c r="N1438" s="22">
        <f t="shared" si="1107"/>
        <v>83405.52</v>
      </c>
      <c r="O1438" s="12"/>
      <c r="P1438" s="175"/>
    </row>
    <row r="1439" spans="1:27" ht="15.75" thickBot="1">
      <c r="A1439" s="368">
        <v>41026</v>
      </c>
      <c r="B1439" s="368"/>
      <c r="C1439" s="368"/>
      <c r="N1439" s="15"/>
    </row>
    <row r="1440" spans="1:27">
      <c r="A1440" s="407" t="s">
        <v>1</v>
      </c>
      <c r="B1440" s="420"/>
      <c r="C1440" s="68" t="s">
        <v>12</v>
      </c>
      <c r="D1440" s="68" t="s">
        <v>12</v>
      </c>
      <c r="E1440" s="68" t="s">
        <v>13</v>
      </c>
      <c r="F1440" s="68" t="s">
        <v>13</v>
      </c>
      <c r="G1440" s="68" t="s">
        <v>13</v>
      </c>
      <c r="H1440" s="68" t="s">
        <v>13</v>
      </c>
      <c r="I1440" s="68" t="s">
        <v>13</v>
      </c>
      <c r="J1440" s="68" t="s">
        <v>2</v>
      </c>
      <c r="K1440" s="68" t="s">
        <v>2</v>
      </c>
      <c r="L1440" s="68" t="s">
        <v>2</v>
      </c>
      <c r="M1440" s="68" t="s">
        <v>2</v>
      </c>
      <c r="N1440" s="4" t="s">
        <v>84</v>
      </c>
      <c r="P1440" s="174"/>
      <c r="Q1440" s="175"/>
      <c r="R1440" s="175"/>
      <c r="S1440" s="175"/>
      <c r="T1440" s="175"/>
      <c r="U1440" s="175"/>
      <c r="V1440" s="175"/>
      <c r="W1440" s="175"/>
      <c r="X1440" s="175"/>
      <c r="Y1440" s="174"/>
      <c r="Z1440" s="175"/>
      <c r="AA1440" s="175"/>
    </row>
    <row r="1441" spans="1:27" ht="15.75" thickBot="1">
      <c r="A1441" s="409" t="s">
        <v>0</v>
      </c>
      <c r="B1441" s="414"/>
      <c r="C1441" s="99" t="s">
        <v>102</v>
      </c>
      <c r="D1441" s="99" t="s">
        <v>103</v>
      </c>
      <c r="E1441" s="99" t="s">
        <v>104</v>
      </c>
      <c r="F1441" s="99" t="s">
        <v>105</v>
      </c>
      <c r="G1441" s="99" t="s">
        <v>100</v>
      </c>
      <c r="H1441" s="99" t="s">
        <v>107</v>
      </c>
      <c r="I1441" s="99" t="s">
        <v>106</v>
      </c>
      <c r="J1441" s="99" t="s">
        <v>108</v>
      </c>
      <c r="K1441" s="99" t="s">
        <v>110</v>
      </c>
      <c r="L1441" s="99" t="s">
        <v>101</v>
      </c>
      <c r="M1441" s="99" t="s">
        <v>109</v>
      </c>
      <c r="N1441" s="101" t="s">
        <v>111</v>
      </c>
      <c r="P1441" s="142"/>
      <c r="Y1441" s="142"/>
      <c r="Z1441" s="104"/>
      <c r="AA1441" s="104"/>
    </row>
    <row r="1442" spans="1:27" ht="15" customHeight="1">
      <c r="A1442" s="421" t="s">
        <v>9</v>
      </c>
      <c r="B1442" s="2" t="s">
        <v>4</v>
      </c>
      <c r="C1442" s="96">
        <v>115816.8</v>
      </c>
      <c r="D1442" s="96">
        <v>99041.7</v>
      </c>
      <c r="E1442" s="96">
        <v>99041.7</v>
      </c>
      <c r="F1442" s="96">
        <v>181997.8</v>
      </c>
      <c r="G1442" s="96">
        <v>121331.8</v>
      </c>
      <c r="H1442" s="96">
        <v>110071.9</v>
      </c>
      <c r="I1442" s="96">
        <v>121331.8</v>
      </c>
      <c r="J1442" s="96">
        <v>170967.6</v>
      </c>
      <c r="K1442" s="96">
        <v>132132.20000000001</v>
      </c>
      <c r="L1442" s="96">
        <v>60665.9</v>
      </c>
      <c r="M1442" s="96">
        <v>176482.7</v>
      </c>
      <c r="N1442" s="100">
        <v>54921</v>
      </c>
      <c r="O1442" s="12"/>
      <c r="P1442" s="142"/>
      <c r="Y1442" s="142"/>
      <c r="Z1442" s="104"/>
      <c r="AA1442" s="104"/>
    </row>
    <row r="1443" spans="1:27" s="64" customFormat="1">
      <c r="A1443" s="422"/>
      <c r="B1443" s="63" t="s">
        <v>5</v>
      </c>
      <c r="C1443" s="97">
        <v>87931.1</v>
      </c>
      <c r="D1443" s="97">
        <v>66691.899999999994</v>
      </c>
      <c r="E1443" s="97">
        <v>68069.7</v>
      </c>
      <c r="F1443" s="97">
        <v>136399.5</v>
      </c>
      <c r="G1443" s="97">
        <v>7800.6</v>
      </c>
      <c r="H1443" s="97">
        <v>33623.699999999997</v>
      </c>
      <c r="I1443" s="97">
        <v>20427</v>
      </c>
      <c r="J1443" s="97">
        <v>125424.4</v>
      </c>
      <c r="K1443" s="97">
        <v>41777.599999999999</v>
      </c>
      <c r="L1443" s="97">
        <v>4094.4</v>
      </c>
      <c r="M1443" s="97">
        <v>79469.100000000006</v>
      </c>
      <c r="N1443" s="102">
        <v>23922.9</v>
      </c>
      <c r="O1443" s="12"/>
      <c r="P1443" s="142"/>
      <c r="Q1443" s="104"/>
      <c r="R1443" s="104"/>
      <c r="S1443" s="104"/>
      <c r="T1443" s="104"/>
      <c r="U1443" s="104"/>
      <c r="V1443" s="104"/>
      <c r="W1443" s="104"/>
      <c r="X1443" s="104"/>
      <c r="Y1443" s="142"/>
      <c r="Z1443" s="104"/>
      <c r="AA1443" s="104"/>
    </row>
    <row r="1444" spans="1:27" ht="15.75" thickBot="1">
      <c r="A1444" s="423"/>
      <c r="B1444" s="3" t="s">
        <v>3</v>
      </c>
      <c r="C1444" s="71">
        <f>C1443/C1442</f>
        <v>0.75922577726202078</v>
      </c>
      <c r="D1444" s="72">
        <f t="shared" ref="D1444:F1444" si="1108">D1443/D1442</f>
        <v>0.67337192313944527</v>
      </c>
      <c r="E1444" s="72">
        <f t="shared" si="1108"/>
        <v>0.6872832352433369</v>
      </c>
      <c r="F1444" s="72">
        <f t="shared" si="1108"/>
        <v>0.74945686156645852</v>
      </c>
      <c r="G1444" s="72">
        <f>G1443/G1442</f>
        <v>6.4291471815303161E-2</v>
      </c>
      <c r="H1444" s="72">
        <f t="shared" ref="H1444:N1444" si="1109">H1443/H1442</f>
        <v>0.30547033348202401</v>
      </c>
      <c r="I1444" s="72">
        <f t="shared" si="1109"/>
        <v>0.16835652318683147</v>
      </c>
      <c r="J1444" s="72">
        <f t="shared" si="1109"/>
        <v>0.73361502413322754</v>
      </c>
      <c r="K1444" s="72">
        <f t="shared" si="1109"/>
        <v>0.31618031032556781</v>
      </c>
      <c r="L1444" s="72">
        <f t="shared" si="1109"/>
        <v>6.7490962797881512E-2</v>
      </c>
      <c r="M1444" s="72">
        <f t="shared" si="1109"/>
        <v>0.45029399482215537</v>
      </c>
      <c r="N1444" s="83">
        <f t="shared" si="1109"/>
        <v>0.43558748019883109</v>
      </c>
      <c r="O1444" s="12"/>
      <c r="Y1444" s="14"/>
      <c r="Z1444" s="104"/>
      <c r="AA1444" s="104"/>
    </row>
    <row r="1445" spans="1:27" ht="15" customHeight="1">
      <c r="A1445" s="411" t="s">
        <v>6</v>
      </c>
      <c r="B1445" s="27" t="s">
        <v>7</v>
      </c>
      <c r="C1445" s="68">
        <v>5006</v>
      </c>
      <c r="D1445" s="68">
        <v>3200</v>
      </c>
      <c r="E1445" s="68">
        <v>3183</v>
      </c>
      <c r="F1445" s="68">
        <v>9526</v>
      </c>
      <c r="G1445" s="68">
        <v>5000</v>
      </c>
      <c r="H1445" s="68">
        <v>6989</v>
      </c>
      <c r="I1445" s="68">
        <f>(4000-2000)</f>
        <v>2000</v>
      </c>
      <c r="J1445" s="68">
        <v>9194</v>
      </c>
      <c r="K1445" s="68">
        <v>2971</v>
      </c>
      <c r="L1445" s="68">
        <v>2500</v>
      </c>
      <c r="M1445" s="68">
        <f>5451-2614</f>
        <v>2837</v>
      </c>
      <c r="N1445" s="80">
        <v>830</v>
      </c>
      <c r="O1445" s="12"/>
      <c r="P1445" s="142"/>
      <c r="Y1445" s="142"/>
      <c r="Z1445" s="104"/>
      <c r="AA1445" s="104"/>
    </row>
    <row r="1446" spans="1:27">
      <c r="A1446" s="412"/>
      <c r="B1446" s="28" t="s">
        <v>11</v>
      </c>
      <c r="C1446" s="73">
        <f t="shared" ref="C1446:I1446" si="1110">C1445*33.72</f>
        <v>168802.32</v>
      </c>
      <c r="D1446" s="73">
        <f t="shared" si="1110"/>
        <v>107904</v>
      </c>
      <c r="E1446" s="73">
        <f t="shared" si="1110"/>
        <v>107330.76</v>
      </c>
      <c r="F1446" s="73">
        <f t="shared" si="1110"/>
        <v>321216.71999999997</v>
      </c>
      <c r="G1446" s="73">
        <f t="shared" si="1110"/>
        <v>168600</v>
      </c>
      <c r="H1446" s="73">
        <f t="shared" si="1110"/>
        <v>235669.08</v>
      </c>
      <c r="I1446" s="73">
        <f t="shared" si="1110"/>
        <v>67440</v>
      </c>
      <c r="J1446" s="73">
        <f>J1445*33.72</f>
        <v>310021.68</v>
      </c>
      <c r="K1446" s="73">
        <f t="shared" ref="K1446:N1446" si="1111">K1445*33.72</f>
        <v>100182.12</v>
      </c>
      <c r="L1446" s="73">
        <f t="shared" si="1111"/>
        <v>84300</v>
      </c>
      <c r="M1446" s="73">
        <f t="shared" si="1111"/>
        <v>95663.64</v>
      </c>
      <c r="N1446" s="73">
        <f t="shared" si="1111"/>
        <v>27987.599999999999</v>
      </c>
      <c r="O1446" s="12"/>
      <c r="P1446" s="142"/>
      <c r="Y1446" s="142"/>
      <c r="Z1446" s="104"/>
      <c r="AA1446" s="104"/>
    </row>
    <row r="1447" spans="1:27">
      <c r="A1447" s="412"/>
      <c r="B1447" s="28" t="s">
        <v>79</v>
      </c>
      <c r="C1447" s="73">
        <v>164000</v>
      </c>
      <c r="D1447" s="73">
        <v>109880</v>
      </c>
      <c r="E1447" s="73">
        <v>109880</v>
      </c>
      <c r="F1447" s="73">
        <v>328000</v>
      </c>
      <c r="G1447" s="73">
        <f>G1442*2</f>
        <v>242663.6</v>
      </c>
      <c r="H1447" s="73">
        <f>H1442*2</f>
        <v>220143.8</v>
      </c>
      <c r="I1447" s="73">
        <f>I1442*2</f>
        <v>242663.6</v>
      </c>
      <c r="J1447" s="73">
        <v>328000</v>
      </c>
      <c r="K1447" s="73">
        <f>K1442*2</f>
        <v>264264.40000000002</v>
      </c>
      <c r="L1447" s="73">
        <v>328000</v>
      </c>
      <c r="M1447" s="73">
        <f>2*M1442</f>
        <v>352965.4</v>
      </c>
      <c r="N1447" s="84">
        <f>2*N1442</f>
        <v>109842</v>
      </c>
      <c r="O1447" s="12"/>
      <c r="Y1447" s="14"/>
      <c r="Z1447" s="104"/>
      <c r="AA1447" s="104"/>
    </row>
    <row r="1448" spans="1:27" s="64" customFormat="1">
      <c r="A1448" s="412"/>
      <c r="B1448" s="66" t="s">
        <v>8</v>
      </c>
      <c r="C1448" s="98">
        <f>SUM(C1445-541)</f>
        <v>4465</v>
      </c>
      <c r="D1448" s="98">
        <f>SUM(D1445-736)</f>
        <v>2464</v>
      </c>
      <c r="E1448" s="98">
        <f>SUM(E1445-738)</f>
        <v>2445</v>
      </c>
      <c r="F1448" s="98">
        <f>SUM(F1445-1205)</f>
        <v>8321</v>
      </c>
      <c r="G1448" s="98">
        <f>SUM(G1445-3893)</f>
        <v>1107</v>
      </c>
      <c r="H1448" s="98">
        <f>SUM(H1445-1672)</f>
        <v>5317</v>
      </c>
      <c r="I1448" s="98">
        <f>SUM(I1445-(2670-2000))</f>
        <v>1330</v>
      </c>
      <c r="J1448" s="98">
        <f>SUM(J1445-1412)</f>
        <v>7782</v>
      </c>
      <c r="K1448" s="98">
        <f>SUM(K1445-1327)</f>
        <v>1644</v>
      </c>
      <c r="L1448" s="98">
        <f>SUM(L1445-1140)</f>
        <v>1360</v>
      </c>
      <c r="M1448" s="98">
        <f>SUM(M1445-(3111-2614))</f>
        <v>2340</v>
      </c>
      <c r="N1448" s="103">
        <f>SUM(N1445-46)</f>
        <v>784</v>
      </c>
      <c r="O1448" s="12"/>
      <c r="P1448" s="175"/>
      <c r="Q1448" s="67"/>
      <c r="R1448" s="67"/>
      <c r="S1448" s="67"/>
      <c r="T1448" s="67"/>
      <c r="U1448" s="67"/>
      <c r="V1448" s="67"/>
      <c r="W1448" s="67"/>
    </row>
    <row r="1449" spans="1:27">
      <c r="A1449" s="412"/>
      <c r="B1449" s="29" t="s">
        <v>77</v>
      </c>
      <c r="C1449" s="75">
        <f>C1448*33.72</f>
        <v>150559.79999999999</v>
      </c>
      <c r="D1449" s="75">
        <f>D1448*33.72</f>
        <v>83086.080000000002</v>
      </c>
      <c r="E1449" s="75">
        <f>E1448*33.72</f>
        <v>82445.399999999994</v>
      </c>
      <c r="F1449" s="75">
        <f>F1448*33.72</f>
        <v>280584.12</v>
      </c>
      <c r="G1449" s="75">
        <f>G1448*33.72*2</f>
        <v>74656.08</v>
      </c>
      <c r="H1449" s="75">
        <f>H1448*33.72</f>
        <v>179289.24</v>
      </c>
      <c r="I1449" s="75">
        <f>I1448*33.72</f>
        <v>44847.6</v>
      </c>
      <c r="J1449" s="75">
        <f>J1448*33.72</f>
        <v>262409.03999999998</v>
      </c>
      <c r="K1449" s="75">
        <f>K1448*33.72</f>
        <v>55435.68</v>
      </c>
      <c r="L1449" s="75">
        <f>L1448*33.72</f>
        <v>45859.199999999997</v>
      </c>
      <c r="M1449" s="75">
        <f>M1448*33.72*2</f>
        <v>157809.60000000001</v>
      </c>
      <c r="N1449" s="11">
        <f>N1448*33.72</f>
        <v>26436.48</v>
      </c>
      <c r="O1449" s="12"/>
      <c r="P1449" s="175"/>
    </row>
    <row r="1450" spans="1:27" ht="15.75" thickBot="1">
      <c r="A1450" s="412"/>
      <c r="B1450" s="30" t="s">
        <v>10</v>
      </c>
      <c r="C1450" s="71">
        <f>C1448*33.7/C1442</f>
        <v>1.2992113406690566</v>
      </c>
      <c r="D1450" s="71">
        <f t="shared" ref="D1450:N1450" si="1112">D1448*33.7/D1442</f>
        <v>0.83840241029788465</v>
      </c>
      <c r="E1450" s="78">
        <f t="shared" si="1112"/>
        <v>0.83193745664704866</v>
      </c>
      <c r="F1450" s="78">
        <f t="shared" si="1112"/>
        <v>1.540775218161978</v>
      </c>
      <c r="G1450" s="78">
        <f t="shared" si="1112"/>
        <v>0.30747009440229189</v>
      </c>
      <c r="H1450" s="78">
        <f t="shared" si="1112"/>
        <v>1.6278714185909395</v>
      </c>
      <c r="I1450" s="78">
        <f t="shared" si="1112"/>
        <v>0.36940851450320533</v>
      </c>
      <c r="J1450" s="78">
        <f t="shared" si="1112"/>
        <v>1.5339362545885888</v>
      </c>
      <c r="K1450" s="78">
        <f t="shared" si="1112"/>
        <v>0.4192982482695361</v>
      </c>
      <c r="L1450" s="78">
        <f t="shared" si="1112"/>
        <v>0.75548207477347251</v>
      </c>
      <c r="M1450" s="79">
        <f t="shared" si="1112"/>
        <v>0.44683133247621437</v>
      </c>
      <c r="N1450" s="26">
        <f t="shared" si="1112"/>
        <v>0.48106917208353822</v>
      </c>
      <c r="O1450" s="12"/>
      <c r="P1450" s="175"/>
    </row>
    <row r="1451" spans="1:27" ht="15.75" customHeight="1" thickBot="1">
      <c r="A1451" s="424" t="s">
        <v>83</v>
      </c>
      <c r="B1451" s="425"/>
      <c r="C1451" s="76">
        <f>MIN(2*C1442,C1447)-C1449</f>
        <v>13440.200000000012</v>
      </c>
      <c r="D1451" s="76">
        <f t="shared" ref="D1451:N1451" si="1113">MIN(2*D1442,D1447)-D1449</f>
        <v>26793.919999999998</v>
      </c>
      <c r="E1451" s="76">
        <f t="shared" si="1113"/>
        <v>27434.600000000006</v>
      </c>
      <c r="F1451" s="76">
        <f t="shared" si="1113"/>
        <v>47415.880000000005</v>
      </c>
      <c r="G1451" s="76">
        <f t="shared" si="1113"/>
        <v>168007.52000000002</v>
      </c>
      <c r="H1451" s="76">
        <f t="shared" si="1113"/>
        <v>40854.559999999998</v>
      </c>
      <c r="I1451" s="76">
        <f t="shared" si="1113"/>
        <v>197816</v>
      </c>
      <c r="J1451" s="76">
        <f t="shared" si="1113"/>
        <v>65590.960000000021</v>
      </c>
      <c r="K1451" s="76">
        <f t="shared" si="1113"/>
        <v>208828.72000000003</v>
      </c>
      <c r="L1451" s="76">
        <f t="shared" si="1113"/>
        <v>75472.600000000006</v>
      </c>
      <c r="M1451" s="76">
        <f t="shared" si="1113"/>
        <v>195155.80000000002</v>
      </c>
      <c r="N1451" s="22">
        <f t="shared" si="1113"/>
        <v>83405.52</v>
      </c>
      <c r="O1451" s="12"/>
      <c r="P1451" s="175"/>
    </row>
    <row r="1452" spans="1:27" ht="15.75" thickBot="1">
      <c r="A1452" s="368">
        <v>41024</v>
      </c>
      <c r="B1452" s="368"/>
      <c r="C1452" s="368"/>
      <c r="N1452" s="15"/>
    </row>
    <row r="1453" spans="1:27">
      <c r="A1453" s="407" t="s">
        <v>1</v>
      </c>
      <c r="B1453" s="420"/>
      <c r="C1453" s="68" t="s">
        <v>12</v>
      </c>
      <c r="D1453" s="68" t="s">
        <v>12</v>
      </c>
      <c r="E1453" s="68" t="s">
        <v>13</v>
      </c>
      <c r="F1453" s="68" t="s">
        <v>13</v>
      </c>
      <c r="G1453" s="68" t="s">
        <v>13</v>
      </c>
      <c r="H1453" s="68" t="s">
        <v>13</v>
      </c>
      <c r="I1453" s="68" t="s">
        <v>13</v>
      </c>
      <c r="J1453" s="68" t="s">
        <v>2</v>
      </c>
      <c r="K1453" s="68" t="s">
        <v>2</v>
      </c>
      <c r="L1453" s="68" t="s">
        <v>2</v>
      </c>
      <c r="M1453" s="68" t="s">
        <v>2</v>
      </c>
      <c r="N1453" s="4" t="s">
        <v>84</v>
      </c>
      <c r="P1453" s="174"/>
      <c r="Q1453" s="175"/>
      <c r="R1453" s="175"/>
      <c r="S1453" s="175"/>
      <c r="T1453" s="175"/>
      <c r="U1453" s="175"/>
      <c r="V1453" s="175"/>
      <c r="W1453" s="175"/>
      <c r="X1453" s="175"/>
      <c r="Y1453" s="174"/>
      <c r="Z1453" s="175"/>
      <c r="AA1453" s="175"/>
    </row>
    <row r="1454" spans="1:27" ht="15.75" thickBot="1">
      <c r="A1454" s="409" t="s">
        <v>0</v>
      </c>
      <c r="B1454" s="414"/>
      <c r="C1454" s="99" t="s">
        <v>102</v>
      </c>
      <c r="D1454" s="99" t="s">
        <v>103</v>
      </c>
      <c r="E1454" s="99" t="s">
        <v>104</v>
      </c>
      <c r="F1454" s="99" t="s">
        <v>105</v>
      </c>
      <c r="G1454" s="99" t="s">
        <v>100</v>
      </c>
      <c r="H1454" s="99" t="s">
        <v>107</v>
      </c>
      <c r="I1454" s="99" t="s">
        <v>106</v>
      </c>
      <c r="J1454" s="99" t="s">
        <v>108</v>
      </c>
      <c r="K1454" s="99" t="s">
        <v>110</v>
      </c>
      <c r="L1454" s="99" t="s">
        <v>101</v>
      </c>
      <c r="M1454" s="99" t="s">
        <v>109</v>
      </c>
      <c r="N1454" s="101" t="s">
        <v>111</v>
      </c>
      <c r="P1454" s="142"/>
      <c r="Y1454" s="142"/>
      <c r="Z1454" s="104"/>
      <c r="AA1454" s="104"/>
    </row>
    <row r="1455" spans="1:27" ht="15" customHeight="1">
      <c r="A1455" s="421" t="s">
        <v>9</v>
      </c>
      <c r="B1455" s="2" t="s">
        <v>4</v>
      </c>
      <c r="C1455" s="96">
        <v>115816.8</v>
      </c>
      <c r="D1455" s="96">
        <v>99041.7</v>
      </c>
      <c r="E1455" s="96">
        <v>99041.7</v>
      </c>
      <c r="F1455" s="96">
        <v>181997.8</v>
      </c>
      <c r="G1455" s="96">
        <v>121331.8</v>
      </c>
      <c r="H1455" s="96">
        <v>110071.9</v>
      </c>
      <c r="I1455" s="96">
        <v>121331.8</v>
      </c>
      <c r="J1455" s="96">
        <v>170967.6</v>
      </c>
      <c r="K1455" s="96">
        <v>132132.20000000001</v>
      </c>
      <c r="L1455" s="96">
        <v>60665.9</v>
      </c>
      <c r="M1455" s="96">
        <v>176482.7</v>
      </c>
      <c r="N1455" s="100">
        <v>54921</v>
      </c>
      <c r="O1455" s="12"/>
      <c r="P1455" s="142"/>
      <c r="Y1455" s="142"/>
      <c r="Z1455" s="104"/>
      <c r="AA1455" s="104"/>
    </row>
    <row r="1456" spans="1:27" s="64" customFormat="1">
      <c r="A1456" s="422"/>
      <c r="B1456" s="63" t="s">
        <v>5</v>
      </c>
      <c r="C1456" s="97">
        <v>87375.9</v>
      </c>
      <c r="D1456" s="97">
        <v>66597</v>
      </c>
      <c r="E1456" s="97">
        <v>67974.7</v>
      </c>
      <c r="F1456" s="97">
        <v>135846.29999999999</v>
      </c>
      <c r="G1456" s="97">
        <v>7776.3</v>
      </c>
      <c r="H1456" s="97">
        <v>33058.800000000003</v>
      </c>
      <c r="I1456" s="97">
        <v>20407.900000000001</v>
      </c>
      <c r="J1456" s="97">
        <v>125065.5</v>
      </c>
      <c r="K1456" s="97">
        <v>41729.1</v>
      </c>
      <c r="L1456" s="97">
        <v>4068</v>
      </c>
      <c r="M1456" s="97">
        <v>79442.600000000006</v>
      </c>
      <c r="N1456" s="102">
        <v>23644.2</v>
      </c>
      <c r="O1456" s="12"/>
      <c r="P1456" s="142"/>
      <c r="Q1456" s="104"/>
      <c r="R1456" s="104"/>
      <c r="S1456" s="104"/>
      <c r="T1456" s="104"/>
      <c r="U1456" s="104"/>
      <c r="V1456" s="104"/>
      <c r="W1456" s="104"/>
      <c r="X1456" s="104"/>
      <c r="Y1456" s="142"/>
      <c r="Z1456" s="104"/>
      <c r="AA1456" s="104"/>
    </row>
    <row r="1457" spans="1:27" ht="15.75" thickBot="1">
      <c r="A1457" s="423"/>
      <c r="B1457" s="3" t="s">
        <v>3</v>
      </c>
      <c r="C1457" s="71">
        <f>C1456/C1455</f>
        <v>0.75443199950266271</v>
      </c>
      <c r="D1457" s="72">
        <f t="shared" ref="D1457:F1457" si="1114">D1456/D1455</f>
        <v>0.67241374087884198</v>
      </c>
      <c r="E1457" s="72">
        <f t="shared" si="1114"/>
        <v>0.68632404330701113</v>
      </c>
      <c r="F1457" s="72">
        <f t="shared" si="1114"/>
        <v>0.7464172643845145</v>
      </c>
      <c r="G1457" s="72">
        <f>G1456/G1455</f>
        <v>6.4091194559052114E-2</v>
      </c>
      <c r="H1457" s="72">
        <f t="shared" ref="H1457:N1457" si="1115">H1456/H1455</f>
        <v>0.30033823346376326</v>
      </c>
      <c r="I1457" s="72">
        <f t="shared" si="1115"/>
        <v>0.1681991036150457</v>
      </c>
      <c r="J1457" s="72">
        <f t="shared" si="1115"/>
        <v>0.73151579597537775</v>
      </c>
      <c r="K1457" s="72">
        <f t="shared" si="1115"/>
        <v>0.31581325369591967</v>
      </c>
      <c r="L1457" s="72">
        <f t="shared" si="1115"/>
        <v>6.7055792463311351E-2</v>
      </c>
      <c r="M1457" s="72">
        <f t="shared" si="1115"/>
        <v>0.4501438384612203</v>
      </c>
      <c r="N1457" s="83">
        <f t="shared" si="1115"/>
        <v>0.4305129185557437</v>
      </c>
      <c r="O1457" s="12"/>
      <c r="Y1457" s="14"/>
      <c r="Z1457" s="104"/>
      <c r="AA1457" s="104"/>
    </row>
    <row r="1458" spans="1:27" ht="15" customHeight="1">
      <c r="A1458" s="411" t="s">
        <v>6</v>
      </c>
      <c r="B1458" s="27" t="s">
        <v>7</v>
      </c>
      <c r="C1458" s="68">
        <v>5006</v>
      </c>
      <c r="D1458" s="68">
        <v>3200</v>
      </c>
      <c r="E1458" s="68">
        <v>3183</v>
      </c>
      <c r="F1458" s="68">
        <v>9526</v>
      </c>
      <c r="G1458" s="68">
        <v>5000</v>
      </c>
      <c r="H1458" s="68">
        <v>6989</v>
      </c>
      <c r="I1458" s="68">
        <f>(4000-2000)</f>
        <v>2000</v>
      </c>
      <c r="J1458" s="68">
        <v>9194</v>
      </c>
      <c r="K1458" s="68">
        <v>2971</v>
      </c>
      <c r="L1458" s="68">
        <v>2500</v>
      </c>
      <c r="M1458" s="68">
        <f>5451-2614</f>
        <v>2837</v>
      </c>
      <c r="N1458" s="80">
        <v>830</v>
      </c>
      <c r="O1458" s="12"/>
      <c r="P1458" s="142"/>
      <c r="Y1458" s="142"/>
      <c r="Z1458" s="104"/>
      <c r="AA1458" s="104"/>
    </row>
    <row r="1459" spans="1:27">
      <c r="A1459" s="412"/>
      <c r="B1459" s="28" t="s">
        <v>11</v>
      </c>
      <c r="C1459" s="73">
        <f t="shared" ref="C1459:I1459" si="1116">C1458*33.72</f>
        <v>168802.32</v>
      </c>
      <c r="D1459" s="73">
        <f t="shared" si="1116"/>
        <v>107904</v>
      </c>
      <c r="E1459" s="73">
        <f t="shared" si="1116"/>
        <v>107330.76</v>
      </c>
      <c r="F1459" s="73">
        <f t="shared" si="1116"/>
        <v>321216.71999999997</v>
      </c>
      <c r="G1459" s="73">
        <f t="shared" si="1116"/>
        <v>168600</v>
      </c>
      <c r="H1459" s="73">
        <f t="shared" si="1116"/>
        <v>235669.08</v>
      </c>
      <c r="I1459" s="73">
        <f t="shared" si="1116"/>
        <v>67440</v>
      </c>
      <c r="J1459" s="73">
        <f>J1458*33.72</f>
        <v>310021.68</v>
      </c>
      <c r="K1459" s="73">
        <f t="shared" ref="K1459:N1459" si="1117">K1458*33.72</f>
        <v>100182.12</v>
      </c>
      <c r="L1459" s="73">
        <f t="shared" si="1117"/>
        <v>84300</v>
      </c>
      <c r="M1459" s="73">
        <f t="shared" si="1117"/>
        <v>95663.64</v>
      </c>
      <c r="N1459" s="73">
        <f t="shared" si="1117"/>
        <v>27987.599999999999</v>
      </c>
      <c r="O1459" s="12"/>
      <c r="P1459" s="142"/>
      <c r="Y1459" s="142"/>
      <c r="Z1459" s="104"/>
      <c r="AA1459" s="104"/>
    </row>
    <row r="1460" spans="1:27">
      <c r="A1460" s="412"/>
      <c r="B1460" s="28" t="s">
        <v>79</v>
      </c>
      <c r="C1460" s="73">
        <v>164000</v>
      </c>
      <c r="D1460" s="73">
        <v>109880</v>
      </c>
      <c r="E1460" s="73">
        <v>109880</v>
      </c>
      <c r="F1460" s="73">
        <v>328000</v>
      </c>
      <c r="G1460" s="73">
        <f>G1455*2</f>
        <v>242663.6</v>
      </c>
      <c r="H1460" s="73">
        <f>H1455*2</f>
        <v>220143.8</v>
      </c>
      <c r="I1460" s="73">
        <f>I1455*2</f>
        <v>242663.6</v>
      </c>
      <c r="J1460" s="73">
        <v>328000</v>
      </c>
      <c r="K1460" s="73">
        <f>K1455*2</f>
        <v>264264.40000000002</v>
      </c>
      <c r="L1460" s="73">
        <v>328000</v>
      </c>
      <c r="M1460" s="73">
        <f>2*M1455</f>
        <v>352965.4</v>
      </c>
      <c r="N1460" s="84">
        <f>2*N1455</f>
        <v>109842</v>
      </c>
      <c r="O1460" s="12"/>
      <c r="Y1460" s="14"/>
      <c r="Z1460" s="104"/>
      <c r="AA1460" s="104"/>
    </row>
    <row r="1461" spans="1:27" s="64" customFormat="1">
      <c r="A1461" s="412"/>
      <c r="B1461" s="66" t="s">
        <v>8</v>
      </c>
      <c r="C1461" s="98">
        <f>SUM(C1458-541)</f>
        <v>4465</v>
      </c>
      <c r="D1461" s="98">
        <f>SUM(D1458-736)</f>
        <v>2464</v>
      </c>
      <c r="E1461" s="98">
        <f>SUM(E1458-738)</f>
        <v>2445</v>
      </c>
      <c r="F1461" s="98">
        <f>SUM(F1458-1206)</f>
        <v>8320</v>
      </c>
      <c r="G1461" s="98">
        <f>SUM(G1458-3893)</f>
        <v>1107</v>
      </c>
      <c r="H1461" s="98">
        <f>SUM(H1458-1672)</f>
        <v>5317</v>
      </c>
      <c r="I1461" s="98">
        <f>SUM(I1458-(2740-2000))</f>
        <v>1260</v>
      </c>
      <c r="J1461" s="98">
        <f>SUM(J1458-1436)</f>
        <v>7758</v>
      </c>
      <c r="K1461" s="98">
        <f>SUM(K1458-1394)</f>
        <v>1577</v>
      </c>
      <c r="L1461" s="98">
        <f>SUM(L1458-1140)</f>
        <v>1360</v>
      </c>
      <c r="M1461" s="98">
        <f>SUM(M1458-(3181-2614))</f>
        <v>2270</v>
      </c>
      <c r="N1461" s="103">
        <f>SUM(N1458-46)</f>
        <v>784</v>
      </c>
      <c r="O1461" s="12"/>
      <c r="P1461" s="175"/>
      <c r="Q1461" s="67"/>
      <c r="R1461" s="67"/>
      <c r="S1461" s="67"/>
      <c r="T1461" s="67"/>
      <c r="U1461" s="67"/>
      <c r="V1461" s="67"/>
      <c r="W1461" s="67"/>
    </row>
    <row r="1462" spans="1:27">
      <c r="A1462" s="412"/>
      <c r="B1462" s="29" t="s">
        <v>77</v>
      </c>
      <c r="C1462" s="75">
        <f>C1461*33.72</f>
        <v>150559.79999999999</v>
      </c>
      <c r="D1462" s="75">
        <f>D1461*33.72</f>
        <v>83086.080000000002</v>
      </c>
      <c r="E1462" s="75">
        <f>E1461*33.72</f>
        <v>82445.399999999994</v>
      </c>
      <c r="F1462" s="75">
        <f>F1461*33.72</f>
        <v>280550.39999999997</v>
      </c>
      <c r="G1462" s="75">
        <f>G1461*33.72*2</f>
        <v>74656.08</v>
      </c>
      <c r="H1462" s="75">
        <f>H1461*33.72</f>
        <v>179289.24</v>
      </c>
      <c r="I1462" s="75">
        <f>I1461*33.72</f>
        <v>42487.199999999997</v>
      </c>
      <c r="J1462" s="75">
        <f>J1461*33.72</f>
        <v>261599.75999999998</v>
      </c>
      <c r="K1462" s="75">
        <f>K1461*33.72</f>
        <v>53176.439999999995</v>
      </c>
      <c r="L1462" s="75">
        <f>L1461*33.72</f>
        <v>45859.199999999997</v>
      </c>
      <c r="M1462" s="75">
        <f>M1461*33.72*2</f>
        <v>153088.79999999999</v>
      </c>
      <c r="N1462" s="11">
        <f>N1461*33.72</f>
        <v>26436.48</v>
      </c>
      <c r="O1462" s="12"/>
      <c r="P1462" s="175"/>
    </row>
    <row r="1463" spans="1:27" ht="15.75" thickBot="1">
      <c r="A1463" s="412"/>
      <c r="B1463" s="30" t="s">
        <v>10</v>
      </c>
      <c r="C1463" s="71">
        <f>C1461*33.7/C1455</f>
        <v>1.2992113406690566</v>
      </c>
      <c r="D1463" s="71">
        <f t="shared" ref="D1463:N1463" si="1118">D1461*33.7/D1455</f>
        <v>0.83840241029788465</v>
      </c>
      <c r="E1463" s="78">
        <f t="shared" si="1118"/>
        <v>0.83193745664704866</v>
      </c>
      <c r="F1463" s="78">
        <f t="shared" si="1118"/>
        <v>1.5405900510885298</v>
      </c>
      <c r="G1463" s="78">
        <f t="shared" si="1118"/>
        <v>0.30747009440229189</v>
      </c>
      <c r="H1463" s="78">
        <f t="shared" si="1118"/>
        <v>1.6278714185909395</v>
      </c>
      <c r="I1463" s="78">
        <f t="shared" si="1118"/>
        <v>0.34996596110829969</v>
      </c>
      <c r="J1463" s="78">
        <f t="shared" si="1118"/>
        <v>1.5292055336800658</v>
      </c>
      <c r="K1463" s="78">
        <f t="shared" si="1118"/>
        <v>0.40221005931937859</v>
      </c>
      <c r="L1463" s="78">
        <f t="shared" si="1118"/>
        <v>0.75548207477347251</v>
      </c>
      <c r="M1463" s="79">
        <f t="shared" si="1118"/>
        <v>0.43346458321410536</v>
      </c>
      <c r="N1463" s="26">
        <f t="shared" si="1118"/>
        <v>0.48106917208353822</v>
      </c>
      <c r="O1463" s="12"/>
      <c r="P1463" s="175"/>
    </row>
    <row r="1464" spans="1:27" ht="15.75" customHeight="1" thickBot="1">
      <c r="A1464" s="424" t="s">
        <v>83</v>
      </c>
      <c r="B1464" s="425"/>
      <c r="C1464" s="76">
        <f>MIN(2*C1455,C1460)-C1462</f>
        <v>13440.200000000012</v>
      </c>
      <c r="D1464" s="76">
        <f t="shared" ref="D1464:N1464" si="1119">MIN(2*D1455,D1460)-D1462</f>
        <v>26793.919999999998</v>
      </c>
      <c r="E1464" s="76">
        <f t="shared" si="1119"/>
        <v>27434.600000000006</v>
      </c>
      <c r="F1464" s="76">
        <f t="shared" si="1119"/>
        <v>47449.600000000035</v>
      </c>
      <c r="G1464" s="76">
        <f t="shared" si="1119"/>
        <v>168007.52000000002</v>
      </c>
      <c r="H1464" s="76">
        <f t="shared" si="1119"/>
        <v>40854.559999999998</v>
      </c>
      <c r="I1464" s="76">
        <f t="shared" si="1119"/>
        <v>200176.40000000002</v>
      </c>
      <c r="J1464" s="76">
        <f t="shared" si="1119"/>
        <v>66400.24000000002</v>
      </c>
      <c r="K1464" s="76">
        <f t="shared" si="1119"/>
        <v>211087.96000000002</v>
      </c>
      <c r="L1464" s="76">
        <f t="shared" si="1119"/>
        <v>75472.600000000006</v>
      </c>
      <c r="M1464" s="76">
        <f t="shared" si="1119"/>
        <v>199876.60000000003</v>
      </c>
      <c r="N1464" s="22">
        <f t="shared" si="1119"/>
        <v>83405.52</v>
      </c>
      <c r="O1464" s="12"/>
      <c r="P1464" s="175"/>
    </row>
    <row r="1465" spans="1:27" ht="15.75" thickBot="1">
      <c r="A1465" s="368">
        <v>41023</v>
      </c>
      <c r="B1465" s="368"/>
      <c r="C1465" s="368"/>
      <c r="N1465" s="15"/>
    </row>
    <row r="1466" spans="1:27">
      <c r="A1466" s="407" t="s">
        <v>1</v>
      </c>
      <c r="B1466" s="420"/>
      <c r="C1466" s="68" t="s">
        <v>12</v>
      </c>
      <c r="D1466" s="68" t="s">
        <v>12</v>
      </c>
      <c r="E1466" s="68" t="s">
        <v>13</v>
      </c>
      <c r="F1466" s="68" t="s">
        <v>13</v>
      </c>
      <c r="G1466" s="68" t="s">
        <v>13</v>
      </c>
      <c r="H1466" s="68" t="s">
        <v>13</v>
      </c>
      <c r="I1466" s="68" t="s">
        <v>13</v>
      </c>
      <c r="J1466" s="68" t="s">
        <v>2</v>
      </c>
      <c r="K1466" s="68" t="s">
        <v>2</v>
      </c>
      <c r="L1466" s="68" t="s">
        <v>2</v>
      </c>
      <c r="M1466" s="68" t="s">
        <v>2</v>
      </c>
      <c r="N1466" s="4" t="s">
        <v>84</v>
      </c>
      <c r="P1466" s="174"/>
      <c r="Q1466" s="175"/>
      <c r="R1466" s="175"/>
      <c r="S1466" s="175"/>
      <c r="T1466" s="175"/>
      <c r="U1466" s="175"/>
      <c r="V1466" s="175"/>
      <c r="W1466" s="175"/>
      <c r="X1466" s="175"/>
      <c r="Y1466" s="174"/>
      <c r="Z1466" s="175"/>
      <c r="AA1466" s="175"/>
    </row>
    <row r="1467" spans="1:27" ht="15.75" thickBot="1">
      <c r="A1467" s="409" t="s">
        <v>0</v>
      </c>
      <c r="B1467" s="414"/>
      <c r="C1467" s="99" t="s">
        <v>102</v>
      </c>
      <c r="D1467" s="99" t="s">
        <v>103</v>
      </c>
      <c r="E1467" s="99" t="s">
        <v>104</v>
      </c>
      <c r="F1467" s="99" t="s">
        <v>105</v>
      </c>
      <c r="G1467" s="99" t="s">
        <v>100</v>
      </c>
      <c r="H1467" s="99" t="s">
        <v>107</v>
      </c>
      <c r="I1467" s="99" t="s">
        <v>106</v>
      </c>
      <c r="J1467" s="99" t="s">
        <v>108</v>
      </c>
      <c r="K1467" s="99" t="s">
        <v>110</v>
      </c>
      <c r="L1467" s="99" t="s">
        <v>101</v>
      </c>
      <c r="M1467" s="99" t="s">
        <v>109</v>
      </c>
      <c r="N1467" s="101" t="s">
        <v>111</v>
      </c>
      <c r="P1467" s="142"/>
      <c r="Y1467" s="142"/>
      <c r="Z1467" s="104"/>
      <c r="AA1467" s="104"/>
    </row>
    <row r="1468" spans="1:27" ht="15" customHeight="1">
      <c r="A1468" s="421" t="s">
        <v>9</v>
      </c>
      <c r="B1468" s="2" t="s">
        <v>4</v>
      </c>
      <c r="C1468" s="96">
        <v>115816.8</v>
      </c>
      <c r="D1468" s="96">
        <v>99041.7</v>
      </c>
      <c r="E1468" s="96">
        <v>99041.7</v>
      </c>
      <c r="F1468" s="96">
        <v>181997.8</v>
      </c>
      <c r="G1468" s="96">
        <v>121331.8</v>
      </c>
      <c r="H1468" s="96">
        <v>110071.9</v>
      </c>
      <c r="I1468" s="96">
        <v>121331.8</v>
      </c>
      <c r="J1468" s="96">
        <v>170967.6</v>
      </c>
      <c r="K1468" s="96">
        <v>132132.20000000001</v>
      </c>
      <c r="L1468" s="96">
        <v>60665.9</v>
      </c>
      <c r="M1468" s="96">
        <v>176482.7</v>
      </c>
      <c r="N1468" s="100">
        <v>54921</v>
      </c>
      <c r="O1468" s="12"/>
      <c r="P1468" s="142"/>
      <c r="Y1468" s="142"/>
      <c r="Z1468" s="104"/>
      <c r="AA1468" s="104"/>
    </row>
    <row r="1469" spans="1:27" s="64" customFormat="1">
      <c r="A1469" s="422"/>
      <c r="B1469" s="63" t="s">
        <v>5</v>
      </c>
      <c r="C1469" s="97">
        <v>87354.5</v>
      </c>
      <c r="D1469" s="97">
        <v>66590.3</v>
      </c>
      <c r="E1469" s="97">
        <v>67968</v>
      </c>
      <c r="F1469" s="97">
        <v>135651.20000000001</v>
      </c>
      <c r="G1469" s="97">
        <v>7745.4</v>
      </c>
      <c r="H1469" s="97">
        <v>32517.3</v>
      </c>
      <c r="I1469" s="97">
        <v>20346.900000000001</v>
      </c>
      <c r="J1469" s="97">
        <v>124978.9</v>
      </c>
      <c r="K1469" s="97">
        <v>41728</v>
      </c>
      <c r="L1469" s="97">
        <v>4047.1</v>
      </c>
      <c r="M1469" s="97">
        <v>79404.899999999994</v>
      </c>
      <c r="N1469" s="102">
        <v>23644</v>
      </c>
      <c r="O1469" s="12"/>
      <c r="P1469" s="142"/>
      <c r="Q1469" s="104"/>
      <c r="R1469" s="104"/>
      <c r="S1469" s="104"/>
      <c r="T1469" s="104"/>
      <c r="U1469" s="104"/>
      <c r="V1469" s="104"/>
      <c r="W1469" s="104"/>
      <c r="X1469" s="104"/>
      <c r="Y1469" s="142"/>
      <c r="Z1469" s="104"/>
      <c r="AA1469" s="104"/>
    </row>
    <row r="1470" spans="1:27" ht="15.75" thickBot="1">
      <c r="A1470" s="423"/>
      <c r="B1470" s="3" t="s">
        <v>3</v>
      </c>
      <c r="C1470" s="71">
        <f>C1469/C1468</f>
        <v>0.75424722492764429</v>
      </c>
      <c r="D1470" s="72">
        <f t="shared" ref="D1470:F1470" si="1120">D1469/D1468</f>
        <v>0.67234609260543798</v>
      </c>
      <c r="E1470" s="72">
        <f t="shared" si="1120"/>
        <v>0.68625639503360703</v>
      </c>
      <c r="F1470" s="72">
        <f t="shared" si="1120"/>
        <v>0.74534527340440393</v>
      </c>
      <c r="G1470" s="72">
        <f>G1469/G1468</f>
        <v>6.3836521010979808E-2</v>
      </c>
      <c r="H1470" s="72">
        <f t="shared" ref="H1470:N1470" si="1121">H1469/H1468</f>
        <v>0.29541872176277506</v>
      </c>
      <c r="I1470" s="72">
        <f t="shared" si="1121"/>
        <v>0.1676963500088188</v>
      </c>
      <c r="J1470" s="72">
        <f t="shared" si="1121"/>
        <v>0.73100926725297655</v>
      </c>
      <c r="K1470" s="72">
        <f t="shared" si="1121"/>
        <v>0.31580492870019566</v>
      </c>
      <c r="L1470" s="72">
        <f t="shared" si="1121"/>
        <v>6.6711282615109974E-2</v>
      </c>
      <c r="M1470" s="72">
        <f t="shared" si="1121"/>
        <v>0.44993021978924841</v>
      </c>
      <c r="N1470" s="83">
        <f t="shared" si="1121"/>
        <v>0.43050927696145375</v>
      </c>
      <c r="O1470" s="12"/>
      <c r="Y1470" s="14"/>
      <c r="Z1470" s="104"/>
      <c r="AA1470" s="104"/>
    </row>
    <row r="1471" spans="1:27" ht="15" customHeight="1">
      <c r="A1471" s="411" t="s">
        <v>6</v>
      </c>
      <c r="B1471" s="27" t="s">
        <v>7</v>
      </c>
      <c r="C1471" s="68">
        <v>5006</v>
      </c>
      <c r="D1471" s="68">
        <v>3200</v>
      </c>
      <c r="E1471" s="68">
        <v>3183</v>
      </c>
      <c r="F1471" s="68">
        <v>9526</v>
      </c>
      <c r="G1471" s="68">
        <v>5000</v>
      </c>
      <c r="H1471" s="68">
        <v>6989</v>
      </c>
      <c r="I1471" s="68">
        <f>(4000-2000)</f>
        <v>2000</v>
      </c>
      <c r="J1471" s="68">
        <v>9194</v>
      </c>
      <c r="K1471" s="68">
        <v>2971</v>
      </c>
      <c r="L1471" s="68">
        <v>2500</v>
      </c>
      <c r="M1471" s="68">
        <f>5451-2614</f>
        <v>2837</v>
      </c>
      <c r="N1471" s="80">
        <v>830</v>
      </c>
      <c r="O1471" s="12"/>
      <c r="P1471" s="142"/>
      <c r="Y1471" s="142"/>
      <c r="Z1471" s="104"/>
      <c r="AA1471" s="104"/>
    </row>
    <row r="1472" spans="1:27">
      <c r="A1472" s="412"/>
      <c r="B1472" s="28" t="s">
        <v>11</v>
      </c>
      <c r="C1472" s="73">
        <f t="shared" ref="C1472:I1472" si="1122">C1471*33.72</f>
        <v>168802.32</v>
      </c>
      <c r="D1472" s="73">
        <f t="shared" si="1122"/>
        <v>107904</v>
      </c>
      <c r="E1472" s="73">
        <f t="shared" si="1122"/>
        <v>107330.76</v>
      </c>
      <c r="F1472" s="73">
        <f t="shared" si="1122"/>
        <v>321216.71999999997</v>
      </c>
      <c r="G1472" s="73">
        <f t="shared" si="1122"/>
        <v>168600</v>
      </c>
      <c r="H1472" s="73">
        <f t="shared" si="1122"/>
        <v>235669.08</v>
      </c>
      <c r="I1472" s="73">
        <f t="shared" si="1122"/>
        <v>67440</v>
      </c>
      <c r="J1472" s="73">
        <f>J1471*33.72</f>
        <v>310021.68</v>
      </c>
      <c r="K1472" s="73">
        <f t="shared" ref="K1472:N1472" si="1123">K1471*33.72</f>
        <v>100182.12</v>
      </c>
      <c r="L1472" s="73">
        <f t="shared" si="1123"/>
        <v>84300</v>
      </c>
      <c r="M1472" s="73">
        <f t="shared" si="1123"/>
        <v>95663.64</v>
      </c>
      <c r="N1472" s="73">
        <f t="shared" si="1123"/>
        <v>27987.599999999999</v>
      </c>
      <c r="O1472" s="12"/>
      <c r="P1472" s="142"/>
      <c r="Y1472" s="142"/>
      <c r="Z1472" s="104"/>
      <c r="AA1472" s="104"/>
    </row>
    <row r="1473" spans="1:27">
      <c r="A1473" s="412"/>
      <c r="B1473" s="28" t="s">
        <v>79</v>
      </c>
      <c r="C1473" s="73">
        <v>164000</v>
      </c>
      <c r="D1473" s="73">
        <v>109880</v>
      </c>
      <c r="E1473" s="73">
        <v>109880</v>
      </c>
      <c r="F1473" s="73">
        <v>328000</v>
      </c>
      <c r="G1473" s="73">
        <f>G1468*2</f>
        <v>242663.6</v>
      </c>
      <c r="H1473" s="73">
        <f>H1468*2</f>
        <v>220143.8</v>
      </c>
      <c r="I1473" s="73">
        <f>I1468*2</f>
        <v>242663.6</v>
      </c>
      <c r="J1473" s="73">
        <v>328000</v>
      </c>
      <c r="K1473" s="73">
        <f>K1468*2</f>
        <v>264264.40000000002</v>
      </c>
      <c r="L1473" s="73">
        <v>328000</v>
      </c>
      <c r="M1473" s="73">
        <f>2*M1468</f>
        <v>352965.4</v>
      </c>
      <c r="N1473" s="84">
        <f>2*N1468</f>
        <v>109842</v>
      </c>
      <c r="O1473" s="12"/>
      <c r="Y1473" s="14"/>
      <c r="Z1473" s="104"/>
      <c r="AA1473" s="104"/>
    </row>
    <row r="1474" spans="1:27" s="64" customFormat="1">
      <c r="A1474" s="412"/>
      <c r="B1474" s="66" t="s">
        <v>8</v>
      </c>
      <c r="C1474" s="98">
        <f>SUM(C1471-541)</f>
        <v>4465</v>
      </c>
      <c r="D1474" s="98">
        <f>SUM(D1471-736)</f>
        <v>2464</v>
      </c>
      <c r="E1474" s="98">
        <f>SUM(E1471-738)</f>
        <v>2445</v>
      </c>
      <c r="F1474" s="98">
        <f>SUM(F1471-1207)</f>
        <v>8319</v>
      </c>
      <c r="G1474" s="98">
        <f>SUM(G1471-3893)</f>
        <v>1107</v>
      </c>
      <c r="H1474" s="98">
        <f>SUM(H1471-1672)</f>
        <v>5317</v>
      </c>
      <c r="I1474" s="98">
        <f>SUM(I1471-(2740-2000))</f>
        <v>1260</v>
      </c>
      <c r="J1474" s="98">
        <f>SUM(J1471-1436)</f>
        <v>7758</v>
      </c>
      <c r="K1474" s="98">
        <f>SUM(K1471-1394)</f>
        <v>1577</v>
      </c>
      <c r="L1474" s="98">
        <f>SUM(L1471-1140)</f>
        <v>1360</v>
      </c>
      <c r="M1474" s="98">
        <f>SUM(M1471-(3181-2614))</f>
        <v>2270</v>
      </c>
      <c r="N1474" s="103">
        <f>SUM(N1471-46)</f>
        <v>784</v>
      </c>
      <c r="O1474" s="12"/>
      <c r="P1474" s="175"/>
      <c r="Q1474" s="67"/>
      <c r="R1474" s="67"/>
      <c r="S1474" s="67"/>
      <c r="T1474" s="67"/>
      <c r="U1474" s="67"/>
      <c r="V1474" s="67"/>
      <c r="W1474" s="67"/>
    </row>
    <row r="1475" spans="1:27">
      <c r="A1475" s="412"/>
      <c r="B1475" s="29" t="s">
        <v>77</v>
      </c>
      <c r="C1475" s="75">
        <f>C1474*33.72</f>
        <v>150559.79999999999</v>
      </c>
      <c r="D1475" s="75">
        <f>D1474*33.72</f>
        <v>83086.080000000002</v>
      </c>
      <c r="E1475" s="75">
        <f>E1474*33.72</f>
        <v>82445.399999999994</v>
      </c>
      <c r="F1475" s="75">
        <f>F1474*33.72</f>
        <v>280516.68</v>
      </c>
      <c r="G1475" s="75">
        <f>G1474*33.72*2</f>
        <v>74656.08</v>
      </c>
      <c r="H1475" s="75">
        <f>H1474*33.72</f>
        <v>179289.24</v>
      </c>
      <c r="I1475" s="75">
        <f>I1474*33.72</f>
        <v>42487.199999999997</v>
      </c>
      <c r="J1475" s="75">
        <f>J1474*33.72</f>
        <v>261599.75999999998</v>
      </c>
      <c r="K1475" s="75">
        <f>K1474*33.72</f>
        <v>53176.439999999995</v>
      </c>
      <c r="L1475" s="75">
        <f>L1474*33.72</f>
        <v>45859.199999999997</v>
      </c>
      <c r="M1475" s="75">
        <f>M1474*33.72*2</f>
        <v>153088.79999999999</v>
      </c>
      <c r="N1475" s="11">
        <f>N1474*33.72</f>
        <v>26436.48</v>
      </c>
      <c r="O1475" s="12"/>
      <c r="P1475" s="175"/>
    </row>
    <row r="1476" spans="1:27" ht="15.75" thickBot="1">
      <c r="A1476" s="412"/>
      <c r="B1476" s="30" t="s">
        <v>10</v>
      </c>
      <c r="C1476" s="71">
        <f>C1474*33.7/C1468</f>
        <v>1.2992113406690566</v>
      </c>
      <c r="D1476" s="71">
        <f t="shared" ref="D1476:N1476" si="1124">D1474*33.7/D1468</f>
        <v>0.83840241029788465</v>
      </c>
      <c r="E1476" s="78">
        <f t="shared" si="1124"/>
        <v>0.83193745664704866</v>
      </c>
      <c r="F1476" s="78">
        <f t="shared" si="1124"/>
        <v>1.5404048840150819</v>
      </c>
      <c r="G1476" s="78">
        <f t="shared" si="1124"/>
        <v>0.30747009440229189</v>
      </c>
      <c r="H1476" s="78">
        <f t="shared" si="1124"/>
        <v>1.6278714185909395</v>
      </c>
      <c r="I1476" s="78">
        <f t="shared" si="1124"/>
        <v>0.34996596110829969</v>
      </c>
      <c r="J1476" s="78">
        <f t="shared" si="1124"/>
        <v>1.5292055336800658</v>
      </c>
      <c r="K1476" s="78">
        <f t="shared" si="1124"/>
        <v>0.40221005931937859</v>
      </c>
      <c r="L1476" s="78">
        <f t="shared" si="1124"/>
        <v>0.75548207477347251</v>
      </c>
      <c r="M1476" s="79">
        <f t="shared" si="1124"/>
        <v>0.43346458321410536</v>
      </c>
      <c r="N1476" s="26">
        <f t="shared" si="1124"/>
        <v>0.48106917208353822</v>
      </c>
      <c r="O1476" s="12"/>
      <c r="P1476" s="175"/>
    </row>
    <row r="1477" spans="1:27" ht="15.75" customHeight="1" thickBot="1">
      <c r="A1477" s="424" t="s">
        <v>83</v>
      </c>
      <c r="B1477" s="425"/>
      <c r="C1477" s="76">
        <f>MIN(2*C1468,C1473)-C1475</f>
        <v>13440.200000000012</v>
      </c>
      <c r="D1477" s="76">
        <f t="shared" ref="D1477:N1477" si="1125">MIN(2*D1468,D1473)-D1475</f>
        <v>26793.919999999998</v>
      </c>
      <c r="E1477" s="76">
        <f t="shared" si="1125"/>
        <v>27434.600000000006</v>
      </c>
      <c r="F1477" s="76">
        <f t="shared" si="1125"/>
        <v>47483.320000000007</v>
      </c>
      <c r="G1477" s="76">
        <f t="shared" si="1125"/>
        <v>168007.52000000002</v>
      </c>
      <c r="H1477" s="76">
        <f t="shared" si="1125"/>
        <v>40854.559999999998</v>
      </c>
      <c r="I1477" s="76">
        <f t="shared" si="1125"/>
        <v>200176.40000000002</v>
      </c>
      <c r="J1477" s="76">
        <f t="shared" si="1125"/>
        <v>66400.24000000002</v>
      </c>
      <c r="K1477" s="76">
        <f t="shared" si="1125"/>
        <v>211087.96000000002</v>
      </c>
      <c r="L1477" s="76">
        <f t="shared" si="1125"/>
        <v>75472.600000000006</v>
      </c>
      <c r="M1477" s="76">
        <f t="shared" si="1125"/>
        <v>199876.60000000003</v>
      </c>
      <c r="N1477" s="22">
        <f t="shared" si="1125"/>
        <v>83405.52</v>
      </c>
      <c r="O1477" s="12"/>
      <c r="P1477" s="175"/>
    </row>
    <row r="1478" spans="1:27" ht="15.75" thickBot="1">
      <c r="A1478" s="368">
        <v>41022</v>
      </c>
      <c r="B1478" s="368"/>
      <c r="C1478" s="368"/>
      <c r="N1478" s="15"/>
    </row>
    <row r="1479" spans="1:27">
      <c r="A1479" s="407" t="s">
        <v>1</v>
      </c>
      <c r="B1479" s="420"/>
      <c r="C1479" s="68" t="s">
        <v>12</v>
      </c>
      <c r="D1479" s="68" t="s">
        <v>12</v>
      </c>
      <c r="E1479" s="68" t="s">
        <v>13</v>
      </c>
      <c r="F1479" s="68" t="s">
        <v>13</v>
      </c>
      <c r="G1479" s="68" t="s">
        <v>13</v>
      </c>
      <c r="H1479" s="68" t="s">
        <v>13</v>
      </c>
      <c r="I1479" s="68" t="s">
        <v>13</v>
      </c>
      <c r="J1479" s="68" t="s">
        <v>2</v>
      </c>
      <c r="K1479" s="68" t="s">
        <v>2</v>
      </c>
      <c r="L1479" s="68" t="s">
        <v>2</v>
      </c>
      <c r="M1479" s="68" t="s">
        <v>2</v>
      </c>
      <c r="N1479" s="4" t="s">
        <v>84</v>
      </c>
      <c r="P1479" s="174"/>
      <c r="Q1479" s="175"/>
      <c r="R1479" s="175"/>
      <c r="S1479" s="175"/>
      <c r="T1479" s="175"/>
      <c r="U1479" s="175"/>
      <c r="V1479" s="175"/>
      <c r="W1479" s="175"/>
      <c r="X1479" s="175"/>
      <c r="Y1479" s="174"/>
      <c r="Z1479" s="175"/>
      <c r="AA1479" s="175"/>
    </row>
    <row r="1480" spans="1:27" ht="15.75" thickBot="1">
      <c r="A1480" s="409" t="s">
        <v>0</v>
      </c>
      <c r="B1480" s="414"/>
      <c r="C1480" s="99" t="s">
        <v>102</v>
      </c>
      <c r="D1480" s="99" t="s">
        <v>103</v>
      </c>
      <c r="E1480" s="99" t="s">
        <v>104</v>
      </c>
      <c r="F1480" s="99" t="s">
        <v>105</v>
      </c>
      <c r="G1480" s="99" t="s">
        <v>100</v>
      </c>
      <c r="H1480" s="99" t="s">
        <v>107</v>
      </c>
      <c r="I1480" s="99" t="s">
        <v>106</v>
      </c>
      <c r="J1480" s="99" t="s">
        <v>108</v>
      </c>
      <c r="K1480" s="99" t="s">
        <v>110</v>
      </c>
      <c r="L1480" s="99" t="s">
        <v>101</v>
      </c>
      <c r="M1480" s="99" t="s">
        <v>109</v>
      </c>
      <c r="N1480" s="101" t="s">
        <v>111</v>
      </c>
      <c r="P1480" s="142"/>
      <c r="Y1480" s="142"/>
      <c r="Z1480" s="104"/>
      <c r="AA1480" s="104"/>
    </row>
    <row r="1481" spans="1:27" ht="15" customHeight="1">
      <c r="A1481" s="421" t="s">
        <v>9</v>
      </c>
      <c r="B1481" s="2" t="s">
        <v>4</v>
      </c>
      <c r="C1481" s="96">
        <v>115816.8</v>
      </c>
      <c r="D1481" s="96">
        <v>99041.7</v>
      </c>
      <c r="E1481" s="96">
        <v>99041.7</v>
      </c>
      <c r="F1481" s="96">
        <v>181997.8</v>
      </c>
      <c r="G1481" s="96">
        <v>121331.8</v>
      </c>
      <c r="H1481" s="96">
        <v>110071.9</v>
      </c>
      <c r="I1481" s="96">
        <v>121331.8</v>
      </c>
      <c r="J1481" s="96">
        <v>170967.6</v>
      </c>
      <c r="K1481" s="96">
        <v>132132.20000000001</v>
      </c>
      <c r="L1481" s="96">
        <v>60665.9</v>
      </c>
      <c r="M1481" s="96">
        <v>176482.7</v>
      </c>
      <c r="N1481" s="100">
        <v>54921</v>
      </c>
      <c r="O1481" s="12"/>
      <c r="P1481" s="142"/>
      <c r="Y1481" s="142"/>
      <c r="Z1481" s="104"/>
      <c r="AA1481" s="104"/>
    </row>
    <row r="1482" spans="1:27" s="64" customFormat="1">
      <c r="A1482" s="422"/>
      <c r="B1482" s="63" t="s">
        <v>5</v>
      </c>
      <c r="C1482" s="97">
        <v>87324.800000000003</v>
      </c>
      <c r="D1482" s="97">
        <v>66569.5</v>
      </c>
      <c r="E1482" s="97">
        <v>67947.199999999997</v>
      </c>
      <c r="F1482" s="97">
        <v>135577.4</v>
      </c>
      <c r="G1482" s="97">
        <v>7729.5</v>
      </c>
      <c r="H1482" s="97">
        <v>32292.9</v>
      </c>
      <c r="I1482" s="97">
        <v>20343.900000000001</v>
      </c>
      <c r="J1482" s="97">
        <v>124828.8</v>
      </c>
      <c r="K1482" s="97">
        <v>41725.199999999997</v>
      </c>
      <c r="L1482" s="97">
        <v>4036.4</v>
      </c>
      <c r="M1482" s="97">
        <v>79400.399999999994</v>
      </c>
      <c r="N1482" s="102">
        <v>23644</v>
      </c>
      <c r="O1482" s="12"/>
      <c r="P1482" s="142"/>
      <c r="Q1482" s="104"/>
      <c r="R1482" s="104"/>
      <c r="S1482" s="104"/>
      <c r="T1482" s="104"/>
      <c r="U1482" s="104"/>
      <c r="V1482" s="104"/>
      <c r="W1482" s="104"/>
      <c r="X1482" s="104"/>
      <c r="Y1482" s="142"/>
      <c r="Z1482" s="104"/>
      <c r="AA1482" s="104"/>
    </row>
    <row r="1483" spans="1:27" ht="15.75" thickBot="1">
      <c r="A1483" s="423"/>
      <c r="B1483" s="3" t="s">
        <v>3</v>
      </c>
      <c r="C1483" s="71">
        <f>C1482/C1481</f>
        <v>0.75399078544736176</v>
      </c>
      <c r="D1483" s="72">
        <f t="shared" ref="D1483:F1483" si="1126">D1482/D1481</f>
        <v>0.67213608005516867</v>
      </c>
      <c r="E1483" s="72">
        <f t="shared" si="1126"/>
        <v>0.68604638248333782</v>
      </c>
      <c r="F1483" s="72">
        <f t="shared" si="1126"/>
        <v>0.74493977399726807</v>
      </c>
      <c r="G1483" s="72">
        <f>G1482/G1481</f>
        <v>6.3705475398864925E-2</v>
      </c>
      <c r="H1483" s="72">
        <f t="shared" ref="H1483:N1483" si="1127">H1482/H1481</f>
        <v>0.29338005430995562</v>
      </c>
      <c r="I1483" s="72">
        <f t="shared" si="1127"/>
        <v>0.16767162442162731</v>
      </c>
      <c r="J1483" s="72">
        <f t="shared" si="1127"/>
        <v>0.73013132312789086</v>
      </c>
      <c r="K1483" s="72">
        <f t="shared" si="1127"/>
        <v>0.31578373780198915</v>
      </c>
      <c r="L1483" s="72">
        <f t="shared" si="1127"/>
        <v>6.6534906759810705E-2</v>
      </c>
      <c r="M1483" s="72">
        <f t="shared" si="1127"/>
        <v>0.4499047215392783</v>
      </c>
      <c r="N1483" s="83">
        <f t="shared" si="1127"/>
        <v>0.43050927696145375</v>
      </c>
      <c r="O1483" s="12"/>
      <c r="Y1483" s="14"/>
      <c r="Z1483" s="104"/>
      <c r="AA1483" s="104"/>
    </row>
    <row r="1484" spans="1:27" ht="15" customHeight="1">
      <c r="A1484" s="411" t="s">
        <v>6</v>
      </c>
      <c r="B1484" s="27" t="s">
        <v>7</v>
      </c>
      <c r="C1484" s="68">
        <v>5006</v>
      </c>
      <c r="D1484" s="68">
        <v>3200</v>
      </c>
      <c r="E1484" s="68">
        <v>3183</v>
      </c>
      <c r="F1484" s="68">
        <v>9526</v>
      </c>
      <c r="G1484" s="68">
        <v>5000</v>
      </c>
      <c r="H1484" s="68">
        <v>6989</v>
      </c>
      <c r="I1484" s="68">
        <f>(4000-2000)</f>
        <v>2000</v>
      </c>
      <c r="J1484" s="68">
        <v>9194</v>
      </c>
      <c r="K1484" s="68">
        <v>2971</v>
      </c>
      <c r="L1484" s="68">
        <v>2500</v>
      </c>
      <c r="M1484" s="68">
        <f>5451-2614</f>
        <v>2837</v>
      </c>
      <c r="N1484" s="80">
        <v>830</v>
      </c>
      <c r="O1484" s="12"/>
      <c r="P1484" s="142"/>
      <c r="Y1484" s="142"/>
      <c r="Z1484" s="104"/>
      <c r="AA1484" s="104"/>
    </row>
    <row r="1485" spans="1:27">
      <c r="A1485" s="412"/>
      <c r="B1485" s="28" t="s">
        <v>11</v>
      </c>
      <c r="C1485" s="73">
        <f t="shared" ref="C1485:I1485" si="1128">C1484*33.72</f>
        <v>168802.32</v>
      </c>
      <c r="D1485" s="73">
        <f t="shared" si="1128"/>
        <v>107904</v>
      </c>
      <c r="E1485" s="73">
        <f t="shared" si="1128"/>
        <v>107330.76</v>
      </c>
      <c r="F1485" s="73">
        <f t="shared" si="1128"/>
        <v>321216.71999999997</v>
      </c>
      <c r="G1485" s="73">
        <f t="shared" si="1128"/>
        <v>168600</v>
      </c>
      <c r="H1485" s="73">
        <f t="shared" si="1128"/>
        <v>235669.08</v>
      </c>
      <c r="I1485" s="73">
        <f t="shared" si="1128"/>
        <v>67440</v>
      </c>
      <c r="J1485" s="73">
        <f>J1484*33.72</f>
        <v>310021.68</v>
      </c>
      <c r="K1485" s="73">
        <f t="shared" ref="K1485:N1485" si="1129">K1484*33.72</f>
        <v>100182.12</v>
      </c>
      <c r="L1485" s="73">
        <f t="shared" si="1129"/>
        <v>84300</v>
      </c>
      <c r="M1485" s="73">
        <f t="shared" si="1129"/>
        <v>95663.64</v>
      </c>
      <c r="N1485" s="73">
        <f t="shared" si="1129"/>
        <v>27987.599999999999</v>
      </c>
      <c r="O1485" s="12"/>
      <c r="P1485" s="142"/>
      <c r="Y1485" s="142"/>
      <c r="Z1485" s="104"/>
      <c r="AA1485" s="104"/>
    </row>
    <row r="1486" spans="1:27">
      <c r="A1486" s="412"/>
      <c r="B1486" s="28" t="s">
        <v>79</v>
      </c>
      <c r="C1486" s="73">
        <v>164000</v>
      </c>
      <c r="D1486" s="73">
        <v>109880</v>
      </c>
      <c r="E1486" s="73">
        <v>109880</v>
      </c>
      <c r="F1486" s="73">
        <v>328000</v>
      </c>
      <c r="G1486" s="73">
        <f>G1481*2</f>
        <v>242663.6</v>
      </c>
      <c r="H1486" s="73">
        <f>H1481*2</f>
        <v>220143.8</v>
      </c>
      <c r="I1486" s="73">
        <f>I1481*2</f>
        <v>242663.6</v>
      </c>
      <c r="J1486" s="73">
        <v>328000</v>
      </c>
      <c r="K1486" s="73">
        <f>K1481*2</f>
        <v>264264.40000000002</v>
      </c>
      <c r="L1486" s="73">
        <v>328000</v>
      </c>
      <c r="M1486" s="73">
        <f>2*M1481</f>
        <v>352965.4</v>
      </c>
      <c r="N1486" s="84">
        <f>2*N1481</f>
        <v>109842</v>
      </c>
      <c r="O1486" s="12"/>
      <c r="Y1486" s="14"/>
      <c r="Z1486" s="104"/>
      <c r="AA1486" s="104"/>
    </row>
    <row r="1487" spans="1:27" s="64" customFormat="1">
      <c r="A1487" s="412"/>
      <c r="B1487" s="66" t="s">
        <v>8</v>
      </c>
      <c r="C1487" s="98">
        <f>SUM(C1484-541)</f>
        <v>4465</v>
      </c>
      <c r="D1487" s="98">
        <f>SUM(D1484-736)</f>
        <v>2464</v>
      </c>
      <c r="E1487" s="98">
        <f>SUM(E1484-738)</f>
        <v>2445</v>
      </c>
      <c r="F1487" s="98">
        <f>SUM(F1484-1216)</f>
        <v>8310</v>
      </c>
      <c r="G1487" s="98">
        <f>SUM(G1484-3893)</f>
        <v>1107</v>
      </c>
      <c r="H1487" s="98">
        <f>SUM(H1484-1676)</f>
        <v>5313</v>
      </c>
      <c r="I1487" s="98">
        <f>SUM(I1484-(2740-2000))</f>
        <v>1260</v>
      </c>
      <c r="J1487" s="98">
        <f>SUM(J1484-1445)</f>
        <v>7749</v>
      </c>
      <c r="K1487" s="98">
        <f>SUM(K1484-1394)</f>
        <v>1577</v>
      </c>
      <c r="L1487" s="98">
        <f>SUM(L1484-1140)</f>
        <v>1360</v>
      </c>
      <c r="M1487" s="98">
        <f>SUM(M1484-(3181-2614))</f>
        <v>2270</v>
      </c>
      <c r="N1487" s="103">
        <f>SUM(N1484-46)</f>
        <v>784</v>
      </c>
      <c r="O1487" s="12"/>
      <c r="P1487" s="175"/>
      <c r="Q1487" s="67"/>
      <c r="R1487" s="67"/>
      <c r="S1487" s="67"/>
      <c r="T1487" s="67"/>
      <c r="U1487" s="67"/>
      <c r="V1487" s="67"/>
      <c r="W1487" s="67"/>
    </row>
    <row r="1488" spans="1:27">
      <c r="A1488" s="412"/>
      <c r="B1488" s="29" t="s">
        <v>77</v>
      </c>
      <c r="C1488" s="75">
        <f>C1487*33.72</f>
        <v>150559.79999999999</v>
      </c>
      <c r="D1488" s="75">
        <f>D1487*33.72</f>
        <v>83086.080000000002</v>
      </c>
      <c r="E1488" s="75">
        <f>E1487*33.72</f>
        <v>82445.399999999994</v>
      </c>
      <c r="F1488" s="75">
        <f>F1487*33.72</f>
        <v>280213.2</v>
      </c>
      <c r="G1488" s="75">
        <f>G1487*33.72*2</f>
        <v>74656.08</v>
      </c>
      <c r="H1488" s="75">
        <f>H1487*33.72</f>
        <v>179154.36</v>
      </c>
      <c r="I1488" s="75">
        <f>I1487*33.72</f>
        <v>42487.199999999997</v>
      </c>
      <c r="J1488" s="75">
        <f>J1487*33.72</f>
        <v>261296.28</v>
      </c>
      <c r="K1488" s="75">
        <f>K1487*33.72</f>
        <v>53176.439999999995</v>
      </c>
      <c r="L1488" s="75">
        <f>L1487*33.72</f>
        <v>45859.199999999997</v>
      </c>
      <c r="M1488" s="75">
        <f>M1487*33.72*2</f>
        <v>153088.79999999999</v>
      </c>
      <c r="N1488" s="11">
        <f>N1487*33.72</f>
        <v>26436.48</v>
      </c>
      <c r="O1488" s="12"/>
      <c r="P1488" s="175"/>
    </row>
    <row r="1489" spans="1:27" ht="15.75" thickBot="1">
      <c r="A1489" s="412"/>
      <c r="B1489" s="30" t="s">
        <v>10</v>
      </c>
      <c r="C1489" s="71">
        <f>C1487*33.7/C1481</f>
        <v>1.2992113406690566</v>
      </c>
      <c r="D1489" s="71">
        <f t="shared" ref="D1489:N1489" si="1130">D1487*33.7/D1481</f>
        <v>0.83840241029788465</v>
      </c>
      <c r="E1489" s="78">
        <f t="shared" si="1130"/>
        <v>0.83193745664704866</v>
      </c>
      <c r="F1489" s="78">
        <f t="shared" si="1130"/>
        <v>1.5387383803540484</v>
      </c>
      <c r="G1489" s="78">
        <f t="shared" si="1130"/>
        <v>0.30747009440229189</v>
      </c>
      <c r="H1489" s="78">
        <f t="shared" si="1130"/>
        <v>1.6266467645239158</v>
      </c>
      <c r="I1489" s="78">
        <f t="shared" si="1130"/>
        <v>0.34996596110829969</v>
      </c>
      <c r="J1489" s="78">
        <f t="shared" si="1130"/>
        <v>1.5274315133393697</v>
      </c>
      <c r="K1489" s="78">
        <f t="shared" si="1130"/>
        <v>0.40221005931937859</v>
      </c>
      <c r="L1489" s="78">
        <f t="shared" si="1130"/>
        <v>0.75548207477347251</v>
      </c>
      <c r="M1489" s="79">
        <f t="shared" si="1130"/>
        <v>0.43346458321410536</v>
      </c>
      <c r="N1489" s="26">
        <f t="shared" si="1130"/>
        <v>0.48106917208353822</v>
      </c>
      <c r="O1489" s="12"/>
      <c r="P1489" s="175"/>
    </row>
    <row r="1490" spans="1:27" ht="15.75" customHeight="1" thickBot="1">
      <c r="A1490" s="424" t="s">
        <v>83</v>
      </c>
      <c r="B1490" s="425"/>
      <c r="C1490" s="76">
        <f>MIN(2*C1481,C1486)-C1488</f>
        <v>13440.200000000012</v>
      </c>
      <c r="D1490" s="76">
        <f t="shared" ref="D1490:N1490" si="1131">MIN(2*D1481,D1486)-D1488</f>
        <v>26793.919999999998</v>
      </c>
      <c r="E1490" s="76">
        <f t="shared" si="1131"/>
        <v>27434.600000000006</v>
      </c>
      <c r="F1490" s="76">
        <f t="shared" si="1131"/>
        <v>47786.799999999988</v>
      </c>
      <c r="G1490" s="76">
        <f t="shared" si="1131"/>
        <v>168007.52000000002</v>
      </c>
      <c r="H1490" s="76">
        <f t="shared" si="1131"/>
        <v>40989.440000000002</v>
      </c>
      <c r="I1490" s="76">
        <f t="shared" si="1131"/>
        <v>200176.40000000002</v>
      </c>
      <c r="J1490" s="76">
        <f t="shared" si="1131"/>
        <v>66703.72</v>
      </c>
      <c r="K1490" s="76">
        <f t="shared" si="1131"/>
        <v>211087.96000000002</v>
      </c>
      <c r="L1490" s="76">
        <f t="shared" si="1131"/>
        <v>75472.600000000006</v>
      </c>
      <c r="M1490" s="76">
        <f t="shared" si="1131"/>
        <v>199876.60000000003</v>
      </c>
      <c r="N1490" s="22">
        <f t="shared" si="1131"/>
        <v>83405.52</v>
      </c>
      <c r="O1490" s="12"/>
      <c r="P1490" s="175"/>
    </row>
    <row r="1491" spans="1:27" ht="15.75" thickBot="1">
      <c r="A1491" s="368">
        <v>41019</v>
      </c>
      <c r="B1491" s="368"/>
      <c r="C1491" s="368"/>
      <c r="N1491" s="15"/>
    </row>
    <row r="1492" spans="1:27">
      <c r="A1492" s="407" t="s">
        <v>1</v>
      </c>
      <c r="B1492" s="420"/>
      <c r="C1492" s="68" t="s">
        <v>12</v>
      </c>
      <c r="D1492" s="68" t="s">
        <v>12</v>
      </c>
      <c r="E1492" s="68" t="s">
        <v>13</v>
      </c>
      <c r="F1492" s="68" t="s">
        <v>13</v>
      </c>
      <c r="G1492" s="68" t="s">
        <v>13</v>
      </c>
      <c r="H1492" s="68" t="s">
        <v>13</v>
      </c>
      <c r="I1492" s="68" t="s">
        <v>13</v>
      </c>
      <c r="J1492" s="68" t="s">
        <v>2</v>
      </c>
      <c r="K1492" s="68" t="s">
        <v>2</v>
      </c>
      <c r="L1492" s="68" t="s">
        <v>2</v>
      </c>
      <c r="M1492" s="68" t="s">
        <v>2</v>
      </c>
      <c r="N1492" s="4" t="s">
        <v>84</v>
      </c>
      <c r="P1492" s="174"/>
      <c r="Q1492" s="175"/>
      <c r="R1492" s="175"/>
      <c r="S1492" s="175"/>
      <c r="T1492" s="175"/>
      <c r="U1492" s="175"/>
      <c r="V1492" s="175"/>
      <c r="W1492" s="175"/>
      <c r="X1492" s="175"/>
      <c r="Y1492" s="174"/>
      <c r="Z1492" s="175"/>
      <c r="AA1492" s="175"/>
    </row>
    <row r="1493" spans="1:27" ht="15.75" thickBot="1">
      <c r="A1493" s="409" t="s">
        <v>0</v>
      </c>
      <c r="B1493" s="414"/>
      <c r="C1493" s="99" t="s">
        <v>102</v>
      </c>
      <c r="D1493" s="99" t="s">
        <v>103</v>
      </c>
      <c r="E1493" s="99" t="s">
        <v>104</v>
      </c>
      <c r="F1493" s="99" t="s">
        <v>105</v>
      </c>
      <c r="G1493" s="99" t="s">
        <v>100</v>
      </c>
      <c r="H1493" s="99" t="s">
        <v>107</v>
      </c>
      <c r="I1493" s="99" t="s">
        <v>106</v>
      </c>
      <c r="J1493" s="99" t="s">
        <v>108</v>
      </c>
      <c r="K1493" s="99" t="s">
        <v>110</v>
      </c>
      <c r="L1493" s="99" t="s">
        <v>101</v>
      </c>
      <c r="M1493" s="99" t="s">
        <v>109</v>
      </c>
      <c r="N1493" s="101" t="s">
        <v>111</v>
      </c>
      <c r="P1493" s="142"/>
      <c r="Y1493" s="142"/>
      <c r="Z1493" s="104"/>
      <c r="AA1493" s="104"/>
    </row>
    <row r="1494" spans="1:27" ht="15" customHeight="1">
      <c r="A1494" s="421" t="s">
        <v>9</v>
      </c>
      <c r="B1494" s="2" t="s">
        <v>4</v>
      </c>
      <c r="C1494" s="96">
        <v>115816.8</v>
      </c>
      <c r="D1494" s="96">
        <v>99041.7</v>
      </c>
      <c r="E1494" s="96">
        <v>99041.7</v>
      </c>
      <c r="F1494" s="96">
        <v>181997.8</v>
      </c>
      <c r="G1494" s="96">
        <v>121331.8</v>
      </c>
      <c r="H1494" s="96">
        <v>110071.9</v>
      </c>
      <c r="I1494" s="96">
        <v>121331.8</v>
      </c>
      <c r="J1494" s="96">
        <v>170967.6</v>
      </c>
      <c r="K1494" s="96">
        <v>132132.20000000001</v>
      </c>
      <c r="L1494" s="96">
        <v>60665.9</v>
      </c>
      <c r="M1494" s="96">
        <v>176482.7</v>
      </c>
      <c r="N1494" s="100">
        <v>54921</v>
      </c>
      <c r="O1494" s="12"/>
      <c r="P1494" s="142"/>
      <c r="Y1494" s="142"/>
      <c r="Z1494" s="104"/>
      <c r="AA1494" s="104"/>
    </row>
    <row r="1495" spans="1:27" s="64" customFormat="1">
      <c r="A1495" s="422"/>
      <c r="B1495" s="63" t="s">
        <v>5</v>
      </c>
      <c r="C1495" s="97">
        <v>87010.8</v>
      </c>
      <c r="D1495" s="97">
        <v>66387.7</v>
      </c>
      <c r="E1495" s="97">
        <v>67765.399999999994</v>
      </c>
      <c r="F1495" s="97">
        <v>134614.6</v>
      </c>
      <c r="G1495" s="97">
        <v>7677.5</v>
      </c>
      <c r="H1495" s="97">
        <v>32352.400000000001</v>
      </c>
      <c r="I1495" s="97">
        <v>20339.2</v>
      </c>
      <c r="J1495" s="97">
        <v>124568.2</v>
      </c>
      <c r="K1495" s="97">
        <v>41597.800000000003</v>
      </c>
      <c r="L1495" s="97">
        <v>4002.9</v>
      </c>
      <c r="M1495" s="97">
        <v>79391.600000000006</v>
      </c>
      <c r="N1495" s="102">
        <v>23387.5</v>
      </c>
      <c r="O1495" s="12"/>
      <c r="P1495" s="142"/>
      <c r="Q1495" s="104"/>
      <c r="R1495" s="104"/>
      <c r="S1495" s="104"/>
      <c r="T1495" s="104"/>
      <c r="U1495" s="104"/>
      <c r="V1495" s="104"/>
      <c r="W1495" s="104"/>
      <c r="X1495" s="104"/>
      <c r="Y1495" s="142"/>
      <c r="Z1495" s="104"/>
      <c r="AA1495" s="104"/>
    </row>
    <row r="1496" spans="1:27" ht="15.75" thickBot="1">
      <c r="A1496" s="423"/>
      <c r="B1496" s="3" t="s">
        <v>3</v>
      </c>
      <c r="C1496" s="71">
        <f>C1495/C1494</f>
        <v>0.75127960710363262</v>
      </c>
      <c r="D1496" s="72">
        <f t="shared" ref="D1496:F1496" si="1132">D1495/D1494</f>
        <v>0.67030048959175781</v>
      </c>
      <c r="E1496" s="72">
        <f t="shared" si="1132"/>
        <v>0.68421079201992696</v>
      </c>
      <c r="F1496" s="72">
        <f t="shared" si="1132"/>
        <v>0.73964960016000203</v>
      </c>
      <c r="G1496" s="72">
        <f>G1495/G1494</f>
        <v>6.3276898554212493E-2</v>
      </c>
      <c r="H1496" s="72">
        <f t="shared" ref="H1496:N1496" si="1133">H1495/H1494</f>
        <v>0.29392061007396075</v>
      </c>
      <c r="I1496" s="72">
        <f t="shared" si="1133"/>
        <v>0.16763288766836065</v>
      </c>
      <c r="J1496" s="72">
        <f t="shared" si="1133"/>
        <v>0.72860705771151957</v>
      </c>
      <c r="K1496" s="72">
        <f t="shared" si="1133"/>
        <v>0.31481955193359379</v>
      </c>
      <c r="L1496" s="72">
        <f t="shared" si="1133"/>
        <v>6.5982701979200836E-2</v>
      </c>
      <c r="M1496" s="72">
        <f t="shared" si="1133"/>
        <v>0.44985485829489236</v>
      </c>
      <c r="N1496" s="83">
        <f t="shared" si="1133"/>
        <v>0.42583893228455416</v>
      </c>
      <c r="O1496" s="12"/>
      <c r="Y1496" s="14"/>
      <c r="Z1496" s="104"/>
      <c r="AA1496" s="104"/>
    </row>
    <row r="1497" spans="1:27" ht="15" customHeight="1">
      <c r="A1497" s="411" t="s">
        <v>6</v>
      </c>
      <c r="B1497" s="27" t="s">
        <v>7</v>
      </c>
      <c r="C1497" s="68">
        <v>5006</v>
      </c>
      <c r="D1497" s="68">
        <v>3200</v>
      </c>
      <c r="E1497" s="68">
        <v>3183</v>
      </c>
      <c r="F1497" s="68">
        <v>9526</v>
      </c>
      <c r="G1497" s="68">
        <v>5000</v>
      </c>
      <c r="H1497" s="68">
        <v>6989</v>
      </c>
      <c r="I1497" s="68">
        <f>(4000-2000)</f>
        <v>2000</v>
      </c>
      <c r="J1497" s="68">
        <v>9194</v>
      </c>
      <c r="K1497" s="68">
        <v>2971</v>
      </c>
      <c r="L1497" s="68">
        <v>2500</v>
      </c>
      <c r="M1497" s="68">
        <f>5451-2614</f>
        <v>2837</v>
      </c>
      <c r="N1497" s="80">
        <v>830</v>
      </c>
      <c r="O1497" s="12"/>
      <c r="P1497" s="142"/>
      <c r="Y1497" s="142"/>
      <c r="Z1497" s="104"/>
      <c r="AA1497" s="104"/>
    </row>
    <row r="1498" spans="1:27">
      <c r="A1498" s="412"/>
      <c r="B1498" s="28" t="s">
        <v>11</v>
      </c>
      <c r="C1498" s="73">
        <f t="shared" ref="C1498:I1498" si="1134">C1497*33.72</f>
        <v>168802.32</v>
      </c>
      <c r="D1498" s="73">
        <f t="shared" si="1134"/>
        <v>107904</v>
      </c>
      <c r="E1498" s="73">
        <f t="shared" si="1134"/>
        <v>107330.76</v>
      </c>
      <c r="F1498" s="73">
        <f t="shared" si="1134"/>
        <v>321216.71999999997</v>
      </c>
      <c r="G1498" s="73">
        <f t="shared" si="1134"/>
        <v>168600</v>
      </c>
      <c r="H1498" s="73">
        <f t="shared" si="1134"/>
        <v>235669.08</v>
      </c>
      <c r="I1498" s="73">
        <f t="shared" si="1134"/>
        <v>67440</v>
      </c>
      <c r="J1498" s="73">
        <f>J1497*33.72</f>
        <v>310021.68</v>
      </c>
      <c r="K1498" s="73">
        <f t="shared" ref="K1498:N1498" si="1135">K1497*33.72</f>
        <v>100182.12</v>
      </c>
      <c r="L1498" s="73">
        <f t="shared" si="1135"/>
        <v>84300</v>
      </c>
      <c r="M1498" s="73">
        <f t="shared" si="1135"/>
        <v>95663.64</v>
      </c>
      <c r="N1498" s="73">
        <f t="shared" si="1135"/>
        <v>27987.599999999999</v>
      </c>
      <c r="O1498" s="12"/>
      <c r="P1498" s="142"/>
      <c r="Y1498" s="142"/>
      <c r="Z1498" s="104"/>
      <c r="AA1498" s="104"/>
    </row>
    <row r="1499" spans="1:27">
      <c r="A1499" s="412"/>
      <c r="B1499" s="28" t="s">
        <v>79</v>
      </c>
      <c r="C1499" s="73">
        <v>164000</v>
      </c>
      <c r="D1499" s="73">
        <v>109880</v>
      </c>
      <c r="E1499" s="73">
        <v>109880</v>
      </c>
      <c r="F1499" s="73">
        <v>328000</v>
      </c>
      <c r="G1499" s="73">
        <f>G1494*2</f>
        <v>242663.6</v>
      </c>
      <c r="H1499" s="73">
        <f>H1494*2</f>
        <v>220143.8</v>
      </c>
      <c r="I1499" s="73">
        <f>I1494*2</f>
        <v>242663.6</v>
      </c>
      <c r="J1499" s="73">
        <v>328000</v>
      </c>
      <c r="K1499" s="73">
        <f>K1494*2</f>
        <v>264264.40000000002</v>
      </c>
      <c r="L1499" s="73">
        <v>328000</v>
      </c>
      <c r="M1499" s="73">
        <f>2*M1494</f>
        <v>352965.4</v>
      </c>
      <c r="N1499" s="84">
        <f>2*N1494</f>
        <v>109842</v>
      </c>
      <c r="O1499" s="12"/>
      <c r="Y1499" s="14"/>
      <c r="Z1499" s="104"/>
      <c r="AA1499" s="104"/>
    </row>
    <row r="1500" spans="1:27" s="64" customFormat="1">
      <c r="A1500" s="412"/>
      <c r="B1500" s="66" t="s">
        <v>8</v>
      </c>
      <c r="C1500" s="98">
        <f>SUM(C1497-541)</f>
        <v>4465</v>
      </c>
      <c r="D1500" s="98">
        <f>SUM(D1497-736)</f>
        <v>2464</v>
      </c>
      <c r="E1500" s="98">
        <f>SUM(E1497-738)</f>
        <v>2445</v>
      </c>
      <c r="F1500" s="98">
        <f>SUM(F1497-1216)</f>
        <v>8310</v>
      </c>
      <c r="G1500" s="98">
        <f>SUM(G1497-3893)</f>
        <v>1107</v>
      </c>
      <c r="H1500" s="98">
        <f>SUM(H1497-1676)</f>
        <v>5313</v>
      </c>
      <c r="I1500" s="98">
        <f>SUM(I1497-(2740-2000))</f>
        <v>1260</v>
      </c>
      <c r="J1500" s="98">
        <f>SUM(J1497-1445)</f>
        <v>7749</v>
      </c>
      <c r="K1500" s="98">
        <f>SUM(K1497-1400)</f>
        <v>1571</v>
      </c>
      <c r="L1500" s="98">
        <f>SUM(L1497-1140)</f>
        <v>1360</v>
      </c>
      <c r="M1500" s="98">
        <f>SUM(M1497-(3181-2614))</f>
        <v>2270</v>
      </c>
      <c r="N1500" s="103">
        <f>SUM(N1497-46)</f>
        <v>784</v>
      </c>
      <c r="O1500" s="12"/>
      <c r="P1500" s="175"/>
      <c r="Q1500" s="67"/>
      <c r="R1500" s="67"/>
      <c r="S1500" s="67"/>
      <c r="T1500" s="67"/>
      <c r="U1500" s="67"/>
      <c r="V1500" s="67"/>
      <c r="W1500" s="67"/>
    </row>
    <row r="1501" spans="1:27">
      <c r="A1501" s="412"/>
      <c r="B1501" s="29" t="s">
        <v>77</v>
      </c>
      <c r="C1501" s="75">
        <f>C1500*33.72</f>
        <v>150559.79999999999</v>
      </c>
      <c r="D1501" s="75">
        <f>D1500*33.72</f>
        <v>83086.080000000002</v>
      </c>
      <c r="E1501" s="75">
        <f>E1500*33.72</f>
        <v>82445.399999999994</v>
      </c>
      <c r="F1501" s="75">
        <f>F1500*33.72</f>
        <v>280213.2</v>
      </c>
      <c r="G1501" s="75">
        <f>G1500*33.72*2</f>
        <v>74656.08</v>
      </c>
      <c r="H1501" s="75">
        <f>H1500*33.72</f>
        <v>179154.36</v>
      </c>
      <c r="I1501" s="75">
        <f>I1500*33.72</f>
        <v>42487.199999999997</v>
      </c>
      <c r="J1501" s="75">
        <f>J1500*33.72</f>
        <v>261296.28</v>
      </c>
      <c r="K1501" s="75">
        <f>K1500*33.72</f>
        <v>52974.119999999995</v>
      </c>
      <c r="L1501" s="75">
        <f>L1500*33.72</f>
        <v>45859.199999999997</v>
      </c>
      <c r="M1501" s="75">
        <f>M1500*33.72*2</f>
        <v>153088.79999999999</v>
      </c>
      <c r="N1501" s="11">
        <f>N1500*33.72</f>
        <v>26436.48</v>
      </c>
      <c r="O1501" s="12"/>
      <c r="P1501" s="175"/>
    </row>
    <row r="1502" spans="1:27" ht="15.75" thickBot="1">
      <c r="A1502" s="412"/>
      <c r="B1502" s="30" t="s">
        <v>10</v>
      </c>
      <c r="C1502" s="71">
        <f>C1500*33.7/C1494</f>
        <v>1.2992113406690566</v>
      </c>
      <c r="D1502" s="71">
        <f t="shared" ref="D1502:N1502" si="1136">D1500*33.7/D1494</f>
        <v>0.83840241029788465</v>
      </c>
      <c r="E1502" s="78">
        <f t="shared" si="1136"/>
        <v>0.83193745664704866</v>
      </c>
      <c r="F1502" s="78">
        <f t="shared" si="1136"/>
        <v>1.5387383803540484</v>
      </c>
      <c r="G1502" s="78">
        <f t="shared" si="1136"/>
        <v>0.30747009440229189</v>
      </c>
      <c r="H1502" s="78">
        <f t="shared" si="1136"/>
        <v>1.6266467645239158</v>
      </c>
      <c r="I1502" s="78">
        <f t="shared" si="1136"/>
        <v>0.34996596110829969</v>
      </c>
      <c r="J1502" s="78">
        <f t="shared" si="1136"/>
        <v>1.5274315133393697</v>
      </c>
      <c r="K1502" s="78">
        <f t="shared" si="1136"/>
        <v>0.40067977374175257</v>
      </c>
      <c r="L1502" s="78">
        <f t="shared" si="1136"/>
        <v>0.75548207477347251</v>
      </c>
      <c r="M1502" s="79">
        <f t="shared" si="1136"/>
        <v>0.43346458321410536</v>
      </c>
      <c r="N1502" s="26">
        <f t="shared" si="1136"/>
        <v>0.48106917208353822</v>
      </c>
      <c r="O1502" s="12"/>
      <c r="P1502" s="175"/>
    </row>
    <row r="1503" spans="1:27" ht="15.75" customHeight="1" thickBot="1">
      <c r="A1503" s="424" t="s">
        <v>83</v>
      </c>
      <c r="B1503" s="425"/>
      <c r="C1503" s="76">
        <f>MIN(2*C1494,C1499)-C1501</f>
        <v>13440.200000000012</v>
      </c>
      <c r="D1503" s="76">
        <f t="shared" ref="D1503:N1503" si="1137">MIN(2*D1494,D1499)-D1501</f>
        <v>26793.919999999998</v>
      </c>
      <c r="E1503" s="76">
        <f t="shared" si="1137"/>
        <v>27434.600000000006</v>
      </c>
      <c r="F1503" s="76">
        <f t="shared" si="1137"/>
        <v>47786.799999999988</v>
      </c>
      <c r="G1503" s="76">
        <f t="shared" si="1137"/>
        <v>168007.52000000002</v>
      </c>
      <c r="H1503" s="76">
        <f t="shared" si="1137"/>
        <v>40989.440000000002</v>
      </c>
      <c r="I1503" s="76">
        <f t="shared" si="1137"/>
        <v>200176.40000000002</v>
      </c>
      <c r="J1503" s="76">
        <f t="shared" si="1137"/>
        <v>66703.72</v>
      </c>
      <c r="K1503" s="76">
        <f t="shared" si="1137"/>
        <v>211290.28000000003</v>
      </c>
      <c r="L1503" s="76">
        <f t="shared" si="1137"/>
        <v>75472.600000000006</v>
      </c>
      <c r="M1503" s="76">
        <f t="shared" si="1137"/>
        <v>199876.60000000003</v>
      </c>
      <c r="N1503" s="22">
        <f t="shared" si="1137"/>
        <v>83405.52</v>
      </c>
      <c r="O1503" s="12"/>
      <c r="P1503" s="175"/>
    </row>
    <row r="1504" spans="1:27" ht="15.75" thickBot="1">
      <c r="A1504" s="368">
        <v>41018</v>
      </c>
      <c r="B1504" s="368"/>
      <c r="C1504" s="368"/>
      <c r="N1504" s="15"/>
    </row>
    <row r="1505" spans="1:27">
      <c r="A1505" s="407" t="s">
        <v>1</v>
      </c>
      <c r="B1505" s="420"/>
      <c r="C1505" s="68" t="s">
        <v>12</v>
      </c>
      <c r="D1505" s="68" t="s">
        <v>12</v>
      </c>
      <c r="E1505" s="68" t="s">
        <v>13</v>
      </c>
      <c r="F1505" s="68" t="s">
        <v>13</v>
      </c>
      <c r="G1505" s="68" t="s">
        <v>13</v>
      </c>
      <c r="H1505" s="68" t="s">
        <v>13</v>
      </c>
      <c r="I1505" s="68" t="s">
        <v>13</v>
      </c>
      <c r="J1505" s="68" t="s">
        <v>2</v>
      </c>
      <c r="K1505" s="68" t="s">
        <v>2</v>
      </c>
      <c r="L1505" s="68" t="s">
        <v>2</v>
      </c>
      <c r="M1505" s="68" t="s">
        <v>2</v>
      </c>
      <c r="N1505" s="4" t="s">
        <v>84</v>
      </c>
      <c r="P1505" s="174"/>
      <c r="Q1505" s="175"/>
      <c r="R1505" s="175"/>
      <c r="S1505" s="175"/>
      <c r="T1505" s="175"/>
      <c r="U1505" s="175"/>
      <c r="V1505" s="175"/>
      <c r="W1505" s="175"/>
      <c r="X1505" s="175"/>
      <c r="Y1505" s="174"/>
      <c r="Z1505" s="175"/>
      <c r="AA1505" s="175"/>
    </row>
    <row r="1506" spans="1:27" ht="15.75" thickBot="1">
      <c r="A1506" s="409" t="s">
        <v>0</v>
      </c>
      <c r="B1506" s="414"/>
      <c r="C1506" s="99" t="s">
        <v>102</v>
      </c>
      <c r="D1506" s="99" t="s">
        <v>103</v>
      </c>
      <c r="E1506" s="99" t="s">
        <v>104</v>
      </c>
      <c r="F1506" s="99" t="s">
        <v>105</v>
      </c>
      <c r="G1506" s="99" t="s">
        <v>100</v>
      </c>
      <c r="H1506" s="99" t="s">
        <v>107</v>
      </c>
      <c r="I1506" s="99" t="s">
        <v>106</v>
      </c>
      <c r="J1506" s="99" t="s">
        <v>108</v>
      </c>
      <c r="K1506" s="99" t="s">
        <v>110</v>
      </c>
      <c r="L1506" s="99" t="s">
        <v>101</v>
      </c>
      <c r="M1506" s="99" t="s">
        <v>109</v>
      </c>
      <c r="N1506" s="101" t="s">
        <v>111</v>
      </c>
      <c r="P1506" s="142"/>
      <c r="Y1506" s="142"/>
      <c r="Z1506" s="104"/>
      <c r="AA1506" s="104"/>
    </row>
    <row r="1507" spans="1:27" ht="15" customHeight="1">
      <c r="A1507" s="421" t="s">
        <v>9</v>
      </c>
      <c r="B1507" s="2" t="s">
        <v>4</v>
      </c>
      <c r="C1507" s="96">
        <v>115816.8</v>
      </c>
      <c r="D1507" s="96">
        <v>99041.7</v>
      </c>
      <c r="E1507" s="96">
        <v>99041.7</v>
      </c>
      <c r="F1507" s="96">
        <v>181997.8</v>
      </c>
      <c r="G1507" s="96">
        <v>121331.8</v>
      </c>
      <c r="H1507" s="96">
        <v>110071.9</v>
      </c>
      <c r="I1507" s="96">
        <v>121331.8</v>
      </c>
      <c r="J1507" s="96">
        <v>170967.6</v>
      </c>
      <c r="K1507" s="96">
        <v>132132.20000000001</v>
      </c>
      <c r="L1507" s="96">
        <v>60665.9</v>
      </c>
      <c r="M1507" s="96">
        <v>176482.7</v>
      </c>
      <c r="N1507" s="100">
        <v>54921</v>
      </c>
      <c r="O1507" s="12"/>
      <c r="P1507" s="142"/>
      <c r="Y1507" s="142"/>
      <c r="Z1507" s="104"/>
      <c r="AA1507" s="104"/>
    </row>
    <row r="1508" spans="1:27" s="64" customFormat="1">
      <c r="A1508" s="422"/>
      <c r="B1508" s="63" t="s">
        <v>5</v>
      </c>
      <c r="C1508" s="97">
        <v>86885.2</v>
      </c>
      <c r="D1508" s="97">
        <v>66383.199999999997</v>
      </c>
      <c r="E1508" s="97">
        <v>67761</v>
      </c>
      <c r="F1508" s="97">
        <v>134160.20000000001</v>
      </c>
      <c r="G1508" s="97">
        <v>7677.5</v>
      </c>
      <c r="H1508" s="97">
        <v>31569.7</v>
      </c>
      <c r="I1508" s="97">
        <v>20335.400000000001</v>
      </c>
      <c r="J1508" s="97">
        <v>124394.9</v>
      </c>
      <c r="K1508" s="97">
        <v>41593.599999999999</v>
      </c>
      <c r="L1508" s="97">
        <v>3996.9</v>
      </c>
      <c r="M1508" s="97">
        <v>79384.899999999994</v>
      </c>
      <c r="N1508" s="102">
        <v>23338.6</v>
      </c>
      <c r="O1508" s="12"/>
      <c r="P1508" s="142"/>
      <c r="Q1508" s="104"/>
      <c r="R1508" s="104"/>
      <c r="S1508" s="104"/>
      <c r="T1508" s="104"/>
      <c r="U1508" s="104"/>
      <c r="V1508" s="104"/>
      <c r="W1508" s="104"/>
      <c r="X1508" s="104"/>
      <c r="Y1508" s="142"/>
      <c r="Z1508" s="104"/>
      <c r="AA1508" s="104"/>
    </row>
    <row r="1509" spans="1:27" ht="15.75" thickBot="1">
      <c r="A1509" s="423"/>
      <c r="B1509" s="3" t="s">
        <v>3</v>
      </c>
      <c r="C1509" s="71">
        <f>C1508/C1507</f>
        <v>0.75019513576614094</v>
      </c>
      <c r="D1509" s="72">
        <f t="shared" ref="D1509:F1509" si="1138">D1508/D1507</f>
        <v>0.67025505418424769</v>
      </c>
      <c r="E1509" s="72">
        <f t="shared" si="1138"/>
        <v>0.6841663662881392</v>
      </c>
      <c r="F1509" s="72">
        <f t="shared" si="1138"/>
        <v>0.73715286668300395</v>
      </c>
      <c r="G1509" s="72">
        <f>G1508/G1507</f>
        <v>6.3276898554212493E-2</v>
      </c>
      <c r="H1509" s="72">
        <f t="shared" ref="H1509:N1509" si="1139">H1508/H1507</f>
        <v>0.28680980341031637</v>
      </c>
      <c r="I1509" s="72">
        <f t="shared" si="1139"/>
        <v>0.16760156859125144</v>
      </c>
      <c r="J1509" s="72">
        <f t="shared" si="1139"/>
        <v>0.72759341536057121</v>
      </c>
      <c r="K1509" s="72">
        <f t="shared" si="1139"/>
        <v>0.31478776558628402</v>
      </c>
      <c r="L1509" s="72">
        <f t="shared" si="1139"/>
        <v>6.5883799630434892E-2</v>
      </c>
      <c r="M1509" s="72">
        <f t="shared" si="1139"/>
        <v>0.4498168942338257</v>
      </c>
      <c r="N1509" s="83">
        <f t="shared" si="1139"/>
        <v>0.42494856248065399</v>
      </c>
      <c r="O1509" s="12"/>
      <c r="Y1509" s="14"/>
      <c r="Z1509" s="104"/>
      <c r="AA1509" s="104"/>
    </row>
    <row r="1510" spans="1:27" ht="15" customHeight="1">
      <c r="A1510" s="411" t="s">
        <v>6</v>
      </c>
      <c r="B1510" s="27" t="s">
        <v>7</v>
      </c>
      <c r="C1510" s="68">
        <v>5006</v>
      </c>
      <c r="D1510" s="68">
        <v>3200</v>
      </c>
      <c r="E1510" s="68">
        <v>3183</v>
      </c>
      <c r="F1510" s="68">
        <v>9526</v>
      </c>
      <c r="G1510" s="68">
        <v>5000</v>
      </c>
      <c r="H1510" s="68">
        <v>6989</v>
      </c>
      <c r="I1510" s="68">
        <f>(4000-2000)</f>
        <v>2000</v>
      </c>
      <c r="J1510" s="68">
        <v>9194</v>
      </c>
      <c r="K1510" s="68">
        <v>2971</v>
      </c>
      <c r="L1510" s="68">
        <v>2500</v>
      </c>
      <c r="M1510" s="68">
        <f>5451-2614</f>
        <v>2837</v>
      </c>
      <c r="N1510" s="80">
        <v>830</v>
      </c>
      <c r="O1510" s="12"/>
      <c r="P1510" s="142"/>
      <c r="Y1510" s="142"/>
      <c r="Z1510" s="104"/>
      <c r="AA1510" s="104"/>
    </row>
    <row r="1511" spans="1:27">
      <c r="A1511" s="412"/>
      <c r="B1511" s="28" t="s">
        <v>11</v>
      </c>
      <c r="C1511" s="73">
        <f t="shared" ref="C1511:I1511" si="1140">C1510*33.72</f>
        <v>168802.32</v>
      </c>
      <c r="D1511" s="73">
        <f t="shared" si="1140"/>
        <v>107904</v>
      </c>
      <c r="E1511" s="73">
        <f t="shared" si="1140"/>
        <v>107330.76</v>
      </c>
      <c r="F1511" s="73">
        <f t="shared" si="1140"/>
        <v>321216.71999999997</v>
      </c>
      <c r="G1511" s="73">
        <f t="shared" si="1140"/>
        <v>168600</v>
      </c>
      <c r="H1511" s="73">
        <f t="shared" si="1140"/>
        <v>235669.08</v>
      </c>
      <c r="I1511" s="73">
        <f t="shared" si="1140"/>
        <v>67440</v>
      </c>
      <c r="J1511" s="73">
        <f>J1510*33.72</f>
        <v>310021.68</v>
      </c>
      <c r="K1511" s="73">
        <f t="shared" ref="K1511:N1511" si="1141">K1510*33.72</f>
        <v>100182.12</v>
      </c>
      <c r="L1511" s="73">
        <f t="shared" si="1141"/>
        <v>84300</v>
      </c>
      <c r="M1511" s="73">
        <f t="shared" si="1141"/>
        <v>95663.64</v>
      </c>
      <c r="N1511" s="73">
        <f t="shared" si="1141"/>
        <v>27987.599999999999</v>
      </c>
      <c r="O1511" s="12"/>
      <c r="P1511" s="142"/>
      <c r="Y1511" s="142"/>
      <c r="Z1511" s="104"/>
      <c r="AA1511" s="104"/>
    </row>
    <row r="1512" spans="1:27">
      <c r="A1512" s="412"/>
      <c r="B1512" s="28" t="s">
        <v>79</v>
      </c>
      <c r="C1512" s="73">
        <v>164000</v>
      </c>
      <c r="D1512" s="73">
        <v>109880</v>
      </c>
      <c r="E1512" s="73">
        <v>109880</v>
      </c>
      <c r="F1512" s="73">
        <v>328000</v>
      </c>
      <c r="G1512" s="73">
        <f>G1507*2</f>
        <v>242663.6</v>
      </c>
      <c r="H1512" s="73">
        <f>H1507*2</f>
        <v>220143.8</v>
      </c>
      <c r="I1512" s="73">
        <f>I1507*2</f>
        <v>242663.6</v>
      </c>
      <c r="J1512" s="73">
        <v>328000</v>
      </c>
      <c r="K1512" s="73">
        <f>K1507*2</f>
        <v>264264.40000000002</v>
      </c>
      <c r="L1512" s="73">
        <v>328000</v>
      </c>
      <c r="M1512" s="73">
        <f>2*M1507</f>
        <v>352965.4</v>
      </c>
      <c r="N1512" s="84">
        <f>2*N1507</f>
        <v>109842</v>
      </c>
      <c r="O1512" s="12"/>
      <c r="Y1512" s="14"/>
      <c r="Z1512" s="104"/>
      <c r="AA1512" s="104"/>
    </row>
    <row r="1513" spans="1:27" s="64" customFormat="1">
      <c r="A1513" s="412"/>
      <c r="B1513" s="66" t="s">
        <v>8</v>
      </c>
      <c r="C1513" s="98">
        <f>SUM(C1510-541)</f>
        <v>4465</v>
      </c>
      <c r="D1513" s="98">
        <f>SUM(D1510-736)</f>
        <v>2464</v>
      </c>
      <c r="E1513" s="98">
        <f>SUM(E1510-738)</f>
        <v>2445</v>
      </c>
      <c r="F1513" s="98">
        <f>SUM(F1510-1216)</f>
        <v>8310</v>
      </c>
      <c r="G1513" s="98">
        <f>SUM(G1510-3914)</f>
        <v>1086</v>
      </c>
      <c r="H1513" s="98">
        <f>SUM(H1510-1402)</f>
        <v>5587</v>
      </c>
      <c r="I1513" s="98">
        <f>SUM(I1510-(2785-2000))</f>
        <v>1215</v>
      </c>
      <c r="J1513" s="98">
        <f>SUM(J1510-1445)</f>
        <v>7749</v>
      </c>
      <c r="K1513" s="98">
        <f>SUM(K1510-1497)</f>
        <v>1474</v>
      </c>
      <c r="L1513" s="98">
        <f>SUM(L1510-1140)</f>
        <v>1360</v>
      </c>
      <c r="M1513" s="98">
        <f>SUM(M1510-(3226-2614))</f>
        <v>2225</v>
      </c>
      <c r="N1513" s="103">
        <f>SUM(N1510-46)</f>
        <v>784</v>
      </c>
      <c r="O1513" s="12"/>
      <c r="P1513" s="175"/>
      <c r="Q1513" s="67"/>
      <c r="R1513" s="67"/>
      <c r="S1513" s="67"/>
      <c r="T1513" s="67"/>
      <c r="U1513" s="67"/>
      <c r="V1513" s="67"/>
      <c r="W1513" s="67"/>
    </row>
    <row r="1514" spans="1:27">
      <c r="A1514" s="412"/>
      <c r="B1514" s="29" t="s">
        <v>77</v>
      </c>
      <c r="C1514" s="75">
        <f>C1513*33.72</f>
        <v>150559.79999999999</v>
      </c>
      <c r="D1514" s="75">
        <f>D1513*33.72</f>
        <v>83086.080000000002</v>
      </c>
      <c r="E1514" s="75">
        <f>E1513*33.72</f>
        <v>82445.399999999994</v>
      </c>
      <c r="F1514" s="75">
        <f>F1513*33.72</f>
        <v>280213.2</v>
      </c>
      <c r="G1514" s="75">
        <f>G1513*33.72*2</f>
        <v>73239.839999999997</v>
      </c>
      <c r="H1514" s="75">
        <f>H1513*33.72</f>
        <v>188393.63999999998</v>
      </c>
      <c r="I1514" s="75">
        <f>I1513*33.72</f>
        <v>40969.799999999996</v>
      </c>
      <c r="J1514" s="75">
        <f>J1513*33.72</f>
        <v>261296.28</v>
      </c>
      <c r="K1514" s="75">
        <f>K1513*33.72</f>
        <v>49703.28</v>
      </c>
      <c r="L1514" s="75">
        <f>L1513*33.72</f>
        <v>45859.199999999997</v>
      </c>
      <c r="M1514" s="75">
        <f>M1513*33.72*2</f>
        <v>150054</v>
      </c>
      <c r="N1514" s="11">
        <f>N1513*33.72</f>
        <v>26436.48</v>
      </c>
      <c r="O1514" s="12"/>
      <c r="P1514" s="175"/>
    </row>
    <row r="1515" spans="1:27" ht="15.75" thickBot="1">
      <c r="A1515" s="412"/>
      <c r="B1515" s="30" t="s">
        <v>10</v>
      </c>
      <c r="C1515" s="71">
        <f>C1513*33.7/C1507</f>
        <v>1.2992113406690566</v>
      </c>
      <c r="D1515" s="71">
        <f t="shared" ref="D1515:N1515" si="1142">D1513*33.7/D1507</f>
        <v>0.83840241029788465</v>
      </c>
      <c r="E1515" s="78">
        <f t="shared" si="1142"/>
        <v>0.83193745664704866</v>
      </c>
      <c r="F1515" s="78">
        <f t="shared" si="1142"/>
        <v>1.5387383803540484</v>
      </c>
      <c r="G1515" s="78">
        <f t="shared" si="1142"/>
        <v>0.30163732838382029</v>
      </c>
      <c r="H1515" s="78">
        <f t="shared" si="1142"/>
        <v>1.7105355681150234</v>
      </c>
      <c r="I1515" s="78">
        <f t="shared" si="1142"/>
        <v>0.33746717678300331</v>
      </c>
      <c r="J1515" s="78">
        <f t="shared" si="1142"/>
        <v>1.5274315133393697</v>
      </c>
      <c r="K1515" s="78">
        <f t="shared" si="1142"/>
        <v>0.37594015690346483</v>
      </c>
      <c r="L1515" s="78">
        <f t="shared" si="1142"/>
        <v>0.75548207477347251</v>
      </c>
      <c r="M1515" s="79">
        <f t="shared" si="1142"/>
        <v>0.42487167297417816</v>
      </c>
      <c r="N1515" s="26">
        <f t="shared" si="1142"/>
        <v>0.48106917208353822</v>
      </c>
      <c r="O1515" s="12"/>
      <c r="P1515" s="175"/>
    </row>
    <row r="1516" spans="1:27" ht="15.75" customHeight="1" thickBot="1">
      <c r="A1516" s="424" t="s">
        <v>83</v>
      </c>
      <c r="B1516" s="425"/>
      <c r="C1516" s="76">
        <f>MIN(2*C1507,C1512)-C1514</f>
        <v>13440.200000000012</v>
      </c>
      <c r="D1516" s="76">
        <f t="shared" ref="D1516:N1516" si="1143">MIN(2*D1507,D1512)-D1514</f>
        <v>26793.919999999998</v>
      </c>
      <c r="E1516" s="76">
        <f t="shared" si="1143"/>
        <v>27434.600000000006</v>
      </c>
      <c r="F1516" s="76">
        <f t="shared" si="1143"/>
        <v>47786.799999999988</v>
      </c>
      <c r="G1516" s="76">
        <f t="shared" si="1143"/>
        <v>169423.76</v>
      </c>
      <c r="H1516" s="76">
        <f t="shared" si="1143"/>
        <v>31750.160000000003</v>
      </c>
      <c r="I1516" s="76">
        <f t="shared" si="1143"/>
        <v>201693.80000000002</v>
      </c>
      <c r="J1516" s="76">
        <f t="shared" si="1143"/>
        <v>66703.72</v>
      </c>
      <c r="K1516" s="76">
        <f t="shared" si="1143"/>
        <v>214561.12000000002</v>
      </c>
      <c r="L1516" s="76">
        <f t="shared" si="1143"/>
        <v>75472.600000000006</v>
      </c>
      <c r="M1516" s="76">
        <f t="shared" si="1143"/>
        <v>202911.40000000002</v>
      </c>
      <c r="N1516" s="22">
        <f t="shared" si="1143"/>
        <v>83405.52</v>
      </c>
      <c r="O1516" s="12"/>
      <c r="P1516" s="175"/>
    </row>
    <row r="1517" spans="1:27" ht="15.75" thickBot="1">
      <c r="A1517" s="368">
        <v>41017</v>
      </c>
      <c r="B1517" s="368"/>
      <c r="C1517" s="368"/>
      <c r="N1517" s="15"/>
    </row>
    <row r="1518" spans="1:27">
      <c r="A1518" s="407" t="s">
        <v>1</v>
      </c>
      <c r="B1518" s="420"/>
      <c r="C1518" s="68" t="s">
        <v>12</v>
      </c>
      <c r="D1518" s="68" t="s">
        <v>12</v>
      </c>
      <c r="E1518" s="68" t="s">
        <v>13</v>
      </c>
      <c r="F1518" s="68" t="s">
        <v>13</v>
      </c>
      <c r="G1518" s="68" t="s">
        <v>13</v>
      </c>
      <c r="H1518" s="68" t="s">
        <v>13</v>
      </c>
      <c r="I1518" s="68" t="s">
        <v>13</v>
      </c>
      <c r="J1518" s="68" t="s">
        <v>2</v>
      </c>
      <c r="K1518" s="68" t="s">
        <v>2</v>
      </c>
      <c r="L1518" s="68" t="s">
        <v>2</v>
      </c>
      <c r="M1518" s="68" t="s">
        <v>2</v>
      </c>
      <c r="N1518" s="4" t="s">
        <v>84</v>
      </c>
      <c r="P1518" s="174"/>
      <c r="Q1518" s="175"/>
      <c r="R1518" s="175"/>
      <c r="S1518" s="175"/>
      <c r="T1518" s="175"/>
      <c r="U1518" s="175"/>
      <c r="V1518" s="175"/>
      <c r="W1518" s="175"/>
      <c r="X1518" s="175"/>
      <c r="Y1518" s="174"/>
      <c r="Z1518" s="175"/>
      <c r="AA1518" s="175"/>
    </row>
    <row r="1519" spans="1:27" ht="15.75" thickBot="1">
      <c r="A1519" s="409" t="s">
        <v>0</v>
      </c>
      <c r="B1519" s="414"/>
      <c r="C1519" s="99" t="s">
        <v>102</v>
      </c>
      <c r="D1519" s="99" t="s">
        <v>103</v>
      </c>
      <c r="E1519" s="99" t="s">
        <v>104</v>
      </c>
      <c r="F1519" s="99" t="s">
        <v>105</v>
      </c>
      <c r="G1519" s="99" t="s">
        <v>100</v>
      </c>
      <c r="H1519" s="99" t="s">
        <v>107</v>
      </c>
      <c r="I1519" s="99" t="s">
        <v>106</v>
      </c>
      <c r="J1519" s="99" t="s">
        <v>108</v>
      </c>
      <c r="K1519" s="99" t="s">
        <v>110</v>
      </c>
      <c r="L1519" s="99" t="s">
        <v>101</v>
      </c>
      <c r="M1519" s="99" t="s">
        <v>109</v>
      </c>
      <c r="N1519" s="101" t="s">
        <v>111</v>
      </c>
      <c r="P1519" s="142"/>
      <c r="Y1519" s="142"/>
      <c r="Z1519" s="104"/>
      <c r="AA1519" s="104"/>
    </row>
    <row r="1520" spans="1:27" ht="15" customHeight="1">
      <c r="A1520" s="421" t="s">
        <v>9</v>
      </c>
      <c r="B1520" s="2" t="s">
        <v>4</v>
      </c>
      <c r="C1520" s="96">
        <v>115816.8</v>
      </c>
      <c r="D1520" s="96">
        <v>99041.7</v>
      </c>
      <c r="E1520" s="96">
        <v>99041.7</v>
      </c>
      <c r="F1520" s="96">
        <v>181997.8</v>
      </c>
      <c r="G1520" s="96">
        <v>121331.8</v>
      </c>
      <c r="H1520" s="96">
        <v>110071.9</v>
      </c>
      <c r="I1520" s="96">
        <v>121331.8</v>
      </c>
      <c r="J1520" s="96">
        <v>170967.6</v>
      </c>
      <c r="K1520" s="96">
        <v>132132.20000000001</v>
      </c>
      <c r="L1520" s="96">
        <v>60665.9</v>
      </c>
      <c r="M1520" s="96">
        <v>176482.7</v>
      </c>
      <c r="N1520" s="100">
        <v>54921</v>
      </c>
      <c r="O1520" s="12"/>
      <c r="P1520" s="142"/>
      <c r="Y1520" s="142"/>
      <c r="Z1520" s="104"/>
      <c r="AA1520" s="104"/>
    </row>
    <row r="1521" spans="1:27" s="64" customFormat="1">
      <c r="A1521" s="422"/>
      <c r="B1521" s="63" t="s">
        <v>5</v>
      </c>
      <c r="C1521" s="97">
        <v>86865.7</v>
      </c>
      <c r="D1521" s="97">
        <v>66374.5</v>
      </c>
      <c r="E1521" s="97">
        <v>67752.2</v>
      </c>
      <c r="F1521" s="97">
        <v>133817.20000000001</v>
      </c>
      <c r="G1521" s="97">
        <v>7621.4</v>
      </c>
      <c r="H1521" s="97">
        <v>31452</v>
      </c>
      <c r="I1521" s="97">
        <v>20300.3</v>
      </c>
      <c r="J1521" s="97">
        <v>124280.9</v>
      </c>
      <c r="K1521" s="97">
        <v>41574.199999999997</v>
      </c>
      <c r="L1521" s="97">
        <v>3988.9</v>
      </c>
      <c r="M1521" s="97">
        <v>79367.199999999997</v>
      </c>
      <c r="N1521" s="102">
        <v>23222</v>
      </c>
      <c r="O1521" s="12"/>
      <c r="P1521" s="142"/>
      <c r="Q1521" s="104"/>
      <c r="R1521" s="104"/>
      <c r="S1521" s="104"/>
      <c r="T1521" s="104"/>
      <c r="U1521" s="104"/>
      <c r="V1521" s="104"/>
      <c r="W1521" s="104"/>
      <c r="X1521" s="104"/>
      <c r="Y1521" s="142"/>
      <c r="Z1521" s="104"/>
      <c r="AA1521" s="104"/>
    </row>
    <row r="1522" spans="1:27" ht="15.75" thickBot="1">
      <c r="A1522" s="423"/>
      <c r="B1522" s="3" t="s">
        <v>3</v>
      </c>
      <c r="C1522" s="71">
        <f>C1521/C1520</f>
        <v>0.75002676641039978</v>
      </c>
      <c r="D1522" s="72">
        <f t="shared" ref="D1522:F1522" si="1144">D1521/D1520</f>
        <v>0.67016721239639465</v>
      </c>
      <c r="E1522" s="72">
        <f t="shared" si="1144"/>
        <v>0.6840775148245638</v>
      </c>
      <c r="F1522" s="72">
        <f t="shared" si="1144"/>
        <v>0.73526822851704809</v>
      </c>
      <c r="G1522" s="72">
        <f>G1521/G1520</f>
        <v>6.2814530073731695E-2</v>
      </c>
      <c r="H1522" s="72">
        <f t="shared" ref="H1522:N1522" si="1145">H1521/H1520</f>
        <v>0.28574050234437676</v>
      </c>
      <c r="I1522" s="72">
        <f t="shared" si="1145"/>
        <v>0.16731227922111103</v>
      </c>
      <c r="J1522" s="72">
        <f t="shared" si="1145"/>
        <v>0.72692662235417704</v>
      </c>
      <c r="K1522" s="72">
        <f t="shared" si="1145"/>
        <v>0.31464094293442474</v>
      </c>
      <c r="L1522" s="72">
        <f t="shared" si="1145"/>
        <v>6.5751929832080294E-2</v>
      </c>
      <c r="M1522" s="72">
        <f t="shared" si="1145"/>
        <v>0.44971660111727663</v>
      </c>
      <c r="N1522" s="83">
        <f t="shared" si="1145"/>
        <v>0.42282551300959559</v>
      </c>
      <c r="O1522" s="12"/>
      <c r="Y1522" s="14"/>
      <c r="Z1522" s="104"/>
      <c r="AA1522" s="104"/>
    </row>
    <row r="1523" spans="1:27" ht="15" customHeight="1">
      <c r="A1523" s="411" t="s">
        <v>6</v>
      </c>
      <c r="B1523" s="27" t="s">
        <v>7</v>
      </c>
      <c r="C1523" s="68">
        <v>5006</v>
      </c>
      <c r="D1523" s="68">
        <v>3200</v>
      </c>
      <c r="E1523" s="68">
        <v>3183</v>
      </c>
      <c r="F1523" s="68">
        <v>9526</v>
      </c>
      <c r="G1523" s="68">
        <v>5000</v>
      </c>
      <c r="H1523" s="68">
        <v>6989</v>
      </c>
      <c r="I1523" s="68">
        <f>(4000-2000)</f>
        <v>2000</v>
      </c>
      <c r="J1523" s="68">
        <v>9194</v>
      </c>
      <c r="K1523" s="68">
        <v>2971</v>
      </c>
      <c r="L1523" s="68">
        <v>2500</v>
      </c>
      <c r="M1523" s="68">
        <f>5451-2614</f>
        <v>2837</v>
      </c>
      <c r="N1523" s="80">
        <v>830</v>
      </c>
      <c r="O1523" s="12"/>
      <c r="P1523" s="142"/>
      <c r="Y1523" s="142"/>
      <c r="Z1523" s="104"/>
      <c r="AA1523" s="104"/>
    </row>
    <row r="1524" spans="1:27">
      <c r="A1524" s="412"/>
      <c r="B1524" s="28" t="s">
        <v>11</v>
      </c>
      <c r="C1524" s="73">
        <f t="shared" ref="C1524:I1524" si="1146">C1523*33.72</f>
        <v>168802.32</v>
      </c>
      <c r="D1524" s="73">
        <f t="shared" si="1146"/>
        <v>107904</v>
      </c>
      <c r="E1524" s="73">
        <f t="shared" si="1146"/>
        <v>107330.76</v>
      </c>
      <c r="F1524" s="73">
        <f t="shared" si="1146"/>
        <v>321216.71999999997</v>
      </c>
      <c r="G1524" s="73">
        <f t="shared" si="1146"/>
        <v>168600</v>
      </c>
      <c r="H1524" s="73">
        <f t="shared" si="1146"/>
        <v>235669.08</v>
      </c>
      <c r="I1524" s="73">
        <f t="shared" si="1146"/>
        <v>67440</v>
      </c>
      <c r="J1524" s="73">
        <f>J1523*33.72</f>
        <v>310021.68</v>
      </c>
      <c r="K1524" s="73">
        <f t="shared" ref="K1524:N1524" si="1147">K1523*33.72</f>
        <v>100182.12</v>
      </c>
      <c r="L1524" s="73">
        <f t="shared" si="1147"/>
        <v>84300</v>
      </c>
      <c r="M1524" s="73">
        <f t="shared" si="1147"/>
        <v>95663.64</v>
      </c>
      <c r="N1524" s="73">
        <f t="shared" si="1147"/>
        <v>27987.599999999999</v>
      </c>
      <c r="O1524" s="12"/>
      <c r="P1524" s="142"/>
      <c r="Y1524" s="142"/>
      <c r="Z1524" s="104"/>
      <c r="AA1524" s="104"/>
    </row>
    <row r="1525" spans="1:27">
      <c r="A1525" s="412"/>
      <c r="B1525" s="28" t="s">
        <v>79</v>
      </c>
      <c r="C1525" s="73">
        <v>164000</v>
      </c>
      <c r="D1525" s="73">
        <v>109880</v>
      </c>
      <c r="E1525" s="73">
        <v>109880</v>
      </c>
      <c r="F1525" s="73">
        <v>328000</v>
      </c>
      <c r="G1525" s="73">
        <f>G1520*2</f>
        <v>242663.6</v>
      </c>
      <c r="H1525" s="73">
        <f>H1520*2</f>
        <v>220143.8</v>
      </c>
      <c r="I1525" s="73">
        <f>I1520*2</f>
        <v>242663.6</v>
      </c>
      <c r="J1525" s="73">
        <v>328000</v>
      </c>
      <c r="K1525" s="73">
        <f>K1520*2</f>
        <v>264264.40000000002</v>
      </c>
      <c r="L1525" s="73">
        <v>328000</v>
      </c>
      <c r="M1525" s="73">
        <f>2*M1520</f>
        <v>352965.4</v>
      </c>
      <c r="N1525" s="84">
        <f>2*N1520</f>
        <v>109842</v>
      </c>
      <c r="O1525" s="12"/>
      <c r="Y1525" s="14"/>
      <c r="Z1525" s="104"/>
      <c r="AA1525" s="104"/>
    </row>
    <row r="1526" spans="1:27" s="64" customFormat="1">
      <c r="A1526" s="412"/>
      <c r="B1526" s="66" t="s">
        <v>8</v>
      </c>
      <c r="C1526" s="98">
        <f>SUM(C1523-553)</f>
        <v>4453</v>
      </c>
      <c r="D1526" s="98">
        <f>SUM(D1523-736)</f>
        <v>2464</v>
      </c>
      <c r="E1526" s="98">
        <f>SUM(E1523-738)</f>
        <v>2445</v>
      </c>
      <c r="F1526" s="98">
        <f>SUM(F1523-1216)</f>
        <v>8310</v>
      </c>
      <c r="G1526" s="98">
        <f>SUM(G1523-3955)</f>
        <v>1045</v>
      </c>
      <c r="H1526" s="98">
        <f>SUM(H1523-1402)</f>
        <v>5587</v>
      </c>
      <c r="I1526" s="98">
        <f>SUM(I1523-(2785-2000))</f>
        <v>1215</v>
      </c>
      <c r="J1526" s="98">
        <f>SUM(J1523-1445)</f>
        <v>7749</v>
      </c>
      <c r="K1526" s="98">
        <f>SUM(K1523-2577)</f>
        <v>394</v>
      </c>
      <c r="L1526" s="98">
        <f>SUM(L1523-1152)</f>
        <v>1348</v>
      </c>
      <c r="M1526" s="98">
        <f>SUM(M1523-(3226-2614))</f>
        <v>2225</v>
      </c>
      <c r="N1526" s="103">
        <f>SUM(N1523-46)</f>
        <v>784</v>
      </c>
      <c r="O1526" s="12"/>
      <c r="P1526" s="175"/>
      <c r="Q1526" s="67"/>
      <c r="R1526" s="67"/>
      <c r="S1526" s="67"/>
      <c r="T1526" s="67"/>
      <c r="U1526" s="67"/>
      <c r="V1526" s="67"/>
      <c r="W1526" s="67"/>
    </row>
    <row r="1527" spans="1:27">
      <c r="A1527" s="412"/>
      <c r="B1527" s="29" t="s">
        <v>77</v>
      </c>
      <c r="C1527" s="75">
        <f>C1526*33.72</f>
        <v>150155.16</v>
      </c>
      <c r="D1527" s="75">
        <f>D1526*33.72</f>
        <v>83086.080000000002</v>
      </c>
      <c r="E1527" s="75">
        <f>E1526*33.72</f>
        <v>82445.399999999994</v>
      </c>
      <c r="F1527" s="75">
        <f>F1526*33.72</f>
        <v>280213.2</v>
      </c>
      <c r="G1527" s="75">
        <f>G1526*33.72*2</f>
        <v>70474.8</v>
      </c>
      <c r="H1527" s="75">
        <f>H1526*33.72</f>
        <v>188393.63999999998</v>
      </c>
      <c r="I1527" s="75">
        <f>I1526*33.72</f>
        <v>40969.799999999996</v>
      </c>
      <c r="J1527" s="75">
        <f>J1526*33.72</f>
        <v>261296.28</v>
      </c>
      <c r="K1527" s="75">
        <f>K1526*33.72</f>
        <v>13285.68</v>
      </c>
      <c r="L1527" s="75">
        <f>L1526*33.72</f>
        <v>45454.559999999998</v>
      </c>
      <c r="M1527" s="75">
        <f>M1526*33.72*2</f>
        <v>150054</v>
      </c>
      <c r="N1527" s="11">
        <f>N1526*33.72</f>
        <v>26436.48</v>
      </c>
      <c r="O1527" s="12"/>
      <c r="P1527" s="175"/>
    </row>
    <row r="1528" spans="1:27" ht="15.75" thickBot="1">
      <c r="A1528" s="412"/>
      <c r="B1528" s="30" t="s">
        <v>10</v>
      </c>
      <c r="C1528" s="71">
        <f>C1526*33.7/C1520</f>
        <v>1.2957196192607636</v>
      </c>
      <c r="D1528" s="71">
        <f t="shared" ref="D1528:N1528" si="1148">D1526*33.7/D1520</f>
        <v>0.83840241029788465</v>
      </c>
      <c r="E1528" s="78">
        <f t="shared" si="1148"/>
        <v>0.83193745664704866</v>
      </c>
      <c r="F1528" s="78">
        <f t="shared" si="1148"/>
        <v>1.5387383803540484</v>
      </c>
      <c r="G1528" s="78">
        <f t="shared" si="1148"/>
        <v>0.29024954710966128</v>
      </c>
      <c r="H1528" s="78">
        <f t="shared" si="1148"/>
        <v>1.7105355681150234</v>
      </c>
      <c r="I1528" s="78">
        <f t="shared" si="1148"/>
        <v>0.33746717678300331</v>
      </c>
      <c r="J1528" s="78">
        <f t="shared" si="1148"/>
        <v>1.5274315133393697</v>
      </c>
      <c r="K1528" s="78">
        <f t="shared" si="1148"/>
        <v>0.1004887529307769</v>
      </c>
      <c r="L1528" s="78">
        <f t="shared" si="1148"/>
        <v>0.74881605646664773</v>
      </c>
      <c r="M1528" s="79">
        <f t="shared" si="1148"/>
        <v>0.42487167297417816</v>
      </c>
      <c r="N1528" s="26">
        <f t="shared" si="1148"/>
        <v>0.48106917208353822</v>
      </c>
      <c r="O1528" s="12"/>
      <c r="P1528" s="175"/>
    </row>
    <row r="1529" spans="1:27" ht="15.75" customHeight="1" thickBot="1">
      <c r="A1529" s="424" t="s">
        <v>83</v>
      </c>
      <c r="B1529" s="425"/>
      <c r="C1529" s="76">
        <f>MIN(2*C1520,C1525)-C1527</f>
        <v>13844.839999999997</v>
      </c>
      <c r="D1529" s="76">
        <f t="shared" ref="D1529:N1529" si="1149">MIN(2*D1520,D1525)-D1527</f>
        <v>26793.919999999998</v>
      </c>
      <c r="E1529" s="76">
        <f t="shared" si="1149"/>
        <v>27434.600000000006</v>
      </c>
      <c r="F1529" s="76">
        <f t="shared" si="1149"/>
        <v>47786.799999999988</v>
      </c>
      <c r="G1529" s="76">
        <f t="shared" si="1149"/>
        <v>172188.79999999999</v>
      </c>
      <c r="H1529" s="76">
        <f t="shared" si="1149"/>
        <v>31750.160000000003</v>
      </c>
      <c r="I1529" s="76">
        <f t="shared" si="1149"/>
        <v>201693.80000000002</v>
      </c>
      <c r="J1529" s="76">
        <f t="shared" si="1149"/>
        <v>66703.72</v>
      </c>
      <c r="K1529" s="76">
        <f t="shared" si="1149"/>
        <v>250978.72000000003</v>
      </c>
      <c r="L1529" s="76">
        <f t="shared" si="1149"/>
        <v>75877.240000000005</v>
      </c>
      <c r="M1529" s="76">
        <f t="shared" si="1149"/>
        <v>202911.40000000002</v>
      </c>
      <c r="N1529" s="22">
        <f t="shared" si="1149"/>
        <v>83405.52</v>
      </c>
      <c r="O1529" s="12"/>
      <c r="P1529" s="175"/>
    </row>
    <row r="1530" spans="1:27" ht="15.75" thickBot="1">
      <c r="A1530" s="368">
        <v>41015</v>
      </c>
      <c r="B1530" s="368"/>
      <c r="C1530" s="368"/>
      <c r="N1530" s="15"/>
    </row>
    <row r="1531" spans="1:27">
      <c r="A1531" s="407" t="s">
        <v>1</v>
      </c>
      <c r="B1531" s="420"/>
      <c r="C1531" s="68" t="s">
        <v>12</v>
      </c>
      <c r="D1531" s="68" t="s">
        <v>12</v>
      </c>
      <c r="E1531" s="68" t="s">
        <v>13</v>
      </c>
      <c r="F1531" s="68" t="s">
        <v>13</v>
      </c>
      <c r="G1531" s="68" t="s">
        <v>13</v>
      </c>
      <c r="H1531" s="68" t="s">
        <v>13</v>
      </c>
      <c r="I1531" s="68" t="s">
        <v>13</v>
      </c>
      <c r="J1531" s="68" t="s">
        <v>2</v>
      </c>
      <c r="K1531" s="68" t="s">
        <v>2</v>
      </c>
      <c r="L1531" s="68" t="s">
        <v>2</v>
      </c>
      <c r="M1531" s="68" t="s">
        <v>2</v>
      </c>
      <c r="N1531" s="4" t="s">
        <v>84</v>
      </c>
      <c r="P1531" s="174"/>
      <c r="Q1531" s="175"/>
      <c r="R1531" s="175"/>
      <c r="S1531" s="175"/>
      <c r="T1531" s="175"/>
      <c r="U1531" s="175"/>
      <c r="V1531" s="175"/>
      <c r="W1531" s="175"/>
      <c r="X1531" s="175"/>
      <c r="Y1531" s="174"/>
      <c r="Z1531" s="175"/>
      <c r="AA1531" s="175"/>
    </row>
    <row r="1532" spans="1:27" ht="15.75" thickBot="1">
      <c r="A1532" s="409" t="s">
        <v>0</v>
      </c>
      <c r="B1532" s="414"/>
      <c r="C1532" s="99" t="s">
        <v>102</v>
      </c>
      <c r="D1532" s="99" t="s">
        <v>103</v>
      </c>
      <c r="E1532" s="99" t="s">
        <v>104</v>
      </c>
      <c r="F1532" s="99" t="s">
        <v>105</v>
      </c>
      <c r="G1532" s="99" t="s">
        <v>100</v>
      </c>
      <c r="H1532" s="99" t="s">
        <v>107</v>
      </c>
      <c r="I1532" s="99" t="s">
        <v>106</v>
      </c>
      <c r="J1532" s="99" t="s">
        <v>108</v>
      </c>
      <c r="K1532" s="99" t="s">
        <v>110</v>
      </c>
      <c r="L1532" s="99" t="s">
        <v>101</v>
      </c>
      <c r="M1532" s="99" t="s">
        <v>109</v>
      </c>
      <c r="N1532" s="101" t="s">
        <v>111</v>
      </c>
      <c r="P1532" s="142"/>
      <c r="Y1532" s="142"/>
      <c r="Z1532" s="104"/>
      <c r="AA1532" s="104"/>
    </row>
    <row r="1533" spans="1:27" ht="15" customHeight="1">
      <c r="A1533" s="421" t="s">
        <v>9</v>
      </c>
      <c r="B1533" s="2" t="s">
        <v>4</v>
      </c>
      <c r="C1533" s="96">
        <v>115816.8</v>
      </c>
      <c r="D1533" s="96">
        <v>99041.7</v>
      </c>
      <c r="E1533" s="96">
        <v>99041.7</v>
      </c>
      <c r="F1533" s="96">
        <v>181997.8</v>
      </c>
      <c r="G1533" s="96">
        <v>121331.8</v>
      </c>
      <c r="H1533" s="96">
        <v>110071.9</v>
      </c>
      <c r="I1533" s="96">
        <v>121331.8</v>
      </c>
      <c r="J1533" s="96">
        <v>170967.6</v>
      </c>
      <c r="K1533" s="96">
        <v>132132.20000000001</v>
      </c>
      <c r="L1533" s="96">
        <v>60665.9</v>
      </c>
      <c r="M1533" s="96">
        <v>176482.7</v>
      </c>
      <c r="N1533" s="100">
        <v>54921</v>
      </c>
      <c r="O1533" s="12"/>
      <c r="P1533" s="142"/>
      <c r="Y1533" s="142"/>
      <c r="Z1533" s="104"/>
      <c r="AA1533" s="104"/>
    </row>
    <row r="1534" spans="1:27" s="64" customFormat="1">
      <c r="A1534" s="422"/>
      <c r="B1534" s="63" t="s">
        <v>5</v>
      </c>
      <c r="C1534" s="97">
        <v>86795.5</v>
      </c>
      <c r="D1534" s="97">
        <v>66143.199999999997</v>
      </c>
      <c r="E1534" s="97">
        <v>67520.899999999994</v>
      </c>
      <c r="F1534" s="97">
        <v>133125</v>
      </c>
      <c r="G1534" s="97">
        <v>7607.6</v>
      </c>
      <c r="H1534" s="97">
        <v>31367.9</v>
      </c>
      <c r="I1534" s="97">
        <v>20271</v>
      </c>
      <c r="J1534" s="97">
        <v>123637.2</v>
      </c>
      <c r="K1534" s="97">
        <v>41304</v>
      </c>
      <c r="L1534" s="97">
        <v>3975.4</v>
      </c>
      <c r="M1534" s="97">
        <v>79349.8</v>
      </c>
      <c r="N1534" s="102">
        <v>23195</v>
      </c>
      <c r="O1534" s="12"/>
      <c r="P1534" s="142"/>
      <c r="Q1534" s="104"/>
      <c r="R1534" s="104"/>
      <c r="S1534" s="104"/>
      <c r="T1534" s="104"/>
      <c r="U1534" s="104"/>
      <c r="V1534" s="104"/>
      <c r="W1534" s="104"/>
      <c r="X1534" s="104"/>
      <c r="Y1534" s="142"/>
      <c r="Z1534" s="104"/>
      <c r="AA1534" s="104"/>
    </row>
    <row r="1535" spans="1:27" ht="15.75" thickBot="1">
      <c r="A1535" s="423"/>
      <c r="B1535" s="3" t="s">
        <v>3</v>
      </c>
      <c r="C1535" s="71">
        <f>C1534/C1533</f>
        <v>0.7494206367297318</v>
      </c>
      <c r="D1535" s="72">
        <f t="shared" ref="D1535:F1535" si="1150">D1534/D1533</f>
        <v>0.66783183245037192</v>
      </c>
      <c r="E1535" s="72">
        <f t="shared" si="1150"/>
        <v>0.68174213487854107</v>
      </c>
      <c r="F1535" s="72">
        <f t="shared" si="1150"/>
        <v>0.73146488583927938</v>
      </c>
      <c r="G1535" s="72">
        <f>G1534/G1533</f>
        <v>6.270079237265086E-2</v>
      </c>
      <c r="H1535" s="72">
        <f t="shared" ref="H1535:N1535" si="1151">H1534/H1533</f>
        <v>0.28497645629811064</v>
      </c>
      <c r="I1535" s="72">
        <f t="shared" si="1151"/>
        <v>0.16707079265287417</v>
      </c>
      <c r="J1535" s="72">
        <f t="shared" si="1151"/>
        <v>0.72316158149263365</v>
      </c>
      <c r="K1535" s="72">
        <f t="shared" si="1151"/>
        <v>0.31259602125749814</v>
      </c>
      <c r="L1535" s="72">
        <f t="shared" si="1151"/>
        <v>6.5529399547356912E-2</v>
      </c>
      <c r="M1535" s="72">
        <f t="shared" si="1151"/>
        <v>0.44961800788405887</v>
      </c>
      <c r="N1535" s="83">
        <f t="shared" si="1151"/>
        <v>0.42233389778044828</v>
      </c>
      <c r="O1535" s="12"/>
      <c r="Y1535" s="14"/>
      <c r="Z1535" s="104"/>
      <c r="AA1535" s="104"/>
    </row>
    <row r="1536" spans="1:27" ht="15" customHeight="1">
      <c r="A1536" s="411" t="s">
        <v>6</v>
      </c>
      <c r="B1536" s="27" t="s">
        <v>7</v>
      </c>
      <c r="C1536" s="68">
        <v>5006</v>
      </c>
      <c r="D1536" s="68">
        <v>3200</v>
      </c>
      <c r="E1536" s="68">
        <v>3183</v>
      </c>
      <c r="F1536" s="68">
        <v>9526</v>
      </c>
      <c r="G1536" s="68">
        <v>5000</v>
      </c>
      <c r="H1536" s="68">
        <v>6989</v>
      </c>
      <c r="I1536" s="68">
        <f>(4000-2000)</f>
        <v>2000</v>
      </c>
      <c r="J1536" s="68">
        <v>9194</v>
      </c>
      <c r="K1536" s="68">
        <v>2971</v>
      </c>
      <c r="L1536" s="68">
        <v>2500</v>
      </c>
      <c r="M1536" s="68">
        <f>5451-2614</f>
        <v>2837</v>
      </c>
      <c r="N1536" s="80">
        <v>830</v>
      </c>
      <c r="O1536" s="12"/>
      <c r="P1536" s="142"/>
      <c r="Y1536" s="142"/>
      <c r="Z1536" s="104"/>
      <c r="AA1536" s="104"/>
    </row>
    <row r="1537" spans="1:27">
      <c r="A1537" s="412"/>
      <c r="B1537" s="28" t="s">
        <v>11</v>
      </c>
      <c r="C1537" s="73">
        <f t="shared" ref="C1537:I1537" si="1152">C1536*33.72</f>
        <v>168802.32</v>
      </c>
      <c r="D1537" s="73">
        <f t="shared" si="1152"/>
        <v>107904</v>
      </c>
      <c r="E1537" s="73">
        <f t="shared" si="1152"/>
        <v>107330.76</v>
      </c>
      <c r="F1537" s="73">
        <f t="shared" si="1152"/>
        <v>321216.71999999997</v>
      </c>
      <c r="G1537" s="73">
        <f t="shared" si="1152"/>
        <v>168600</v>
      </c>
      <c r="H1537" s="73">
        <f t="shared" si="1152"/>
        <v>235669.08</v>
      </c>
      <c r="I1537" s="73">
        <f t="shared" si="1152"/>
        <v>67440</v>
      </c>
      <c r="J1537" s="73">
        <f>J1536*33.72</f>
        <v>310021.68</v>
      </c>
      <c r="K1537" s="73">
        <f t="shared" ref="K1537:N1537" si="1153">K1536*33.72</f>
        <v>100182.12</v>
      </c>
      <c r="L1537" s="73">
        <f t="shared" si="1153"/>
        <v>84300</v>
      </c>
      <c r="M1537" s="73">
        <f t="shared" si="1153"/>
        <v>95663.64</v>
      </c>
      <c r="N1537" s="73">
        <f t="shared" si="1153"/>
        <v>27987.599999999999</v>
      </c>
      <c r="O1537" s="12"/>
      <c r="P1537" s="142"/>
      <c r="Y1537" s="142"/>
      <c r="Z1537" s="104"/>
      <c r="AA1537" s="104"/>
    </row>
    <row r="1538" spans="1:27">
      <c r="A1538" s="412"/>
      <c r="B1538" s="28" t="s">
        <v>79</v>
      </c>
      <c r="C1538" s="73">
        <v>164000</v>
      </c>
      <c r="D1538" s="73">
        <v>109880</v>
      </c>
      <c r="E1538" s="73">
        <v>109880</v>
      </c>
      <c r="F1538" s="73">
        <v>328000</v>
      </c>
      <c r="G1538" s="73">
        <f>G1533*2</f>
        <v>242663.6</v>
      </c>
      <c r="H1538" s="73">
        <f>H1533*2</f>
        <v>220143.8</v>
      </c>
      <c r="I1538" s="73">
        <f>I1533*2</f>
        <v>242663.6</v>
      </c>
      <c r="J1538" s="73">
        <v>328000</v>
      </c>
      <c r="K1538" s="73">
        <f>K1533*2</f>
        <v>264264.40000000002</v>
      </c>
      <c r="L1538" s="73">
        <v>328000</v>
      </c>
      <c r="M1538" s="73">
        <f>2*M1533</f>
        <v>352965.4</v>
      </c>
      <c r="N1538" s="84">
        <f>2*N1533</f>
        <v>109842</v>
      </c>
      <c r="O1538" s="12"/>
      <c r="Y1538" s="14"/>
      <c r="Z1538" s="104"/>
      <c r="AA1538" s="104"/>
    </row>
    <row r="1539" spans="1:27" s="64" customFormat="1">
      <c r="A1539" s="412"/>
      <c r="B1539" s="66" t="s">
        <v>8</v>
      </c>
      <c r="C1539" s="98">
        <f>SUM(C1536-555)</f>
        <v>4451</v>
      </c>
      <c r="D1539" s="98">
        <f>SUM(D1536-737)</f>
        <v>2463</v>
      </c>
      <c r="E1539" s="98">
        <f>SUM(E1536-739)</f>
        <v>2444</v>
      </c>
      <c r="F1539" s="98">
        <f>SUM(F1536-1216)</f>
        <v>8310</v>
      </c>
      <c r="G1539" s="98">
        <f>SUM(G1536-4316)</f>
        <v>684</v>
      </c>
      <c r="H1539" s="98">
        <f>SUM(H1536-1402)</f>
        <v>5587</v>
      </c>
      <c r="I1539" s="98">
        <f>SUM(I1536-(2785-2000))</f>
        <v>1215</v>
      </c>
      <c r="J1539" s="98">
        <f>SUM(J1536-1445)</f>
        <v>7749</v>
      </c>
      <c r="K1539" s="98">
        <f>SUM(K1536-346)</f>
        <v>2625</v>
      </c>
      <c r="L1539" s="98">
        <f>SUM(L1536-1152)</f>
        <v>1348</v>
      </c>
      <c r="M1539" s="98">
        <f>SUM(M1536-(3226-2614))</f>
        <v>2225</v>
      </c>
      <c r="N1539" s="103">
        <f>SUM(N1536-46)</f>
        <v>784</v>
      </c>
      <c r="O1539" s="12"/>
      <c r="P1539" s="175"/>
      <c r="Q1539" s="67"/>
      <c r="R1539" s="67"/>
      <c r="S1539" s="67"/>
      <c r="T1539" s="67"/>
      <c r="U1539" s="67"/>
      <c r="V1539" s="67"/>
      <c r="W1539" s="67"/>
    </row>
    <row r="1540" spans="1:27">
      <c r="A1540" s="412"/>
      <c r="B1540" s="29" t="s">
        <v>77</v>
      </c>
      <c r="C1540" s="75">
        <f>C1539*33.72</f>
        <v>150087.72</v>
      </c>
      <c r="D1540" s="75">
        <f>D1539*33.72</f>
        <v>83052.36</v>
      </c>
      <c r="E1540" s="75">
        <f>E1539*33.72</f>
        <v>82411.679999999993</v>
      </c>
      <c r="F1540" s="75">
        <f>F1539*33.72</f>
        <v>280213.2</v>
      </c>
      <c r="G1540" s="75">
        <f>G1539*33.72*2</f>
        <v>46128.959999999999</v>
      </c>
      <c r="H1540" s="75">
        <f>H1539*33.72</f>
        <v>188393.63999999998</v>
      </c>
      <c r="I1540" s="75">
        <f>I1539*33.72</f>
        <v>40969.799999999996</v>
      </c>
      <c r="J1540" s="75">
        <f>J1539*33.72</f>
        <v>261296.28</v>
      </c>
      <c r="K1540" s="75">
        <f>K1539*33.72</f>
        <v>88515</v>
      </c>
      <c r="L1540" s="75">
        <f>L1539*33.72</f>
        <v>45454.559999999998</v>
      </c>
      <c r="M1540" s="75">
        <f>M1539*33.72*2</f>
        <v>150054</v>
      </c>
      <c r="N1540" s="11">
        <f>N1539*33.72</f>
        <v>26436.48</v>
      </c>
      <c r="O1540" s="12"/>
      <c r="P1540" s="175"/>
    </row>
    <row r="1541" spans="1:27" ht="15.75" thickBot="1">
      <c r="A1541" s="412"/>
      <c r="B1541" s="30" t="s">
        <v>10</v>
      </c>
      <c r="C1541" s="71">
        <f>C1539*33.7/C1533</f>
        <v>1.2951376656927147</v>
      </c>
      <c r="D1541" s="71">
        <f t="shared" ref="D1541:N1541" si="1154">D1539*33.7/D1533</f>
        <v>0.83806214957941971</v>
      </c>
      <c r="E1541" s="78">
        <f t="shared" si="1154"/>
        <v>0.83159719592858372</v>
      </c>
      <c r="F1541" s="78">
        <f t="shared" si="1154"/>
        <v>1.5387383803540484</v>
      </c>
      <c r="G1541" s="78">
        <f t="shared" si="1154"/>
        <v>0.18998152174450558</v>
      </c>
      <c r="H1541" s="78">
        <f t="shared" si="1154"/>
        <v>1.7105355681150234</v>
      </c>
      <c r="I1541" s="78">
        <f t="shared" si="1154"/>
        <v>0.33746717678300331</v>
      </c>
      <c r="J1541" s="78">
        <f t="shared" si="1154"/>
        <v>1.5274315133393697</v>
      </c>
      <c r="K1541" s="78">
        <f t="shared" si="1154"/>
        <v>0.66949994021139436</v>
      </c>
      <c r="L1541" s="78">
        <f t="shared" si="1154"/>
        <v>0.74881605646664773</v>
      </c>
      <c r="M1541" s="79">
        <f t="shared" si="1154"/>
        <v>0.42487167297417816</v>
      </c>
      <c r="N1541" s="26">
        <f t="shared" si="1154"/>
        <v>0.48106917208353822</v>
      </c>
      <c r="O1541" s="12"/>
      <c r="P1541" s="175"/>
    </row>
    <row r="1542" spans="1:27" ht="15.75" customHeight="1" thickBot="1">
      <c r="A1542" s="424" t="s">
        <v>83</v>
      </c>
      <c r="B1542" s="425"/>
      <c r="C1542" s="76">
        <f>MIN(2*C1533,C1538)-C1540</f>
        <v>13912.279999999999</v>
      </c>
      <c r="D1542" s="76">
        <f t="shared" ref="D1542:N1542" si="1155">MIN(2*D1533,D1538)-D1540</f>
        <v>26827.64</v>
      </c>
      <c r="E1542" s="76">
        <f t="shared" si="1155"/>
        <v>27468.320000000007</v>
      </c>
      <c r="F1542" s="76">
        <f t="shared" si="1155"/>
        <v>47786.799999999988</v>
      </c>
      <c r="G1542" s="76">
        <f t="shared" si="1155"/>
        <v>196534.64</v>
      </c>
      <c r="H1542" s="76">
        <f t="shared" si="1155"/>
        <v>31750.160000000003</v>
      </c>
      <c r="I1542" s="76">
        <f t="shared" si="1155"/>
        <v>201693.80000000002</v>
      </c>
      <c r="J1542" s="76">
        <f t="shared" si="1155"/>
        <v>66703.72</v>
      </c>
      <c r="K1542" s="76">
        <f t="shared" si="1155"/>
        <v>175749.40000000002</v>
      </c>
      <c r="L1542" s="76">
        <f t="shared" si="1155"/>
        <v>75877.240000000005</v>
      </c>
      <c r="M1542" s="76">
        <f t="shared" si="1155"/>
        <v>202911.40000000002</v>
      </c>
      <c r="N1542" s="22">
        <f t="shared" si="1155"/>
        <v>83405.52</v>
      </c>
      <c r="O1542" s="12"/>
      <c r="P1542" s="175"/>
    </row>
    <row r="1543" spans="1:27" ht="15.75" thickBot="1">
      <c r="A1543" s="368">
        <v>41012</v>
      </c>
      <c r="B1543" s="368"/>
      <c r="C1543" s="368"/>
      <c r="N1543" s="15"/>
    </row>
    <row r="1544" spans="1:27">
      <c r="A1544" s="407" t="s">
        <v>1</v>
      </c>
      <c r="B1544" s="420"/>
      <c r="C1544" s="68" t="s">
        <v>12</v>
      </c>
      <c r="D1544" s="68" t="s">
        <v>12</v>
      </c>
      <c r="E1544" s="68" t="s">
        <v>13</v>
      </c>
      <c r="F1544" s="68" t="s">
        <v>13</v>
      </c>
      <c r="G1544" s="68" t="s">
        <v>13</v>
      </c>
      <c r="H1544" s="68" t="s">
        <v>13</v>
      </c>
      <c r="I1544" s="68" t="s">
        <v>13</v>
      </c>
      <c r="J1544" s="68" t="s">
        <v>2</v>
      </c>
      <c r="K1544" s="68" t="s">
        <v>2</v>
      </c>
      <c r="L1544" s="68" t="s">
        <v>2</v>
      </c>
      <c r="M1544" s="68" t="s">
        <v>2</v>
      </c>
      <c r="N1544" s="4" t="s">
        <v>84</v>
      </c>
      <c r="P1544" s="174"/>
      <c r="Q1544" s="175"/>
      <c r="R1544" s="175"/>
      <c r="S1544" s="175"/>
      <c r="T1544" s="175"/>
      <c r="U1544" s="175"/>
      <c r="V1544" s="175"/>
      <c r="W1544" s="175"/>
      <c r="X1544" s="175"/>
      <c r="Y1544" s="174"/>
      <c r="Z1544" s="175"/>
      <c r="AA1544" s="175"/>
    </row>
    <row r="1545" spans="1:27" ht="15.75" thickBot="1">
      <c r="A1545" s="409" t="s">
        <v>0</v>
      </c>
      <c r="B1545" s="414"/>
      <c r="C1545" s="99" t="s">
        <v>102</v>
      </c>
      <c r="D1545" s="99" t="s">
        <v>103</v>
      </c>
      <c r="E1545" s="99" t="s">
        <v>104</v>
      </c>
      <c r="F1545" s="99" t="s">
        <v>105</v>
      </c>
      <c r="G1545" s="99" t="s">
        <v>100</v>
      </c>
      <c r="H1545" s="99" t="s">
        <v>107</v>
      </c>
      <c r="I1545" s="99" t="s">
        <v>106</v>
      </c>
      <c r="J1545" s="99" t="s">
        <v>108</v>
      </c>
      <c r="K1545" s="99" t="s">
        <v>110</v>
      </c>
      <c r="L1545" s="99" t="s">
        <v>101</v>
      </c>
      <c r="M1545" s="99" t="s">
        <v>109</v>
      </c>
      <c r="N1545" s="101" t="s">
        <v>111</v>
      </c>
      <c r="P1545" s="142"/>
      <c r="Y1545" s="142"/>
      <c r="Z1545" s="104"/>
      <c r="AA1545" s="104"/>
    </row>
    <row r="1546" spans="1:27" ht="15" customHeight="1">
      <c r="A1546" s="421" t="s">
        <v>9</v>
      </c>
      <c r="B1546" s="2" t="s">
        <v>4</v>
      </c>
      <c r="C1546" s="96">
        <v>115816.8</v>
      </c>
      <c r="D1546" s="96">
        <v>99041.7</v>
      </c>
      <c r="E1546" s="96">
        <v>99041.7</v>
      </c>
      <c r="F1546" s="96">
        <v>154422.39999999999</v>
      </c>
      <c r="G1546" s="96">
        <v>121331.8</v>
      </c>
      <c r="H1546" s="96">
        <v>110071.9</v>
      </c>
      <c r="I1546" s="96">
        <v>121331.8</v>
      </c>
      <c r="J1546" s="96">
        <v>170967.6</v>
      </c>
      <c r="K1546" s="96">
        <v>54921</v>
      </c>
      <c r="L1546" s="96">
        <v>60665.9</v>
      </c>
      <c r="M1546" s="96">
        <v>176482.7</v>
      </c>
      <c r="N1546" s="100">
        <v>54921</v>
      </c>
      <c r="O1546" s="12"/>
      <c r="P1546" s="142"/>
      <c r="Y1546" s="142"/>
      <c r="Z1546" s="104"/>
      <c r="AA1546" s="104"/>
    </row>
    <row r="1547" spans="1:27" s="64" customFormat="1">
      <c r="A1547" s="422"/>
      <c r="B1547" s="63" t="s">
        <v>5</v>
      </c>
      <c r="C1547" s="97">
        <v>86753.4</v>
      </c>
      <c r="D1547" s="97">
        <v>65997.899999999994</v>
      </c>
      <c r="E1547" s="97">
        <v>67375.600000000006</v>
      </c>
      <c r="F1547" s="97">
        <v>132635.4</v>
      </c>
      <c r="G1547" s="97">
        <v>6564</v>
      </c>
      <c r="H1547" s="97">
        <v>31427.7</v>
      </c>
      <c r="I1547" s="97">
        <v>20260.5</v>
      </c>
      <c r="J1547" s="97">
        <v>123067.5</v>
      </c>
      <c r="K1547" s="97">
        <v>27857.9</v>
      </c>
      <c r="L1547" s="97">
        <v>3423.2</v>
      </c>
      <c r="M1547" s="97">
        <v>79317.100000000006</v>
      </c>
      <c r="N1547" s="102">
        <v>23186.1</v>
      </c>
      <c r="O1547" s="12"/>
      <c r="P1547" s="142"/>
      <c r="Q1547" s="104"/>
      <c r="R1547" s="104"/>
      <c r="S1547" s="104"/>
      <c r="T1547" s="104"/>
      <c r="U1547" s="104"/>
      <c r="V1547" s="104"/>
      <c r="W1547" s="104"/>
      <c r="X1547" s="104"/>
      <c r="Y1547" s="142"/>
      <c r="Z1547" s="104"/>
      <c r="AA1547" s="104"/>
    </row>
    <row r="1548" spans="1:27" ht="15.75" thickBot="1">
      <c r="A1548" s="423"/>
      <c r="B1548" s="3" t="s">
        <v>3</v>
      </c>
      <c r="C1548" s="71">
        <f>C1547/C1546</f>
        <v>0.74905713160784959</v>
      </c>
      <c r="D1548" s="72">
        <f t="shared" ref="D1548:F1548" si="1156">D1547/D1546</f>
        <v>0.66636477362565461</v>
      </c>
      <c r="E1548" s="72">
        <f t="shared" si="1156"/>
        <v>0.68027507605382387</v>
      </c>
      <c r="F1548" s="72">
        <f t="shared" si="1156"/>
        <v>0.85891295563337966</v>
      </c>
      <c r="G1548" s="72">
        <f>G1547/G1546</f>
        <v>5.4099584774972433E-2</v>
      </c>
      <c r="H1548" s="72">
        <f t="shared" ref="H1548:N1548" si="1157">H1547/H1546</f>
        <v>0.28551973755336285</v>
      </c>
      <c r="I1548" s="72">
        <f t="shared" si="1157"/>
        <v>0.16698425309770398</v>
      </c>
      <c r="J1548" s="72">
        <f t="shared" si="1157"/>
        <v>0.71982937117910062</v>
      </c>
      <c r="K1548" s="72">
        <f t="shared" si="1157"/>
        <v>0.50723584785419062</v>
      </c>
      <c r="L1548" s="72">
        <f t="shared" si="1157"/>
        <v>5.6427086715931024E-2</v>
      </c>
      <c r="M1548" s="72">
        <f t="shared" si="1157"/>
        <v>0.44943272060094275</v>
      </c>
      <c r="N1548" s="83">
        <f t="shared" si="1157"/>
        <v>0.42217184683454412</v>
      </c>
      <c r="O1548" s="12"/>
      <c r="Y1548" s="14"/>
      <c r="Z1548" s="104"/>
      <c r="AA1548" s="104"/>
    </row>
    <row r="1549" spans="1:27" ht="15" customHeight="1">
      <c r="A1549" s="411" t="s">
        <v>6</v>
      </c>
      <c r="B1549" s="27" t="s">
        <v>7</v>
      </c>
      <c r="C1549" s="68">
        <v>5006</v>
      </c>
      <c r="D1549" s="68">
        <v>3200</v>
      </c>
      <c r="E1549" s="68">
        <v>3183</v>
      </c>
      <c r="F1549" s="68">
        <v>9526</v>
      </c>
      <c r="G1549" s="68">
        <v>5000</v>
      </c>
      <c r="H1549" s="68">
        <v>6989</v>
      </c>
      <c r="I1549" s="68">
        <f>(4000-2000)</f>
        <v>2000</v>
      </c>
      <c r="J1549" s="68">
        <v>9194</v>
      </c>
      <c r="K1549" s="68">
        <v>2971</v>
      </c>
      <c r="L1549" s="68">
        <v>2500</v>
      </c>
      <c r="M1549" s="68">
        <f>5451-2614</f>
        <v>2837</v>
      </c>
      <c r="N1549" s="80">
        <v>830</v>
      </c>
      <c r="O1549" s="12"/>
      <c r="P1549" s="142"/>
      <c r="Y1549" s="142"/>
      <c r="Z1549" s="104"/>
      <c r="AA1549" s="104"/>
    </row>
    <row r="1550" spans="1:27">
      <c r="A1550" s="412"/>
      <c r="B1550" s="28" t="s">
        <v>11</v>
      </c>
      <c r="C1550" s="73">
        <f t="shared" ref="C1550:I1550" si="1158">C1549*33.72</f>
        <v>168802.32</v>
      </c>
      <c r="D1550" s="73">
        <f t="shared" si="1158"/>
        <v>107904</v>
      </c>
      <c r="E1550" s="73">
        <f t="shared" si="1158"/>
        <v>107330.76</v>
      </c>
      <c r="F1550" s="73">
        <f t="shared" si="1158"/>
        <v>321216.71999999997</v>
      </c>
      <c r="G1550" s="73">
        <f t="shared" si="1158"/>
        <v>168600</v>
      </c>
      <c r="H1550" s="73">
        <f t="shared" si="1158"/>
        <v>235669.08</v>
      </c>
      <c r="I1550" s="73">
        <f t="shared" si="1158"/>
        <v>67440</v>
      </c>
      <c r="J1550" s="73">
        <f>J1549*33.72</f>
        <v>310021.68</v>
      </c>
      <c r="K1550" s="73">
        <f t="shared" ref="K1550:N1550" si="1159">K1549*33.72</f>
        <v>100182.12</v>
      </c>
      <c r="L1550" s="73">
        <f t="shared" si="1159"/>
        <v>84300</v>
      </c>
      <c r="M1550" s="73">
        <f t="shared" si="1159"/>
        <v>95663.64</v>
      </c>
      <c r="N1550" s="73">
        <f t="shared" si="1159"/>
        <v>27987.599999999999</v>
      </c>
      <c r="O1550" s="12"/>
      <c r="P1550" s="142"/>
      <c r="Y1550" s="142"/>
      <c r="Z1550" s="104"/>
      <c r="AA1550" s="104"/>
    </row>
    <row r="1551" spans="1:27">
      <c r="A1551" s="412"/>
      <c r="B1551" s="28" t="s">
        <v>79</v>
      </c>
      <c r="C1551" s="73">
        <v>164000</v>
      </c>
      <c r="D1551" s="73">
        <v>109880</v>
      </c>
      <c r="E1551" s="73">
        <v>109880</v>
      </c>
      <c r="F1551" s="73">
        <v>328000</v>
      </c>
      <c r="G1551" s="73">
        <f>G1546*2</f>
        <v>242663.6</v>
      </c>
      <c r="H1551" s="73">
        <f>H1546*2</f>
        <v>220143.8</v>
      </c>
      <c r="I1551" s="73">
        <f>I1546*2</f>
        <v>242663.6</v>
      </c>
      <c r="J1551" s="73">
        <v>328000</v>
      </c>
      <c r="K1551" s="73">
        <f>K1546*2</f>
        <v>109842</v>
      </c>
      <c r="L1551" s="73">
        <v>328000</v>
      </c>
      <c r="M1551" s="73">
        <f>2*M1546</f>
        <v>352965.4</v>
      </c>
      <c r="N1551" s="84">
        <f>2*N1546</f>
        <v>109842</v>
      </c>
      <c r="O1551" s="12"/>
      <c r="Y1551" s="14"/>
      <c r="Z1551" s="104"/>
      <c r="AA1551" s="104"/>
    </row>
    <row r="1552" spans="1:27" s="64" customFormat="1">
      <c r="A1552" s="412"/>
      <c r="B1552" s="66" t="s">
        <v>8</v>
      </c>
      <c r="C1552" s="98">
        <f>SUM(C1549-429)</f>
        <v>4577</v>
      </c>
      <c r="D1552" s="98">
        <f>SUM(D1549-737)</f>
        <v>2463</v>
      </c>
      <c r="E1552" s="98">
        <f>SUM(E1549-690)</f>
        <v>2493</v>
      </c>
      <c r="F1552" s="98">
        <f>SUM(F1549-1224)</f>
        <v>8302</v>
      </c>
      <c r="G1552" s="98">
        <f>SUM(G1549-4316)</f>
        <v>684</v>
      </c>
      <c r="H1552" s="98">
        <f>SUM(H1549-1401)</f>
        <v>5588</v>
      </c>
      <c r="I1552" s="98">
        <f>SUM(I1549-(2785-2000))</f>
        <v>1215</v>
      </c>
      <c r="J1552" s="98">
        <f>SUM(J1549-1445)</f>
        <v>7749</v>
      </c>
      <c r="K1552" s="98">
        <f>SUM(K1549-1009)</f>
        <v>1962</v>
      </c>
      <c r="L1552" s="98">
        <f>SUM(L1549-1213)</f>
        <v>1287</v>
      </c>
      <c r="M1552" s="98">
        <f>SUM(M1549-(3226-2614))</f>
        <v>2225</v>
      </c>
      <c r="N1552" s="103">
        <f>SUM(N1549-46)</f>
        <v>784</v>
      </c>
      <c r="O1552" s="12"/>
      <c r="P1552" s="175"/>
      <c r="Q1552" s="67"/>
      <c r="R1552" s="67"/>
      <c r="S1552" s="67"/>
      <c r="T1552" s="67"/>
      <c r="U1552" s="67"/>
      <c r="V1552" s="67"/>
      <c r="W1552" s="67"/>
    </row>
    <row r="1553" spans="1:27">
      <c r="A1553" s="412"/>
      <c r="B1553" s="29" t="s">
        <v>77</v>
      </c>
      <c r="C1553" s="75">
        <f>C1552*33.72</f>
        <v>154336.44</v>
      </c>
      <c r="D1553" s="75">
        <f>D1552*33.72</f>
        <v>83052.36</v>
      </c>
      <c r="E1553" s="75">
        <f>E1552*33.72</f>
        <v>84063.959999999992</v>
      </c>
      <c r="F1553" s="75">
        <f>F1552*33.72</f>
        <v>279943.44</v>
      </c>
      <c r="G1553" s="75">
        <f>G1552*33.72*2</f>
        <v>46128.959999999999</v>
      </c>
      <c r="H1553" s="75">
        <f>H1552*33.72</f>
        <v>188427.36</v>
      </c>
      <c r="I1553" s="75">
        <f>I1552*33.72</f>
        <v>40969.799999999996</v>
      </c>
      <c r="J1553" s="75">
        <f>J1552*33.72</f>
        <v>261296.28</v>
      </c>
      <c r="K1553" s="75">
        <f>K1552*33.72</f>
        <v>66158.64</v>
      </c>
      <c r="L1553" s="75">
        <f>L1552*33.72</f>
        <v>43397.64</v>
      </c>
      <c r="M1553" s="75">
        <f>M1552*33.72*2</f>
        <v>150054</v>
      </c>
      <c r="N1553" s="11">
        <f>N1552*33.72</f>
        <v>26436.48</v>
      </c>
      <c r="O1553" s="12"/>
      <c r="P1553" s="175"/>
    </row>
    <row r="1554" spans="1:27" ht="15.75" thickBot="1">
      <c r="A1554" s="412"/>
      <c r="B1554" s="30" t="s">
        <v>10</v>
      </c>
      <c r="C1554" s="71">
        <f>C1552*33.7/C1546</f>
        <v>1.3318007404797925</v>
      </c>
      <c r="D1554" s="71">
        <f t="shared" ref="D1554:N1554" si="1160">D1552*33.7/D1546</f>
        <v>0.83806214957941971</v>
      </c>
      <c r="E1554" s="78">
        <f t="shared" si="1160"/>
        <v>0.84826997113337121</v>
      </c>
      <c r="F1554" s="78">
        <f t="shared" si="1160"/>
        <v>1.8117669457280812</v>
      </c>
      <c r="G1554" s="78">
        <f t="shared" si="1160"/>
        <v>0.18998152174450558</v>
      </c>
      <c r="H1554" s="78">
        <f t="shared" si="1160"/>
        <v>1.710841731631779</v>
      </c>
      <c r="I1554" s="78">
        <f t="shared" si="1160"/>
        <v>0.33746717678300331</v>
      </c>
      <c r="J1554" s="78">
        <f t="shared" si="1160"/>
        <v>1.5274315133393697</v>
      </c>
      <c r="K1554" s="78">
        <f t="shared" si="1160"/>
        <v>1.203900147484569</v>
      </c>
      <c r="L1554" s="78">
        <f t="shared" si="1160"/>
        <v>0.7149304634069551</v>
      </c>
      <c r="M1554" s="79">
        <f t="shared" si="1160"/>
        <v>0.42487167297417816</v>
      </c>
      <c r="N1554" s="26">
        <f t="shared" si="1160"/>
        <v>0.48106917208353822</v>
      </c>
      <c r="O1554" s="12"/>
      <c r="P1554" s="175"/>
    </row>
    <row r="1555" spans="1:27" ht="15.75" customHeight="1" thickBot="1">
      <c r="A1555" s="424" t="s">
        <v>83</v>
      </c>
      <c r="B1555" s="425"/>
      <c r="C1555" s="76">
        <f>MIN(2*C1546,C1551)-C1553</f>
        <v>9663.5599999999977</v>
      </c>
      <c r="D1555" s="76">
        <f t="shared" ref="D1555:N1555" si="1161">MIN(2*D1546,D1551)-D1553</f>
        <v>26827.64</v>
      </c>
      <c r="E1555" s="76">
        <f t="shared" si="1161"/>
        <v>25816.040000000008</v>
      </c>
      <c r="F1555" s="76">
        <f t="shared" si="1161"/>
        <v>28901.359999999986</v>
      </c>
      <c r="G1555" s="76">
        <f t="shared" si="1161"/>
        <v>196534.64</v>
      </c>
      <c r="H1555" s="76">
        <f t="shared" si="1161"/>
        <v>31716.440000000002</v>
      </c>
      <c r="I1555" s="76">
        <f t="shared" si="1161"/>
        <v>201693.80000000002</v>
      </c>
      <c r="J1555" s="76">
        <f t="shared" si="1161"/>
        <v>66703.72</v>
      </c>
      <c r="K1555" s="76">
        <f t="shared" si="1161"/>
        <v>43683.360000000001</v>
      </c>
      <c r="L1555" s="76">
        <f t="shared" si="1161"/>
        <v>77934.16</v>
      </c>
      <c r="M1555" s="76">
        <f t="shared" si="1161"/>
        <v>202911.40000000002</v>
      </c>
      <c r="N1555" s="22">
        <f t="shared" si="1161"/>
        <v>83405.52</v>
      </c>
      <c r="O1555" s="12"/>
      <c r="P1555" s="175"/>
    </row>
    <row r="1556" spans="1:27" ht="15.75" thickBot="1">
      <c r="A1556" s="368">
        <v>41011</v>
      </c>
      <c r="B1556" s="368"/>
      <c r="C1556" s="368"/>
      <c r="N1556" s="15"/>
      <c r="P1556" s="175"/>
    </row>
    <row r="1557" spans="1:27">
      <c r="A1557" s="407" t="s">
        <v>1</v>
      </c>
      <c r="B1557" s="420"/>
      <c r="C1557" s="68" t="s">
        <v>12</v>
      </c>
      <c r="D1557" s="68" t="s">
        <v>12</v>
      </c>
      <c r="E1557" s="68" t="s">
        <v>13</v>
      </c>
      <c r="F1557" s="68" t="s">
        <v>13</v>
      </c>
      <c r="G1557" s="68" t="s">
        <v>13</v>
      </c>
      <c r="H1557" s="68" t="s">
        <v>13</v>
      </c>
      <c r="I1557" s="68" t="s">
        <v>13</v>
      </c>
      <c r="J1557" s="68" t="s">
        <v>2</v>
      </c>
      <c r="K1557" s="68" t="s">
        <v>2</v>
      </c>
      <c r="L1557" s="68" t="s">
        <v>2</v>
      </c>
      <c r="M1557" s="68" t="s">
        <v>2</v>
      </c>
      <c r="N1557" s="4" t="s">
        <v>84</v>
      </c>
      <c r="P1557" s="174"/>
      <c r="Q1557" s="142"/>
      <c r="R1557" s="142"/>
      <c r="S1557" s="142"/>
      <c r="T1557" s="14"/>
      <c r="U1557" s="142"/>
      <c r="V1557" s="142"/>
      <c r="W1557" s="14"/>
      <c r="X1557" s="142"/>
      <c r="Y1557" s="142"/>
      <c r="Z1557" s="14"/>
      <c r="AA1557" s="142"/>
    </row>
    <row r="1558" spans="1:27" ht="15.75" thickBot="1">
      <c r="A1558" s="409" t="s">
        <v>0</v>
      </c>
      <c r="B1558" s="414"/>
      <c r="C1558" s="99" t="s">
        <v>102</v>
      </c>
      <c r="D1558" s="99" t="s">
        <v>103</v>
      </c>
      <c r="E1558" s="99" t="s">
        <v>104</v>
      </c>
      <c r="F1558" s="99" t="s">
        <v>105</v>
      </c>
      <c r="G1558" s="99" t="s">
        <v>100</v>
      </c>
      <c r="H1558" s="99" t="s">
        <v>107</v>
      </c>
      <c r="I1558" s="99" t="s">
        <v>106</v>
      </c>
      <c r="J1558" s="99" t="s">
        <v>108</v>
      </c>
      <c r="K1558" s="99" t="s">
        <v>110</v>
      </c>
      <c r="L1558" s="99" t="s">
        <v>101</v>
      </c>
      <c r="M1558" s="99" t="s">
        <v>109</v>
      </c>
      <c r="N1558" s="101" t="s">
        <v>111</v>
      </c>
      <c r="P1558" s="175"/>
      <c r="Y1558" s="104"/>
      <c r="Z1558" s="104"/>
      <c r="AA1558" s="104"/>
    </row>
    <row r="1559" spans="1:27" ht="15" customHeight="1">
      <c r="A1559" s="421" t="s">
        <v>9</v>
      </c>
      <c r="B1559" s="2" t="s">
        <v>4</v>
      </c>
      <c r="C1559" s="96">
        <v>115816.8</v>
      </c>
      <c r="D1559" s="96">
        <v>99041.7</v>
      </c>
      <c r="E1559" s="96">
        <v>99041.7</v>
      </c>
      <c r="F1559" s="96">
        <v>154422.39999999999</v>
      </c>
      <c r="G1559" s="96">
        <v>121331.8</v>
      </c>
      <c r="H1559" s="96">
        <v>110071.9</v>
      </c>
      <c r="I1559" s="96">
        <v>121331.8</v>
      </c>
      <c r="J1559" s="96">
        <v>170967.6</v>
      </c>
      <c r="K1559" s="96">
        <v>54921</v>
      </c>
      <c r="L1559" s="96">
        <v>60665.9</v>
      </c>
      <c r="M1559" s="96">
        <v>176482.7</v>
      </c>
      <c r="N1559" s="100">
        <v>54921</v>
      </c>
      <c r="O1559" s="12"/>
      <c r="P1559" s="175"/>
      <c r="Y1559" s="104"/>
      <c r="Z1559" s="104"/>
      <c r="AA1559" s="104"/>
    </row>
    <row r="1560" spans="1:27" s="64" customFormat="1">
      <c r="A1560" s="422"/>
      <c r="B1560" s="63" t="s">
        <v>5</v>
      </c>
      <c r="C1560" s="97">
        <v>86715.4</v>
      </c>
      <c r="D1560" s="97">
        <v>65988</v>
      </c>
      <c r="E1560" s="97">
        <v>67365.7</v>
      </c>
      <c r="F1560" s="97">
        <v>132539.9</v>
      </c>
      <c r="G1560" s="97">
        <v>4736.5</v>
      </c>
      <c r="H1560" s="97">
        <v>31352.1</v>
      </c>
      <c r="I1560" s="97">
        <v>20250.7</v>
      </c>
      <c r="J1560" s="97">
        <v>122616.3</v>
      </c>
      <c r="K1560" s="97">
        <v>27849.7</v>
      </c>
      <c r="L1560" s="97">
        <v>3418.3</v>
      </c>
      <c r="M1560" s="97">
        <v>79301.8</v>
      </c>
      <c r="N1560" s="102">
        <v>23185.599999999999</v>
      </c>
      <c r="O1560" s="12"/>
      <c r="P1560" s="104"/>
      <c r="Q1560" s="104"/>
      <c r="R1560" s="104"/>
      <c r="S1560" s="104"/>
      <c r="T1560" s="104"/>
      <c r="U1560" s="104"/>
      <c r="V1560" s="104"/>
      <c r="W1560" s="104"/>
      <c r="X1560" s="104"/>
      <c r="Y1560" s="104"/>
      <c r="Z1560" s="104"/>
      <c r="AA1560" s="104"/>
    </row>
    <row r="1561" spans="1:27" ht="15.75" thickBot="1">
      <c r="A1561" s="423"/>
      <c r="B1561" s="3" t="s">
        <v>3</v>
      </c>
      <c r="C1561" s="71">
        <f>C1560/C1559</f>
        <v>0.74872902722230272</v>
      </c>
      <c r="D1561" s="72">
        <f t="shared" ref="D1561:F1561" si="1162">D1560/D1559</f>
        <v>0.66626481572913232</v>
      </c>
      <c r="E1561" s="72">
        <f t="shared" si="1162"/>
        <v>0.68017511815730136</v>
      </c>
      <c r="F1561" s="72">
        <f t="shared" si="1162"/>
        <v>0.85829452203825352</v>
      </c>
      <c r="G1561" s="72">
        <f>G1560/G1559</f>
        <v>3.9037581244158577E-2</v>
      </c>
      <c r="H1561" s="72">
        <f t="shared" ref="H1561:N1561" si="1163">H1560/H1559</f>
        <v>0.28483291375909747</v>
      </c>
      <c r="I1561" s="72">
        <f t="shared" si="1163"/>
        <v>0.16690348284621179</v>
      </c>
      <c r="J1561" s="72">
        <f t="shared" si="1163"/>
        <v>0.71719027464852991</v>
      </c>
      <c r="K1561" s="72">
        <f t="shared" si="1163"/>
        <v>0.50708654248830143</v>
      </c>
      <c r="L1561" s="72">
        <f t="shared" si="1163"/>
        <v>5.6346316464438835E-2</v>
      </c>
      <c r="M1561" s="72">
        <f t="shared" si="1163"/>
        <v>0.44934602655104439</v>
      </c>
      <c r="N1561" s="83">
        <f t="shared" si="1163"/>
        <v>0.42216274284881916</v>
      </c>
      <c r="O1561" s="12"/>
    </row>
    <row r="1562" spans="1:27" ht="15" customHeight="1">
      <c r="A1562" s="411" t="s">
        <v>6</v>
      </c>
      <c r="B1562" s="27" t="s">
        <v>7</v>
      </c>
      <c r="C1562" s="68">
        <v>5006</v>
      </c>
      <c r="D1562" s="68">
        <v>3200</v>
      </c>
      <c r="E1562" s="68">
        <v>3183</v>
      </c>
      <c r="F1562" s="68">
        <v>9526</v>
      </c>
      <c r="G1562" s="68">
        <v>5000</v>
      </c>
      <c r="H1562" s="68">
        <v>6989</v>
      </c>
      <c r="I1562" s="68">
        <f>(4000-2000)</f>
        <v>2000</v>
      </c>
      <c r="J1562" s="68">
        <v>9194</v>
      </c>
      <c r="K1562" s="68">
        <v>2971</v>
      </c>
      <c r="L1562" s="68">
        <v>2500</v>
      </c>
      <c r="M1562" s="68">
        <f>5451-2614</f>
        <v>2837</v>
      </c>
      <c r="N1562" s="80">
        <v>830</v>
      </c>
      <c r="O1562" s="12"/>
    </row>
    <row r="1563" spans="1:27">
      <c r="A1563" s="412"/>
      <c r="B1563" s="28" t="s">
        <v>11</v>
      </c>
      <c r="C1563" s="73">
        <f t="shared" ref="C1563:I1563" si="1164">C1562*33.72</f>
        <v>168802.32</v>
      </c>
      <c r="D1563" s="73">
        <f t="shared" si="1164"/>
        <v>107904</v>
      </c>
      <c r="E1563" s="73">
        <f t="shared" si="1164"/>
        <v>107330.76</v>
      </c>
      <c r="F1563" s="73">
        <f t="shared" si="1164"/>
        <v>321216.71999999997</v>
      </c>
      <c r="G1563" s="73">
        <f t="shared" si="1164"/>
        <v>168600</v>
      </c>
      <c r="H1563" s="73">
        <f t="shared" si="1164"/>
        <v>235669.08</v>
      </c>
      <c r="I1563" s="73">
        <f t="shared" si="1164"/>
        <v>67440</v>
      </c>
      <c r="J1563" s="73">
        <f>J1562*33.72</f>
        <v>310021.68</v>
      </c>
      <c r="K1563" s="73">
        <f t="shared" ref="K1563:N1563" si="1165">K1562*33.72</f>
        <v>100182.12</v>
      </c>
      <c r="L1563" s="73">
        <f t="shared" si="1165"/>
        <v>84300</v>
      </c>
      <c r="M1563" s="73">
        <f t="shared" si="1165"/>
        <v>95663.64</v>
      </c>
      <c r="N1563" s="73">
        <f t="shared" si="1165"/>
        <v>27987.599999999999</v>
      </c>
      <c r="O1563" s="12"/>
    </row>
    <row r="1564" spans="1:27">
      <c r="A1564" s="412"/>
      <c r="B1564" s="28" t="s">
        <v>79</v>
      </c>
      <c r="C1564" s="73">
        <v>164000</v>
      </c>
      <c r="D1564" s="73">
        <v>109880</v>
      </c>
      <c r="E1564" s="73">
        <v>109880</v>
      </c>
      <c r="F1564" s="73">
        <v>328000</v>
      </c>
      <c r="G1564" s="73">
        <f>G1559*2</f>
        <v>242663.6</v>
      </c>
      <c r="H1564" s="73">
        <f>H1559*2</f>
        <v>220143.8</v>
      </c>
      <c r="I1564" s="73">
        <f>I1559*2</f>
        <v>242663.6</v>
      </c>
      <c r="J1564" s="73">
        <v>328000</v>
      </c>
      <c r="K1564" s="73">
        <f>K1559*2</f>
        <v>109842</v>
      </c>
      <c r="L1564" s="73">
        <v>328000</v>
      </c>
      <c r="M1564" s="73">
        <f>2*M1559</f>
        <v>352965.4</v>
      </c>
      <c r="N1564" s="84">
        <f>2*N1559</f>
        <v>109842</v>
      </c>
      <c r="O1564" s="12"/>
    </row>
    <row r="1565" spans="1:27" s="64" customFormat="1">
      <c r="A1565" s="412"/>
      <c r="B1565" s="66" t="s">
        <v>8</v>
      </c>
      <c r="C1565" s="98">
        <f>SUM(C1562-450)</f>
        <v>4556</v>
      </c>
      <c r="D1565" s="98">
        <f>SUM(D1562-737)</f>
        <v>2463</v>
      </c>
      <c r="E1565" s="98">
        <f>SUM(E1562-690)</f>
        <v>2493</v>
      </c>
      <c r="F1565" s="98">
        <f>SUM(F1562-1224)</f>
        <v>8302</v>
      </c>
      <c r="G1565" s="98">
        <f>SUM(G1562-4398)</f>
        <v>602</v>
      </c>
      <c r="H1565" s="98">
        <f>SUM(H1562-1439)</f>
        <v>5550</v>
      </c>
      <c r="I1565" s="98">
        <f>SUM(I1562-(2785-2000))</f>
        <v>1215</v>
      </c>
      <c r="J1565" s="98">
        <f>SUM(J1562-1445)</f>
        <v>7749</v>
      </c>
      <c r="K1565" s="98">
        <f>SUM(K1562-1009)</f>
        <v>1962</v>
      </c>
      <c r="L1565" s="98">
        <f>SUM(L1562-1213)</f>
        <v>1287</v>
      </c>
      <c r="M1565" s="98">
        <f>SUM(M1562-(3226-2614))</f>
        <v>2225</v>
      </c>
      <c r="N1565" s="103">
        <f>SUM(N1562-46)</f>
        <v>784</v>
      </c>
      <c r="O1565" s="12"/>
      <c r="P1565" s="67"/>
      <c r="Q1565" s="67"/>
      <c r="R1565" s="67"/>
      <c r="S1565" s="67"/>
      <c r="T1565" s="67"/>
      <c r="U1565" s="67"/>
      <c r="V1565" s="67"/>
      <c r="W1565" s="67"/>
    </row>
    <row r="1566" spans="1:27">
      <c r="A1566" s="412"/>
      <c r="B1566" s="29" t="s">
        <v>77</v>
      </c>
      <c r="C1566" s="75">
        <f>C1565*33.72</f>
        <v>153628.32</v>
      </c>
      <c r="D1566" s="75">
        <f>D1565*33.72</f>
        <v>83052.36</v>
      </c>
      <c r="E1566" s="75">
        <f>E1565*33.72</f>
        <v>84063.959999999992</v>
      </c>
      <c r="F1566" s="75">
        <f>F1565*33.72</f>
        <v>279943.44</v>
      </c>
      <c r="G1566" s="75">
        <f>G1565*33.72*2</f>
        <v>40598.879999999997</v>
      </c>
      <c r="H1566" s="75">
        <f>H1565*33.72</f>
        <v>187146</v>
      </c>
      <c r="I1566" s="75">
        <f>I1565*33.72</f>
        <v>40969.799999999996</v>
      </c>
      <c r="J1566" s="75">
        <f>J1565*33.72</f>
        <v>261296.28</v>
      </c>
      <c r="K1566" s="75">
        <f>K1565*33.72</f>
        <v>66158.64</v>
      </c>
      <c r="L1566" s="75">
        <f>L1565*33.72</f>
        <v>43397.64</v>
      </c>
      <c r="M1566" s="75">
        <f>M1565*33.72*2</f>
        <v>150054</v>
      </c>
      <c r="N1566" s="11">
        <f>N1565*33.72</f>
        <v>26436.48</v>
      </c>
      <c r="O1566" s="12"/>
    </row>
    <row r="1567" spans="1:27" ht="15.75" thickBot="1">
      <c r="A1567" s="412"/>
      <c r="B1567" s="30" t="s">
        <v>10</v>
      </c>
      <c r="C1567" s="71">
        <f>C1565*33.7/C1559</f>
        <v>1.3256902280152794</v>
      </c>
      <c r="D1567" s="71">
        <f t="shared" ref="D1567:N1567" si="1166">D1565*33.7/D1559</f>
        <v>0.83806214957941971</v>
      </c>
      <c r="E1567" s="78">
        <f t="shared" si="1166"/>
        <v>0.84826997113337121</v>
      </c>
      <c r="F1567" s="78">
        <f t="shared" si="1166"/>
        <v>1.8117669457280812</v>
      </c>
      <c r="G1567" s="78">
        <f t="shared" si="1166"/>
        <v>0.16720595919618766</v>
      </c>
      <c r="H1567" s="78">
        <f t="shared" si="1166"/>
        <v>1.6992075179950563</v>
      </c>
      <c r="I1567" s="78">
        <f t="shared" si="1166"/>
        <v>0.33746717678300331</v>
      </c>
      <c r="J1567" s="78">
        <f t="shared" si="1166"/>
        <v>1.5274315133393697</v>
      </c>
      <c r="K1567" s="78">
        <f t="shared" si="1166"/>
        <v>1.203900147484569</v>
      </c>
      <c r="L1567" s="78">
        <f t="shared" si="1166"/>
        <v>0.7149304634069551</v>
      </c>
      <c r="M1567" s="79">
        <f t="shared" si="1166"/>
        <v>0.42487167297417816</v>
      </c>
      <c r="N1567" s="26">
        <f t="shared" si="1166"/>
        <v>0.48106917208353822</v>
      </c>
      <c r="O1567" s="12"/>
    </row>
    <row r="1568" spans="1:27" ht="15.75" customHeight="1" thickBot="1">
      <c r="A1568" s="424" t="s">
        <v>83</v>
      </c>
      <c r="B1568" s="425"/>
      <c r="C1568" s="76">
        <f>MIN(2*C1559,C1564)-C1566</f>
        <v>10371.679999999993</v>
      </c>
      <c r="D1568" s="76">
        <f t="shared" ref="D1568:N1568" si="1167">MIN(2*D1559,D1564)-D1566</f>
        <v>26827.64</v>
      </c>
      <c r="E1568" s="76">
        <f t="shared" si="1167"/>
        <v>25816.040000000008</v>
      </c>
      <c r="F1568" s="76">
        <f t="shared" si="1167"/>
        <v>28901.359999999986</v>
      </c>
      <c r="G1568" s="76">
        <f t="shared" si="1167"/>
        <v>202064.72</v>
      </c>
      <c r="H1568" s="76">
        <f t="shared" si="1167"/>
        <v>32997.799999999988</v>
      </c>
      <c r="I1568" s="76">
        <f t="shared" si="1167"/>
        <v>201693.80000000002</v>
      </c>
      <c r="J1568" s="76">
        <f t="shared" si="1167"/>
        <v>66703.72</v>
      </c>
      <c r="K1568" s="76">
        <f t="shared" si="1167"/>
        <v>43683.360000000001</v>
      </c>
      <c r="L1568" s="76">
        <f t="shared" si="1167"/>
        <v>77934.16</v>
      </c>
      <c r="M1568" s="76">
        <f t="shared" si="1167"/>
        <v>202911.40000000002</v>
      </c>
      <c r="N1568" s="22">
        <f t="shared" si="1167"/>
        <v>83405.52</v>
      </c>
      <c r="O1568" s="12"/>
    </row>
    <row r="1569" spans="1:28" ht="15.75" thickBot="1">
      <c r="A1569" s="368">
        <v>41009</v>
      </c>
      <c r="B1569" s="368"/>
      <c r="C1569" s="368"/>
      <c r="N1569" s="15"/>
    </row>
    <row r="1570" spans="1:28">
      <c r="A1570" s="407" t="s">
        <v>1</v>
      </c>
      <c r="B1570" s="420"/>
      <c r="C1570" s="68" t="s">
        <v>12</v>
      </c>
      <c r="D1570" s="68" t="s">
        <v>12</v>
      </c>
      <c r="E1570" s="68" t="s">
        <v>13</v>
      </c>
      <c r="F1570" s="68" t="s">
        <v>13</v>
      </c>
      <c r="G1570" s="68" t="s">
        <v>13</v>
      </c>
      <c r="H1570" s="68" t="s">
        <v>13</v>
      </c>
      <c r="I1570" s="68" t="s">
        <v>13</v>
      </c>
      <c r="J1570" s="68" t="s">
        <v>2</v>
      </c>
      <c r="K1570" s="68" t="s">
        <v>2</v>
      </c>
      <c r="L1570" s="68" t="s">
        <v>2</v>
      </c>
      <c r="M1570" s="68" t="s">
        <v>2</v>
      </c>
      <c r="N1570" s="4" t="s">
        <v>84</v>
      </c>
      <c r="P1570" s="142"/>
      <c r="Y1570" s="138"/>
      <c r="Z1570" s="104"/>
      <c r="AA1570" s="104"/>
      <c r="AB1570" s="104"/>
    </row>
    <row r="1571" spans="1:28" ht="15.75" thickBot="1">
      <c r="A1571" s="409" t="s">
        <v>0</v>
      </c>
      <c r="B1571" s="414"/>
      <c r="C1571" s="99" t="s">
        <v>102</v>
      </c>
      <c r="D1571" s="99" t="s">
        <v>103</v>
      </c>
      <c r="E1571" s="99" t="s">
        <v>104</v>
      </c>
      <c r="F1571" s="99" t="s">
        <v>105</v>
      </c>
      <c r="G1571" s="99" t="s">
        <v>100</v>
      </c>
      <c r="H1571" s="99" t="s">
        <v>107</v>
      </c>
      <c r="I1571" s="99" t="s">
        <v>106</v>
      </c>
      <c r="J1571" s="99" t="s">
        <v>108</v>
      </c>
      <c r="K1571" s="99" t="s">
        <v>110</v>
      </c>
      <c r="L1571" s="99" t="s">
        <v>101</v>
      </c>
      <c r="M1571" s="99" t="s">
        <v>109</v>
      </c>
      <c r="N1571" s="101" t="s">
        <v>111</v>
      </c>
      <c r="P1571" s="142"/>
      <c r="Y1571" s="138"/>
      <c r="Z1571" s="104"/>
      <c r="AA1571" s="104"/>
      <c r="AB1571" s="138"/>
    </row>
    <row r="1572" spans="1:28" ht="15" customHeight="1">
      <c r="A1572" s="421" t="s">
        <v>9</v>
      </c>
      <c r="B1572" s="2" t="s">
        <v>4</v>
      </c>
      <c r="C1572" s="96">
        <v>115816.8</v>
      </c>
      <c r="D1572" s="96">
        <v>99041.7</v>
      </c>
      <c r="E1572" s="96">
        <v>99041.7</v>
      </c>
      <c r="F1572" s="96">
        <v>154422.39999999999</v>
      </c>
      <c r="G1572" s="96">
        <v>121331.8</v>
      </c>
      <c r="H1572" s="96">
        <v>110071.9</v>
      </c>
      <c r="I1572" s="96">
        <v>121331.8</v>
      </c>
      <c r="J1572" s="96">
        <v>170967.6</v>
      </c>
      <c r="K1572" s="96">
        <v>54921</v>
      </c>
      <c r="L1572" s="96">
        <v>60665.9</v>
      </c>
      <c r="M1572" s="96">
        <v>176482.7</v>
      </c>
      <c r="N1572" s="100">
        <v>54921</v>
      </c>
      <c r="O1572" s="12"/>
      <c r="P1572" s="142"/>
      <c r="Y1572" s="138"/>
      <c r="Z1572" s="104"/>
      <c r="AA1572" s="104"/>
      <c r="AB1572" s="104"/>
    </row>
    <row r="1573" spans="1:28" s="64" customFormat="1">
      <c r="A1573" s="422"/>
      <c r="B1573" s="63" t="s">
        <v>5</v>
      </c>
      <c r="C1573" s="97">
        <v>86681.5</v>
      </c>
      <c r="D1573" s="97">
        <v>65974.100000000006</v>
      </c>
      <c r="E1573" s="97">
        <v>67351.8</v>
      </c>
      <c r="F1573" s="97">
        <v>132400.29999999999</v>
      </c>
      <c r="G1573" s="97">
        <v>2326.9</v>
      </c>
      <c r="H1573" s="97">
        <v>31087.7</v>
      </c>
      <c r="I1573" s="97">
        <v>20240.3</v>
      </c>
      <c r="J1573" s="97">
        <v>122403.9</v>
      </c>
      <c r="K1573" s="97">
        <v>27731.9</v>
      </c>
      <c r="L1573" s="97">
        <v>3400.2</v>
      </c>
      <c r="M1573" s="97">
        <v>79280.899999999994</v>
      </c>
      <c r="N1573" s="102">
        <v>23084</v>
      </c>
      <c r="O1573" s="12"/>
      <c r="P1573" s="142"/>
      <c r="Q1573" s="104"/>
      <c r="R1573" s="104"/>
      <c r="S1573" s="104"/>
      <c r="T1573" s="104"/>
      <c r="U1573" s="104"/>
      <c r="V1573" s="104"/>
      <c r="W1573" s="104"/>
      <c r="X1573" s="104"/>
      <c r="Y1573" s="138"/>
      <c r="Z1573" s="104"/>
      <c r="AA1573" s="104"/>
      <c r="AB1573" s="104"/>
    </row>
    <row r="1574" spans="1:28" ht="15.75" thickBot="1">
      <c r="A1574" s="423"/>
      <c r="B1574" s="3" t="s">
        <v>3</v>
      </c>
      <c r="C1574" s="71">
        <f>C1573/C1572</f>
        <v>0.74843632357309131</v>
      </c>
      <c r="D1574" s="72">
        <f t="shared" ref="D1574:F1574" si="1168">D1573/D1572</f>
        <v>0.66612447080371207</v>
      </c>
      <c r="E1574" s="72">
        <f t="shared" si="1168"/>
        <v>0.68003477323188122</v>
      </c>
      <c r="F1574" s="72">
        <f t="shared" si="1168"/>
        <v>0.85739050811281259</v>
      </c>
      <c r="G1574" s="72">
        <f>G1573/G1572</f>
        <v>1.9177989611956634E-2</v>
      </c>
      <c r="H1574" s="72">
        <f t="shared" ref="H1574:N1574" si="1169">H1573/H1572</f>
        <v>0.28243084747333336</v>
      </c>
      <c r="I1574" s="72">
        <f t="shared" si="1169"/>
        <v>0.1668177674772813</v>
      </c>
      <c r="J1574" s="72">
        <f t="shared" si="1169"/>
        <v>0.71594793399451118</v>
      </c>
      <c r="K1574" s="72">
        <f t="shared" si="1169"/>
        <v>0.50494164345150305</v>
      </c>
      <c r="L1574" s="72">
        <f t="shared" si="1169"/>
        <v>5.6047961045661565E-2</v>
      </c>
      <c r="M1574" s="72">
        <f t="shared" si="1169"/>
        <v>0.44922760134562756</v>
      </c>
      <c r="N1574" s="83">
        <f t="shared" si="1169"/>
        <v>0.42031281294950928</v>
      </c>
      <c r="O1574" s="12"/>
    </row>
    <row r="1575" spans="1:28" ht="15" customHeight="1">
      <c r="A1575" s="411" t="s">
        <v>6</v>
      </c>
      <c r="B1575" s="27" t="s">
        <v>7</v>
      </c>
      <c r="C1575" s="68">
        <v>5006</v>
      </c>
      <c r="D1575" s="68">
        <v>3200</v>
      </c>
      <c r="E1575" s="68">
        <v>3183</v>
      </c>
      <c r="F1575" s="68">
        <v>9526</v>
      </c>
      <c r="G1575" s="68">
        <v>5000</v>
      </c>
      <c r="H1575" s="68">
        <v>6989</v>
      </c>
      <c r="I1575" s="68">
        <f>(4000-2000)</f>
        <v>2000</v>
      </c>
      <c r="J1575" s="68">
        <v>9194</v>
      </c>
      <c r="K1575" s="68">
        <v>2971</v>
      </c>
      <c r="L1575" s="68">
        <v>2500</v>
      </c>
      <c r="M1575" s="68">
        <f>5451-2614</f>
        <v>2837</v>
      </c>
      <c r="N1575" s="80">
        <v>830</v>
      </c>
      <c r="O1575" s="12"/>
    </row>
    <row r="1576" spans="1:28">
      <c r="A1576" s="412"/>
      <c r="B1576" s="28" t="s">
        <v>11</v>
      </c>
      <c r="C1576" s="73">
        <f t="shared" ref="C1576:I1576" si="1170">C1575*33.72</f>
        <v>168802.32</v>
      </c>
      <c r="D1576" s="73">
        <f t="shared" si="1170"/>
        <v>107904</v>
      </c>
      <c r="E1576" s="73">
        <f t="shared" si="1170"/>
        <v>107330.76</v>
      </c>
      <c r="F1576" s="73">
        <f t="shared" si="1170"/>
        <v>321216.71999999997</v>
      </c>
      <c r="G1576" s="73">
        <f t="shared" si="1170"/>
        <v>168600</v>
      </c>
      <c r="H1576" s="73">
        <f t="shared" si="1170"/>
        <v>235669.08</v>
      </c>
      <c r="I1576" s="73">
        <f t="shared" si="1170"/>
        <v>67440</v>
      </c>
      <c r="J1576" s="73">
        <f>J1575*33.72</f>
        <v>310021.68</v>
      </c>
      <c r="K1576" s="73">
        <f t="shared" ref="K1576:N1576" si="1171">K1575*33.72</f>
        <v>100182.12</v>
      </c>
      <c r="L1576" s="73">
        <f t="shared" si="1171"/>
        <v>84300</v>
      </c>
      <c r="M1576" s="73">
        <f t="shared" si="1171"/>
        <v>95663.64</v>
      </c>
      <c r="N1576" s="73">
        <f t="shared" si="1171"/>
        <v>27987.599999999999</v>
      </c>
      <c r="O1576" s="12"/>
    </row>
    <row r="1577" spans="1:28">
      <c r="A1577" s="412"/>
      <c r="B1577" s="28" t="s">
        <v>79</v>
      </c>
      <c r="C1577" s="73">
        <v>164000</v>
      </c>
      <c r="D1577" s="73">
        <v>109880</v>
      </c>
      <c r="E1577" s="73">
        <v>109880</v>
      </c>
      <c r="F1577" s="73">
        <v>328000</v>
      </c>
      <c r="G1577" s="73">
        <f>G1572*2</f>
        <v>242663.6</v>
      </c>
      <c r="H1577" s="73">
        <f>H1572*2</f>
        <v>220143.8</v>
      </c>
      <c r="I1577" s="73">
        <f>I1572*2</f>
        <v>242663.6</v>
      </c>
      <c r="J1577" s="73">
        <v>328000</v>
      </c>
      <c r="K1577" s="73">
        <f>K1572*2</f>
        <v>109842</v>
      </c>
      <c r="L1577" s="73">
        <v>328000</v>
      </c>
      <c r="M1577" s="73">
        <f>2*M1572</f>
        <v>352965.4</v>
      </c>
      <c r="N1577" s="84">
        <f>2*N1572</f>
        <v>109842</v>
      </c>
      <c r="O1577" s="12"/>
    </row>
    <row r="1578" spans="1:28" s="64" customFormat="1">
      <c r="A1578" s="412"/>
      <c r="B1578" s="66" t="s">
        <v>8</v>
      </c>
      <c r="C1578" s="98">
        <f>SUM(C1575-458)</f>
        <v>4548</v>
      </c>
      <c r="D1578" s="98">
        <f>SUM(D1575-737)</f>
        <v>2463</v>
      </c>
      <c r="E1578" s="98">
        <f>SUM(E1575-690)</f>
        <v>2493</v>
      </c>
      <c r="F1578" s="98">
        <f>SUM(F1575-1224)</f>
        <v>8302</v>
      </c>
      <c r="G1578" s="98">
        <f>SUM(G1575-4511)</f>
        <v>489</v>
      </c>
      <c r="H1578" s="98">
        <f>SUM(H1575-1520)</f>
        <v>5469</v>
      </c>
      <c r="I1578" s="98">
        <f>SUM(I1575-(2801-2000))</f>
        <v>1199</v>
      </c>
      <c r="J1578" s="98">
        <f>SUM(J1575-1445)</f>
        <v>7749</v>
      </c>
      <c r="K1578" s="98">
        <f>SUM(K1575-1009)</f>
        <v>1962</v>
      </c>
      <c r="L1578" s="98">
        <f>SUM(L1575-1705)</f>
        <v>795</v>
      </c>
      <c r="M1578" s="98">
        <f>SUM(M1575-(3227-2614))</f>
        <v>2224</v>
      </c>
      <c r="N1578" s="103">
        <f>SUM(N1575-46)</f>
        <v>784</v>
      </c>
      <c r="O1578" s="12"/>
      <c r="P1578" s="67"/>
      <c r="Q1578" s="67"/>
      <c r="R1578" s="67"/>
      <c r="S1578" s="67"/>
      <c r="T1578" s="67"/>
      <c r="U1578" s="67"/>
      <c r="V1578" s="67"/>
      <c r="W1578" s="67"/>
    </row>
    <row r="1579" spans="1:28">
      <c r="A1579" s="412"/>
      <c r="B1579" s="29" t="s">
        <v>77</v>
      </c>
      <c r="C1579" s="75">
        <f>C1578*33.72</f>
        <v>153358.56</v>
      </c>
      <c r="D1579" s="75">
        <f>D1578*33.72</f>
        <v>83052.36</v>
      </c>
      <c r="E1579" s="75">
        <f>E1578*33.72</f>
        <v>84063.959999999992</v>
      </c>
      <c r="F1579" s="75">
        <f>F1578*33.72</f>
        <v>279943.44</v>
      </c>
      <c r="G1579" s="75">
        <f>G1578*33.72*2</f>
        <v>32978.159999999996</v>
      </c>
      <c r="H1579" s="75">
        <f>H1578*33.72</f>
        <v>184414.68</v>
      </c>
      <c r="I1579" s="75">
        <f>I1578*33.72</f>
        <v>40430.28</v>
      </c>
      <c r="J1579" s="75">
        <f>J1578*33.72</f>
        <v>261296.28</v>
      </c>
      <c r="K1579" s="75">
        <f>K1578*33.72</f>
        <v>66158.64</v>
      </c>
      <c r="L1579" s="75">
        <f>L1578*33.72</f>
        <v>26807.399999999998</v>
      </c>
      <c r="M1579" s="75">
        <f>M1578*33.72*2</f>
        <v>149986.56</v>
      </c>
      <c r="N1579" s="11">
        <f>N1578*33.72</f>
        <v>26436.48</v>
      </c>
      <c r="O1579" s="12"/>
    </row>
    <row r="1580" spans="1:28" ht="15.75" thickBot="1">
      <c r="A1580" s="412"/>
      <c r="B1580" s="30" t="s">
        <v>10</v>
      </c>
      <c r="C1580" s="71">
        <f>C1578*33.7/C1572</f>
        <v>1.3233624137430839</v>
      </c>
      <c r="D1580" s="71">
        <f t="shared" ref="D1580:N1580" si="1172">D1578*33.7/D1572</f>
        <v>0.83806214957941971</v>
      </c>
      <c r="E1580" s="78">
        <f t="shared" si="1172"/>
        <v>0.84826997113337121</v>
      </c>
      <c r="F1580" s="78">
        <f t="shared" si="1172"/>
        <v>1.8117669457280812</v>
      </c>
      <c r="G1580" s="78">
        <f t="shared" si="1172"/>
        <v>0.13582012300155444</v>
      </c>
      <c r="H1580" s="78">
        <f t="shared" si="1172"/>
        <v>1.6744082731378311</v>
      </c>
      <c r="I1580" s="78">
        <f t="shared" si="1172"/>
        <v>0.33302316457845349</v>
      </c>
      <c r="J1580" s="78">
        <f t="shared" si="1172"/>
        <v>1.5274315133393697</v>
      </c>
      <c r="K1580" s="78">
        <f t="shared" si="1172"/>
        <v>1.203900147484569</v>
      </c>
      <c r="L1580" s="78">
        <f t="shared" si="1172"/>
        <v>0.44162371282714019</v>
      </c>
      <c r="M1580" s="79">
        <f t="shared" si="1172"/>
        <v>0.42468071941329094</v>
      </c>
      <c r="N1580" s="26">
        <f t="shared" si="1172"/>
        <v>0.48106917208353822</v>
      </c>
      <c r="O1580" s="12"/>
    </row>
    <row r="1581" spans="1:28" ht="15.75" customHeight="1" thickBot="1">
      <c r="A1581" s="424" t="s">
        <v>83</v>
      </c>
      <c r="B1581" s="425"/>
      <c r="C1581" s="76">
        <f>MIN(2*C1572,C1577)-C1579</f>
        <v>10641.440000000002</v>
      </c>
      <c r="D1581" s="76">
        <f t="shared" ref="D1581:N1581" si="1173">MIN(2*D1572,D1577)-D1579</f>
        <v>26827.64</v>
      </c>
      <c r="E1581" s="76">
        <f t="shared" si="1173"/>
        <v>25816.040000000008</v>
      </c>
      <c r="F1581" s="76">
        <f t="shared" si="1173"/>
        <v>28901.359999999986</v>
      </c>
      <c r="G1581" s="76">
        <f t="shared" si="1173"/>
        <v>209685.44</v>
      </c>
      <c r="H1581" s="76">
        <f t="shared" si="1173"/>
        <v>35729.119999999995</v>
      </c>
      <c r="I1581" s="76">
        <f t="shared" si="1173"/>
        <v>202233.32</v>
      </c>
      <c r="J1581" s="76">
        <f t="shared" si="1173"/>
        <v>66703.72</v>
      </c>
      <c r="K1581" s="76">
        <f t="shared" si="1173"/>
        <v>43683.360000000001</v>
      </c>
      <c r="L1581" s="76">
        <f t="shared" si="1173"/>
        <v>94524.400000000009</v>
      </c>
      <c r="M1581" s="76">
        <f t="shared" si="1173"/>
        <v>202978.84000000003</v>
      </c>
      <c r="N1581" s="22">
        <f t="shared" si="1173"/>
        <v>83405.52</v>
      </c>
      <c r="O1581" s="12"/>
    </row>
    <row r="1582" spans="1:28" ht="15.75" thickBot="1">
      <c r="A1582" s="368">
        <v>41003</v>
      </c>
      <c r="B1582" s="368"/>
      <c r="C1582" s="368"/>
      <c r="N1582" s="15"/>
    </row>
    <row r="1583" spans="1:28">
      <c r="A1583" s="407" t="s">
        <v>1</v>
      </c>
      <c r="B1583" s="420"/>
      <c r="C1583" s="68" t="s">
        <v>12</v>
      </c>
      <c r="D1583" s="68" t="s">
        <v>12</v>
      </c>
      <c r="E1583" s="68" t="s">
        <v>13</v>
      </c>
      <c r="F1583" s="68" t="s">
        <v>13</v>
      </c>
      <c r="G1583" s="68" t="s">
        <v>13</v>
      </c>
      <c r="H1583" s="68" t="s">
        <v>13</v>
      </c>
      <c r="I1583" s="68" t="s">
        <v>13</v>
      </c>
      <c r="J1583" s="68" t="s">
        <v>2</v>
      </c>
      <c r="K1583" s="68" t="s">
        <v>2</v>
      </c>
      <c r="L1583" s="68" t="s">
        <v>2</v>
      </c>
      <c r="M1583" s="68" t="s">
        <v>2</v>
      </c>
      <c r="N1583" s="4" t="s">
        <v>84</v>
      </c>
      <c r="AB1583" s="104"/>
    </row>
    <row r="1584" spans="1:28" ht="15.75" thickBot="1">
      <c r="A1584" s="409" t="s">
        <v>0</v>
      </c>
      <c r="B1584" s="414"/>
      <c r="C1584" s="99" t="s">
        <v>102</v>
      </c>
      <c r="D1584" s="99" t="s">
        <v>103</v>
      </c>
      <c r="E1584" s="99" t="s">
        <v>104</v>
      </c>
      <c r="F1584" s="99" t="s">
        <v>105</v>
      </c>
      <c r="G1584" s="99" t="s">
        <v>100</v>
      </c>
      <c r="H1584" s="99" t="s">
        <v>107</v>
      </c>
      <c r="I1584" s="99" t="s">
        <v>106</v>
      </c>
      <c r="J1584" s="99" t="s">
        <v>108</v>
      </c>
      <c r="K1584" s="99" t="s">
        <v>110</v>
      </c>
      <c r="L1584" s="99" t="s">
        <v>101</v>
      </c>
      <c r="M1584" s="99" t="s">
        <v>109</v>
      </c>
      <c r="N1584" s="101" t="s">
        <v>111</v>
      </c>
      <c r="AB1584" s="138"/>
    </row>
    <row r="1585" spans="1:28" ht="15" customHeight="1">
      <c r="A1585" s="421" t="s">
        <v>9</v>
      </c>
      <c r="B1585" s="2" t="s">
        <v>4</v>
      </c>
      <c r="C1585" s="96">
        <v>115816.8</v>
      </c>
      <c r="D1585" s="96">
        <v>99042</v>
      </c>
      <c r="E1585" s="96">
        <v>99042</v>
      </c>
      <c r="F1585" s="96">
        <v>154422.39999999999</v>
      </c>
      <c r="G1585" s="96">
        <v>121331.8</v>
      </c>
      <c r="H1585" s="96">
        <v>110071.9</v>
      </c>
      <c r="I1585" s="96">
        <v>121331.8</v>
      </c>
      <c r="J1585" s="96">
        <v>170967.6</v>
      </c>
      <c r="K1585" s="96">
        <v>54921</v>
      </c>
      <c r="L1585" s="96">
        <v>60665.9</v>
      </c>
      <c r="M1585" s="96">
        <v>176482.7</v>
      </c>
      <c r="N1585" s="100">
        <v>54921</v>
      </c>
      <c r="O1585" s="12"/>
      <c r="AB1585" s="104"/>
    </row>
    <row r="1586" spans="1:28" s="64" customFormat="1">
      <c r="A1586" s="422"/>
      <c r="B1586" s="63" t="s">
        <v>5</v>
      </c>
      <c r="C1586" s="97">
        <v>86554.5</v>
      </c>
      <c r="D1586" s="97">
        <v>65921.8</v>
      </c>
      <c r="E1586" s="97">
        <v>67299.8</v>
      </c>
      <c r="F1586" s="97">
        <v>131868.70000000001</v>
      </c>
      <c r="G1586" s="97">
        <v>2323</v>
      </c>
      <c r="H1586" s="97">
        <v>30465</v>
      </c>
      <c r="I1586" s="97">
        <v>20077.900000000001</v>
      </c>
      <c r="J1586" s="97">
        <v>121896.3</v>
      </c>
      <c r="K1586" s="97">
        <v>27700.1</v>
      </c>
      <c r="L1586" s="97">
        <v>1292</v>
      </c>
      <c r="M1586" s="97">
        <v>78953.600000000006</v>
      </c>
      <c r="N1586" s="102">
        <v>23077.4</v>
      </c>
      <c r="O1586" s="12"/>
      <c r="P1586" s="14"/>
      <c r="Q1586" s="67"/>
      <c r="R1586" s="67"/>
      <c r="S1586" s="67"/>
      <c r="T1586" s="67"/>
      <c r="U1586" s="67"/>
      <c r="V1586" s="67"/>
      <c r="W1586" s="67"/>
      <c r="AB1586" s="104"/>
    </row>
    <row r="1587" spans="1:28" ht="15.75" thickBot="1">
      <c r="A1587" s="423"/>
      <c r="B1587" s="3" t="s">
        <v>3</v>
      </c>
      <c r="C1587" s="71">
        <f>C1586/C1585</f>
        <v>0.74733976417929004</v>
      </c>
      <c r="D1587" s="72">
        <f t="shared" ref="D1587:F1587" si="1174">D1586/D1585</f>
        <v>0.66559439429736877</v>
      </c>
      <c r="E1587" s="72">
        <f t="shared" si="1174"/>
        <v>0.67950768360897396</v>
      </c>
      <c r="F1587" s="72">
        <f t="shared" si="1174"/>
        <v>0.85394800236235169</v>
      </c>
      <c r="G1587" s="72">
        <f>G1586/G1585</f>
        <v>1.9145846348607703E-2</v>
      </c>
      <c r="H1587" s="72">
        <f t="shared" ref="H1587:N1587" si="1175">H1586/H1585</f>
        <v>0.27677363614146755</v>
      </c>
      <c r="I1587" s="72">
        <f t="shared" si="1175"/>
        <v>0.16547928902398218</v>
      </c>
      <c r="J1587" s="72">
        <f t="shared" si="1175"/>
        <v>0.71297895039761916</v>
      </c>
      <c r="K1587" s="72">
        <f t="shared" si="1175"/>
        <v>0.50436262995939618</v>
      </c>
      <c r="L1587" s="72">
        <f t="shared" si="1175"/>
        <v>2.1296972434267026E-2</v>
      </c>
      <c r="M1587" s="72">
        <f t="shared" si="1175"/>
        <v>0.44737302863113493</v>
      </c>
      <c r="N1587" s="83">
        <f t="shared" si="1175"/>
        <v>0.42019264033793996</v>
      </c>
      <c r="O1587" s="12"/>
      <c r="AB1587" s="104"/>
    </row>
    <row r="1588" spans="1:28" ht="15" customHeight="1">
      <c r="A1588" s="411" t="s">
        <v>6</v>
      </c>
      <c r="B1588" s="27" t="s">
        <v>7</v>
      </c>
      <c r="C1588" s="68">
        <v>5006</v>
      </c>
      <c r="D1588" s="68">
        <v>3200</v>
      </c>
      <c r="E1588" s="68">
        <v>3183</v>
      </c>
      <c r="F1588" s="68">
        <v>9526</v>
      </c>
      <c r="G1588" s="68">
        <v>5000</v>
      </c>
      <c r="H1588" s="68">
        <v>6989</v>
      </c>
      <c r="I1588" s="68">
        <f>(4000-2000)</f>
        <v>2000</v>
      </c>
      <c r="J1588" s="68">
        <v>9194</v>
      </c>
      <c r="K1588" s="68">
        <v>2971</v>
      </c>
      <c r="L1588" s="68">
        <v>2500</v>
      </c>
      <c r="M1588" s="68">
        <f>5451-2614</f>
        <v>2837</v>
      </c>
      <c r="N1588" s="80">
        <v>830</v>
      </c>
      <c r="O1588" s="12"/>
      <c r="X1588" s="67"/>
      <c r="AB1588" s="104"/>
    </row>
    <row r="1589" spans="1:28">
      <c r="A1589" s="412"/>
      <c r="B1589" s="28" t="s">
        <v>11</v>
      </c>
      <c r="C1589" s="73">
        <f t="shared" ref="C1589:I1589" si="1176">C1588*33.72</f>
        <v>168802.32</v>
      </c>
      <c r="D1589" s="73">
        <f t="shared" si="1176"/>
        <v>107904</v>
      </c>
      <c r="E1589" s="73">
        <f t="shared" si="1176"/>
        <v>107330.76</v>
      </c>
      <c r="F1589" s="73">
        <f t="shared" si="1176"/>
        <v>321216.71999999997</v>
      </c>
      <c r="G1589" s="73">
        <f t="shared" si="1176"/>
        <v>168600</v>
      </c>
      <c r="H1589" s="73">
        <f t="shared" si="1176"/>
        <v>235669.08</v>
      </c>
      <c r="I1589" s="73">
        <f t="shared" si="1176"/>
        <v>67440</v>
      </c>
      <c r="J1589" s="73">
        <f>J1588*33.72</f>
        <v>310021.68</v>
      </c>
      <c r="K1589" s="73">
        <f t="shared" ref="K1589:N1589" si="1177">K1588*33.72</f>
        <v>100182.12</v>
      </c>
      <c r="L1589" s="73">
        <f t="shared" si="1177"/>
        <v>84300</v>
      </c>
      <c r="M1589" s="73">
        <f t="shared" si="1177"/>
        <v>95663.64</v>
      </c>
      <c r="N1589" s="73">
        <f t="shared" si="1177"/>
        <v>27987.599999999999</v>
      </c>
      <c r="O1589" s="12"/>
      <c r="AB1589" s="104"/>
    </row>
    <row r="1590" spans="1:28">
      <c r="A1590" s="412"/>
      <c r="B1590" s="28" t="s">
        <v>79</v>
      </c>
      <c r="C1590" s="73">
        <v>164000</v>
      </c>
      <c r="D1590" s="73">
        <v>109880</v>
      </c>
      <c r="E1590" s="73">
        <v>109880</v>
      </c>
      <c r="F1590" s="73">
        <v>328000</v>
      </c>
      <c r="G1590" s="73">
        <f>G1585*2</f>
        <v>242663.6</v>
      </c>
      <c r="H1590" s="73">
        <f>H1585*2</f>
        <v>220143.8</v>
      </c>
      <c r="I1590" s="73">
        <f>I1585*2</f>
        <v>242663.6</v>
      </c>
      <c r="J1590" s="73">
        <v>328000</v>
      </c>
      <c r="K1590" s="73">
        <f>K1585*2</f>
        <v>109842</v>
      </c>
      <c r="L1590" s="73">
        <v>328000</v>
      </c>
      <c r="M1590" s="73">
        <f>2*M1585</f>
        <v>352965.4</v>
      </c>
      <c r="N1590" s="84">
        <f>2*N1585</f>
        <v>109842</v>
      </c>
      <c r="O1590" s="12"/>
    </row>
    <row r="1591" spans="1:28" s="64" customFormat="1">
      <c r="A1591" s="412"/>
      <c r="B1591" s="66" t="s">
        <v>8</v>
      </c>
      <c r="C1591" s="98">
        <f>SUM(C1588-458)</f>
        <v>4548</v>
      </c>
      <c r="D1591" s="98">
        <f>SUM(D1588-737)</f>
        <v>2463</v>
      </c>
      <c r="E1591" s="98">
        <f>SUM(E1588-690)</f>
        <v>2493</v>
      </c>
      <c r="F1591" s="98">
        <f>SUM(F1588-1224)</f>
        <v>8302</v>
      </c>
      <c r="G1591" s="98">
        <f>SUM(G1588-4511)</f>
        <v>489</v>
      </c>
      <c r="H1591" s="98">
        <f>SUM(H1588-1522)</f>
        <v>5467</v>
      </c>
      <c r="I1591" s="98">
        <f>SUM(I1588-(2801-2000))</f>
        <v>1199</v>
      </c>
      <c r="J1591" s="98">
        <f>SUM(J1588-1445)</f>
        <v>7749</v>
      </c>
      <c r="K1591" s="98">
        <f>SUM(K1588-1009)</f>
        <v>1962</v>
      </c>
      <c r="L1591" s="98">
        <f>SUM(L1588-1705)</f>
        <v>795</v>
      </c>
      <c r="M1591" s="98">
        <f>SUM(M1588-(3227-2614))</f>
        <v>2224</v>
      </c>
      <c r="N1591" s="103">
        <f>SUM(N1588-46)</f>
        <v>784</v>
      </c>
      <c r="O1591" s="12"/>
      <c r="P1591" s="14"/>
      <c r="Q1591" s="67"/>
      <c r="R1591" s="67"/>
      <c r="S1591" s="67"/>
      <c r="T1591" s="67"/>
      <c r="U1591" s="67"/>
      <c r="V1591" s="67"/>
      <c r="W1591" s="67"/>
    </row>
    <row r="1592" spans="1:28">
      <c r="A1592" s="412"/>
      <c r="B1592" s="29" t="s">
        <v>77</v>
      </c>
      <c r="C1592" s="75">
        <f>C1591*33.72</f>
        <v>153358.56</v>
      </c>
      <c r="D1592" s="75">
        <f>D1591*33.72</f>
        <v>83052.36</v>
      </c>
      <c r="E1592" s="75">
        <f>E1591*33.72</f>
        <v>84063.959999999992</v>
      </c>
      <c r="F1592" s="75">
        <f>F1591*33.72</f>
        <v>279943.44</v>
      </c>
      <c r="G1592" s="75">
        <f>G1591*33.72*2</f>
        <v>32978.159999999996</v>
      </c>
      <c r="H1592" s="75">
        <f>H1591*33.72</f>
        <v>184347.24</v>
      </c>
      <c r="I1592" s="75">
        <f>I1591*33.72</f>
        <v>40430.28</v>
      </c>
      <c r="J1592" s="75">
        <f>J1591*33.72</f>
        <v>261296.28</v>
      </c>
      <c r="K1592" s="75">
        <f>K1591*33.72</f>
        <v>66158.64</v>
      </c>
      <c r="L1592" s="75">
        <f>L1591*33.72</f>
        <v>26807.399999999998</v>
      </c>
      <c r="M1592" s="75">
        <f>M1591*33.72*2</f>
        <v>149986.56</v>
      </c>
      <c r="N1592" s="11">
        <f>N1591*33.72</f>
        <v>26436.48</v>
      </c>
      <c r="O1592" s="12"/>
      <c r="Q1592" s="138"/>
    </row>
    <row r="1593" spans="1:28" ht="15.75" thickBot="1">
      <c r="A1593" s="412"/>
      <c r="B1593" s="30" t="s">
        <v>10</v>
      </c>
      <c r="C1593" s="71">
        <f>C1591*33.7/C1585</f>
        <v>1.3233624137430839</v>
      </c>
      <c r="D1593" s="71">
        <f t="shared" ref="D1593:N1593" si="1178">D1591*33.7/D1585</f>
        <v>0.83805961107408988</v>
      </c>
      <c r="E1593" s="78">
        <f t="shared" si="1178"/>
        <v>0.84826740170836623</v>
      </c>
      <c r="F1593" s="78">
        <f t="shared" si="1178"/>
        <v>1.8117669457280812</v>
      </c>
      <c r="G1593" s="78">
        <f t="shared" si="1178"/>
        <v>0.13582012300155444</v>
      </c>
      <c r="H1593" s="78">
        <f t="shared" si="1178"/>
        <v>1.6737959461043195</v>
      </c>
      <c r="I1593" s="78">
        <f t="shared" si="1178"/>
        <v>0.33302316457845349</v>
      </c>
      <c r="J1593" s="78">
        <f t="shared" si="1178"/>
        <v>1.5274315133393697</v>
      </c>
      <c r="K1593" s="78">
        <f t="shared" si="1178"/>
        <v>1.203900147484569</v>
      </c>
      <c r="L1593" s="78">
        <f t="shared" si="1178"/>
        <v>0.44162371282714019</v>
      </c>
      <c r="M1593" s="79">
        <f t="shared" si="1178"/>
        <v>0.42468071941329094</v>
      </c>
      <c r="N1593" s="26">
        <f t="shared" si="1178"/>
        <v>0.48106917208353822</v>
      </c>
      <c r="O1593" s="12"/>
      <c r="Q1593" s="138"/>
    </row>
    <row r="1594" spans="1:28" ht="15.75" customHeight="1" thickBot="1">
      <c r="A1594" s="424" t="s">
        <v>83</v>
      </c>
      <c r="B1594" s="425"/>
      <c r="C1594" s="76">
        <f>MIN(2*C1585,C1590)-C1592</f>
        <v>10641.440000000002</v>
      </c>
      <c r="D1594" s="76">
        <f t="shared" ref="D1594:N1594" si="1179">MIN(2*D1585,D1590)-D1592</f>
        <v>26827.64</v>
      </c>
      <c r="E1594" s="76">
        <f t="shared" si="1179"/>
        <v>25816.040000000008</v>
      </c>
      <c r="F1594" s="76">
        <f t="shared" si="1179"/>
        <v>28901.359999999986</v>
      </c>
      <c r="G1594" s="76">
        <f t="shared" si="1179"/>
        <v>209685.44</v>
      </c>
      <c r="H1594" s="76">
        <f t="shared" si="1179"/>
        <v>35796.559999999998</v>
      </c>
      <c r="I1594" s="76">
        <f t="shared" si="1179"/>
        <v>202233.32</v>
      </c>
      <c r="J1594" s="76">
        <f t="shared" si="1179"/>
        <v>66703.72</v>
      </c>
      <c r="K1594" s="76">
        <f t="shared" si="1179"/>
        <v>43683.360000000001</v>
      </c>
      <c r="L1594" s="76">
        <f t="shared" si="1179"/>
        <v>94524.400000000009</v>
      </c>
      <c r="M1594" s="76">
        <f t="shared" si="1179"/>
        <v>202978.84000000003</v>
      </c>
      <c r="N1594" s="22">
        <f t="shared" si="1179"/>
        <v>83405.52</v>
      </c>
      <c r="O1594" s="12"/>
      <c r="Q1594" s="138"/>
    </row>
    <row r="1595" spans="1:28" ht="15.75" thickBot="1">
      <c r="A1595" s="368">
        <v>41002</v>
      </c>
      <c r="B1595" s="368"/>
      <c r="C1595" s="368"/>
      <c r="N1595" s="15"/>
    </row>
    <row r="1596" spans="1:28">
      <c r="A1596" s="407" t="s">
        <v>1</v>
      </c>
      <c r="B1596" s="420"/>
      <c r="C1596" s="68" t="s">
        <v>12</v>
      </c>
      <c r="D1596" s="68" t="s">
        <v>12</v>
      </c>
      <c r="E1596" s="68" t="s">
        <v>13</v>
      </c>
      <c r="F1596" s="68" t="s">
        <v>13</v>
      </c>
      <c r="G1596" s="68" t="s">
        <v>13</v>
      </c>
      <c r="H1596" s="68" t="s">
        <v>13</v>
      </c>
      <c r="I1596" s="68" t="s">
        <v>13</v>
      </c>
      <c r="J1596" s="68" t="s">
        <v>2</v>
      </c>
      <c r="K1596" s="68" t="s">
        <v>2</v>
      </c>
      <c r="L1596" s="68" t="s">
        <v>2</v>
      </c>
      <c r="M1596" s="68" t="s">
        <v>2</v>
      </c>
      <c r="N1596" s="4" t="s">
        <v>84</v>
      </c>
      <c r="X1596" s="142"/>
      <c r="Y1596" s="14"/>
      <c r="Z1596" s="14"/>
      <c r="AA1596" s="14"/>
      <c r="AB1596" s="104"/>
    </row>
    <row r="1597" spans="1:28" ht="15.75" thickBot="1">
      <c r="A1597" s="409" t="s">
        <v>0</v>
      </c>
      <c r="B1597" s="414"/>
      <c r="C1597" s="99" t="s">
        <v>102</v>
      </c>
      <c r="D1597" s="99" t="s">
        <v>103</v>
      </c>
      <c r="E1597" s="99" t="s">
        <v>104</v>
      </c>
      <c r="F1597" s="99" t="s">
        <v>105</v>
      </c>
      <c r="G1597" s="99" t="s">
        <v>100</v>
      </c>
      <c r="H1597" s="99" t="s">
        <v>107</v>
      </c>
      <c r="I1597" s="99" t="s">
        <v>106</v>
      </c>
      <c r="J1597" s="99" t="s">
        <v>108</v>
      </c>
      <c r="K1597" s="99" t="s">
        <v>110</v>
      </c>
      <c r="L1597" s="99" t="s">
        <v>101</v>
      </c>
      <c r="M1597" s="99" t="s">
        <v>109</v>
      </c>
      <c r="N1597" s="101" t="s">
        <v>111</v>
      </c>
      <c r="P1597" s="142"/>
      <c r="Q1597" s="138"/>
      <c r="R1597" s="138"/>
      <c r="S1597" s="138"/>
      <c r="T1597" s="138"/>
      <c r="U1597" s="138"/>
      <c r="V1597" s="138"/>
      <c r="W1597" s="138"/>
      <c r="X1597" s="138"/>
      <c r="Y1597" s="138"/>
      <c r="Z1597" s="138"/>
      <c r="AA1597" s="138"/>
      <c r="AB1597" s="138"/>
    </row>
    <row r="1598" spans="1:28" ht="15" customHeight="1">
      <c r="A1598" s="421" t="s">
        <v>9</v>
      </c>
      <c r="B1598" s="2" t="s">
        <v>4</v>
      </c>
      <c r="C1598" s="96">
        <v>115816.8</v>
      </c>
      <c r="D1598" s="96">
        <v>99042</v>
      </c>
      <c r="E1598" s="96">
        <v>99042</v>
      </c>
      <c r="F1598" s="96">
        <v>154422.39999999999</v>
      </c>
      <c r="G1598" s="96">
        <v>121331.8</v>
      </c>
      <c r="H1598" s="96">
        <v>110071.9</v>
      </c>
      <c r="I1598" s="96">
        <v>121331.8</v>
      </c>
      <c r="J1598" s="96">
        <v>170967.6</v>
      </c>
      <c r="K1598" s="96">
        <v>54921</v>
      </c>
      <c r="L1598" s="96">
        <v>60665.9</v>
      </c>
      <c r="M1598" s="96">
        <v>176482.7</v>
      </c>
      <c r="N1598" s="100">
        <v>54921</v>
      </c>
      <c r="O1598" s="12"/>
      <c r="X1598" s="138"/>
      <c r="Y1598" s="104"/>
      <c r="Z1598" s="104"/>
      <c r="AA1598" s="104"/>
      <c r="AB1598" s="104"/>
    </row>
    <row r="1599" spans="1:28" s="64" customFormat="1">
      <c r="A1599" s="422"/>
      <c r="B1599" s="63" t="s">
        <v>5</v>
      </c>
      <c r="C1599" s="97">
        <v>86496.6</v>
      </c>
      <c r="D1599" s="97">
        <v>65904.899999999994</v>
      </c>
      <c r="E1599" s="97">
        <v>67282.600000000006</v>
      </c>
      <c r="F1599" s="97">
        <v>131528.9</v>
      </c>
      <c r="G1599" s="97">
        <v>2323</v>
      </c>
      <c r="H1599" s="97">
        <v>30368.7</v>
      </c>
      <c r="I1599" s="97">
        <v>20067.400000000001</v>
      </c>
      <c r="J1599" s="97">
        <v>121769</v>
      </c>
      <c r="K1599" s="97">
        <v>27690.799999999999</v>
      </c>
      <c r="L1599" s="97">
        <v>1287.9000000000001</v>
      </c>
      <c r="M1599" s="97">
        <v>78932.100000000006</v>
      </c>
      <c r="N1599" s="102">
        <v>23077.200000000001</v>
      </c>
      <c r="O1599" s="12"/>
      <c r="P1599" s="14"/>
      <c r="Q1599" s="104"/>
      <c r="R1599" s="104"/>
      <c r="S1599" s="104"/>
      <c r="T1599" s="104"/>
      <c r="U1599" s="104"/>
      <c r="V1599" s="104"/>
      <c r="W1599" s="104"/>
      <c r="X1599" s="138"/>
      <c r="Y1599" s="104"/>
      <c r="Z1599" s="104"/>
      <c r="AA1599" s="104"/>
      <c r="AB1599" s="104"/>
    </row>
    <row r="1600" spans="1:28" ht="15.75" thickBot="1">
      <c r="A1600" s="423"/>
      <c r="B1600" s="3" t="s">
        <v>3</v>
      </c>
      <c r="C1600" s="71">
        <f>C1599/C1598</f>
        <v>0.74683983670762799</v>
      </c>
      <c r="D1600" s="72">
        <f t="shared" ref="D1600:F1600" si="1180">D1599/D1598</f>
        <v>0.66542375961713207</v>
      </c>
      <c r="E1600" s="72">
        <f t="shared" si="1180"/>
        <v>0.67933401991074505</v>
      </c>
      <c r="F1600" s="72">
        <f t="shared" si="1180"/>
        <v>0.85174754439770395</v>
      </c>
      <c r="G1600" s="72">
        <f>G1599/G1598</f>
        <v>1.9145846348607703E-2</v>
      </c>
      <c r="H1600" s="72">
        <f t="shared" ref="H1600:N1600" si="1181">H1599/H1598</f>
        <v>0.27589875345115333</v>
      </c>
      <c r="I1600" s="72">
        <f t="shared" si="1181"/>
        <v>0.16539274946881197</v>
      </c>
      <c r="J1600" s="72">
        <f t="shared" si="1181"/>
        <v>0.71223436487381231</v>
      </c>
      <c r="K1600" s="72">
        <f t="shared" si="1181"/>
        <v>0.50419329582491212</v>
      </c>
      <c r="L1600" s="72">
        <f t="shared" si="1181"/>
        <v>2.1229389162610298E-2</v>
      </c>
      <c r="M1600" s="72">
        <f t="shared" si="1181"/>
        <v>0.44725120365905552</v>
      </c>
      <c r="N1600" s="83">
        <f t="shared" si="1181"/>
        <v>0.42018899874365001</v>
      </c>
      <c r="O1600" s="12"/>
      <c r="X1600" s="138"/>
      <c r="Y1600" s="104"/>
      <c r="Z1600" s="104"/>
      <c r="AA1600" s="104"/>
      <c r="AB1600" s="104"/>
    </row>
    <row r="1601" spans="1:28" ht="15" customHeight="1">
      <c r="A1601" s="411" t="s">
        <v>6</v>
      </c>
      <c r="B1601" s="27" t="s">
        <v>7</v>
      </c>
      <c r="C1601" s="68">
        <v>5006</v>
      </c>
      <c r="D1601" s="68">
        <v>3200</v>
      </c>
      <c r="E1601" s="68">
        <v>3183</v>
      </c>
      <c r="F1601" s="68">
        <v>9526</v>
      </c>
      <c r="G1601" s="68">
        <v>5000</v>
      </c>
      <c r="H1601" s="68">
        <v>6989</v>
      </c>
      <c r="I1601" s="68">
        <f>(4000-2000)</f>
        <v>2000</v>
      </c>
      <c r="J1601" s="68">
        <v>9194</v>
      </c>
      <c r="K1601" s="68">
        <v>2971</v>
      </c>
      <c r="L1601" s="68">
        <v>2500</v>
      </c>
      <c r="M1601" s="68">
        <f>5451-2614</f>
        <v>2837</v>
      </c>
      <c r="N1601" s="80">
        <v>830</v>
      </c>
      <c r="O1601" s="12"/>
      <c r="X1601" s="138"/>
      <c r="Y1601" s="104"/>
      <c r="Z1601" s="104"/>
      <c r="AA1601" s="104"/>
      <c r="AB1601" s="104"/>
    </row>
    <row r="1602" spans="1:28">
      <c r="A1602" s="412"/>
      <c r="B1602" s="28" t="s">
        <v>11</v>
      </c>
      <c r="C1602" s="73">
        <f t="shared" ref="C1602:I1602" si="1182">C1601*33.72</f>
        <v>168802.32</v>
      </c>
      <c r="D1602" s="73">
        <f t="shared" si="1182"/>
        <v>107904</v>
      </c>
      <c r="E1602" s="73">
        <f t="shared" si="1182"/>
        <v>107330.76</v>
      </c>
      <c r="F1602" s="73">
        <f t="shared" si="1182"/>
        <v>321216.71999999997</v>
      </c>
      <c r="G1602" s="73">
        <f t="shared" si="1182"/>
        <v>168600</v>
      </c>
      <c r="H1602" s="73">
        <f t="shared" si="1182"/>
        <v>235669.08</v>
      </c>
      <c r="I1602" s="73">
        <f t="shared" si="1182"/>
        <v>67440</v>
      </c>
      <c r="J1602" s="73">
        <f>J1601*33.72</f>
        <v>310021.68</v>
      </c>
      <c r="K1602" s="73">
        <f t="shared" ref="K1602:N1602" si="1183">K1601*33.72</f>
        <v>100182.12</v>
      </c>
      <c r="L1602" s="73">
        <f t="shared" si="1183"/>
        <v>84300</v>
      </c>
      <c r="M1602" s="73">
        <f t="shared" si="1183"/>
        <v>95663.64</v>
      </c>
      <c r="N1602" s="73">
        <f t="shared" si="1183"/>
        <v>27987.599999999999</v>
      </c>
      <c r="O1602" s="12"/>
      <c r="X1602" s="138"/>
      <c r="Y1602" s="104"/>
      <c r="Z1602" s="104"/>
      <c r="AA1602" s="104"/>
      <c r="AB1602" s="104"/>
    </row>
    <row r="1603" spans="1:28">
      <c r="A1603" s="412"/>
      <c r="B1603" s="28" t="s">
        <v>79</v>
      </c>
      <c r="C1603" s="73">
        <v>164000</v>
      </c>
      <c r="D1603" s="73">
        <v>109880</v>
      </c>
      <c r="E1603" s="73">
        <v>109880</v>
      </c>
      <c r="F1603" s="73">
        <v>328000</v>
      </c>
      <c r="G1603" s="73">
        <f>G1598*2</f>
        <v>242663.6</v>
      </c>
      <c r="H1603" s="73">
        <f>H1598*2</f>
        <v>220143.8</v>
      </c>
      <c r="I1603" s="73">
        <f>I1598*2</f>
        <v>242663.6</v>
      </c>
      <c r="J1603" s="73">
        <v>328000</v>
      </c>
      <c r="K1603" s="73">
        <f>K1598*2</f>
        <v>109842</v>
      </c>
      <c r="L1603" s="73">
        <v>328000</v>
      </c>
      <c r="M1603" s="73">
        <f>2*M1598</f>
        <v>352965.4</v>
      </c>
      <c r="N1603" s="84">
        <f>2*N1598</f>
        <v>109842</v>
      </c>
      <c r="O1603" s="12"/>
    </row>
    <row r="1604" spans="1:28" s="64" customFormat="1">
      <c r="A1604" s="412"/>
      <c r="B1604" s="66" t="s">
        <v>8</v>
      </c>
      <c r="C1604" s="98">
        <f>SUM(C1601-458)</f>
        <v>4548</v>
      </c>
      <c r="D1604" s="98">
        <f>SUM(D1601-737)</f>
        <v>2463</v>
      </c>
      <c r="E1604" s="98">
        <f>SUM(E1601-690)</f>
        <v>2493</v>
      </c>
      <c r="F1604" s="98">
        <f>SUM(F1601-1224)</f>
        <v>8302</v>
      </c>
      <c r="G1604" s="98">
        <f>SUM(G1601-4511)</f>
        <v>489</v>
      </c>
      <c r="H1604" s="98">
        <f>SUM(H1601-1522)</f>
        <v>5467</v>
      </c>
      <c r="I1604" s="98">
        <f>SUM(I1601-(2801-2000))</f>
        <v>1199</v>
      </c>
      <c r="J1604" s="98">
        <f>SUM(J1601-1445)</f>
        <v>7749</v>
      </c>
      <c r="K1604" s="98">
        <f>SUM(K1601-1009)</f>
        <v>1962</v>
      </c>
      <c r="L1604" s="98">
        <f>SUM(L1601-1705)</f>
        <v>795</v>
      </c>
      <c r="M1604" s="98">
        <f>SUM(M1601-(3227-2614))</f>
        <v>2224</v>
      </c>
      <c r="N1604" s="103">
        <f>SUM(N1601-46)</f>
        <v>784</v>
      </c>
      <c r="O1604" s="12"/>
      <c r="P1604" s="14"/>
      <c r="Q1604" s="138"/>
      <c r="R1604" s="104"/>
      <c r="S1604" s="104"/>
      <c r="T1604" s="104"/>
      <c r="U1604" s="104"/>
      <c r="V1604" s="104"/>
      <c r="W1604" s="104"/>
    </row>
    <row r="1605" spans="1:28">
      <c r="A1605" s="412"/>
      <c r="B1605" s="29" t="s">
        <v>77</v>
      </c>
      <c r="C1605" s="75">
        <f>C1604*33.72</f>
        <v>153358.56</v>
      </c>
      <c r="D1605" s="75">
        <f>D1604*33.72</f>
        <v>83052.36</v>
      </c>
      <c r="E1605" s="75">
        <f>E1604*33.72</f>
        <v>84063.959999999992</v>
      </c>
      <c r="F1605" s="75">
        <f>F1604*33.72</f>
        <v>279943.44</v>
      </c>
      <c r="G1605" s="75">
        <f>G1604*33.72*2</f>
        <v>32978.159999999996</v>
      </c>
      <c r="H1605" s="75">
        <f>H1604*33.72</f>
        <v>184347.24</v>
      </c>
      <c r="I1605" s="75">
        <f>I1604*33.72</f>
        <v>40430.28</v>
      </c>
      <c r="J1605" s="75">
        <f>J1604*33.72</f>
        <v>261296.28</v>
      </c>
      <c r="K1605" s="75">
        <f>K1604*33.72</f>
        <v>66158.64</v>
      </c>
      <c r="L1605" s="75">
        <f>L1604*33.72</f>
        <v>26807.399999999998</v>
      </c>
      <c r="M1605" s="75">
        <f>M1604*33.72*2</f>
        <v>149986.56</v>
      </c>
      <c r="N1605" s="11">
        <f>N1604*33.72</f>
        <v>26436.48</v>
      </c>
      <c r="O1605" s="12"/>
      <c r="Q1605" s="138"/>
    </row>
    <row r="1606" spans="1:28" ht="15.75" thickBot="1">
      <c r="A1606" s="412"/>
      <c r="B1606" s="30" t="s">
        <v>10</v>
      </c>
      <c r="C1606" s="71">
        <f>C1604*33.7/C1598</f>
        <v>1.3233624137430839</v>
      </c>
      <c r="D1606" s="71">
        <f t="shared" ref="D1606:N1606" si="1184">D1604*33.7/D1598</f>
        <v>0.83805961107408988</v>
      </c>
      <c r="E1606" s="78">
        <f t="shared" si="1184"/>
        <v>0.84826740170836623</v>
      </c>
      <c r="F1606" s="78">
        <f t="shared" si="1184"/>
        <v>1.8117669457280812</v>
      </c>
      <c r="G1606" s="78">
        <f t="shared" si="1184"/>
        <v>0.13582012300155444</v>
      </c>
      <c r="H1606" s="78">
        <f t="shared" si="1184"/>
        <v>1.6737959461043195</v>
      </c>
      <c r="I1606" s="78">
        <f t="shared" si="1184"/>
        <v>0.33302316457845349</v>
      </c>
      <c r="J1606" s="78">
        <f t="shared" si="1184"/>
        <v>1.5274315133393697</v>
      </c>
      <c r="K1606" s="78">
        <f t="shared" si="1184"/>
        <v>1.203900147484569</v>
      </c>
      <c r="L1606" s="78">
        <f t="shared" si="1184"/>
        <v>0.44162371282714019</v>
      </c>
      <c r="M1606" s="79">
        <f t="shared" si="1184"/>
        <v>0.42468071941329094</v>
      </c>
      <c r="N1606" s="26">
        <f t="shared" si="1184"/>
        <v>0.48106917208353822</v>
      </c>
      <c r="O1606" s="12"/>
      <c r="Q1606" s="138"/>
    </row>
    <row r="1607" spans="1:28" ht="15.75" customHeight="1" thickBot="1">
      <c r="A1607" s="424" t="s">
        <v>83</v>
      </c>
      <c r="B1607" s="425"/>
      <c r="C1607" s="76">
        <f>MIN(2*C1598,C1603)-C1605</f>
        <v>10641.440000000002</v>
      </c>
      <c r="D1607" s="76">
        <f t="shared" ref="D1607:N1607" si="1185">MIN(2*D1598,D1603)-D1605</f>
        <v>26827.64</v>
      </c>
      <c r="E1607" s="76">
        <f t="shared" si="1185"/>
        <v>25816.040000000008</v>
      </c>
      <c r="F1607" s="76">
        <f t="shared" si="1185"/>
        <v>28901.359999999986</v>
      </c>
      <c r="G1607" s="76">
        <f t="shared" si="1185"/>
        <v>209685.44</v>
      </c>
      <c r="H1607" s="76">
        <f t="shared" si="1185"/>
        <v>35796.559999999998</v>
      </c>
      <c r="I1607" s="76">
        <f t="shared" si="1185"/>
        <v>202233.32</v>
      </c>
      <c r="J1607" s="76">
        <f t="shared" si="1185"/>
        <v>66703.72</v>
      </c>
      <c r="K1607" s="76">
        <f t="shared" si="1185"/>
        <v>43683.360000000001</v>
      </c>
      <c r="L1607" s="76">
        <f t="shared" si="1185"/>
        <v>94524.400000000009</v>
      </c>
      <c r="M1607" s="76">
        <f t="shared" si="1185"/>
        <v>202978.84000000003</v>
      </c>
      <c r="N1607" s="22">
        <f t="shared" si="1185"/>
        <v>83405.52</v>
      </c>
      <c r="O1607" s="12"/>
      <c r="Q1607" s="138"/>
    </row>
    <row r="1608" spans="1:28" ht="15.75" thickBot="1">
      <c r="A1608" s="368">
        <v>41001</v>
      </c>
      <c r="B1608" s="368"/>
      <c r="C1608" s="368"/>
      <c r="N1608" s="15"/>
    </row>
    <row r="1609" spans="1:28">
      <c r="A1609" s="407" t="s">
        <v>1</v>
      </c>
      <c r="B1609" s="420"/>
      <c r="C1609" s="68" t="s">
        <v>12</v>
      </c>
      <c r="D1609" s="68" t="s">
        <v>12</v>
      </c>
      <c r="E1609" s="68" t="s">
        <v>13</v>
      </c>
      <c r="F1609" s="68" t="s">
        <v>13</v>
      </c>
      <c r="G1609" s="68" t="s">
        <v>13</v>
      </c>
      <c r="H1609" s="68" t="s">
        <v>13</v>
      </c>
      <c r="I1609" s="68" t="s">
        <v>13</v>
      </c>
      <c r="J1609" s="68" t="s">
        <v>2</v>
      </c>
      <c r="K1609" s="68" t="s">
        <v>2</v>
      </c>
      <c r="L1609" s="68" t="s">
        <v>2</v>
      </c>
      <c r="M1609" s="68" t="s">
        <v>2</v>
      </c>
      <c r="N1609" s="4" t="s">
        <v>84</v>
      </c>
      <c r="X1609" s="142"/>
      <c r="Y1609" s="14"/>
      <c r="Z1609" s="14"/>
      <c r="AA1609" s="14"/>
      <c r="AB1609" s="104"/>
    </row>
    <row r="1610" spans="1:28" ht="15.75" thickBot="1">
      <c r="A1610" s="409" t="s">
        <v>0</v>
      </c>
      <c r="B1610" s="414"/>
      <c r="C1610" s="99" t="s">
        <v>102</v>
      </c>
      <c r="D1610" s="99" t="s">
        <v>103</v>
      </c>
      <c r="E1610" s="99" t="s">
        <v>104</v>
      </c>
      <c r="F1610" s="99" t="s">
        <v>105</v>
      </c>
      <c r="G1610" s="99" t="s">
        <v>100</v>
      </c>
      <c r="H1610" s="99" t="s">
        <v>107</v>
      </c>
      <c r="I1610" s="99" t="s">
        <v>106</v>
      </c>
      <c r="J1610" s="99" t="s">
        <v>108</v>
      </c>
      <c r="K1610" s="99" t="s">
        <v>110</v>
      </c>
      <c r="L1610" s="99" t="s">
        <v>101</v>
      </c>
      <c r="M1610" s="99" t="s">
        <v>109</v>
      </c>
      <c r="N1610" s="101" t="s">
        <v>111</v>
      </c>
      <c r="P1610" s="142"/>
      <c r="Q1610" s="138"/>
      <c r="R1610" s="138"/>
      <c r="S1610" s="138"/>
      <c r="T1610" s="138"/>
      <c r="U1610" s="138"/>
      <c r="V1610" s="138"/>
      <c r="W1610" s="138"/>
      <c r="X1610" s="138"/>
      <c r="Y1610" s="138"/>
      <c r="Z1610" s="138"/>
      <c r="AA1610" s="138"/>
      <c r="AB1610" s="138"/>
    </row>
    <row r="1611" spans="1:28" ht="15" customHeight="1">
      <c r="A1611" s="421" t="s">
        <v>9</v>
      </c>
      <c r="B1611" s="2" t="s">
        <v>4</v>
      </c>
      <c r="C1611" s="96">
        <v>115816.8</v>
      </c>
      <c r="D1611" s="96">
        <v>99042</v>
      </c>
      <c r="E1611" s="96">
        <v>99042</v>
      </c>
      <c r="F1611" s="96">
        <v>154422.39999999999</v>
      </c>
      <c r="G1611" s="96">
        <v>121331.8</v>
      </c>
      <c r="H1611" s="96">
        <v>110071.9</v>
      </c>
      <c r="I1611" s="96">
        <v>121331.8</v>
      </c>
      <c r="J1611" s="96">
        <v>170967.6</v>
      </c>
      <c r="K1611" s="96">
        <v>54921</v>
      </c>
      <c r="L1611" s="96">
        <v>60665.9</v>
      </c>
      <c r="M1611" s="96">
        <v>176482.7</v>
      </c>
      <c r="N1611" s="100">
        <v>54921</v>
      </c>
      <c r="O1611" s="12"/>
      <c r="X1611" s="138"/>
      <c r="Y1611" s="104"/>
      <c r="Z1611" s="104"/>
      <c r="AA1611" s="104"/>
      <c r="AB1611" s="104"/>
    </row>
    <row r="1612" spans="1:28" s="64" customFormat="1">
      <c r="A1612" s="422"/>
      <c r="B1612" s="63" t="s">
        <v>5</v>
      </c>
      <c r="C1612" s="97">
        <v>86450.2</v>
      </c>
      <c r="D1612" s="97">
        <v>65886.100000000006</v>
      </c>
      <c r="E1612" s="97">
        <v>67263.3</v>
      </c>
      <c r="F1612" s="97">
        <v>131375.1</v>
      </c>
      <c r="G1612" s="97">
        <v>2322.9</v>
      </c>
      <c r="H1612" s="97">
        <v>29878.799999999999</v>
      </c>
      <c r="I1612" s="97">
        <v>20053.8</v>
      </c>
      <c r="J1612" s="97">
        <v>121723.1</v>
      </c>
      <c r="K1612" s="97">
        <v>27687.7</v>
      </c>
      <c r="L1612" s="97">
        <v>1286</v>
      </c>
      <c r="M1612" s="97">
        <v>78904.3</v>
      </c>
      <c r="N1612" s="102">
        <v>23075.9</v>
      </c>
      <c r="O1612" s="12"/>
      <c r="P1612" s="14"/>
      <c r="Q1612" s="104"/>
      <c r="R1612" s="104"/>
      <c r="S1612" s="104"/>
      <c r="T1612" s="104"/>
      <c r="U1612" s="104"/>
      <c r="V1612" s="104"/>
      <c r="W1612" s="104"/>
      <c r="X1612" s="138"/>
      <c r="Y1612" s="104"/>
      <c r="Z1612" s="104"/>
      <c r="AA1612" s="104"/>
      <c r="AB1612" s="104"/>
    </row>
    <row r="1613" spans="1:28" ht="15.75" thickBot="1">
      <c r="A1613" s="423"/>
      <c r="B1613" s="3" t="s">
        <v>3</v>
      </c>
      <c r="C1613" s="71">
        <f>C1612/C1611</f>
        <v>0.74643920398422337</v>
      </c>
      <c r="D1613" s="72">
        <f t="shared" ref="D1613:F1613" si="1186">D1612/D1611</f>
        <v>0.66523394115627721</v>
      </c>
      <c r="E1613" s="72">
        <f t="shared" si="1186"/>
        <v>0.67913915308656936</v>
      </c>
      <c r="F1613" s="72">
        <f t="shared" si="1186"/>
        <v>0.85075157490105069</v>
      </c>
      <c r="G1613" s="72">
        <f>G1612/G1611</f>
        <v>1.9145022162367985E-2</v>
      </c>
      <c r="H1613" s="72">
        <f t="shared" ref="H1613:N1613" si="1187">H1612/H1611</f>
        <v>0.27144802624466374</v>
      </c>
      <c r="I1613" s="72">
        <f t="shared" si="1187"/>
        <v>0.16528066014021056</v>
      </c>
      <c r="J1613" s="72">
        <f t="shared" si="1187"/>
        <v>0.71196589295281676</v>
      </c>
      <c r="K1613" s="72">
        <f t="shared" si="1187"/>
        <v>0.50413685111341744</v>
      </c>
      <c r="L1613" s="72">
        <f t="shared" si="1187"/>
        <v>2.1198070085501081E-2</v>
      </c>
      <c r="M1613" s="72">
        <f t="shared" si="1187"/>
        <v>0.44709368113701797</v>
      </c>
      <c r="N1613" s="83">
        <f t="shared" si="1187"/>
        <v>0.42016532838076515</v>
      </c>
      <c r="O1613" s="12"/>
      <c r="X1613" s="138"/>
      <c r="Y1613" s="104"/>
      <c r="Z1613" s="104"/>
      <c r="AA1613" s="104"/>
      <c r="AB1613" s="104"/>
    </row>
    <row r="1614" spans="1:28" ht="15" customHeight="1">
      <c r="A1614" s="411" t="s">
        <v>6</v>
      </c>
      <c r="B1614" s="27" t="s">
        <v>7</v>
      </c>
      <c r="C1614" s="68">
        <v>5006</v>
      </c>
      <c r="D1614" s="68">
        <v>3200</v>
      </c>
      <c r="E1614" s="68">
        <v>3183</v>
      </c>
      <c r="F1614" s="68">
        <v>9526</v>
      </c>
      <c r="G1614" s="68">
        <v>5000</v>
      </c>
      <c r="H1614" s="68">
        <v>6989</v>
      </c>
      <c r="I1614" s="68">
        <f>(4000-2000)</f>
        <v>2000</v>
      </c>
      <c r="J1614" s="68">
        <v>9194</v>
      </c>
      <c r="K1614" s="68">
        <v>2971</v>
      </c>
      <c r="L1614" s="68">
        <v>2500</v>
      </c>
      <c r="M1614" s="68">
        <f>5451-2614</f>
        <v>2837</v>
      </c>
      <c r="N1614" s="80">
        <v>830</v>
      </c>
      <c r="O1614" s="12"/>
      <c r="X1614" s="138"/>
      <c r="Y1614" s="104"/>
      <c r="Z1614" s="104"/>
      <c r="AA1614" s="104"/>
      <c r="AB1614" s="104"/>
    </row>
    <row r="1615" spans="1:28">
      <c r="A1615" s="412"/>
      <c r="B1615" s="28" t="s">
        <v>11</v>
      </c>
      <c r="C1615" s="73">
        <f t="shared" ref="C1615:I1615" si="1188">C1614*33.72</f>
        <v>168802.32</v>
      </c>
      <c r="D1615" s="73">
        <f t="shared" si="1188"/>
        <v>107904</v>
      </c>
      <c r="E1615" s="73">
        <f t="shared" si="1188"/>
        <v>107330.76</v>
      </c>
      <c r="F1615" s="73">
        <f t="shared" si="1188"/>
        <v>321216.71999999997</v>
      </c>
      <c r="G1615" s="73">
        <f t="shared" si="1188"/>
        <v>168600</v>
      </c>
      <c r="H1615" s="73">
        <f t="shared" si="1188"/>
        <v>235669.08</v>
      </c>
      <c r="I1615" s="73">
        <f t="shared" si="1188"/>
        <v>67440</v>
      </c>
      <c r="J1615" s="73">
        <f>J1614*33.72</f>
        <v>310021.68</v>
      </c>
      <c r="K1615" s="73">
        <f t="shared" ref="K1615:N1615" si="1189">K1614*33.72</f>
        <v>100182.12</v>
      </c>
      <c r="L1615" s="73">
        <f t="shared" si="1189"/>
        <v>84300</v>
      </c>
      <c r="M1615" s="73">
        <f t="shared" si="1189"/>
        <v>95663.64</v>
      </c>
      <c r="N1615" s="73">
        <f t="shared" si="1189"/>
        <v>27987.599999999999</v>
      </c>
      <c r="O1615" s="12"/>
      <c r="X1615" s="138"/>
      <c r="Y1615" s="104"/>
      <c r="Z1615" s="104"/>
      <c r="AA1615" s="104"/>
      <c r="AB1615" s="104"/>
    </row>
    <row r="1616" spans="1:28">
      <c r="A1616" s="412"/>
      <c r="B1616" s="28" t="s">
        <v>79</v>
      </c>
      <c r="C1616" s="73">
        <v>164000</v>
      </c>
      <c r="D1616" s="73">
        <v>109880</v>
      </c>
      <c r="E1616" s="73">
        <v>109880</v>
      </c>
      <c r="F1616" s="73">
        <v>328000</v>
      </c>
      <c r="G1616" s="73">
        <f>G1611*2</f>
        <v>242663.6</v>
      </c>
      <c r="H1616" s="73">
        <f>H1611*2</f>
        <v>220143.8</v>
      </c>
      <c r="I1616" s="73">
        <f>I1611*2</f>
        <v>242663.6</v>
      </c>
      <c r="J1616" s="73">
        <v>328000</v>
      </c>
      <c r="K1616" s="73">
        <f>K1611*2</f>
        <v>109842</v>
      </c>
      <c r="L1616" s="73">
        <v>328000</v>
      </c>
      <c r="M1616" s="73">
        <f>2*M1611</f>
        <v>352965.4</v>
      </c>
      <c r="N1616" s="84">
        <f>2*N1611</f>
        <v>109842</v>
      </c>
      <c r="O1616" s="12"/>
    </row>
    <row r="1617" spans="1:28" s="64" customFormat="1">
      <c r="A1617" s="412"/>
      <c r="B1617" s="66" t="s">
        <v>8</v>
      </c>
      <c r="C1617" s="98">
        <f>SUM(C1614-458)</f>
        <v>4548</v>
      </c>
      <c r="D1617" s="98">
        <f>SUM(D1614-737)</f>
        <v>2463</v>
      </c>
      <c r="E1617" s="98">
        <f>SUM(E1614-690)</f>
        <v>2493</v>
      </c>
      <c r="F1617" s="98">
        <f>SUM(F1614-1224)</f>
        <v>8302</v>
      </c>
      <c r="G1617" s="98">
        <f>SUM(G1614-4511)</f>
        <v>489</v>
      </c>
      <c r="H1617" s="98">
        <f>SUM(H1614-1522)</f>
        <v>5467</v>
      </c>
      <c r="I1617" s="98">
        <f>SUM(I1614-(2801-2000))</f>
        <v>1199</v>
      </c>
      <c r="J1617" s="98">
        <f>SUM(J1614-1445)</f>
        <v>7749</v>
      </c>
      <c r="K1617" s="98">
        <f>SUM(K1614-1009)</f>
        <v>1962</v>
      </c>
      <c r="L1617" s="98">
        <f>SUM(L1614-1705)</f>
        <v>795</v>
      </c>
      <c r="M1617" s="98">
        <f>SUM(M1614-(3227-2614))</f>
        <v>2224</v>
      </c>
      <c r="N1617" s="103">
        <f>SUM(N1614-46)</f>
        <v>784</v>
      </c>
      <c r="O1617" s="12"/>
      <c r="P1617" s="14"/>
      <c r="Q1617" s="138"/>
      <c r="R1617" s="104"/>
      <c r="S1617" s="104"/>
      <c r="T1617" s="104"/>
      <c r="U1617" s="104"/>
      <c r="V1617" s="104"/>
      <c r="W1617" s="104"/>
    </row>
    <row r="1618" spans="1:28">
      <c r="A1618" s="412"/>
      <c r="B1618" s="29" t="s">
        <v>77</v>
      </c>
      <c r="C1618" s="75">
        <f>C1617*33.72</f>
        <v>153358.56</v>
      </c>
      <c r="D1618" s="75">
        <f>D1617*33.72</f>
        <v>83052.36</v>
      </c>
      <c r="E1618" s="75">
        <f>E1617*33.72</f>
        <v>84063.959999999992</v>
      </c>
      <c r="F1618" s="75">
        <f>F1617*33.72</f>
        <v>279943.44</v>
      </c>
      <c r="G1618" s="75">
        <f>G1617*33.72*2</f>
        <v>32978.159999999996</v>
      </c>
      <c r="H1618" s="75">
        <f>H1617*33.72</f>
        <v>184347.24</v>
      </c>
      <c r="I1618" s="75">
        <f>I1617*33.72</f>
        <v>40430.28</v>
      </c>
      <c r="J1618" s="75">
        <f>J1617*33.72</f>
        <v>261296.28</v>
      </c>
      <c r="K1618" s="75">
        <f>K1617*33.72</f>
        <v>66158.64</v>
      </c>
      <c r="L1618" s="75">
        <f>L1617*33.72</f>
        <v>26807.399999999998</v>
      </c>
      <c r="M1618" s="75">
        <f>M1617*33.72*2</f>
        <v>149986.56</v>
      </c>
      <c r="N1618" s="11">
        <f>N1617*33.72</f>
        <v>26436.48</v>
      </c>
      <c r="O1618" s="12"/>
      <c r="Q1618" s="138"/>
    </row>
    <row r="1619" spans="1:28" ht="15.75" thickBot="1">
      <c r="A1619" s="412"/>
      <c r="B1619" s="30" t="s">
        <v>10</v>
      </c>
      <c r="C1619" s="71">
        <f>C1617*33.7/C1611</f>
        <v>1.3233624137430839</v>
      </c>
      <c r="D1619" s="71">
        <f t="shared" ref="D1619:N1619" si="1190">D1617*33.7/D1611</f>
        <v>0.83805961107408988</v>
      </c>
      <c r="E1619" s="78">
        <f t="shared" si="1190"/>
        <v>0.84826740170836623</v>
      </c>
      <c r="F1619" s="78">
        <f t="shared" si="1190"/>
        <v>1.8117669457280812</v>
      </c>
      <c r="G1619" s="78">
        <f t="shared" si="1190"/>
        <v>0.13582012300155444</v>
      </c>
      <c r="H1619" s="78">
        <f t="shared" si="1190"/>
        <v>1.6737959461043195</v>
      </c>
      <c r="I1619" s="78">
        <f t="shared" si="1190"/>
        <v>0.33302316457845349</v>
      </c>
      <c r="J1619" s="78">
        <f t="shared" si="1190"/>
        <v>1.5274315133393697</v>
      </c>
      <c r="K1619" s="78">
        <f t="shared" si="1190"/>
        <v>1.203900147484569</v>
      </c>
      <c r="L1619" s="78">
        <f t="shared" si="1190"/>
        <v>0.44162371282714019</v>
      </c>
      <c r="M1619" s="79">
        <f t="shared" si="1190"/>
        <v>0.42468071941329094</v>
      </c>
      <c r="N1619" s="26">
        <f t="shared" si="1190"/>
        <v>0.48106917208353822</v>
      </c>
      <c r="O1619" s="12"/>
      <c r="Q1619" s="138"/>
    </row>
    <row r="1620" spans="1:28" ht="15.75" customHeight="1" thickBot="1">
      <c r="A1620" s="424" t="s">
        <v>83</v>
      </c>
      <c r="B1620" s="425"/>
      <c r="C1620" s="76">
        <f>MIN(2*C1611,C1616)-C1618</f>
        <v>10641.440000000002</v>
      </c>
      <c r="D1620" s="76">
        <f t="shared" ref="D1620:N1620" si="1191">MIN(2*D1611,D1616)-D1618</f>
        <v>26827.64</v>
      </c>
      <c r="E1620" s="76">
        <f t="shared" si="1191"/>
        <v>25816.040000000008</v>
      </c>
      <c r="F1620" s="76">
        <f t="shared" si="1191"/>
        <v>28901.359999999986</v>
      </c>
      <c r="G1620" s="76">
        <f t="shared" si="1191"/>
        <v>209685.44</v>
      </c>
      <c r="H1620" s="76">
        <f t="shared" si="1191"/>
        <v>35796.559999999998</v>
      </c>
      <c r="I1620" s="76">
        <f t="shared" si="1191"/>
        <v>202233.32</v>
      </c>
      <c r="J1620" s="76">
        <f t="shared" si="1191"/>
        <v>66703.72</v>
      </c>
      <c r="K1620" s="76">
        <f t="shared" si="1191"/>
        <v>43683.360000000001</v>
      </c>
      <c r="L1620" s="76">
        <f t="shared" si="1191"/>
        <v>94524.400000000009</v>
      </c>
      <c r="M1620" s="76">
        <f t="shared" si="1191"/>
        <v>202978.84000000003</v>
      </c>
      <c r="N1620" s="22">
        <f t="shared" si="1191"/>
        <v>83405.52</v>
      </c>
      <c r="O1620" s="12"/>
      <c r="Q1620" s="138"/>
    </row>
    <row r="1621" spans="1:28" ht="15.75" thickBot="1">
      <c r="A1621" s="368">
        <v>40998</v>
      </c>
      <c r="B1621" s="368"/>
      <c r="C1621" s="368"/>
      <c r="N1621" s="15"/>
    </row>
    <row r="1622" spans="1:28">
      <c r="A1622" s="407" t="s">
        <v>1</v>
      </c>
      <c r="B1622" s="420"/>
      <c r="C1622" s="68" t="s">
        <v>12</v>
      </c>
      <c r="D1622" s="68" t="s">
        <v>12</v>
      </c>
      <c r="E1622" s="68" t="s">
        <v>13</v>
      </c>
      <c r="F1622" s="68" t="s">
        <v>13</v>
      </c>
      <c r="G1622" s="68" t="s">
        <v>13</v>
      </c>
      <c r="H1622" s="68" t="s">
        <v>13</v>
      </c>
      <c r="I1622" s="68" t="s">
        <v>13</v>
      </c>
      <c r="J1622" s="68" t="s">
        <v>2</v>
      </c>
      <c r="K1622" s="68" t="s">
        <v>2</v>
      </c>
      <c r="L1622" s="68" t="s">
        <v>2</v>
      </c>
      <c r="M1622" s="68" t="s">
        <v>2</v>
      </c>
      <c r="N1622" s="4" t="s">
        <v>84</v>
      </c>
      <c r="X1622" s="142"/>
      <c r="Y1622" s="14"/>
      <c r="Z1622" s="14"/>
      <c r="AA1622" s="14"/>
      <c r="AB1622" s="104"/>
    </row>
    <row r="1623" spans="1:28" ht="15.75" thickBot="1">
      <c r="A1623" s="409" t="s">
        <v>0</v>
      </c>
      <c r="B1623" s="414"/>
      <c r="C1623" s="99" t="s">
        <v>102</v>
      </c>
      <c r="D1623" s="99" t="s">
        <v>103</v>
      </c>
      <c r="E1623" s="99" t="s">
        <v>104</v>
      </c>
      <c r="F1623" s="99" t="s">
        <v>105</v>
      </c>
      <c r="G1623" s="99" t="s">
        <v>100</v>
      </c>
      <c r="H1623" s="99" t="s">
        <v>107</v>
      </c>
      <c r="I1623" s="99" t="s">
        <v>106</v>
      </c>
      <c r="J1623" s="99" t="s">
        <v>108</v>
      </c>
      <c r="K1623" s="99" t="s">
        <v>110</v>
      </c>
      <c r="L1623" s="99" t="s">
        <v>101</v>
      </c>
      <c r="M1623" s="99" t="s">
        <v>109</v>
      </c>
      <c r="N1623" s="101" t="s">
        <v>111</v>
      </c>
      <c r="P1623" s="142"/>
      <c r="Q1623" s="138"/>
      <c r="R1623" s="138"/>
      <c r="S1623" s="138"/>
      <c r="T1623" s="138"/>
      <c r="U1623" s="138"/>
      <c r="V1623" s="138"/>
      <c r="W1623" s="138"/>
      <c r="X1623" s="138"/>
      <c r="Y1623" s="138"/>
      <c r="Z1623" s="138"/>
      <c r="AA1623" s="138"/>
      <c r="AB1623" s="138"/>
    </row>
    <row r="1624" spans="1:28" ht="15" customHeight="1">
      <c r="A1624" s="421" t="s">
        <v>9</v>
      </c>
      <c r="B1624" s="2" t="s">
        <v>4</v>
      </c>
      <c r="C1624" s="96">
        <v>115816.8</v>
      </c>
      <c r="D1624" s="96">
        <v>99042</v>
      </c>
      <c r="E1624" s="96">
        <v>99042</v>
      </c>
      <c r="F1624" s="96">
        <v>154422.39999999999</v>
      </c>
      <c r="G1624" s="96">
        <v>121331.8</v>
      </c>
      <c r="H1624" s="96">
        <v>110071.9</v>
      </c>
      <c r="I1624" s="96">
        <v>121331.8</v>
      </c>
      <c r="J1624" s="96">
        <v>170967.6</v>
      </c>
      <c r="K1624" s="96">
        <v>54921</v>
      </c>
      <c r="L1624" s="96">
        <v>60665.9</v>
      </c>
      <c r="M1624" s="96">
        <v>176482.7</v>
      </c>
      <c r="N1624" s="100">
        <v>54921</v>
      </c>
      <c r="O1624" s="12"/>
      <c r="X1624" s="138"/>
      <c r="Y1624" s="104"/>
      <c r="Z1624" s="104"/>
      <c r="AA1624" s="104"/>
      <c r="AB1624" s="104"/>
    </row>
    <row r="1625" spans="1:28" s="64" customFormat="1">
      <c r="A1625" s="422"/>
      <c r="B1625" s="63" t="s">
        <v>5</v>
      </c>
      <c r="C1625" s="97">
        <v>86376.7</v>
      </c>
      <c r="D1625" s="97">
        <v>65862.8</v>
      </c>
      <c r="E1625" s="97">
        <v>67240.5</v>
      </c>
      <c r="F1625" s="97">
        <v>131007.6</v>
      </c>
      <c r="G1625" s="97">
        <v>2322.9</v>
      </c>
      <c r="H1625" s="97">
        <v>29535.200000000001</v>
      </c>
      <c r="I1625" s="97">
        <v>20040.7</v>
      </c>
      <c r="J1625" s="97">
        <v>121481.7</v>
      </c>
      <c r="K1625" s="97">
        <v>27652.5</v>
      </c>
      <c r="L1625" s="97">
        <v>1282.0999999999999</v>
      </c>
      <c r="M1625" s="97">
        <v>78874.3</v>
      </c>
      <c r="N1625" s="102">
        <v>23074.9</v>
      </c>
      <c r="O1625" s="12"/>
      <c r="P1625" s="14"/>
      <c r="Q1625" s="104"/>
      <c r="R1625" s="104"/>
      <c r="S1625" s="104"/>
      <c r="T1625" s="104"/>
      <c r="U1625" s="104"/>
      <c r="V1625" s="104"/>
      <c r="W1625" s="104"/>
      <c r="X1625" s="138"/>
      <c r="Y1625" s="104"/>
      <c r="Z1625" s="104"/>
      <c r="AA1625" s="104"/>
      <c r="AB1625" s="104"/>
    </row>
    <row r="1626" spans="1:28" ht="15.75" thickBot="1">
      <c r="A1626" s="423"/>
      <c r="B1626" s="3" t="s">
        <v>3</v>
      </c>
      <c r="C1626" s="71">
        <f>C1625/C1624</f>
        <v>0.74580458102796832</v>
      </c>
      <c r="D1626" s="72">
        <f t="shared" ref="D1626:F1626" si="1192">D1625/D1624</f>
        <v>0.66499868742553669</v>
      </c>
      <c r="E1626" s="72">
        <f t="shared" si="1192"/>
        <v>0.67890894771914945</v>
      </c>
      <c r="F1626" s="72">
        <f t="shared" si="1192"/>
        <v>0.8483717388150942</v>
      </c>
      <c r="G1626" s="72">
        <f>G1625/G1624</f>
        <v>1.9145022162367985E-2</v>
      </c>
      <c r="H1626" s="72">
        <f t="shared" ref="H1626:N1626" si="1193">H1625/H1624</f>
        <v>0.26832643026966924</v>
      </c>
      <c r="I1626" s="72">
        <f t="shared" si="1193"/>
        <v>0.16517269174280774</v>
      </c>
      <c r="J1626" s="72">
        <f t="shared" si="1193"/>
        <v>0.71055392951646978</v>
      </c>
      <c r="K1626" s="72">
        <f t="shared" si="1193"/>
        <v>0.50349593051838093</v>
      </c>
      <c r="L1626" s="72">
        <f t="shared" si="1193"/>
        <v>2.1133783558803215E-2</v>
      </c>
      <c r="M1626" s="72">
        <f t="shared" si="1193"/>
        <v>0.44692369280388389</v>
      </c>
      <c r="N1626" s="83">
        <f t="shared" si="1193"/>
        <v>0.42014712040931523</v>
      </c>
      <c r="O1626" s="12"/>
      <c r="X1626" s="138"/>
      <c r="Y1626" s="104"/>
      <c r="Z1626" s="104"/>
      <c r="AA1626" s="104"/>
      <c r="AB1626" s="104"/>
    </row>
    <row r="1627" spans="1:28" ht="15" customHeight="1">
      <c r="A1627" s="411" t="s">
        <v>6</v>
      </c>
      <c r="B1627" s="27" t="s">
        <v>7</v>
      </c>
      <c r="C1627" s="68">
        <v>5006</v>
      </c>
      <c r="D1627" s="68">
        <v>3200</v>
      </c>
      <c r="E1627" s="68">
        <v>3183</v>
      </c>
      <c r="F1627" s="68">
        <v>9526</v>
      </c>
      <c r="G1627" s="68">
        <v>5000</v>
      </c>
      <c r="H1627" s="68">
        <v>6989</v>
      </c>
      <c r="I1627" s="68">
        <f>(4000-2000)</f>
        <v>2000</v>
      </c>
      <c r="J1627" s="68">
        <v>9194</v>
      </c>
      <c r="K1627" s="68">
        <v>2971</v>
      </c>
      <c r="L1627" s="68">
        <v>2500</v>
      </c>
      <c r="M1627" s="68">
        <f>5451-2614</f>
        <v>2837</v>
      </c>
      <c r="N1627" s="80">
        <v>830</v>
      </c>
      <c r="O1627" s="12"/>
      <c r="X1627" s="138"/>
      <c r="Y1627" s="104"/>
      <c r="Z1627" s="104"/>
      <c r="AA1627" s="104"/>
      <c r="AB1627" s="104"/>
    </row>
    <row r="1628" spans="1:28">
      <c r="A1628" s="412"/>
      <c r="B1628" s="28" t="s">
        <v>11</v>
      </c>
      <c r="C1628" s="73">
        <f t="shared" ref="C1628:I1628" si="1194">C1627*33.72</f>
        <v>168802.32</v>
      </c>
      <c r="D1628" s="73">
        <f t="shared" si="1194"/>
        <v>107904</v>
      </c>
      <c r="E1628" s="73">
        <f t="shared" si="1194"/>
        <v>107330.76</v>
      </c>
      <c r="F1628" s="73">
        <f t="shared" si="1194"/>
        <v>321216.71999999997</v>
      </c>
      <c r="G1628" s="73">
        <f t="shared" si="1194"/>
        <v>168600</v>
      </c>
      <c r="H1628" s="73">
        <f t="shared" si="1194"/>
        <v>235669.08</v>
      </c>
      <c r="I1628" s="73">
        <f t="shared" si="1194"/>
        <v>67440</v>
      </c>
      <c r="J1628" s="73">
        <f>J1627*33.72</f>
        <v>310021.68</v>
      </c>
      <c r="K1628" s="73">
        <f t="shared" ref="K1628:N1628" si="1195">K1627*33.72</f>
        <v>100182.12</v>
      </c>
      <c r="L1628" s="73">
        <f t="shared" si="1195"/>
        <v>84300</v>
      </c>
      <c r="M1628" s="73">
        <f t="shared" si="1195"/>
        <v>95663.64</v>
      </c>
      <c r="N1628" s="73">
        <f t="shared" si="1195"/>
        <v>27987.599999999999</v>
      </c>
      <c r="O1628" s="12"/>
      <c r="X1628" s="138"/>
      <c r="Y1628" s="104"/>
      <c r="Z1628" s="104"/>
      <c r="AA1628" s="104"/>
      <c r="AB1628" s="104"/>
    </row>
    <row r="1629" spans="1:28">
      <c r="A1629" s="412"/>
      <c r="B1629" s="28" t="s">
        <v>79</v>
      </c>
      <c r="C1629" s="73">
        <v>164000</v>
      </c>
      <c r="D1629" s="73">
        <v>109880</v>
      </c>
      <c r="E1629" s="73">
        <v>109880</v>
      </c>
      <c r="F1629" s="73">
        <v>328000</v>
      </c>
      <c r="G1629" s="73">
        <f>G1624*2</f>
        <v>242663.6</v>
      </c>
      <c r="H1629" s="73">
        <f>H1624*2</f>
        <v>220143.8</v>
      </c>
      <c r="I1629" s="73">
        <f>I1624*2</f>
        <v>242663.6</v>
      </c>
      <c r="J1629" s="73">
        <v>328000</v>
      </c>
      <c r="K1629" s="73">
        <f>K1624*2</f>
        <v>109842</v>
      </c>
      <c r="L1629" s="73">
        <v>328000</v>
      </c>
      <c r="M1629" s="73">
        <f>2*M1624</f>
        <v>352965.4</v>
      </c>
      <c r="N1629" s="84">
        <f>2*N1624</f>
        <v>109842</v>
      </c>
      <c r="O1629" s="12"/>
    </row>
    <row r="1630" spans="1:28" s="64" customFormat="1">
      <c r="A1630" s="412"/>
      <c r="B1630" s="66" t="s">
        <v>8</v>
      </c>
      <c r="C1630" s="98">
        <f>SUM(C1627-458)</f>
        <v>4548</v>
      </c>
      <c r="D1630" s="98">
        <f>SUM(D1627-737)</f>
        <v>2463</v>
      </c>
      <c r="E1630" s="98">
        <f>SUM(E1627-690)</f>
        <v>2493</v>
      </c>
      <c r="F1630" s="98">
        <f>SUM(F1627-1224)</f>
        <v>8302</v>
      </c>
      <c r="G1630" s="98">
        <f>SUM(G1627-4511)</f>
        <v>489</v>
      </c>
      <c r="H1630" s="98">
        <f>SUM(H1627-1522)</f>
        <v>5467</v>
      </c>
      <c r="I1630" s="98">
        <f>SUM(I1627-(2801-2000))</f>
        <v>1199</v>
      </c>
      <c r="J1630" s="98">
        <f>SUM(J1627-1445)</f>
        <v>7749</v>
      </c>
      <c r="K1630" s="98">
        <f>SUM(K1627-1009)</f>
        <v>1962</v>
      </c>
      <c r="L1630" s="98">
        <f>SUM(L1627-1705)</f>
        <v>795</v>
      </c>
      <c r="M1630" s="98">
        <f>SUM(M1627-(3227-2614))</f>
        <v>2224</v>
      </c>
      <c r="N1630" s="103">
        <f>SUM(N1627-46)</f>
        <v>784</v>
      </c>
      <c r="O1630" s="12"/>
      <c r="P1630" s="14"/>
      <c r="Q1630" s="138"/>
      <c r="R1630" s="104"/>
      <c r="S1630" s="104"/>
      <c r="T1630" s="104"/>
      <c r="U1630" s="104"/>
      <c r="V1630" s="104"/>
      <c r="W1630" s="104"/>
    </row>
    <row r="1631" spans="1:28">
      <c r="A1631" s="412"/>
      <c r="B1631" s="29" t="s">
        <v>77</v>
      </c>
      <c r="C1631" s="75">
        <f>C1630*33.72</f>
        <v>153358.56</v>
      </c>
      <c r="D1631" s="75">
        <f>D1630*33.72</f>
        <v>83052.36</v>
      </c>
      <c r="E1631" s="75">
        <f>E1630*33.72</f>
        <v>84063.959999999992</v>
      </c>
      <c r="F1631" s="75">
        <f>F1630*33.72</f>
        <v>279943.44</v>
      </c>
      <c r="G1631" s="75">
        <f>G1630*33.72*2</f>
        <v>32978.159999999996</v>
      </c>
      <c r="H1631" s="75">
        <f>H1630*33.72</f>
        <v>184347.24</v>
      </c>
      <c r="I1631" s="75">
        <f>I1630*33.72</f>
        <v>40430.28</v>
      </c>
      <c r="J1631" s="75">
        <f>J1630*33.72</f>
        <v>261296.28</v>
      </c>
      <c r="K1631" s="75">
        <f>K1630*33.72</f>
        <v>66158.64</v>
      </c>
      <c r="L1631" s="75">
        <f>L1630*33.72</f>
        <v>26807.399999999998</v>
      </c>
      <c r="M1631" s="75">
        <f>M1630*33.72*2</f>
        <v>149986.56</v>
      </c>
      <c r="N1631" s="11">
        <f>N1630*33.72</f>
        <v>26436.48</v>
      </c>
      <c r="O1631" s="12"/>
      <c r="Q1631" s="138"/>
    </row>
    <row r="1632" spans="1:28" ht="15.75" thickBot="1">
      <c r="A1632" s="412"/>
      <c r="B1632" s="30" t="s">
        <v>10</v>
      </c>
      <c r="C1632" s="71">
        <f>C1630*33.7/C1624</f>
        <v>1.3233624137430839</v>
      </c>
      <c r="D1632" s="71">
        <f t="shared" ref="D1632:N1632" si="1196">D1630*33.7/D1624</f>
        <v>0.83805961107408988</v>
      </c>
      <c r="E1632" s="78">
        <f t="shared" si="1196"/>
        <v>0.84826740170836623</v>
      </c>
      <c r="F1632" s="78">
        <f t="shared" si="1196"/>
        <v>1.8117669457280812</v>
      </c>
      <c r="G1632" s="78">
        <f t="shared" si="1196"/>
        <v>0.13582012300155444</v>
      </c>
      <c r="H1632" s="78">
        <f t="shared" si="1196"/>
        <v>1.6737959461043195</v>
      </c>
      <c r="I1632" s="78">
        <f t="shared" si="1196"/>
        <v>0.33302316457845349</v>
      </c>
      <c r="J1632" s="78">
        <f t="shared" si="1196"/>
        <v>1.5274315133393697</v>
      </c>
      <c r="K1632" s="78">
        <f t="shared" si="1196"/>
        <v>1.203900147484569</v>
      </c>
      <c r="L1632" s="78">
        <f t="shared" si="1196"/>
        <v>0.44162371282714019</v>
      </c>
      <c r="M1632" s="79">
        <f t="shared" si="1196"/>
        <v>0.42468071941329094</v>
      </c>
      <c r="N1632" s="26">
        <f t="shared" si="1196"/>
        <v>0.48106917208353822</v>
      </c>
      <c r="O1632" s="12"/>
      <c r="Q1632" s="138"/>
    </row>
    <row r="1633" spans="1:28" ht="15.75" customHeight="1" thickBot="1">
      <c r="A1633" s="424" t="s">
        <v>83</v>
      </c>
      <c r="B1633" s="425"/>
      <c r="C1633" s="76">
        <f>MIN(2*C1624,C1629)-C1631</f>
        <v>10641.440000000002</v>
      </c>
      <c r="D1633" s="76">
        <f t="shared" ref="D1633:N1633" si="1197">MIN(2*D1624,D1629)-D1631</f>
        <v>26827.64</v>
      </c>
      <c r="E1633" s="76">
        <f t="shared" si="1197"/>
        <v>25816.040000000008</v>
      </c>
      <c r="F1633" s="76">
        <f t="shared" si="1197"/>
        <v>28901.359999999986</v>
      </c>
      <c r="G1633" s="76">
        <f t="shared" si="1197"/>
        <v>209685.44</v>
      </c>
      <c r="H1633" s="76">
        <f t="shared" si="1197"/>
        <v>35796.559999999998</v>
      </c>
      <c r="I1633" s="76">
        <f t="shared" si="1197"/>
        <v>202233.32</v>
      </c>
      <c r="J1633" s="76">
        <f t="shared" si="1197"/>
        <v>66703.72</v>
      </c>
      <c r="K1633" s="76">
        <f t="shared" si="1197"/>
        <v>43683.360000000001</v>
      </c>
      <c r="L1633" s="76">
        <f t="shared" si="1197"/>
        <v>94524.400000000009</v>
      </c>
      <c r="M1633" s="76">
        <f t="shared" si="1197"/>
        <v>202978.84000000003</v>
      </c>
      <c r="N1633" s="22">
        <f t="shared" si="1197"/>
        <v>83405.52</v>
      </c>
      <c r="O1633" s="12"/>
      <c r="Q1633" s="138"/>
    </row>
    <row r="1634" spans="1:28" ht="15.75" thickBot="1">
      <c r="A1634" s="368">
        <v>40997</v>
      </c>
      <c r="B1634" s="368"/>
      <c r="C1634" s="368"/>
      <c r="N1634" s="15"/>
    </row>
    <row r="1635" spans="1:28">
      <c r="A1635" s="407" t="s">
        <v>1</v>
      </c>
      <c r="B1635" s="420"/>
      <c r="C1635" s="68" t="s">
        <v>12</v>
      </c>
      <c r="D1635" s="68" t="s">
        <v>12</v>
      </c>
      <c r="E1635" s="68" t="s">
        <v>13</v>
      </c>
      <c r="F1635" s="68" t="s">
        <v>13</v>
      </c>
      <c r="G1635" s="68" t="s">
        <v>13</v>
      </c>
      <c r="H1635" s="68" t="s">
        <v>13</v>
      </c>
      <c r="I1635" s="68" t="s">
        <v>13</v>
      </c>
      <c r="J1635" s="68" t="s">
        <v>2</v>
      </c>
      <c r="K1635" s="68" t="s">
        <v>2</v>
      </c>
      <c r="L1635" s="68" t="s">
        <v>2</v>
      </c>
      <c r="M1635" s="68" t="s">
        <v>2</v>
      </c>
      <c r="N1635" s="4" t="s">
        <v>84</v>
      </c>
      <c r="X1635" s="142"/>
      <c r="Y1635" s="14"/>
      <c r="Z1635" s="14"/>
      <c r="AA1635" s="14"/>
      <c r="AB1635" s="104"/>
    </row>
    <row r="1636" spans="1:28" ht="15.75" thickBot="1">
      <c r="A1636" s="409" t="s">
        <v>0</v>
      </c>
      <c r="B1636" s="414"/>
      <c r="C1636" s="99" t="s">
        <v>102</v>
      </c>
      <c r="D1636" s="99" t="s">
        <v>103</v>
      </c>
      <c r="E1636" s="99" t="s">
        <v>104</v>
      </c>
      <c r="F1636" s="99" t="s">
        <v>105</v>
      </c>
      <c r="G1636" s="99" t="s">
        <v>100</v>
      </c>
      <c r="H1636" s="99" t="s">
        <v>107</v>
      </c>
      <c r="I1636" s="99" t="s">
        <v>106</v>
      </c>
      <c r="J1636" s="99" t="s">
        <v>108</v>
      </c>
      <c r="K1636" s="99" t="s">
        <v>110</v>
      </c>
      <c r="L1636" s="99" t="s">
        <v>101</v>
      </c>
      <c r="M1636" s="99" t="s">
        <v>109</v>
      </c>
      <c r="N1636" s="101" t="s">
        <v>111</v>
      </c>
      <c r="P1636" s="142"/>
      <c r="Q1636" s="138"/>
      <c r="R1636" s="138"/>
      <c r="S1636" s="138"/>
      <c r="T1636" s="138"/>
      <c r="U1636" s="138"/>
      <c r="V1636" s="138"/>
      <c r="W1636" s="138"/>
      <c r="X1636" s="138"/>
      <c r="Y1636" s="138"/>
      <c r="Z1636" s="138"/>
      <c r="AA1636" s="138"/>
      <c r="AB1636" s="138"/>
    </row>
    <row r="1637" spans="1:28" ht="15" customHeight="1">
      <c r="A1637" s="421" t="s">
        <v>9</v>
      </c>
      <c r="B1637" s="2" t="s">
        <v>4</v>
      </c>
      <c r="C1637" s="96">
        <v>115816.8</v>
      </c>
      <c r="D1637" s="96">
        <v>99042</v>
      </c>
      <c r="E1637" s="96">
        <v>99042</v>
      </c>
      <c r="F1637" s="96">
        <v>154422.39999999999</v>
      </c>
      <c r="G1637" s="96">
        <v>121331.8</v>
      </c>
      <c r="H1637" s="96">
        <v>110071.9</v>
      </c>
      <c r="I1637" s="96">
        <v>121331.8</v>
      </c>
      <c r="J1637" s="96">
        <v>170967.6</v>
      </c>
      <c r="K1637" s="96">
        <v>54921</v>
      </c>
      <c r="L1637" s="96">
        <v>60665.9</v>
      </c>
      <c r="M1637" s="96">
        <v>176482.7</v>
      </c>
      <c r="N1637" s="100">
        <v>54921</v>
      </c>
      <c r="O1637" s="12"/>
      <c r="X1637" s="138"/>
      <c r="Y1637" s="104"/>
      <c r="Z1637" s="104"/>
      <c r="AA1637" s="104"/>
      <c r="AB1637" s="104"/>
    </row>
    <row r="1638" spans="1:28" s="64" customFormat="1">
      <c r="A1638" s="422"/>
      <c r="B1638" s="63" t="s">
        <v>5</v>
      </c>
      <c r="C1638" s="97">
        <v>86373.6</v>
      </c>
      <c r="D1638" s="97">
        <v>65849.399999999994</v>
      </c>
      <c r="E1638" s="97">
        <v>67227.100000000006</v>
      </c>
      <c r="F1638" s="97">
        <v>130950.5</v>
      </c>
      <c r="G1638" s="97">
        <v>2322.9</v>
      </c>
      <c r="H1638" s="97">
        <v>29502.6</v>
      </c>
      <c r="I1638" s="97">
        <v>20037.7</v>
      </c>
      <c r="J1638" s="97">
        <v>121440.9</v>
      </c>
      <c r="K1638" s="97">
        <v>27634.6</v>
      </c>
      <c r="L1638" s="97">
        <v>1280.3</v>
      </c>
      <c r="M1638" s="97">
        <v>78868.3</v>
      </c>
      <c r="N1638" s="102">
        <v>23074.9</v>
      </c>
      <c r="O1638" s="12"/>
      <c r="P1638" s="14"/>
      <c r="Q1638" s="104"/>
      <c r="R1638" s="104"/>
      <c r="S1638" s="104"/>
      <c r="T1638" s="104"/>
      <c r="U1638" s="104"/>
      <c r="V1638" s="104"/>
      <c r="W1638" s="104"/>
      <c r="X1638" s="138"/>
      <c r="Y1638" s="104"/>
      <c r="Z1638" s="104"/>
      <c r="AA1638" s="104"/>
      <c r="AB1638" s="104"/>
    </row>
    <row r="1639" spans="1:28" ht="15.75" thickBot="1">
      <c r="A1639" s="423"/>
      <c r="B1639" s="3" t="s">
        <v>3</v>
      </c>
      <c r="C1639" s="71">
        <f>C1638/C1637</f>
        <v>0.74577781461756842</v>
      </c>
      <c r="D1639" s="72">
        <f t="shared" ref="D1639:F1639" si="1198">D1638/D1637</f>
        <v>0.66486339128854421</v>
      </c>
      <c r="E1639" s="72">
        <f t="shared" si="1198"/>
        <v>0.67877365158215708</v>
      </c>
      <c r="F1639" s="72">
        <f t="shared" si="1198"/>
        <v>0.84800197380690889</v>
      </c>
      <c r="G1639" s="72">
        <f>G1638/G1637</f>
        <v>1.9145022162367985E-2</v>
      </c>
      <c r="H1639" s="72">
        <f t="shared" ref="H1639:N1639" si="1199">H1638/H1637</f>
        <v>0.26803026022081933</v>
      </c>
      <c r="I1639" s="72">
        <f t="shared" si="1199"/>
        <v>0.16514796615561625</v>
      </c>
      <c r="J1639" s="72">
        <f t="shared" si="1199"/>
        <v>0.71031528780891817</v>
      </c>
      <c r="K1639" s="72">
        <f t="shared" si="1199"/>
        <v>0.50317000782942767</v>
      </c>
      <c r="L1639" s="72">
        <f t="shared" si="1199"/>
        <v>2.1104112854173431E-2</v>
      </c>
      <c r="M1639" s="72">
        <f t="shared" si="1199"/>
        <v>0.44688969513725707</v>
      </c>
      <c r="N1639" s="83">
        <f t="shared" si="1199"/>
        <v>0.42014712040931523</v>
      </c>
      <c r="O1639" s="12"/>
      <c r="X1639" s="138"/>
      <c r="Y1639" s="104"/>
      <c r="Z1639" s="104"/>
      <c r="AA1639" s="104"/>
      <c r="AB1639" s="104"/>
    </row>
    <row r="1640" spans="1:28" ht="15" customHeight="1">
      <c r="A1640" s="411" t="s">
        <v>6</v>
      </c>
      <c r="B1640" s="27" t="s">
        <v>7</v>
      </c>
      <c r="C1640" s="68">
        <v>5006</v>
      </c>
      <c r="D1640" s="68">
        <v>3200</v>
      </c>
      <c r="E1640" s="68">
        <v>3183</v>
      </c>
      <c r="F1640" s="68">
        <v>9526</v>
      </c>
      <c r="G1640" s="68">
        <v>5000</v>
      </c>
      <c r="H1640" s="68">
        <v>6989</v>
      </c>
      <c r="I1640" s="68">
        <f>(4000-2000)</f>
        <v>2000</v>
      </c>
      <c r="J1640" s="68">
        <v>9194</v>
      </c>
      <c r="K1640" s="68">
        <v>2971</v>
      </c>
      <c r="L1640" s="68">
        <v>2500</v>
      </c>
      <c r="M1640" s="68">
        <f>5451-2614</f>
        <v>2837</v>
      </c>
      <c r="N1640" s="80">
        <v>830</v>
      </c>
      <c r="O1640" s="12"/>
      <c r="X1640" s="138"/>
      <c r="Y1640" s="104"/>
      <c r="Z1640" s="104"/>
      <c r="AA1640" s="104"/>
      <c r="AB1640" s="104"/>
    </row>
    <row r="1641" spans="1:28">
      <c r="A1641" s="412"/>
      <c r="B1641" s="28" t="s">
        <v>11</v>
      </c>
      <c r="C1641" s="73">
        <f t="shared" ref="C1641:I1641" si="1200">C1640*33.72</f>
        <v>168802.32</v>
      </c>
      <c r="D1641" s="73">
        <f t="shared" si="1200"/>
        <v>107904</v>
      </c>
      <c r="E1641" s="73">
        <f t="shared" si="1200"/>
        <v>107330.76</v>
      </c>
      <c r="F1641" s="73">
        <f t="shared" si="1200"/>
        <v>321216.71999999997</v>
      </c>
      <c r="G1641" s="73">
        <f t="shared" si="1200"/>
        <v>168600</v>
      </c>
      <c r="H1641" s="73">
        <f t="shared" si="1200"/>
        <v>235669.08</v>
      </c>
      <c r="I1641" s="73">
        <f t="shared" si="1200"/>
        <v>67440</v>
      </c>
      <c r="J1641" s="73">
        <f>J1640*33.72</f>
        <v>310021.68</v>
      </c>
      <c r="K1641" s="73">
        <f t="shared" ref="K1641:N1641" si="1201">K1640*33.72</f>
        <v>100182.12</v>
      </c>
      <c r="L1641" s="73">
        <f t="shared" si="1201"/>
        <v>84300</v>
      </c>
      <c r="M1641" s="73">
        <f t="shared" si="1201"/>
        <v>95663.64</v>
      </c>
      <c r="N1641" s="73">
        <f t="shared" si="1201"/>
        <v>27987.599999999999</v>
      </c>
      <c r="O1641" s="12"/>
      <c r="X1641" s="138"/>
      <c r="Y1641" s="104"/>
      <c r="Z1641" s="104"/>
      <c r="AA1641" s="104"/>
      <c r="AB1641" s="104"/>
    </row>
    <row r="1642" spans="1:28">
      <c r="A1642" s="412"/>
      <c r="B1642" s="28" t="s">
        <v>79</v>
      </c>
      <c r="C1642" s="73">
        <v>164000</v>
      </c>
      <c r="D1642" s="73">
        <v>109880</v>
      </c>
      <c r="E1642" s="73">
        <v>109880</v>
      </c>
      <c r="F1642" s="73">
        <v>328000</v>
      </c>
      <c r="G1642" s="73">
        <f>G1637*2</f>
        <v>242663.6</v>
      </c>
      <c r="H1642" s="73">
        <f>H1637*2</f>
        <v>220143.8</v>
      </c>
      <c r="I1642" s="73">
        <f>I1637*2</f>
        <v>242663.6</v>
      </c>
      <c r="J1642" s="73">
        <v>328000</v>
      </c>
      <c r="K1642" s="73">
        <f>K1637*2</f>
        <v>109842</v>
      </c>
      <c r="L1642" s="73">
        <v>328000</v>
      </c>
      <c r="M1642" s="73">
        <f>2*M1637</f>
        <v>352965.4</v>
      </c>
      <c r="N1642" s="84">
        <f>2*N1637</f>
        <v>109842</v>
      </c>
      <c r="O1642" s="12"/>
    </row>
    <row r="1643" spans="1:28" s="64" customFormat="1">
      <c r="A1643" s="412"/>
      <c r="B1643" s="66" t="s">
        <v>8</v>
      </c>
      <c r="C1643" s="98">
        <f>SUM(C1640-458)</f>
        <v>4548</v>
      </c>
      <c r="D1643" s="98">
        <f>SUM(D1640-737)</f>
        <v>2463</v>
      </c>
      <c r="E1643" s="98">
        <f>SUM(E1640-690)</f>
        <v>2493</v>
      </c>
      <c r="F1643" s="98">
        <f>SUM(F1640-1224)</f>
        <v>8302</v>
      </c>
      <c r="G1643" s="98">
        <f>SUM(G1640-4511)</f>
        <v>489</v>
      </c>
      <c r="H1643" s="98">
        <f>SUM(H1640-1522)</f>
        <v>5467</v>
      </c>
      <c r="I1643" s="98">
        <f>SUM(I1640-(2801-2000))</f>
        <v>1199</v>
      </c>
      <c r="J1643" s="98">
        <f>SUM(J1640-1445)</f>
        <v>7749</v>
      </c>
      <c r="K1643" s="98">
        <f>SUM(K1640-1009)</f>
        <v>1962</v>
      </c>
      <c r="L1643" s="98">
        <f>SUM(L1640-1705)</f>
        <v>795</v>
      </c>
      <c r="M1643" s="98">
        <f>SUM(M1640-(3227-2614))</f>
        <v>2224</v>
      </c>
      <c r="N1643" s="103">
        <f>SUM(N1640-46)</f>
        <v>784</v>
      </c>
      <c r="O1643" s="12"/>
      <c r="P1643" s="14"/>
      <c r="Q1643" s="138"/>
      <c r="R1643" s="104"/>
      <c r="S1643" s="104"/>
      <c r="T1643" s="104"/>
      <c r="U1643" s="104"/>
      <c r="V1643" s="104"/>
      <c r="W1643" s="104"/>
    </row>
    <row r="1644" spans="1:28">
      <c r="A1644" s="412"/>
      <c r="B1644" s="29" t="s">
        <v>77</v>
      </c>
      <c r="C1644" s="75">
        <f>C1643*33.72</f>
        <v>153358.56</v>
      </c>
      <c r="D1644" s="75">
        <f>D1643*33.72</f>
        <v>83052.36</v>
      </c>
      <c r="E1644" s="75">
        <f>E1643*33.72</f>
        <v>84063.959999999992</v>
      </c>
      <c r="F1644" s="75">
        <f>F1643*33.72</f>
        <v>279943.44</v>
      </c>
      <c r="G1644" s="75">
        <f>G1643*33.72*2</f>
        <v>32978.159999999996</v>
      </c>
      <c r="H1644" s="75">
        <f>H1643*33.72</f>
        <v>184347.24</v>
      </c>
      <c r="I1644" s="75">
        <f>I1643*33.72</f>
        <v>40430.28</v>
      </c>
      <c r="J1644" s="75">
        <f>J1643*33.72</f>
        <v>261296.28</v>
      </c>
      <c r="K1644" s="75">
        <f>K1643*33.72</f>
        <v>66158.64</v>
      </c>
      <c r="L1644" s="75">
        <f>L1643*33.72</f>
        <v>26807.399999999998</v>
      </c>
      <c r="M1644" s="75">
        <f>M1643*33.72*2</f>
        <v>149986.56</v>
      </c>
      <c r="N1644" s="11">
        <f>N1643*33.72</f>
        <v>26436.48</v>
      </c>
      <c r="O1644" s="12"/>
      <c r="Q1644" s="138"/>
    </row>
    <row r="1645" spans="1:28" ht="15.75" thickBot="1">
      <c r="A1645" s="412"/>
      <c r="B1645" s="30" t="s">
        <v>10</v>
      </c>
      <c r="C1645" s="71">
        <f>C1643*33.7/C1637</f>
        <v>1.3233624137430839</v>
      </c>
      <c r="D1645" s="71">
        <f t="shared" ref="D1645:N1645" si="1202">D1643*33.7/D1637</f>
        <v>0.83805961107408988</v>
      </c>
      <c r="E1645" s="78">
        <f t="shared" si="1202"/>
        <v>0.84826740170836623</v>
      </c>
      <c r="F1645" s="78">
        <f t="shared" si="1202"/>
        <v>1.8117669457280812</v>
      </c>
      <c r="G1645" s="78">
        <f t="shared" si="1202"/>
        <v>0.13582012300155444</v>
      </c>
      <c r="H1645" s="78">
        <f t="shared" si="1202"/>
        <v>1.6737959461043195</v>
      </c>
      <c r="I1645" s="78">
        <f t="shared" si="1202"/>
        <v>0.33302316457845349</v>
      </c>
      <c r="J1645" s="78">
        <f t="shared" si="1202"/>
        <v>1.5274315133393697</v>
      </c>
      <c r="K1645" s="78">
        <f t="shared" si="1202"/>
        <v>1.203900147484569</v>
      </c>
      <c r="L1645" s="78">
        <f t="shared" si="1202"/>
        <v>0.44162371282714019</v>
      </c>
      <c r="M1645" s="79">
        <f t="shared" si="1202"/>
        <v>0.42468071941329094</v>
      </c>
      <c r="N1645" s="26">
        <f t="shared" si="1202"/>
        <v>0.48106917208353822</v>
      </c>
      <c r="O1645" s="12"/>
      <c r="Q1645" s="138"/>
    </row>
    <row r="1646" spans="1:28" ht="15.75" customHeight="1" thickBot="1">
      <c r="A1646" s="424" t="s">
        <v>83</v>
      </c>
      <c r="B1646" s="425"/>
      <c r="C1646" s="76">
        <f>MIN(2*C1637,C1642)-C1644</f>
        <v>10641.440000000002</v>
      </c>
      <c r="D1646" s="76">
        <f t="shared" ref="D1646:N1646" si="1203">MIN(2*D1637,D1642)-D1644</f>
        <v>26827.64</v>
      </c>
      <c r="E1646" s="76">
        <f t="shared" si="1203"/>
        <v>25816.040000000008</v>
      </c>
      <c r="F1646" s="76">
        <f t="shared" si="1203"/>
        <v>28901.359999999986</v>
      </c>
      <c r="G1646" s="76">
        <f t="shared" si="1203"/>
        <v>209685.44</v>
      </c>
      <c r="H1646" s="76">
        <f t="shared" si="1203"/>
        <v>35796.559999999998</v>
      </c>
      <c r="I1646" s="76">
        <f t="shared" si="1203"/>
        <v>202233.32</v>
      </c>
      <c r="J1646" s="76">
        <f t="shared" si="1203"/>
        <v>66703.72</v>
      </c>
      <c r="K1646" s="76">
        <f t="shared" si="1203"/>
        <v>43683.360000000001</v>
      </c>
      <c r="L1646" s="76">
        <f t="shared" si="1203"/>
        <v>94524.400000000009</v>
      </c>
      <c r="M1646" s="76">
        <f t="shared" si="1203"/>
        <v>202978.84000000003</v>
      </c>
      <c r="N1646" s="22">
        <f t="shared" si="1203"/>
        <v>83405.52</v>
      </c>
      <c r="O1646" s="12"/>
      <c r="Q1646" s="138"/>
    </row>
    <row r="1647" spans="1:28" ht="15.75" thickBot="1">
      <c r="A1647" s="368">
        <v>40996</v>
      </c>
      <c r="B1647" s="368"/>
      <c r="C1647" s="368"/>
      <c r="N1647" s="15"/>
    </row>
    <row r="1648" spans="1:28">
      <c r="A1648" s="407" t="s">
        <v>1</v>
      </c>
      <c r="B1648" s="420"/>
      <c r="C1648" s="68" t="s">
        <v>12</v>
      </c>
      <c r="D1648" s="68" t="s">
        <v>12</v>
      </c>
      <c r="E1648" s="68" t="s">
        <v>13</v>
      </c>
      <c r="F1648" s="68" t="s">
        <v>13</v>
      </c>
      <c r="G1648" s="68" t="s">
        <v>13</v>
      </c>
      <c r="H1648" s="68" t="s">
        <v>13</v>
      </c>
      <c r="I1648" s="68" t="s">
        <v>13</v>
      </c>
      <c r="J1648" s="68" t="s">
        <v>2</v>
      </c>
      <c r="K1648" s="68" t="s">
        <v>2</v>
      </c>
      <c r="L1648" s="68" t="s">
        <v>2</v>
      </c>
      <c r="M1648" s="68" t="s">
        <v>2</v>
      </c>
      <c r="N1648" s="4" t="s">
        <v>84</v>
      </c>
      <c r="X1648" s="142"/>
      <c r="Y1648" s="14"/>
      <c r="Z1648" s="14"/>
      <c r="AA1648" s="14"/>
      <c r="AB1648" s="104"/>
    </row>
    <row r="1649" spans="1:28" ht="15.75" thickBot="1">
      <c r="A1649" s="409" t="s">
        <v>0</v>
      </c>
      <c r="B1649" s="414"/>
      <c r="C1649" s="99" t="s">
        <v>102</v>
      </c>
      <c r="D1649" s="99" t="s">
        <v>103</v>
      </c>
      <c r="E1649" s="99" t="s">
        <v>104</v>
      </c>
      <c r="F1649" s="99" t="s">
        <v>105</v>
      </c>
      <c r="G1649" s="99" t="s">
        <v>100</v>
      </c>
      <c r="H1649" s="99" t="s">
        <v>107</v>
      </c>
      <c r="I1649" s="99" t="s">
        <v>106</v>
      </c>
      <c r="J1649" s="99" t="s">
        <v>108</v>
      </c>
      <c r="K1649" s="99" t="s">
        <v>110</v>
      </c>
      <c r="L1649" s="99" t="s">
        <v>101</v>
      </c>
      <c r="M1649" s="99" t="s">
        <v>109</v>
      </c>
      <c r="N1649" s="101" t="s">
        <v>111</v>
      </c>
      <c r="P1649" s="142"/>
      <c r="Q1649" s="138"/>
      <c r="R1649" s="138"/>
      <c r="S1649" s="138"/>
      <c r="T1649" s="138"/>
      <c r="U1649" s="138"/>
      <c r="V1649" s="138"/>
      <c r="W1649" s="138"/>
      <c r="X1649" s="138"/>
      <c r="Y1649" s="138"/>
      <c r="Z1649" s="138"/>
      <c r="AA1649" s="138"/>
      <c r="AB1649" s="138"/>
    </row>
    <row r="1650" spans="1:28" ht="15" customHeight="1">
      <c r="A1650" s="421" t="s">
        <v>9</v>
      </c>
      <c r="B1650" s="2" t="s">
        <v>4</v>
      </c>
      <c r="C1650" s="96">
        <v>115816.8</v>
      </c>
      <c r="D1650" s="96">
        <v>99042</v>
      </c>
      <c r="E1650" s="96">
        <v>99042</v>
      </c>
      <c r="F1650" s="96">
        <v>154422.39999999999</v>
      </c>
      <c r="G1650" s="96">
        <v>121331.8</v>
      </c>
      <c r="H1650" s="96">
        <v>110071.9</v>
      </c>
      <c r="I1650" s="96">
        <v>121331.8</v>
      </c>
      <c r="J1650" s="96">
        <v>170967.6</v>
      </c>
      <c r="K1650" s="96">
        <v>54921</v>
      </c>
      <c r="L1650" s="96">
        <v>60665.9</v>
      </c>
      <c r="M1650" s="96">
        <v>176482.7</v>
      </c>
      <c r="N1650" s="100">
        <v>54921</v>
      </c>
      <c r="O1650" s="12"/>
      <c r="X1650" s="138"/>
      <c r="Y1650" s="104"/>
      <c r="Z1650" s="104"/>
      <c r="AA1650" s="104"/>
      <c r="AB1650" s="104"/>
    </row>
    <row r="1651" spans="1:28" s="64" customFormat="1">
      <c r="A1651" s="422"/>
      <c r="B1651" s="63" t="s">
        <v>5</v>
      </c>
      <c r="C1651" s="97">
        <v>86328.7</v>
      </c>
      <c r="D1651" s="97">
        <v>65819.5</v>
      </c>
      <c r="E1651" s="97">
        <v>67197.100000000006</v>
      </c>
      <c r="F1651" s="97">
        <v>130827.8</v>
      </c>
      <c r="G1651" s="97">
        <v>2037.6</v>
      </c>
      <c r="H1651" s="97">
        <v>29362.2</v>
      </c>
      <c r="I1651" s="97">
        <v>20027.400000000001</v>
      </c>
      <c r="J1651" s="97">
        <v>121337.4</v>
      </c>
      <c r="K1651" s="97">
        <v>27609.5</v>
      </c>
      <c r="L1651" s="97">
        <v>1271.0999999999999</v>
      </c>
      <c r="M1651" s="97">
        <v>78858.5</v>
      </c>
      <c r="N1651" s="102">
        <v>23074.9</v>
      </c>
      <c r="O1651" s="12"/>
      <c r="P1651" s="14"/>
      <c r="Q1651" s="104"/>
      <c r="R1651" s="104"/>
      <c r="S1651" s="104"/>
      <c r="T1651" s="104"/>
      <c r="U1651" s="104"/>
      <c r="V1651" s="104"/>
      <c r="W1651" s="104"/>
      <c r="X1651" s="138"/>
      <c r="Y1651" s="104"/>
      <c r="Z1651" s="104"/>
      <c r="AA1651" s="104"/>
      <c r="AB1651" s="104"/>
    </row>
    <row r="1652" spans="1:28" ht="15.75" thickBot="1">
      <c r="A1652" s="423"/>
      <c r="B1652" s="3" t="s">
        <v>3</v>
      </c>
      <c r="C1652" s="71">
        <f>C1651/C1650</f>
        <v>0.74539013338306703</v>
      </c>
      <c r="D1652" s="72">
        <f t="shared" ref="D1652:F1652" si="1204">D1651/D1650</f>
        <v>0.66456149916197171</v>
      </c>
      <c r="E1652" s="72">
        <f t="shared" si="1204"/>
        <v>0.67847074978292043</v>
      </c>
      <c r="F1652" s="72">
        <f t="shared" si="1204"/>
        <v>0.84720739996269978</v>
      </c>
      <c r="G1652" s="72">
        <f>G1651/G1650</f>
        <v>1.6793618820457622E-2</v>
      </c>
      <c r="H1652" s="72">
        <f t="shared" ref="H1652:N1652" si="1205">H1651/H1650</f>
        <v>0.26675473031718361</v>
      </c>
      <c r="I1652" s="72">
        <f t="shared" si="1205"/>
        <v>0.16506307497292549</v>
      </c>
      <c r="J1652" s="72">
        <f t="shared" si="1205"/>
        <v>0.70970990994784966</v>
      </c>
      <c r="K1652" s="72">
        <f t="shared" si="1205"/>
        <v>0.50271298774603523</v>
      </c>
      <c r="L1652" s="72">
        <f t="shared" si="1205"/>
        <v>2.0952462586065645E-2</v>
      </c>
      <c r="M1652" s="72">
        <f t="shared" si="1205"/>
        <v>0.44683416561509992</v>
      </c>
      <c r="N1652" s="83">
        <f t="shared" si="1205"/>
        <v>0.42014712040931523</v>
      </c>
      <c r="O1652" s="12"/>
      <c r="X1652" s="138"/>
      <c r="Y1652" s="104"/>
      <c r="Z1652" s="104"/>
      <c r="AA1652" s="104"/>
      <c r="AB1652" s="104"/>
    </row>
    <row r="1653" spans="1:28" ht="15" customHeight="1">
      <c r="A1653" s="411" t="s">
        <v>6</v>
      </c>
      <c r="B1653" s="27" t="s">
        <v>7</v>
      </c>
      <c r="C1653" s="68">
        <v>5006</v>
      </c>
      <c r="D1653" s="68">
        <v>3200</v>
      </c>
      <c r="E1653" s="68">
        <v>3183</v>
      </c>
      <c r="F1653" s="68">
        <v>9526</v>
      </c>
      <c r="G1653" s="68">
        <v>5000</v>
      </c>
      <c r="H1653" s="68">
        <v>6989</v>
      </c>
      <c r="I1653" s="68">
        <f>(4000-2000)</f>
        <v>2000</v>
      </c>
      <c r="J1653" s="68">
        <v>9194</v>
      </c>
      <c r="K1653" s="68">
        <v>2971</v>
      </c>
      <c r="L1653" s="68">
        <v>2500</v>
      </c>
      <c r="M1653" s="68">
        <f>5451-2614</f>
        <v>2837</v>
      </c>
      <c r="N1653" s="80">
        <v>830</v>
      </c>
      <c r="O1653" s="12"/>
      <c r="X1653" s="138"/>
      <c r="Y1653" s="104"/>
      <c r="Z1653" s="104"/>
      <c r="AA1653" s="104"/>
      <c r="AB1653" s="104"/>
    </row>
    <row r="1654" spans="1:28">
      <c r="A1654" s="412"/>
      <c r="B1654" s="28" t="s">
        <v>11</v>
      </c>
      <c r="C1654" s="73">
        <f t="shared" ref="C1654:I1654" si="1206">C1653*33.72</f>
        <v>168802.32</v>
      </c>
      <c r="D1654" s="73">
        <f t="shared" si="1206"/>
        <v>107904</v>
      </c>
      <c r="E1654" s="73">
        <f t="shared" si="1206"/>
        <v>107330.76</v>
      </c>
      <c r="F1654" s="73">
        <f t="shared" si="1206"/>
        <v>321216.71999999997</v>
      </c>
      <c r="G1654" s="73">
        <f t="shared" si="1206"/>
        <v>168600</v>
      </c>
      <c r="H1654" s="73">
        <f t="shared" si="1206"/>
        <v>235669.08</v>
      </c>
      <c r="I1654" s="73">
        <f t="shared" si="1206"/>
        <v>67440</v>
      </c>
      <c r="J1654" s="73">
        <f>J1653*33.72</f>
        <v>310021.68</v>
      </c>
      <c r="K1654" s="73">
        <f t="shared" ref="K1654:N1654" si="1207">K1653*33.72</f>
        <v>100182.12</v>
      </c>
      <c r="L1654" s="73">
        <f t="shared" si="1207"/>
        <v>84300</v>
      </c>
      <c r="M1654" s="73">
        <f t="shared" si="1207"/>
        <v>95663.64</v>
      </c>
      <c r="N1654" s="73">
        <f t="shared" si="1207"/>
        <v>27987.599999999999</v>
      </c>
      <c r="O1654" s="12"/>
      <c r="X1654" s="138"/>
      <c r="Y1654" s="104"/>
      <c r="Z1654" s="104"/>
      <c r="AA1654" s="104"/>
      <c r="AB1654" s="104"/>
    </row>
    <row r="1655" spans="1:28">
      <c r="A1655" s="412"/>
      <c r="B1655" s="28" t="s">
        <v>79</v>
      </c>
      <c r="C1655" s="73">
        <v>164000</v>
      </c>
      <c r="D1655" s="73">
        <v>109880</v>
      </c>
      <c r="E1655" s="73">
        <v>109880</v>
      </c>
      <c r="F1655" s="73">
        <v>328000</v>
      </c>
      <c r="G1655" s="73">
        <f>G1650*2</f>
        <v>242663.6</v>
      </c>
      <c r="H1655" s="73">
        <f>H1650*2</f>
        <v>220143.8</v>
      </c>
      <c r="I1655" s="73">
        <f>I1650*2</f>
        <v>242663.6</v>
      </c>
      <c r="J1655" s="73">
        <v>328000</v>
      </c>
      <c r="K1655" s="73">
        <f>K1650*2</f>
        <v>109842</v>
      </c>
      <c r="L1655" s="73">
        <v>328000</v>
      </c>
      <c r="M1655" s="73">
        <f>2*M1650</f>
        <v>352965.4</v>
      </c>
      <c r="N1655" s="84">
        <f>2*N1650</f>
        <v>109842</v>
      </c>
      <c r="O1655" s="12"/>
    </row>
    <row r="1656" spans="1:28" s="64" customFormat="1">
      <c r="A1656" s="412"/>
      <c r="B1656" s="66" t="s">
        <v>8</v>
      </c>
      <c r="C1656" s="98">
        <f>SUM(C1653-458)</f>
        <v>4548</v>
      </c>
      <c r="D1656" s="98">
        <f>SUM(D1653-737)</f>
        <v>2463</v>
      </c>
      <c r="E1656" s="98">
        <f>SUM(E1653-690)</f>
        <v>2493</v>
      </c>
      <c r="F1656" s="98">
        <f>SUM(F1653-1224)</f>
        <v>8302</v>
      </c>
      <c r="G1656" s="98">
        <f>SUM(G1653-4511)</f>
        <v>489</v>
      </c>
      <c r="H1656" s="98">
        <f>SUM(H1653-1522)</f>
        <v>5467</v>
      </c>
      <c r="I1656" s="98">
        <f>SUM(I1653-(2801-2000))</f>
        <v>1199</v>
      </c>
      <c r="J1656" s="98">
        <f>SUM(J1653-1445)</f>
        <v>7749</v>
      </c>
      <c r="K1656" s="98">
        <f>SUM(K1653-1009)</f>
        <v>1962</v>
      </c>
      <c r="L1656" s="98">
        <f>SUM(L1653-1705)</f>
        <v>795</v>
      </c>
      <c r="M1656" s="98">
        <f>SUM(M1653-(3227-2614))</f>
        <v>2224</v>
      </c>
      <c r="N1656" s="103">
        <f>SUM(N1653-46)</f>
        <v>784</v>
      </c>
      <c r="O1656" s="12"/>
      <c r="P1656" s="14"/>
      <c r="Q1656" s="138"/>
      <c r="R1656" s="104"/>
      <c r="S1656" s="104"/>
      <c r="T1656" s="104"/>
      <c r="U1656" s="104"/>
      <c r="V1656" s="104"/>
      <c r="W1656" s="104"/>
    </row>
    <row r="1657" spans="1:28">
      <c r="A1657" s="412"/>
      <c r="B1657" s="29" t="s">
        <v>77</v>
      </c>
      <c r="C1657" s="75">
        <f>C1656*33.72</f>
        <v>153358.56</v>
      </c>
      <c r="D1657" s="75">
        <f>D1656*33.72</f>
        <v>83052.36</v>
      </c>
      <c r="E1657" s="75">
        <f>E1656*33.72</f>
        <v>84063.959999999992</v>
      </c>
      <c r="F1657" s="75">
        <f>F1656*33.72</f>
        <v>279943.44</v>
      </c>
      <c r="G1657" s="75">
        <f>G1656*33.72*2</f>
        <v>32978.159999999996</v>
      </c>
      <c r="H1657" s="75">
        <f>H1656*33.72</f>
        <v>184347.24</v>
      </c>
      <c r="I1657" s="75">
        <f>I1656*33.72</f>
        <v>40430.28</v>
      </c>
      <c r="J1657" s="75">
        <f>J1656*33.72</f>
        <v>261296.28</v>
      </c>
      <c r="K1657" s="75">
        <f>K1656*33.72</f>
        <v>66158.64</v>
      </c>
      <c r="L1657" s="75">
        <f>L1656*33.72</f>
        <v>26807.399999999998</v>
      </c>
      <c r="M1657" s="75">
        <f>M1656*33.72*2</f>
        <v>149986.56</v>
      </c>
      <c r="N1657" s="11">
        <f>N1656*33.72</f>
        <v>26436.48</v>
      </c>
      <c r="O1657" s="12"/>
      <c r="Q1657" s="138"/>
    </row>
    <row r="1658" spans="1:28" ht="15.75" thickBot="1">
      <c r="A1658" s="412"/>
      <c r="B1658" s="30" t="s">
        <v>10</v>
      </c>
      <c r="C1658" s="71">
        <f>C1656*33.7/C1650</f>
        <v>1.3233624137430839</v>
      </c>
      <c r="D1658" s="71">
        <f t="shared" ref="D1658:N1658" si="1208">D1656*33.7/D1650</f>
        <v>0.83805961107408988</v>
      </c>
      <c r="E1658" s="78">
        <f t="shared" si="1208"/>
        <v>0.84826740170836623</v>
      </c>
      <c r="F1658" s="78">
        <f t="shared" si="1208"/>
        <v>1.8117669457280812</v>
      </c>
      <c r="G1658" s="78">
        <f t="shared" si="1208"/>
        <v>0.13582012300155444</v>
      </c>
      <c r="H1658" s="78">
        <f t="shared" si="1208"/>
        <v>1.6737959461043195</v>
      </c>
      <c r="I1658" s="78">
        <f t="shared" si="1208"/>
        <v>0.33302316457845349</v>
      </c>
      <c r="J1658" s="78">
        <f t="shared" si="1208"/>
        <v>1.5274315133393697</v>
      </c>
      <c r="K1658" s="78">
        <f t="shared" si="1208"/>
        <v>1.203900147484569</v>
      </c>
      <c r="L1658" s="78">
        <f t="shared" si="1208"/>
        <v>0.44162371282714019</v>
      </c>
      <c r="M1658" s="79">
        <f t="shared" si="1208"/>
        <v>0.42468071941329094</v>
      </c>
      <c r="N1658" s="26">
        <f t="shared" si="1208"/>
        <v>0.48106917208353822</v>
      </c>
      <c r="O1658" s="12"/>
      <c r="Q1658" s="138"/>
    </row>
    <row r="1659" spans="1:28" ht="15.75" customHeight="1" thickBot="1">
      <c r="A1659" s="424" t="s">
        <v>83</v>
      </c>
      <c r="B1659" s="425"/>
      <c r="C1659" s="76">
        <f>MIN(2*C1650,C1655)-C1657</f>
        <v>10641.440000000002</v>
      </c>
      <c r="D1659" s="76">
        <f t="shared" ref="D1659:N1659" si="1209">MIN(2*D1650,D1655)-D1657</f>
        <v>26827.64</v>
      </c>
      <c r="E1659" s="76">
        <f t="shared" si="1209"/>
        <v>25816.040000000008</v>
      </c>
      <c r="F1659" s="76">
        <f t="shared" si="1209"/>
        <v>28901.359999999986</v>
      </c>
      <c r="G1659" s="76">
        <f t="shared" si="1209"/>
        <v>209685.44</v>
      </c>
      <c r="H1659" s="76">
        <f t="shared" si="1209"/>
        <v>35796.559999999998</v>
      </c>
      <c r="I1659" s="76">
        <f t="shared" si="1209"/>
        <v>202233.32</v>
      </c>
      <c r="J1659" s="76">
        <f t="shared" si="1209"/>
        <v>66703.72</v>
      </c>
      <c r="K1659" s="76">
        <f t="shared" si="1209"/>
        <v>43683.360000000001</v>
      </c>
      <c r="L1659" s="76">
        <f t="shared" si="1209"/>
        <v>94524.400000000009</v>
      </c>
      <c r="M1659" s="76">
        <f t="shared" si="1209"/>
        <v>202978.84000000003</v>
      </c>
      <c r="N1659" s="22">
        <f t="shared" si="1209"/>
        <v>83405.52</v>
      </c>
      <c r="O1659" s="12"/>
      <c r="Q1659" s="138"/>
    </row>
    <row r="1660" spans="1:28" ht="15.75" thickBot="1">
      <c r="A1660" s="368">
        <v>40994</v>
      </c>
      <c r="B1660" s="368"/>
      <c r="C1660" s="368"/>
      <c r="N1660" s="15"/>
    </row>
    <row r="1661" spans="1:28">
      <c r="A1661" s="407" t="s">
        <v>1</v>
      </c>
      <c r="B1661" s="420"/>
      <c r="C1661" s="68" t="s">
        <v>12</v>
      </c>
      <c r="D1661" s="68" t="s">
        <v>12</v>
      </c>
      <c r="E1661" s="68" t="s">
        <v>13</v>
      </c>
      <c r="F1661" s="68" t="s">
        <v>13</v>
      </c>
      <c r="G1661" s="68" t="s">
        <v>13</v>
      </c>
      <c r="H1661" s="68" t="s">
        <v>13</v>
      </c>
      <c r="I1661" s="68" t="s">
        <v>13</v>
      </c>
      <c r="J1661" s="68" t="s">
        <v>2</v>
      </c>
      <c r="K1661" s="68" t="s">
        <v>2</v>
      </c>
      <c r="L1661" s="68" t="s">
        <v>2</v>
      </c>
      <c r="M1661" s="68" t="s">
        <v>2</v>
      </c>
      <c r="N1661" s="4" t="s">
        <v>84</v>
      </c>
      <c r="X1661" s="142"/>
      <c r="Y1661" s="14"/>
      <c r="Z1661" s="14"/>
      <c r="AA1661" s="14"/>
      <c r="AB1661" s="104"/>
    </row>
    <row r="1662" spans="1:28" ht="15.75" thickBot="1">
      <c r="A1662" s="409" t="s">
        <v>0</v>
      </c>
      <c r="B1662" s="414"/>
      <c r="C1662" s="99" t="s">
        <v>102</v>
      </c>
      <c r="D1662" s="99" t="s">
        <v>103</v>
      </c>
      <c r="E1662" s="99" t="s">
        <v>104</v>
      </c>
      <c r="F1662" s="99" t="s">
        <v>105</v>
      </c>
      <c r="G1662" s="99" t="s">
        <v>100</v>
      </c>
      <c r="H1662" s="99" t="s">
        <v>107</v>
      </c>
      <c r="I1662" s="99" t="s">
        <v>106</v>
      </c>
      <c r="J1662" s="99" t="s">
        <v>108</v>
      </c>
      <c r="K1662" s="99" t="s">
        <v>110</v>
      </c>
      <c r="L1662" s="99" t="s">
        <v>101</v>
      </c>
      <c r="M1662" s="99" t="s">
        <v>109</v>
      </c>
      <c r="N1662" s="101" t="s">
        <v>111</v>
      </c>
      <c r="P1662" s="142"/>
      <c r="Q1662" s="138"/>
      <c r="R1662" s="138"/>
      <c r="S1662" s="138"/>
      <c r="T1662" s="138"/>
      <c r="U1662" s="138"/>
      <c r="V1662" s="138"/>
      <c r="W1662" s="138"/>
      <c r="X1662" s="138"/>
      <c r="Y1662" s="138"/>
      <c r="Z1662" s="138"/>
      <c r="AA1662" s="138"/>
      <c r="AB1662" s="138"/>
    </row>
    <row r="1663" spans="1:28" ht="15" customHeight="1">
      <c r="A1663" s="421" t="s">
        <v>9</v>
      </c>
      <c r="B1663" s="2" t="s">
        <v>4</v>
      </c>
      <c r="C1663" s="96">
        <v>115816.8</v>
      </c>
      <c r="D1663" s="96">
        <v>99042</v>
      </c>
      <c r="E1663" s="96">
        <v>99042</v>
      </c>
      <c r="F1663" s="96">
        <v>154422.39999999999</v>
      </c>
      <c r="G1663" s="96">
        <v>121331.8</v>
      </c>
      <c r="H1663" s="96">
        <v>110071.9</v>
      </c>
      <c r="I1663" s="96">
        <v>121331.8</v>
      </c>
      <c r="J1663" s="96">
        <v>170967.6</v>
      </c>
      <c r="K1663" s="96">
        <v>54921</v>
      </c>
      <c r="L1663" s="96">
        <v>60665.9</v>
      </c>
      <c r="M1663" s="96">
        <v>176482.7</v>
      </c>
      <c r="N1663" s="100">
        <v>54921</v>
      </c>
      <c r="O1663" s="12"/>
      <c r="X1663" s="138"/>
      <c r="Y1663" s="104"/>
      <c r="Z1663" s="104"/>
      <c r="AA1663" s="104"/>
      <c r="AB1663" s="104"/>
    </row>
    <row r="1664" spans="1:28" s="64" customFormat="1">
      <c r="A1664" s="422"/>
      <c r="B1664" s="63" t="s">
        <v>5</v>
      </c>
      <c r="C1664" s="97">
        <v>85903.6</v>
      </c>
      <c r="D1664" s="97">
        <v>65783.7</v>
      </c>
      <c r="E1664" s="97">
        <v>67161.399999999994</v>
      </c>
      <c r="F1664" s="97">
        <v>130575.7</v>
      </c>
      <c r="G1664" s="97">
        <v>2031.4</v>
      </c>
      <c r="H1664" s="97">
        <v>29420.1</v>
      </c>
      <c r="I1664" s="97">
        <v>20000.3</v>
      </c>
      <c r="J1664" s="97">
        <v>120671.4</v>
      </c>
      <c r="K1664" s="97">
        <v>27574.6</v>
      </c>
      <c r="L1664" s="97">
        <v>1131.4000000000001</v>
      </c>
      <c r="M1664" s="97">
        <v>78792.5</v>
      </c>
      <c r="N1664" s="102">
        <v>23074.400000000001</v>
      </c>
      <c r="O1664" s="12"/>
      <c r="P1664" s="14"/>
      <c r="Q1664" s="104"/>
      <c r="R1664" s="104"/>
      <c r="S1664" s="104"/>
      <c r="T1664" s="104"/>
      <c r="U1664" s="104"/>
      <c r="V1664" s="104"/>
      <c r="W1664" s="104"/>
      <c r="X1664" s="138"/>
      <c r="Y1664" s="104"/>
      <c r="Z1664" s="104"/>
      <c r="AA1664" s="104"/>
      <c r="AB1664" s="104"/>
    </row>
    <row r="1665" spans="1:28" ht="15.75" thickBot="1">
      <c r="A1665" s="423"/>
      <c r="B1665" s="3" t="s">
        <v>3</v>
      </c>
      <c r="C1665" s="71">
        <f>C1664/C1663</f>
        <v>0.74171968142791034</v>
      </c>
      <c r="D1665" s="72">
        <f t="shared" ref="D1665:F1665" si="1210">D1664/D1663</f>
        <v>0.66420003634821589</v>
      </c>
      <c r="E1665" s="72">
        <f t="shared" si="1210"/>
        <v>0.67811029664182865</v>
      </c>
      <c r="F1665" s="72">
        <f t="shared" si="1210"/>
        <v>0.84557486478645583</v>
      </c>
      <c r="G1665" s="72">
        <f>G1664/G1663</f>
        <v>1.6742519273595217E-2</v>
      </c>
      <c r="H1665" s="72">
        <f t="shared" ref="H1665:N1665" si="1211">H1664/H1663</f>
        <v>0.26728075012787095</v>
      </c>
      <c r="I1665" s="72">
        <f t="shared" si="1211"/>
        <v>0.16483972050196238</v>
      </c>
      <c r="J1665" s="72">
        <f t="shared" si="1211"/>
        <v>0.70581443501575736</v>
      </c>
      <c r="K1665" s="72">
        <f t="shared" si="1211"/>
        <v>0.50207752954243368</v>
      </c>
      <c r="L1665" s="72">
        <f t="shared" si="1211"/>
        <v>1.864968623229854E-2</v>
      </c>
      <c r="M1665" s="72">
        <f t="shared" si="1211"/>
        <v>0.44646019128220499</v>
      </c>
      <c r="N1665" s="83">
        <f t="shared" si="1211"/>
        <v>0.42013801642359028</v>
      </c>
      <c r="O1665" s="12"/>
      <c r="X1665" s="138"/>
      <c r="Y1665" s="104"/>
      <c r="Z1665" s="104"/>
      <c r="AA1665" s="104"/>
      <c r="AB1665" s="104"/>
    </row>
    <row r="1666" spans="1:28" ht="15" customHeight="1">
      <c r="A1666" s="411" t="s">
        <v>6</v>
      </c>
      <c r="B1666" s="27" t="s">
        <v>7</v>
      </c>
      <c r="C1666" s="68">
        <v>5006</v>
      </c>
      <c r="D1666" s="68">
        <v>3200</v>
      </c>
      <c r="E1666" s="68">
        <v>3183</v>
      </c>
      <c r="F1666" s="68">
        <v>9526</v>
      </c>
      <c r="G1666" s="68">
        <v>5000</v>
      </c>
      <c r="H1666" s="68">
        <v>6989</v>
      </c>
      <c r="I1666" s="68">
        <f>(4000-2000)</f>
        <v>2000</v>
      </c>
      <c r="J1666" s="68">
        <v>9194</v>
      </c>
      <c r="K1666" s="68">
        <v>2971</v>
      </c>
      <c r="L1666" s="68">
        <v>2500</v>
      </c>
      <c r="M1666" s="68">
        <f>5451-2614</f>
        <v>2837</v>
      </c>
      <c r="N1666" s="80">
        <v>830</v>
      </c>
      <c r="O1666" s="12"/>
      <c r="X1666" s="138"/>
      <c r="Y1666" s="104"/>
      <c r="Z1666" s="104"/>
      <c r="AA1666" s="104"/>
      <c r="AB1666" s="104"/>
    </row>
    <row r="1667" spans="1:28">
      <c r="A1667" s="412"/>
      <c r="B1667" s="28" t="s">
        <v>11</v>
      </c>
      <c r="C1667" s="73">
        <f t="shared" ref="C1667:I1667" si="1212">C1666*33.72</f>
        <v>168802.32</v>
      </c>
      <c r="D1667" s="73">
        <f t="shared" si="1212"/>
        <v>107904</v>
      </c>
      <c r="E1667" s="73">
        <f t="shared" si="1212"/>
        <v>107330.76</v>
      </c>
      <c r="F1667" s="73">
        <f t="shared" si="1212"/>
        <v>321216.71999999997</v>
      </c>
      <c r="G1667" s="73">
        <f t="shared" si="1212"/>
        <v>168600</v>
      </c>
      <c r="H1667" s="73">
        <f t="shared" si="1212"/>
        <v>235669.08</v>
      </c>
      <c r="I1667" s="73">
        <f t="shared" si="1212"/>
        <v>67440</v>
      </c>
      <c r="J1667" s="73">
        <f>J1666*33.72</f>
        <v>310021.68</v>
      </c>
      <c r="K1667" s="73">
        <f t="shared" ref="K1667:N1667" si="1213">K1666*33.72</f>
        <v>100182.12</v>
      </c>
      <c r="L1667" s="73">
        <f t="shared" si="1213"/>
        <v>84300</v>
      </c>
      <c r="M1667" s="73">
        <f t="shared" si="1213"/>
        <v>95663.64</v>
      </c>
      <c r="N1667" s="73">
        <f t="shared" si="1213"/>
        <v>27987.599999999999</v>
      </c>
      <c r="O1667" s="12"/>
      <c r="X1667" s="138"/>
      <c r="Y1667" s="104"/>
      <c r="Z1667" s="104"/>
      <c r="AA1667" s="104"/>
      <c r="AB1667" s="104"/>
    </row>
    <row r="1668" spans="1:28">
      <c r="A1668" s="412"/>
      <c r="B1668" s="28" t="s">
        <v>79</v>
      </c>
      <c r="C1668" s="73">
        <v>164000</v>
      </c>
      <c r="D1668" s="73">
        <v>109880</v>
      </c>
      <c r="E1668" s="73">
        <v>109880</v>
      </c>
      <c r="F1668" s="73">
        <v>328000</v>
      </c>
      <c r="G1668" s="73">
        <f>G1663*2</f>
        <v>242663.6</v>
      </c>
      <c r="H1668" s="73">
        <f>H1663*2</f>
        <v>220143.8</v>
      </c>
      <c r="I1668" s="73">
        <f>I1663*2</f>
        <v>242663.6</v>
      </c>
      <c r="J1668" s="73">
        <v>328000</v>
      </c>
      <c r="K1668" s="73">
        <f>K1663*2</f>
        <v>109842</v>
      </c>
      <c r="L1668" s="73">
        <v>328000</v>
      </c>
      <c r="M1668" s="73">
        <f>2*M1663</f>
        <v>352965.4</v>
      </c>
      <c r="N1668" s="84">
        <f>2*N1663</f>
        <v>109842</v>
      </c>
      <c r="O1668" s="12"/>
    </row>
    <row r="1669" spans="1:28" s="64" customFormat="1">
      <c r="A1669" s="412"/>
      <c r="B1669" s="66" t="s">
        <v>8</v>
      </c>
      <c r="C1669" s="98">
        <f>SUM(C1666-458)</f>
        <v>4548</v>
      </c>
      <c r="D1669" s="98">
        <f>SUM(D1666-737)</f>
        <v>2463</v>
      </c>
      <c r="E1669" s="98">
        <f>SUM(E1666-690)</f>
        <v>2493</v>
      </c>
      <c r="F1669" s="98">
        <f>SUM(F1666-1224)</f>
        <v>8302</v>
      </c>
      <c r="G1669" s="98">
        <f>SUM(G1666-4511)</f>
        <v>489</v>
      </c>
      <c r="H1669" s="98">
        <f>SUM(H1666-1522)</f>
        <v>5467</v>
      </c>
      <c r="I1669" s="98">
        <f>SUM(I1666-(2801-2000))</f>
        <v>1199</v>
      </c>
      <c r="J1669" s="98">
        <f>SUM(J1666-1445)</f>
        <v>7749</v>
      </c>
      <c r="K1669" s="98">
        <f>SUM(K1666-1010)</f>
        <v>1961</v>
      </c>
      <c r="L1669" s="98">
        <f>SUM(L1666-1705)</f>
        <v>795</v>
      </c>
      <c r="M1669" s="98">
        <f>SUM(M1666-(3227-2614))</f>
        <v>2224</v>
      </c>
      <c r="N1669" s="103">
        <f>SUM(N1666-46)</f>
        <v>784</v>
      </c>
      <c r="O1669" s="12"/>
      <c r="P1669" s="14"/>
      <c r="Q1669" s="138"/>
      <c r="R1669" s="104"/>
      <c r="S1669" s="104"/>
      <c r="T1669" s="104"/>
      <c r="U1669" s="104"/>
      <c r="V1669" s="104"/>
      <c r="W1669" s="104"/>
    </row>
    <row r="1670" spans="1:28">
      <c r="A1670" s="412"/>
      <c r="B1670" s="29" t="s">
        <v>77</v>
      </c>
      <c r="C1670" s="75">
        <f>C1669*33.72</f>
        <v>153358.56</v>
      </c>
      <c r="D1670" s="75">
        <f>D1669*33.72</f>
        <v>83052.36</v>
      </c>
      <c r="E1670" s="75">
        <f>E1669*33.72</f>
        <v>84063.959999999992</v>
      </c>
      <c r="F1670" s="75">
        <f>F1669*33.72</f>
        <v>279943.44</v>
      </c>
      <c r="G1670" s="75">
        <f>G1669*33.72*2</f>
        <v>32978.159999999996</v>
      </c>
      <c r="H1670" s="75">
        <f>H1669*33.72</f>
        <v>184347.24</v>
      </c>
      <c r="I1670" s="75">
        <f>I1669*33.72</f>
        <v>40430.28</v>
      </c>
      <c r="J1670" s="75">
        <f>J1669*33.72</f>
        <v>261296.28</v>
      </c>
      <c r="K1670" s="75">
        <f>K1669*33.72</f>
        <v>66124.92</v>
      </c>
      <c r="L1670" s="75">
        <f>L1669*33.72</f>
        <v>26807.399999999998</v>
      </c>
      <c r="M1670" s="75">
        <f>M1669*33.72*2</f>
        <v>149986.56</v>
      </c>
      <c r="N1670" s="11">
        <f>N1669*33.72</f>
        <v>26436.48</v>
      </c>
      <c r="O1670" s="12"/>
      <c r="Q1670" s="138"/>
    </row>
    <row r="1671" spans="1:28" ht="15.75" thickBot="1">
      <c r="A1671" s="412"/>
      <c r="B1671" s="30" t="s">
        <v>10</v>
      </c>
      <c r="C1671" s="71">
        <f>C1669*33.7/C1663</f>
        <v>1.3233624137430839</v>
      </c>
      <c r="D1671" s="71">
        <f t="shared" ref="D1671:N1671" si="1214">D1669*33.7/D1663</f>
        <v>0.83805961107408988</v>
      </c>
      <c r="E1671" s="78">
        <f t="shared" si="1214"/>
        <v>0.84826740170836623</v>
      </c>
      <c r="F1671" s="78">
        <f t="shared" si="1214"/>
        <v>1.8117669457280812</v>
      </c>
      <c r="G1671" s="78">
        <f t="shared" si="1214"/>
        <v>0.13582012300155444</v>
      </c>
      <c r="H1671" s="78">
        <f t="shared" si="1214"/>
        <v>1.6737959461043195</v>
      </c>
      <c r="I1671" s="78">
        <f t="shared" si="1214"/>
        <v>0.33302316457845349</v>
      </c>
      <c r="J1671" s="78">
        <f t="shared" si="1214"/>
        <v>1.5274315133393697</v>
      </c>
      <c r="K1671" s="78">
        <f t="shared" si="1214"/>
        <v>1.2032865388467073</v>
      </c>
      <c r="L1671" s="78">
        <f t="shared" si="1214"/>
        <v>0.44162371282714019</v>
      </c>
      <c r="M1671" s="79">
        <f t="shared" si="1214"/>
        <v>0.42468071941329094</v>
      </c>
      <c r="N1671" s="26">
        <f t="shared" si="1214"/>
        <v>0.48106917208353822</v>
      </c>
      <c r="O1671" s="12"/>
      <c r="Q1671" s="138"/>
    </row>
    <row r="1672" spans="1:28" ht="15.75" customHeight="1" thickBot="1">
      <c r="A1672" s="424" t="s">
        <v>83</v>
      </c>
      <c r="B1672" s="425"/>
      <c r="C1672" s="76">
        <f>MIN(2*C1663,C1668)-C1670</f>
        <v>10641.440000000002</v>
      </c>
      <c r="D1672" s="76">
        <f t="shared" ref="D1672:N1672" si="1215">MIN(2*D1663,D1668)-D1670</f>
        <v>26827.64</v>
      </c>
      <c r="E1672" s="76">
        <f t="shared" si="1215"/>
        <v>25816.040000000008</v>
      </c>
      <c r="F1672" s="76">
        <f t="shared" si="1215"/>
        <v>28901.359999999986</v>
      </c>
      <c r="G1672" s="76">
        <f t="shared" si="1215"/>
        <v>209685.44</v>
      </c>
      <c r="H1672" s="76">
        <f t="shared" si="1215"/>
        <v>35796.559999999998</v>
      </c>
      <c r="I1672" s="76">
        <f t="shared" si="1215"/>
        <v>202233.32</v>
      </c>
      <c r="J1672" s="76">
        <f t="shared" si="1215"/>
        <v>66703.72</v>
      </c>
      <c r="K1672" s="76">
        <f t="shared" si="1215"/>
        <v>43717.08</v>
      </c>
      <c r="L1672" s="76">
        <f t="shared" si="1215"/>
        <v>94524.400000000009</v>
      </c>
      <c r="M1672" s="76">
        <f t="shared" si="1215"/>
        <v>202978.84000000003</v>
      </c>
      <c r="N1672" s="22">
        <f t="shared" si="1215"/>
        <v>83405.52</v>
      </c>
      <c r="O1672" s="12"/>
      <c r="Q1672" s="138"/>
    </row>
    <row r="1673" spans="1:28" ht="15.75" thickBot="1">
      <c r="A1673" s="368">
        <v>40989</v>
      </c>
      <c r="B1673" s="368"/>
      <c r="C1673" s="368"/>
      <c r="N1673" s="15"/>
    </row>
    <row r="1674" spans="1:28">
      <c r="A1674" s="407" t="s">
        <v>1</v>
      </c>
      <c r="B1674" s="420"/>
      <c r="C1674" s="68" t="s">
        <v>12</v>
      </c>
      <c r="D1674" s="68" t="s">
        <v>12</v>
      </c>
      <c r="E1674" s="68" t="s">
        <v>13</v>
      </c>
      <c r="F1674" s="68" t="s">
        <v>13</v>
      </c>
      <c r="G1674" s="68" t="s">
        <v>13</v>
      </c>
      <c r="H1674" s="68" t="s">
        <v>13</v>
      </c>
      <c r="I1674" s="68" t="s">
        <v>13</v>
      </c>
      <c r="J1674" s="68" t="s">
        <v>2</v>
      </c>
      <c r="K1674" s="68" t="s">
        <v>2</v>
      </c>
      <c r="L1674" s="68" t="s">
        <v>2</v>
      </c>
      <c r="M1674" s="68" t="s">
        <v>2</v>
      </c>
      <c r="N1674" s="4" t="s">
        <v>84</v>
      </c>
      <c r="X1674" s="142"/>
      <c r="Y1674" s="14"/>
      <c r="Z1674" s="14"/>
      <c r="AA1674" s="14"/>
      <c r="AB1674" s="104"/>
    </row>
    <row r="1675" spans="1:28" ht="15.75" thickBot="1">
      <c r="A1675" s="409" t="s">
        <v>0</v>
      </c>
      <c r="B1675" s="414"/>
      <c r="C1675" s="99" t="s">
        <v>102</v>
      </c>
      <c r="D1675" s="99" t="s">
        <v>103</v>
      </c>
      <c r="E1675" s="99" t="s">
        <v>104</v>
      </c>
      <c r="F1675" s="99" t="s">
        <v>105</v>
      </c>
      <c r="G1675" s="99" t="s">
        <v>100</v>
      </c>
      <c r="H1675" s="99" t="s">
        <v>107</v>
      </c>
      <c r="I1675" s="99" t="s">
        <v>106</v>
      </c>
      <c r="J1675" s="99" t="s">
        <v>108</v>
      </c>
      <c r="K1675" s="99" t="s">
        <v>110</v>
      </c>
      <c r="L1675" s="99" t="s">
        <v>101</v>
      </c>
      <c r="M1675" s="99" t="s">
        <v>109</v>
      </c>
      <c r="N1675" s="101" t="s">
        <v>111</v>
      </c>
      <c r="P1675" s="142"/>
      <c r="Q1675" s="138"/>
      <c r="R1675" s="138"/>
      <c r="S1675" s="138"/>
      <c r="T1675" s="138"/>
      <c r="U1675" s="138"/>
      <c r="V1675" s="138"/>
      <c r="W1675" s="138"/>
      <c r="X1675" s="138"/>
      <c r="Y1675" s="138"/>
      <c r="Z1675" s="138"/>
      <c r="AA1675" s="138"/>
      <c r="AB1675" s="138"/>
    </row>
    <row r="1676" spans="1:28" ht="15" customHeight="1">
      <c r="A1676" s="421" t="s">
        <v>9</v>
      </c>
      <c r="B1676" s="2" t="s">
        <v>4</v>
      </c>
      <c r="C1676" s="96">
        <v>115816.8</v>
      </c>
      <c r="D1676" s="96">
        <v>99042</v>
      </c>
      <c r="E1676" s="96">
        <v>99042</v>
      </c>
      <c r="F1676" s="96">
        <v>154422.39999999999</v>
      </c>
      <c r="G1676" s="96">
        <v>121331.8</v>
      </c>
      <c r="H1676" s="96">
        <v>110071.9</v>
      </c>
      <c r="I1676" s="96">
        <v>121331.8</v>
      </c>
      <c r="J1676" s="96">
        <v>170967.6</v>
      </c>
      <c r="K1676" s="96">
        <v>54921</v>
      </c>
      <c r="L1676" s="96">
        <v>60665.9</v>
      </c>
      <c r="M1676" s="96">
        <v>176482.7</v>
      </c>
      <c r="N1676" s="100">
        <v>54921</v>
      </c>
      <c r="O1676" s="12"/>
      <c r="X1676" s="138"/>
      <c r="Y1676" s="104"/>
      <c r="Z1676" s="104"/>
      <c r="AA1676" s="104"/>
      <c r="AB1676" s="104"/>
    </row>
    <row r="1677" spans="1:28" s="64" customFormat="1">
      <c r="A1677" s="422"/>
      <c r="B1677" s="63" t="s">
        <v>5</v>
      </c>
      <c r="C1677" s="97">
        <v>87036</v>
      </c>
      <c r="D1677" s="97">
        <v>65714.600000000006</v>
      </c>
      <c r="E1677" s="97">
        <v>67092.399999999994</v>
      </c>
      <c r="F1677" s="97">
        <v>129769.60000000001</v>
      </c>
      <c r="G1677" s="97">
        <v>1696.2</v>
      </c>
      <c r="H1677" s="97">
        <v>32113.4</v>
      </c>
      <c r="I1677" s="97">
        <v>19967.8</v>
      </c>
      <c r="J1677" s="97">
        <v>118863.8</v>
      </c>
      <c r="K1677" s="97">
        <v>27505.3</v>
      </c>
      <c r="L1677" s="97">
        <v>921.2</v>
      </c>
      <c r="M1677" s="97">
        <v>78725</v>
      </c>
      <c r="N1677" s="102">
        <v>22966.400000000001</v>
      </c>
      <c r="O1677" s="12"/>
      <c r="P1677" s="14"/>
      <c r="Q1677" s="104"/>
      <c r="R1677" s="104"/>
      <c r="S1677" s="104"/>
      <c r="T1677" s="104"/>
      <c r="U1677" s="104"/>
      <c r="V1677" s="104"/>
      <c r="W1677" s="104"/>
      <c r="X1677" s="138"/>
      <c r="Y1677" s="104"/>
      <c r="Z1677" s="104"/>
      <c r="AA1677" s="104"/>
      <c r="AB1677" s="104"/>
    </row>
    <row r="1678" spans="1:28" ht="15.75" thickBot="1">
      <c r="A1678" s="423"/>
      <c r="B1678" s="3" t="s">
        <v>3</v>
      </c>
      <c r="C1678" s="71">
        <f>C1677/C1676</f>
        <v>0.75149719211720578</v>
      </c>
      <c r="D1678" s="72">
        <f t="shared" ref="D1678:F1678" si="1216">D1677/D1676</f>
        <v>0.66350235253730749</v>
      </c>
      <c r="E1678" s="72">
        <f t="shared" si="1216"/>
        <v>0.67741362250358428</v>
      </c>
      <c r="F1678" s="72">
        <f t="shared" si="1216"/>
        <v>0.84035476718403557</v>
      </c>
      <c r="G1678" s="72">
        <f>G1677/G1676</f>
        <v>1.397984699806646E-2</v>
      </c>
      <c r="H1678" s="72">
        <f t="shared" ref="H1678:N1678" si="1217">H1677/H1676</f>
        <v>0.29174930204711652</v>
      </c>
      <c r="I1678" s="72">
        <f t="shared" si="1217"/>
        <v>0.1645718599740546</v>
      </c>
      <c r="J1678" s="72">
        <f t="shared" si="1217"/>
        <v>0.69524167152138772</v>
      </c>
      <c r="K1678" s="72">
        <f t="shared" si="1217"/>
        <v>0.50081571712095552</v>
      </c>
      <c r="L1678" s="72">
        <f t="shared" si="1217"/>
        <v>1.5184807280531568E-2</v>
      </c>
      <c r="M1678" s="72">
        <f t="shared" si="1217"/>
        <v>0.4460777175326533</v>
      </c>
      <c r="N1678" s="83">
        <f t="shared" si="1217"/>
        <v>0.41817155550700097</v>
      </c>
      <c r="O1678" s="12"/>
      <c r="X1678" s="138"/>
      <c r="Y1678" s="104"/>
      <c r="Z1678" s="104"/>
      <c r="AA1678" s="104"/>
      <c r="AB1678" s="104"/>
    </row>
    <row r="1679" spans="1:28" ht="15" customHeight="1">
      <c r="A1679" s="411" t="s">
        <v>6</v>
      </c>
      <c r="B1679" s="27" t="s">
        <v>7</v>
      </c>
      <c r="C1679" s="68">
        <v>5006</v>
      </c>
      <c r="D1679" s="68">
        <v>3200</v>
      </c>
      <c r="E1679" s="68">
        <v>3183</v>
      </c>
      <c r="F1679" s="68">
        <v>9526</v>
      </c>
      <c r="G1679" s="68">
        <v>5000</v>
      </c>
      <c r="H1679" s="68">
        <v>6989</v>
      </c>
      <c r="I1679" s="68">
        <f>(4000-2000)</f>
        <v>2000</v>
      </c>
      <c r="J1679" s="68">
        <v>9194</v>
      </c>
      <c r="K1679" s="68">
        <v>2971</v>
      </c>
      <c r="L1679" s="68">
        <v>2500</v>
      </c>
      <c r="M1679" s="68">
        <f>5451-2614</f>
        <v>2837</v>
      </c>
      <c r="N1679" s="80">
        <v>830</v>
      </c>
      <c r="O1679" s="12"/>
      <c r="X1679" s="138"/>
      <c r="Y1679" s="104"/>
      <c r="Z1679" s="104"/>
      <c r="AA1679" s="104"/>
      <c r="AB1679" s="104"/>
    </row>
    <row r="1680" spans="1:28">
      <c r="A1680" s="412"/>
      <c r="B1680" s="28" t="s">
        <v>11</v>
      </c>
      <c r="C1680" s="73">
        <f t="shared" ref="C1680:I1680" si="1218">C1679*33.72</f>
        <v>168802.32</v>
      </c>
      <c r="D1680" s="73">
        <f t="shared" si="1218"/>
        <v>107904</v>
      </c>
      <c r="E1680" s="73">
        <f t="shared" si="1218"/>
        <v>107330.76</v>
      </c>
      <c r="F1680" s="73">
        <f t="shared" si="1218"/>
        <v>321216.71999999997</v>
      </c>
      <c r="G1680" s="73">
        <f t="shared" si="1218"/>
        <v>168600</v>
      </c>
      <c r="H1680" s="73">
        <f t="shared" si="1218"/>
        <v>235669.08</v>
      </c>
      <c r="I1680" s="73">
        <f t="shared" si="1218"/>
        <v>67440</v>
      </c>
      <c r="J1680" s="73">
        <f>J1679*33.72</f>
        <v>310021.68</v>
      </c>
      <c r="K1680" s="73">
        <f t="shared" ref="K1680:N1680" si="1219">K1679*33.72</f>
        <v>100182.12</v>
      </c>
      <c r="L1680" s="73">
        <f t="shared" si="1219"/>
        <v>84300</v>
      </c>
      <c r="M1680" s="73">
        <f t="shared" si="1219"/>
        <v>95663.64</v>
      </c>
      <c r="N1680" s="73">
        <f t="shared" si="1219"/>
        <v>27987.599999999999</v>
      </c>
      <c r="O1680" s="12"/>
      <c r="X1680" s="138"/>
      <c r="Y1680" s="104"/>
      <c r="Z1680" s="104"/>
      <c r="AA1680" s="104"/>
      <c r="AB1680" s="104"/>
    </row>
    <row r="1681" spans="1:28">
      <c r="A1681" s="412"/>
      <c r="B1681" s="28" t="s">
        <v>79</v>
      </c>
      <c r="C1681" s="73">
        <v>164000</v>
      </c>
      <c r="D1681" s="73">
        <v>109880</v>
      </c>
      <c r="E1681" s="73">
        <v>109880</v>
      </c>
      <c r="F1681" s="73">
        <v>328000</v>
      </c>
      <c r="G1681" s="73">
        <f>G1676*2</f>
        <v>242663.6</v>
      </c>
      <c r="H1681" s="73">
        <f>H1676*2</f>
        <v>220143.8</v>
      </c>
      <c r="I1681" s="73">
        <f>I1676*2</f>
        <v>242663.6</v>
      </c>
      <c r="J1681" s="73">
        <v>328000</v>
      </c>
      <c r="K1681" s="73">
        <f>K1676*2</f>
        <v>109842</v>
      </c>
      <c r="L1681" s="73">
        <v>328000</v>
      </c>
      <c r="M1681" s="73">
        <f>2*M1676</f>
        <v>352965.4</v>
      </c>
      <c r="N1681" s="84">
        <f>2*N1676</f>
        <v>109842</v>
      </c>
      <c r="O1681" s="12"/>
    </row>
    <row r="1682" spans="1:28" s="64" customFormat="1">
      <c r="A1682" s="412"/>
      <c r="B1682" s="66" t="s">
        <v>8</v>
      </c>
      <c r="C1682" s="98">
        <f>SUM(C1679-458)</f>
        <v>4548</v>
      </c>
      <c r="D1682" s="98">
        <f>SUM(D1679-737)</f>
        <v>2463</v>
      </c>
      <c r="E1682" s="98">
        <f>SUM(E1679-690)</f>
        <v>2493</v>
      </c>
      <c r="F1682" s="98">
        <f>SUM(F1679-1224)</f>
        <v>8302</v>
      </c>
      <c r="G1682" s="98">
        <f>SUM(G1679-4688)</f>
        <v>312</v>
      </c>
      <c r="H1682" s="98">
        <f>SUM(H1679-1708)</f>
        <v>5281</v>
      </c>
      <c r="I1682" s="98">
        <f>SUM(I1679-(2801-2000))</f>
        <v>1199</v>
      </c>
      <c r="J1682" s="98">
        <f>SUM(J1679-1477)</f>
        <v>7717</v>
      </c>
      <c r="K1682" s="98">
        <f>SUM(K1679-1010)</f>
        <v>1961</v>
      </c>
      <c r="L1682" s="98">
        <f>SUM(L1679-1999)</f>
        <v>501</v>
      </c>
      <c r="M1682" s="98">
        <f>SUM(M1679-(3242-2614))</f>
        <v>2209</v>
      </c>
      <c r="N1682" s="103">
        <f>SUM(N1679-46)</f>
        <v>784</v>
      </c>
      <c r="O1682" s="12"/>
      <c r="P1682" s="14"/>
      <c r="Q1682" s="138"/>
      <c r="R1682" s="104"/>
      <c r="S1682" s="104"/>
      <c r="T1682" s="104"/>
      <c r="U1682" s="104"/>
      <c r="V1682" s="104"/>
      <c r="W1682" s="104"/>
    </row>
    <row r="1683" spans="1:28">
      <c r="A1683" s="412"/>
      <c r="B1683" s="29" t="s">
        <v>77</v>
      </c>
      <c r="C1683" s="75">
        <f>C1682*33.72</f>
        <v>153358.56</v>
      </c>
      <c r="D1683" s="75">
        <f>D1682*33.72</f>
        <v>83052.36</v>
      </c>
      <c r="E1683" s="75">
        <f>E1682*33.72</f>
        <v>84063.959999999992</v>
      </c>
      <c r="F1683" s="75">
        <f>F1682*33.72</f>
        <v>279943.44</v>
      </c>
      <c r="G1683" s="75">
        <f>G1682*33.72*2</f>
        <v>21041.279999999999</v>
      </c>
      <c r="H1683" s="75">
        <f>H1682*33.72</f>
        <v>178075.32</v>
      </c>
      <c r="I1683" s="75">
        <f>I1682*33.72</f>
        <v>40430.28</v>
      </c>
      <c r="J1683" s="75">
        <f>J1682*33.72</f>
        <v>260217.24</v>
      </c>
      <c r="K1683" s="75">
        <f>K1682*33.72</f>
        <v>66124.92</v>
      </c>
      <c r="L1683" s="75">
        <f>L1682*33.72</f>
        <v>16893.72</v>
      </c>
      <c r="M1683" s="75">
        <f>M1682*33.72*2</f>
        <v>148974.96</v>
      </c>
      <c r="N1683" s="11">
        <f>N1682*33.72</f>
        <v>26436.48</v>
      </c>
      <c r="O1683" s="12"/>
      <c r="Q1683" s="138"/>
    </row>
    <row r="1684" spans="1:28" ht="15.75" thickBot="1">
      <c r="A1684" s="412"/>
      <c r="B1684" s="30" t="s">
        <v>10</v>
      </c>
      <c r="C1684" s="71">
        <f>C1682*33.7/C1676</f>
        <v>1.3233624137430839</v>
      </c>
      <c r="D1684" s="71">
        <f t="shared" ref="D1684:N1684" si="1220">D1682*33.7/D1676</f>
        <v>0.83805961107408988</v>
      </c>
      <c r="E1684" s="78">
        <f t="shared" si="1220"/>
        <v>0.84826740170836623</v>
      </c>
      <c r="F1684" s="78">
        <f t="shared" si="1220"/>
        <v>1.8117669457280812</v>
      </c>
      <c r="G1684" s="78">
        <f t="shared" si="1220"/>
        <v>8.665823798872184E-2</v>
      </c>
      <c r="H1684" s="78">
        <f t="shared" si="1220"/>
        <v>1.6168495319877283</v>
      </c>
      <c r="I1684" s="78">
        <f t="shared" si="1220"/>
        <v>0.33302316457845349</v>
      </c>
      <c r="J1684" s="78">
        <f t="shared" si="1220"/>
        <v>1.5211238854613389</v>
      </c>
      <c r="K1684" s="78">
        <f t="shared" si="1220"/>
        <v>1.2032865388467073</v>
      </c>
      <c r="L1684" s="78">
        <f t="shared" si="1220"/>
        <v>0.2783062643099336</v>
      </c>
      <c r="M1684" s="79">
        <f t="shared" si="1220"/>
        <v>0.42181641599998188</v>
      </c>
      <c r="N1684" s="26">
        <f t="shared" si="1220"/>
        <v>0.48106917208353822</v>
      </c>
      <c r="O1684" s="12"/>
      <c r="Q1684" s="138"/>
    </row>
    <row r="1685" spans="1:28" ht="15.75" customHeight="1" thickBot="1">
      <c r="A1685" s="424" t="s">
        <v>83</v>
      </c>
      <c r="B1685" s="425"/>
      <c r="C1685" s="76">
        <f>MIN(2*C1676,C1681)-C1683</f>
        <v>10641.440000000002</v>
      </c>
      <c r="D1685" s="76">
        <f t="shared" ref="D1685:N1685" si="1221">MIN(2*D1676,D1681)-D1683</f>
        <v>26827.64</v>
      </c>
      <c r="E1685" s="76">
        <f t="shared" si="1221"/>
        <v>25816.040000000008</v>
      </c>
      <c r="F1685" s="76">
        <f t="shared" si="1221"/>
        <v>28901.359999999986</v>
      </c>
      <c r="G1685" s="76">
        <f t="shared" si="1221"/>
        <v>221622.32</v>
      </c>
      <c r="H1685" s="76">
        <f t="shared" si="1221"/>
        <v>42068.479999999981</v>
      </c>
      <c r="I1685" s="76">
        <f t="shared" si="1221"/>
        <v>202233.32</v>
      </c>
      <c r="J1685" s="76">
        <f t="shared" si="1221"/>
        <v>67782.760000000009</v>
      </c>
      <c r="K1685" s="76">
        <f t="shared" si="1221"/>
        <v>43717.08</v>
      </c>
      <c r="L1685" s="76">
        <f t="shared" si="1221"/>
        <v>104438.08</v>
      </c>
      <c r="M1685" s="76">
        <f t="shared" si="1221"/>
        <v>203990.44000000003</v>
      </c>
      <c r="N1685" s="22">
        <f t="shared" si="1221"/>
        <v>83405.52</v>
      </c>
      <c r="O1685" s="12"/>
      <c r="Q1685" s="138"/>
    </row>
    <row r="1686" spans="1:28" ht="15.75" thickBot="1">
      <c r="A1686" s="368">
        <v>40984</v>
      </c>
      <c r="B1686" s="368"/>
      <c r="C1686" s="368"/>
      <c r="N1686" s="15"/>
    </row>
    <row r="1687" spans="1:28">
      <c r="A1687" s="407" t="s">
        <v>1</v>
      </c>
      <c r="B1687" s="420"/>
      <c r="C1687" s="68" t="s">
        <v>12</v>
      </c>
      <c r="D1687" s="68" t="s">
        <v>12</v>
      </c>
      <c r="E1687" s="68" t="s">
        <v>13</v>
      </c>
      <c r="F1687" s="68" t="s">
        <v>13</v>
      </c>
      <c r="G1687" s="68" t="s">
        <v>13</v>
      </c>
      <c r="H1687" s="68" t="s">
        <v>13</v>
      </c>
      <c r="I1687" s="68" t="s">
        <v>13</v>
      </c>
      <c r="J1687" s="68" t="s">
        <v>2</v>
      </c>
      <c r="K1687" s="68" t="s">
        <v>2</v>
      </c>
      <c r="L1687" s="68" t="s">
        <v>2</v>
      </c>
      <c r="M1687" s="68" t="s">
        <v>2</v>
      </c>
      <c r="N1687" s="4" t="s">
        <v>84</v>
      </c>
      <c r="X1687" s="142"/>
      <c r="Y1687" s="14"/>
      <c r="Z1687" s="14"/>
      <c r="AA1687" s="14"/>
      <c r="AB1687" s="104"/>
    </row>
    <row r="1688" spans="1:28" ht="15.75" thickBot="1">
      <c r="A1688" s="409" t="s">
        <v>0</v>
      </c>
      <c r="B1688" s="414"/>
      <c r="C1688" s="99" t="s">
        <v>102</v>
      </c>
      <c r="D1688" s="99" t="s">
        <v>103</v>
      </c>
      <c r="E1688" s="99" t="s">
        <v>104</v>
      </c>
      <c r="F1688" s="99" t="s">
        <v>105</v>
      </c>
      <c r="G1688" s="99" t="s">
        <v>100</v>
      </c>
      <c r="H1688" s="99" t="s">
        <v>107</v>
      </c>
      <c r="I1688" s="99" t="s">
        <v>106</v>
      </c>
      <c r="J1688" s="99" t="s">
        <v>108</v>
      </c>
      <c r="K1688" s="99" t="s">
        <v>110</v>
      </c>
      <c r="L1688" s="99" t="s">
        <v>101</v>
      </c>
      <c r="M1688" s="99" t="s">
        <v>109</v>
      </c>
      <c r="N1688" s="101" t="s">
        <v>111</v>
      </c>
      <c r="P1688" s="142"/>
      <c r="Q1688" s="138"/>
      <c r="R1688" s="138"/>
      <c r="S1688" s="138"/>
      <c r="T1688" s="138"/>
      <c r="U1688" s="138"/>
      <c r="V1688" s="138"/>
      <c r="W1688" s="138"/>
      <c r="X1688" s="138"/>
      <c r="Y1688" s="138"/>
      <c r="Z1688" s="138"/>
      <c r="AA1688" s="138"/>
      <c r="AB1688" s="138"/>
    </row>
    <row r="1689" spans="1:28" ht="15" customHeight="1">
      <c r="A1689" s="421" t="s">
        <v>9</v>
      </c>
      <c r="B1689" s="2" t="s">
        <v>4</v>
      </c>
      <c r="C1689" s="96">
        <v>115816.8</v>
      </c>
      <c r="D1689" s="96">
        <v>99042</v>
      </c>
      <c r="E1689" s="96">
        <v>99042</v>
      </c>
      <c r="F1689" s="96">
        <v>154422.39999999999</v>
      </c>
      <c r="G1689" s="96">
        <v>121331.8</v>
      </c>
      <c r="H1689" s="96">
        <v>110071.9</v>
      </c>
      <c r="I1689" s="96">
        <v>121331.8</v>
      </c>
      <c r="J1689" s="96">
        <v>170967.6</v>
      </c>
      <c r="K1689" s="96">
        <v>54921</v>
      </c>
      <c r="L1689" s="96">
        <v>60665.9</v>
      </c>
      <c r="M1689" s="96">
        <v>176482.7</v>
      </c>
      <c r="N1689" s="100">
        <v>54921</v>
      </c>
      <c r="O1689" s="12"/>
      <c r="X1689" s="138"/>
      <c r="Y1689" s="104"/>
      <c r="Z1689" s="104"/>
      <c r="AA1689" s="104"/>
      <c r="AB1689" s="104"/>
    </row>
    <row r="1690" spans="1:28" s="64" customFormat="1">
      <c r="A1690" s="422"/>
      <c r="B1690" s="63" t="s">
        <v>5</v>
      </c>
      <c r="C1690" s="97">
        <v>93819.8</v>
      </c>
      <c r="D1690" s="97">
        <v>65593.5</v>
      </c>
      <c r="E1690" s="97">
        <v>66971.3</v>
      </c>
      <c r="F1690" s="97">
        <v>131467.9</v>
      </c>
      <c r="G1690" s="97">
        <v>1683.9</v>
      </c>
      <c r="H1690" s="97">
        <v>31585</v>
      </c>
      <c r="I1690" s="97">
        <v>19960.3</v>
      </c>
      <c r="J1690" s="97">
        <v>120059</v>
      </c>
      <c r="K1690" s="97">
        <v>30032</v>
      </c>
      <c r="L1690" s="97">
        <v>901.6</v>
      </c>
      <c r="M1690" s="97">
        <v>78706.2</v>
      </c>
      <c r="N1690" s="102">
        <v>22942.400000000001</v>
      </c>
      <c r="O1690" s="12"/>
      <c r="P1690" s="14"/>
      <c r="Q1690" s="104"/>
      <c r="R1690" s="104"/>
      <c r="S1690" s="104"/>
      <c r="T1690" s="104"/>
      <c r="U1690" s="104"/>
      <c r="V1690" s="104"/>
      <c r="W1690" s="104"/>
      <c r="X1690" s="138"/>
      <c r="Y1690" s="104"/>
      <c r="Z1690" s="104"/>
      <c r="AA1690" s="104"/>
      <c r="AB1690" s="104"/>
    </row>
    <row r="1691" spans="1:28" ht="15.75" thickBot="1">
      <c r="A1691" s="423"/>
      <c r="B1691" s="3" t="s">
        <v>3</v>
      </c>
      <c r="C1691" s="71">
        <f>C1690/C1689</f>
        <v>0.81007073239806315</v>
      </c>
      <c r="D1691" s="72">
        <f t="shared" ref="D1691:F1691" si="1222">D1690/D1689</f>
        <v>0.66227963894105535</v>
      </c>
      <c r="E1691" s="72">
        <f t="shared" si="1222"/>
        <v>0.67619090890733224</v>
      </c>
      <c r="F1691" s="72">
        <f t="shared" si="1222"/>
        <v>0.85135252398615746</v>
      </c>
      <c r="G1691" s="72">
        <f>G1690/G1689</f>
        <v>1.3878472090581365E-2</v>
      </c>
      <c r="H1691" s="72">
        <f t="shared" ref="H1691:N1691" si="1223">H1690/H1689</f>
        <v>0.28694880346391771</v>
      </c>
      <c r="I1691" s="72">
        <f t="shared" si="1223"/>
        <v>0.16451004600607588</v>
      </c>
      <c r="J1691" s="72">
        <f t="shared" si="1223"/>
        <v>0.70223246977789944</v>
      </c>
      <c r="K1691" s="72">
        <f t="shared" si="1223"/>
        <v>0.54682179858341984</v>
      </c>
      <c r="L1691" s="72">
        <f t="shared" si="1223"/>
        <v>1.486172627456281E-2</v>
      </c>
      <c r="M1691" s="72">
        <f t="shared" si="1223"/>
        <v>0.44597119151055592</v>
      </c>
      <c r="N1691" s="83">
        <f t="shared" si="1223"/>
        <v>0.41773456419220339</v>
      </c>
      <c r="O1691" s="12"/>
      <c r="X1691" s="138"/>
      <c r="Y1691" s="104"/>
      <c r="Z1691" s="104"/>
      <c r="AA1691" s="104"/>
      <c r="AB1691" s="104"/>
    </row>
    <row r="1692" spans="1:28" ht="15" customHeight="1">
      <c r="A1692" s="411" t="s">
        <v>6</v>
      </c>
      <c r="B1692" s="27" t="s">
        <v>7</v>
      </c>
      <c r="C1692" s="68">
        <v>5006</v>
      </c>
      <c r="D1692" s="68">
        <v>3200</v>
      </c>
      <c r="E1692" s="68">
        <v>3183</v>
      </c>
      <c r="F1692" s="68">
        <v>9526</v>
      </c>
      <c r="G1692" s="68">
        <v>5000</v>
      </c>
      <c r="H1692" s="68">
        <v>6989</v>
      </c>
      <c r="I1692" s="68">
        <f>(4000-2000)</f>
        <v>2000</v>
      </c>
      <c r="J1692" s="68">
        <v>9194</v>
      </c>
      <c r="K1692" s="68">
        <v>2971</v>
      </c>
      <c r="L1692" s="68">
        <v>2500</v>
      </c>
      <c r="M1692" s="68">
        <f>5451-2614</f>
        <v>2837</v>
      </c>
      <c r="N1692" s="80">
        <v>830</v>
      </c>
      <c r="O1692" s="12"/>
      <c r="X1692" s="138"/>
      <c r="Y1692" s="104"/>
      <c r="Z1692" s="104"/>
      <c r="AA1692" s="104"/>
      <c r="AB1692" s="104"/>
    </row>
    <row r="1693" spans="1:28">
      <c r="A1693" s="412"/>
      <c r="B1693" s="28" t="s">
        <v>11</v>
      </c>
      <c r="C1693" s="73">
        <f t="shared" ref="C1693:I1693" si="1224">C1692*33.72</f>
        <v>168802.32</v>
      </c>
      <c r="D1693" s="73">
        <f t="shared" si="1224"/>
        <v>107904</v>
      </c>
      <c r="E1693" s="73">
        <f t="shared" si="1224"/>
        <v>107330.76</v>
      </c>
      <c r="F1693" s="73">
        <f t="shared" si="1224"/>
        <v>321216.71999999997</v>
      </c>
      <c r="G1693" s="73">
        <f t="shared" si="1224"/>
        <v>168600</v>
      </c>
      <c r="H1693" s="73">
        <f t="shared" si="1224"/>
        <v>235669.08</v>
      </c>
      <c r="I1693" s="73">
        <f t="shared" si="1224"/>
        <v>67440</v>
      </c>
      <c r="J1693" s="73">
        <f>J1692*33.72</f>
        <v>310021.68</v>
      </c>
      <c r="K1693" s="73">
        <f t="shared" ref="K1693:N1693" si="1225">K1692*33.72</f>
        <v>100182.12</v>
      </c>
      <c r="L1693" s="73">
        <f t="shared" si="1225"/>
        <v>84300</v>
      </c>
      <c r="M1693" s="73">
        <f t="shared" si="1225"/>
        <v>95663.64</v>
      </c>
      <c r="N1693" s="73">
        <f t="shared" si="1225"/>
        <v>27987.599999999999</v>
      </c>
      <c r="O1693" s="12"/>
      <c r="X1693" s="138"/>
      <c r="Y1693" s="104"/>
      <c r="Z1693" s="104"/>
      <c r="AA1693" s="104"/>
      <c r="AB1693" s="104"/>
    </row>
    <row r="1694" spans="1:28">
      <c r="A1694" s="412"/>
      <c r="B1694" s="28" t="s">
        <v>79</v>
      </c>
      <c r="C1694" s="73">
        <v>164000</v>
      </c>
      <c r="D1694" s="73">
        <v>109880</v>
      </c>
      <c r="E1694" s="73">
        <v>109880</v>
      </c>
      <c r="F1694" s="73">
        <v>328000</v>
      </c>
      <c r="G1694" s="73">
        <f>G1689*2</f>
        <v>242663.6</v>
      </c>
      <c r="H1694" s="73">
        <f>H1689*2</f>
        <v>220143.8</v>
      </c>
      <c r="I1694" s="73">
        <f>I1689*2</f>
        <v>242663.6</v>
      </c>
      <c r="J1694" s="73">
        <v>328000</v>
      </c>
      <c r="K1694" s="73">
        <f>K1689*2</f>
        <v>109842</v>
      </c>
      <c r="L1694" s="73">
        <v>328000</v>
      </c>
      <c r="M1694" s="73">
        <f>2*M1689</f>
        <v>352965.4</v>
      </c>
      <c r="N1694" s="84">
        <f>2*N1689</f>
        <v>109842</v>
      </c>
      <c r="O1694" s="12"/>
    </row>
    <row r="1695" spans="1:28" s="64" customFormat="1">
      <c r="A1695" s="412"/>
      <c r="B1695" s="66" t="s">
        <v>8</v>
      </c>
      <c r="C1695" s="98">
        <f>SUM(C1692-458)</f>
        <v>4548</v>
      </c>
      <c r="D1695" s="98">
        <f>SUM(D1692-737)</f>
        <v>2463</v>
      </c>
      <c r="E1695" s="98">
        <f>SUM(E1692-690)</f>
        <v>2493</v>
      </c>
      <c r="F1695" s="98">
        <f>SUM(F1692-1224)</f>
        <v>8302</v>
      </c>
      <c r="G1695" s="98">
        <f>SUM(G1692-4698)</f>
        <v>302</v>
      </c>
      <c r="H1695" s="98">
        <f>SUM(H1692-1866)</f>
        <v>5123</v>
      </c>
      <c r="I1695" s="98">
        <f>SUM(I1692-(2801-2000))</f>
        <v>1199</v>
      </c>
      <c r="J1695" s="98">
        <f>SUM(J1692-1494)</f>
        <v>7700</v>
      </c>
      <c r="K1695" s="98">
        <f>SUM(K1692-1010)</f>
        <v>1961</v>
      </c>
      <c r="L1695" s="98">
        <f>SUM(L1692-2020)</f>
        <v>480</v>
      </c>
      <c r="M1695" s="98">
        <f>SUM(M1692-(3245-2614))</f>
        <v>2206</v>
      </c>
      <c r="N1695" s="103">
        <f>SUM(N1692-49)</f>
        <v>781</v>
      </c>
      <c r="O1695" s="12"/>
      <c r="P1695" s="14"/>
      <c r="Q1695" s="138"/>
      <c r="R1695" s="104"/>
      <c r="S1695" s="104"/>
      <c r="T1695" s="104"/>
      <c r="U1695" s="104"/>
      <c r="V1695" s="104"/>
      <c r="W1695" s="104"/>
    </row>
    <row r="1696" spans="1:28">
      <c r="A1696" s="412"/>
      <c r="B1696" s="29" t="s">
        <v>77</v>
      </c>
      <c r="C1696" s="75">
        <f>C1695*33.72</f>
        <v>153358.56</v>
      </c>
      <c r="D1696" s="75">
        <f>D1695*33.72</f>
        <v>83052.36</v>
      </c>
      <c r="E1696" s="75">
        <f>E1695*33.72</f>
        <v>84063.959999999992</v>
      </c>
      <c r="F1696" s="75">
        <f>F1695*33.72</f>
        <v>279943.44</v>
      </c>
      <c r="G1696" s="75">
        <f>G1695*33.72*2</f>
        <v>20366.88</v>
      </c>
      <c r="H1696" s="75">
        <f>H1695*33.72</f>
        <v>172747.56</v>
      </c>
      <c r="I1696" s="75">
        <f>I1695*33.72</f>
        <v>40430.28</v>
      </c>
      <c r="J1696" s="75">
        <f>J1695*33.72</f>
        <v>259644</v>
      </c>
      <c r="K1696" s="75">
        <f>K1695*33.72</f>
        <v>66124.92</v>
      </c>
      <c r="L1696" s="75">
        <f>L1695*33.72</f>
        <v>16185.599999999999</v>
      </c>
      <c r="M1696" s="75">
        <f>M1695*33.72*2</f>
        <v>148772.63999999998</v>
      </c>
      <c r="N1696" s="11">
        <f>N1695*33.72</f>
        <v>26335.32</v>
      </c>
      <c r="O1696" s="12"/>
      <c r="Q1696" s="138"/>
    </row>
    <row r="1697" spans="1:28" ht="15.75" thickBot="1">
      <c r="A1697" s="412"/>
      <c r="B1697" s="30" t="s">
        <v>10</v>
      </c>
      <c r="C1697" s="71">
        <f>C1695*33.7/C1689</f>
        <v>1.3233624137430839</v>
      </c>
      <c r="D1697" s="71">
        <f t="shared" ref="D1697:N1697" si="1226">D1695*33.7/D1689</f>
        <v>0.83805961107408988</v>
      </c>
      <c r="E1697" s="78">
        <f t="shared" si="1226"/>
        <v>0.84826740170836623</v>
      </c>
      <c r="F1697" s="78">
        <f t="shared" si="1226"/>
        <v>1.8117669457280812</v>
      </c>
      <c r="G1697" s="78">
        <f t="shared" si="1226"/>
        <v>8.3880730360878203E-2</v>
      </c>
      <c r="H1697" s="78">
        <f t="shared" si="1226"/>
        <v>1.5684756963403013</v>
      </c>
      <c r="I1697" s="78">
        <f t="shared" si="1226"/>
        <v>0.33302316457845349</v>
      </c>
      <c r="J1697" s="78">
        <f t="shared" si="1226"/>
        <v>1.5177729581511352</v>
      </c>
      <c r="K1697" s="78">
        <f t="shared" si="1226"/>
        <v>1.2032865388467073</v>
      </c>
      <c r="L1697" s="78">
        <f t="shared" si="1226"/>
        <v>0.26664073227299029</v>
      </c>
      <c r="M1697" s="79">
        <f t="shared" si="1226"/>
        <v>0.42124355531732011</v>
      </c>
      <c r="N1697" s="26">
        <f t="shared" si="1226"/>
        <v>0.47922834616995325</v>
      </c>
      <c r="O1697" s="12"/>
      <c r="Q1697" s="138"/>
    </row>
    <row r="1698" spans="1:28" ht="15.75" customHeight="1" thickBot="1">
      <c r="A1698" s="424" t="s">
        <v>83</v>
      </c>
      <c r="B1698" s="425"/>
      <c r="C1698" s="76">
        <f>MIN(2*C1689,C1694)-C1696</f>
        <v>10641.440000000002</v>
      </c>
      <c r="D1698" s="76">
        <f t="shared" ref="D1698:N1698" si="1227">MIN(2*D1689,D1694)-D1696</f>
        <v>26827.64</v>
      </c>
      <c r="E1698" s="76">
        <f t="shared" si="1227"/>
        <v>25816.040000000008</v>
      </c>
      <c r="F1698" s="76">
        <f t="shared" si="1227"/>
        <v>28901.359999999986</v>
      </c>
      <c r="G1698" s="76">
        <f t="shared" si="1227"/>
        <v>222296.72</v>
      </c>
      <c r="H1698" s="76">
        <f t="shared" si="1227"/>
        <v>47396.239999999991</v>
      </c>
      <c r="I1698" s="76">
        <f t="shared" si="1227"/>
        <v>202233.32</v>
      </c>
      <c r="J1698" s="76">
        <f t="shared" si="1227"/>
        <v>68356</v>
      </c>
      <c r="K1698" s="76">
        <f t="shared" si="1227"/>
        <v>43717.08</v>
      </c>
      <c r="L1698" s="76">
        <f t="shared" si="1227"/>
        <v>105146.20000000001</v>
      </c>
      <c r="M1698" s="76">
        <f t="shared" si="1227"/>
        <v>204192.76000000004</v>
      </c>
      <c r="N1698" s="22">
        <f t="shared" si="1227"/>
        <v>83506.679999999993</v>
      </c>
      <c r="O1698" s="12"/>
      <c r="Q1698" s="138"/>
    </row>
    <row r="1699" spans="1:28" ht="15.75" thickBot="1">
      <c r="A1699" s="368">
        <v>40983</v>
      </c>
      <c r="B1699" s="368"/>
      <c r="C1699" s="368"/>
      <c r="N1699" s="15"/>
    </row>
    <row r="1700" spans="1:28">
      <c r="A1700" s="407" t="s">
        <v>1</v>
      </c>
      <c r="B1700" s="420"/>
      <c r="C1700" s="68" t="s">
        <v>12</v>
      </c>
      <c r="D1700" s="68" t="s">
        <v>12</v>
      </c>
      <c r="E1700" s="68" t="s">
        <v>13</v>
      </c>
      <c r="F1700" s="68" t="s">
        <v>13</v>
      </c>
      <c r="G1700" s="68" t="s">
        <v>13</v>
      </c>
      <c r="H1700" s="68" t="s">
        <v>13</v>
      </c>
      <c r="I1700" s="68" t="s">
        <v>13</v>
      </c>
      <c r="J1700" s="68" t="s">
        <v>2</v>
      </c>
      <c r="K1700" s="68" t="s">
        <v>2</v>
      </c>
      <c r="L1700" s="68" t="s">
        <v>2</v>
      </c>
      <c r="M1700" s="68" t="s">
        <v>2</v>
      </c>
      <c r="N1700" s="4" t="s">
        <v>84</v>
      </c>
      <c r="X1700" s="142"/>
      <c r="Y1700" s="14"/>
      <c r="Z1700" s="14"/>
      <c r="AA1700" s="14"/>
      <c r="AB1700" s="104"/>
    </row>
    <row r="1701" spans="1:28" ht="15.75" thickBot="1">
      <c r="A1701" s="409" t="s">
        <v>0</v>
      </c>
      <c r="B1701" s="414"/>
      <c r="C1701" s="99" t="s">
        <v>102</v>
      </c>
      <c r="D1701" s="99" t="s">
        <v>103</v>
      </c>
      <c r="E1701" s="99" t="s">
        <v>104</v>
      </c>
      <c r="F1701" s="99" t="s">
        <v>105</v>
      </c>
      <c r="G1701" s="99" t="s">
        <v>100</v>
      </c>
      <c r="H1701" s="99" t="s">
        <v>107</v>
      </c>
      <c r="I1701" s="99" t="s">
        <v>106</v>
      </c>
      <c r="J1701" s="99" t="s">
        <v>108</v>
      </c>
      <c r="K1701" s="99" t="s">
        <v>110</v>
      </c>
      <c r="L1701" s="99" t="s">
        <v>101</v>
      </c>
      <c r="M1701" s="99" t="s">
        <v>109</v>
      </c>
      <c r="N1701" s="101" t="s">
        <v>111</v>
      </c>
      <c r="P1701" s="142"/>
      <c r="Q1701" s="138"/>
      <c r="R1701" s="138"/>
      <c r="S1701" s="138"/>
      <c r="T1701" s="138"/>
      <c r="U1701" s="138"/>
      <c r="V1701" s="138"/>
      <c r="W1701" s="138"/>
      <c r="X1701" s="138"/>
      <c r="Y1701" s="138"/>
      <c r="Z1701" s="138"/>
      <c r="AA1701" s="138"/>
      <c r="AB1701" s="138"/>
    </row>
    <row r="1702" spans="1:28" ht="15" customHeight="1">
      <c r="A1702" s="421" t="s">
        <v>9</v>
      </c>
      <c r="B1702" s="2" t="s">
        <v>4</v>
      </c>
      <c r="C1702" s="96">
        <v>115816.8</v>
      </c>
      <c r="D1702" s="96">
        <v>99042</v>
      </c>
      <c r="E1702" s="96">
        <v>99042</v>
      </c>
      <c r="F1702" s="96">
        <v>154422.39999999999</v>
      </c>
      <c r="G1702" s="96">
        <v>121331.8</v>
      </c>
      <c r="H1702" s="96">
        <v>110071.9</v>
      </c>
      <c r="I1702" s="96">
        <v>121331.8</v>
      </c>
      <c r="J1702" s="96">
        <v>170967.6</v>
      </c>
      <c r="K1702" s="96">
        <v>54921</v>
      </c>
      <c r="L1702" s="96">
        <v>60665.9</v>
      </c>
      <c r="M1702" s="96">
        <v>176482.7</v>
      </c>
      <c r="N1702" s="100">
        <v>54921</v>
      </c>
      <c r="O1702" s="12"/>
      <c r="X1702" s="138"/>
      <c r="Y1702" s="104"/>
      <c r="Z1702" s="104"/>
      <c r="AA1702" s="104"/>
      <c r="AB1702" s="104"/>
    </row>
    <row r="1703" spans="1:28" s="64" customFormat="1">
      <c r="A1703" s="422"/>
      <c r="B1703" s="63" t="s">
        <v>5</v>
      </c>
      <c r="C1703" s="97">
        <v>93598.7</v>
      </c>
      <c r="D1703" s="97">
        <v>65569</v>
      </c>
      <c r="E1703" s="97">
        <v>66946.7</v>
      </c>
      <c r="F1703" s="97">
        <v>133311.5</v>
      </c>
      <c r="G1703" s="97">
        <v>1649.5</v>
      </c>
      <c r="H1703" s="97">
        <v>31036.9</v>
      </c>
      <c r="I1703" s="97">
        <v>19956.7</v>
      </c>
      <c r="J1703" s="97">
        <v>120680.6</v>
      </c>
      <c r="K1703" s="97">
        <v>29961.7</v>
      </c>
      <c r="L1703" s="97">
        <v>881</v>
      </c>
      <c r="M1703" s="97">
        <v>78698.399999999994</v>
      </c>
      <c r="N1703" s="102">
        <v>22942.2</v>
      </c>
      <c r="O1703" s="12"/>
      <c r="P1703" s="14"/>
      <c r="Q1703" s="104"/>
      <c r="R1703" s="104"/>
      <c r="S1703" s="104"/>
      <c r="T1703" s="104"/>
      <c r="U1703" s="104"/>
      <c r="V1703" s="104"/>
      <c r="W1703" s="104"/>
      <c r="X1703" s="138"/>
      <c r="Y1703" s="104"/>
      <c r="Z1703" s="104"/>
      <c r="AA1703" s="104"/>
      <c r="AB1703" s="104"/>
    </row>
    <row r="1704" spans="1:28" ht="15.75" thickBot="1">
      <c r="A1704" s="423"/>
      <c r="B1704" s="3" t="s">
        <v>3</v>
      </c>
      <c r="C1704" s="71">
        <f>C1703/C1702</f>
        <v>0.80816168293373669</v>
      </c>
      <c r="D1704" s="72">
        <f t="shared" ref="D1704:F1704" si="1228">D1703/D1702</f>
        <v>0.66203226913834534</v>
      </c>
      <c r="E1704" s="72">
        <f t="shared" si="1228"/>
        <v>0.67594252943195809</v>
      </c>
      <c r="F1704" s="72">
        <f t="shared" si="1228"/>
        <v>0.86329120645709434</v>
      </c>
      <c r="G1704" s="72">
        <f>G1703/G1702</f>
        <v>1.3594952024118985E-2</v>
      </c>
      <c r="H1704" s="72">
        <f t="shared" ref="H1704:N1704" si="1229">H1703/H1702</f>
        <v>0.28196933095549365</v>
      </c>
      <c r="I1704" s="72">
        <f t="shared" si="1229"/>
        <v>0.16448037530144613</v>
      </c>
      <c r="J1704" s="72">
        <f t="shared" si="1229"/>
        <v>0.70586824638118573</v>
      </c>
      <c r="K1704" s="72">
        <f t="shared" si="1229"/>
        <v>0.54554177819049177</v>
      </c>
      <c r="L1704" s="72">
        <f t="shared" si="1229"/>
        <v>1.452216154379973E-2</v>
      </c>
      <c r="M1704" s="72">
        <f t="shared" si="1229"/>
        <v>0.44592699454394108</v>
      </c>
      <c r="N1704" s="83">
        <f t="shared" si="1229"/>
        <v>0.41773092259791339</v>
      </c>
      <c r="O1704" s="12"/>
      <c r="X1704" s="138"/>
      <c r="Y1704" s="104"/>
      <c r="Z1704" s="104"/>
      <c r="AA1704" s="104"/>
      <c r="AB1704" s="104"/>
    </row>
    <row r="1705" spans="1:28" ht="15" customHeight="1">
      <c r="A1705" s="411" t="s">
        <v>6</v>
      </c>
      <c r="B1705" s="27" t="s">
        <v>7</v>
      </c>
      <c r="C1705" s="68">
        <v>5006</v>
      </c>
      <c r="D1705" s="68">
        <v>3200</v>
      </c>
      <c r="E1705" s="68">
        <v>3183</v>
      </c>
      <c r="F1705" s="68">
        <v>9526</v>
      </c>
      <c r="G1705" s="68">
        <v>5000</v>
      </c>
      <c r="H1705" s="68">
        <v>6989</v>
      </c>
      <c r="I1705" s="68">
        <f>(4000-2000)</f>
        <v>2000</v>
      </c>
      <c r="J1705" s="68">
        <v>9194</v>
      </c>
      <c r="K1705" s="68">
        <v>2971</v>
      </c>
      <c r="L1705" s="68">
        <v>2500</v>
      </c>
      <c r="M1705" s="68">
        <f>5451-2614</f>
        <v>2837</v>
      </c>
      <c r="N1705" s="80">
        <v>830</v>
      </c>
      <c r="O1705" s="12"/>
      <c r="X1705" s="138"/>
      <c r="Y1705" s="104"/>
      <c r="Z1705" s="104"/>
      <c r="AA1705" s="104"/>
      <c r="AB1705" s="104"/>
    </row>
    <row r="1706" spans="1:28">
      <c r="A1706" s="412"/>
      <c r="B1706" s="28" t="s">
        <v>11</v>
      </c>
      <c r="C1706" s="73">
        <f t="shared" ref="C1706:I1706" si="1230">C1705*33.72</f>
        <v>168802.32</v>
      </c>
      <c r="D1706" s="73">
        <f t="shared" si="1230"/>
        <v>107904</v>
      </c>
      <c r="E1706" s="73">
        <f t="shared" si="1230"/>
        <v>107330.76</v>
      </c>
      <c r="F1706" s="73">
        <f t="shared" si="1230"/>
        <v>321216.71999999997</v>
      </c>
      <c r="G1706" s="73">
        <f t="shared" si="1230"/>
        <v>168600</v>
      </c>
      <c r="H1706" s="73">
        <f t="shared" si="1230"/>
        <v>235669.08</v>
      </c>
      <c r="I1706" s="73">
        <f t="shared" si="1230"/>
        <v>67440</v>
      </c>
      <c r="J1706" s="73">
        <f>J1705*33.72</f>
        <v>310021.68</v>
      </c>
      <c r="K1706" s="73">
        <f t="shared" ref="K1706:N1706" si="1231">K1705*33.72</f>
        <v>100182.12</v>
      </c>
      <c r="L1706" s="73">
        <f t="shared" si="1231"/>
        <v>84300</v>
      </c>
      <c r="M1706" s="73">
        <f t="shared" si="1231"/>
        <v>95663.64</v>
      </c>
      <c r="N1706" s="73">
        <f t="shared" si="1231"/>
        <v>27987.599999999999</v>
      </c>
      <c r="O1706" s="12"/>
      <c r="X1706" s="138"/>
      <c r="Y1706" s="104"/>
      <c r="Z1706" s="104"/>
      <c r="AA1706" s="104"/>
      <c r="AB1706" s="104"/>
    </row>
    <row r="1707" spans="1:28">
      <c r="A1707" s="412"/>
      <c r="B1707" s="28" t="s">
        <v>79</v>
      </c>
      <c r="C1707" s="73">
        <v>164000</v>
      </c>
      <c r="D1707" s="73">
        <v>109880</v>
      </c>
      <c r="E1707" s="73">
        <v>109880</v>
      </c>
      <c r="F1707" s="73">
        <v>328000</v>
      </c>
      <c r="G1707" s="73">
        <f>G1702*2</f>
        <v>242663.6</v>
      </c>
      <c r="H1707" s="73">
        <f>H1702*2</f>
        <v>220143.8</v>
      </c>
      <c r="I1707" s="73">
        <f>I1702*2</f>
        <v>242663.6</v>
      </c>
      <c r="J1707" s="73">
        <v>328000</v>
      </c>
      <c r="K1707" s="73">
        <f>K1702*2</f>
        <v>109842</v>
      </c>
      <c r="L1707" s="73">
        <v>328000</v>
      </c>
      <c r="M1707" s="73">
        <f>2*M1702</f>
        <v>352965.4</v>
      </c>
      <c r="N1707" s="84">
        <f>2*N1702</f>
        <v>109842</v>
      </c>
      <c r="O1707" s="12"/>
    </row>
    <row r="1708" spans="1:28" s="64" customFormat="1">
      <c r="A1708" s="412"/>
      <c r="B1708" s="66" t="s">
        <v>8</v>
      </c>
      <c r="C1708" s="98">
        <f>SUM(C1705-458)</f>
        <v>4548</v>
      </c>
      <c r="D1708" s="98">
        <f>SUM(D1705-737)</f>
        <v>2463</v>
      </c>
      <c r="E1708" s="98">
        <f>SUM(E1705-690)</f>
        <v>2493</v>
      </c>
      <c r="F1708" s="98">
        <f>SUM(F1705-1224)</f>
        <v>8302</v>
      </c>
      <c r="G1708" s="98">
        <f>SUM(G1705-4698)</f>
        <v>302</v>
      </c>
      <c r="H1708" s="98">
        <f>SUM(H1705-1866)</f>
        <v>5123</v>
      </c>
      <c r="I1708" s="98">
        <f>SUM(I1705-(2801-2000))</f>
        <v>1199</v>
      </c>
      <c r="J1708" s="98">
        <f>SUM(J1705-1494)</f>
        <v>7700</v>
      </c>
      <c r="K1708" s="98">
        <f>SUM(K1705-1010)</f>
        <v>1961</v>
      </c>
      <c r="L1708" s="98">
        <f>SUM(L1705-2020)</f>
        <v>480</v>
      </c>
      <c r="M1708" s="98">
        <f>SUM(M1705-(3245-2614))</f>
        <v>2206</v>
      </c>
      <c r="N1708" s="103">
        <f>SUM(N1705-49)</f>
        <v>781</v>
      </c>
      <c r="O1708" s="12"/>
      <c r="P1708" s="14"/>
      <c r="Q1708" s="138"/>
      <c r="R1708" s="104"/>
      <c r="S1708" s="104"/>
      <c r="T1708" s="104"/>
      <c r="U1708" s="104"/>
      <c r="V1708" s="104"/>
      <c r="W1708" s="104"/>
    </row>
    <row r="1709" spans="1:28">
      <c r="A1709" s="412"/>
      <c r="B1709" s="29" t="s">
        <v>77</v>
      </c>
      <c r="C1709" s="75">
        <f>C1708*33.72</f>
        <v>153358.56</v>
      </c>
      <c r="D1709" s="75">
        <f>D1708*33.72</f>
        <v>83052.36</v>
      </c>
      <c r="E1709" s="75">
        <f>E1708*33.72</f>
        <v>84063.959999999992</v>
      </c>
      <c r="F1709" s="75">
        <f>F1708*33.72</f>
        <v>279943.44</v>
      </c>
      <c r="G1709" s="75">
        <f>G1708*33.72*2</f>
        <v>20366.88</v>
      </c>
      <c r="H1709" s="75">
        <f>H1708*33.72</f>
        <v>172747.56</v>
      </c>
      <c r="I1709" s="75">
        <f>I1708*33.72</f>
        <v>40430.28</v>
      </c>
      <c r="J1709" s="75">
        <f>J1708*33.72</f>
        <v>259644</v>
      </c>
      <c r="K1709" s="75">
        <f>K1708*33.72</f>
        <v>66124.92</v>
      </c>
      <c r="L1709" s="75">
        <f>L1708*33.72</f>
        <v>16185.599999999999</v>
      </c>
      <c r="M1709" s="75">
        <f>M1708*33.72*2</f>
        <v>148772.63999999998</v>
      </c>
      <c r="N1709" s="11">
        <f>N1708*33.72</f>
        <v>26335.32</v>
      </c>
      <c r="O1709" s="12"/>
      <c r="Q1709" s="138"/>
    </row>
    <row r="1710" spans="1:28" ht="15.75" thickBot="1">
      <c r="A1710" s="412"/>
      <c r="B1710" s="30" t="s">
        <v>10</v>
      </c>
      <c r="C1710" s="71">
        <f>C1708*33.7/C1702</f>
        <v>1.3233624137430839</v>
      </c>
      <c r="D1710" s="71">
        <f t="shared" ref="D1710:N1710" si="1232">D1708*33.7/D1702</f>
        <v>0.83805961107408988</v>
      </c>
      <c r="E1710" s="78">
        <f t="shared" si="1232"/>
        <v>0.84826740170836623</v>
      </c>
      <c r="F1710" s="78">
        <f t="shared" si="1232"/>
        <v>1.8117669457280812</v>
      </c>
      <c r="G1710" s="78">
        <f t="shared" si="1232"/>
        <v>8.3880730360878203E-2</v>
      </c>
      <c r="H1710" s="78">
        <f t="shared" si="1232"/>
        <v>1.5684756963403013</v>
      </c>
      <c r="I1710" s="78">
        <f t="shared" si="1232"/>
        <v>0.33302316457845349</v>
      </c>
      <c r="J1710" s="78">
        <f t="shared" si="1232"/>
        <v>1.5177729581511352</v>
      </c>
      <c r="K1710" s="78">
        <f t="shared" si="1232"/>
        <v>1.2032865388467073</v>
      </c>
      <c r="L1710" s="78">
        <f t="shared" si="1232"/>
        <v>0.26664073227299029</v>
      </c>
      <c r="M1710" s="79">
        <f t="shared" si="1232"/>
        <v>0.42124355531732011</v>
      </c>
      <c r="N1710" s="26">
        <f t="shared" si="1232"/>
        <v>0.47922834616995325</v>
      </c>
      <c r="O1710" s="12"/>
      <c r="Q1710" s="138"/>
    </row>
    <row r="1711" spans="1:28" ht="15.75" customHeight="1" thickBot="1">
      <c r="A1711" s="424" t="s">
        <v>83</v>
      </c>
      <c r="B1711" s="425"/>
      <c r="C1711" s="76">
        <f>MIN(2*C1702,C1707)-C1709</f>
        <v>10641.440000000002</v>
      </c>
      <c r="D1711" s="76">
        <f t="shared" ref="D1711:N1711" si="1233">MIN(2*D1702,D1707)-D1709</f>
        <v>26827.64</v>
      </c>
      <c r="E1711" s="76">
        <f t="shared" si="1233"/>
        <v>25816.040000000008</v>
      </c>
      <c r="F1711" s="76">
        <f t="shared" si="1233"/>
        <v>28901.359999999986</v>
      </c>
      <c r="G1711" s="76">
        <f t="shared" si="1233"/>
        <v>222296.72</v>
      </c>
      <c r="H1711" s="76">
        <f t="shared" si="1233"/>
        <v>47396.239999999991</v>
      </c>
      <c r="I1711" s="76">
        <f t="shared" si="1233"/>
        <v>202233.32</v>
      </c>
      <c r="J1711" s="76">
        <f t="shared" si="1233"/>
        <v>68356</v>
      </c>
      <c r="K1711" s="76">
        <f t="shared" si="1233"/>
        <v>43717.08</v>
      </c>
      <c r="L1711" s="76">
        <f t="shared" si="1233"/>
        <v>105146.20000000001</v>
      </c>
      <c r="M1711" s="76">
        <f t="shared" si="1233"/>
        <v>204192.76000000004</v>
      </c>
      <c r="N1711" s="22">
        <f t="shared" si="1233"/>
        <v>83506.679999999993</v>
      </c>
      <c r="O1711" s="12"/>
      <c r="Q1711" s="138"/>
    </row>
    <row r="1712" spans="1:28" ht="15.75" thickBot="1">
      <c r="A1712" s="368">
        <v>40982</v>
      </c>
      <c r="B1712" s="368"/>
      <c r="C1712" s="368"/>
      <c r="N1712" s="15"/>
    </row>
    <row r="1713" spans="1:28">
      <c r="A1713" s="407" t="s">
        <v>1</v>
      </c>
      <c r="B1713" s="420"/>
      <c r="C1713" s="68" t="s">
        <v>12</v>
      </c>
      <c r="D1713" s="68" t="s">
        <v>12</v>
      </c>
      <c r="E1713" s="68" t="s">
        <v>13</v>
      </c>
      <c r="F1713" s="68" t="s">
        <v>13</v>
      </c>
      <c r="G1713" s="68" t="s">
        <v>13</v>
      </c>
      <c r="H1713" s="68" t="s">
        <v>13</v>
      </c>
      <c r="I1713" s="68" t="s">
        <v>13</v>
      </c>
      <c r="J1713" s="68" t="s">
        <v>2</v>
      </c>
      <c r="K1713" s="68" t="s">
        <v>2</v>
      </c>
      <c r="L1713" s="68" t="s">
        <v>2</v>
      </c>
      <c r="M1713" s="68" t="s">
        <v>2</v>
      </c>
      <c r="N1713" s="4" t="s">
        <v>84</v>
      </c>
      <c r="X1713" s="142"/>
      <c r="Y1713" s="14"/>
      <c r="Z1713" s="14"/>
      <c r="AA1713" s="14"/>
      <c r="AB1713" s="104"/>
    </row>
    <row r="1714" spans="1:28" ht="15.75" thickBot="1">
      <c r="A1714" s="409" t="s">
        <v>0</v>
      </c>
      <c r="B1714" s="414"/>
      <c r="C1714" s="99" t="s">
        <v>102</v>
      </c>
      <c r="D1714" s="99" t="s">
        <v>103</v>
      </c>
      <c r="E1714" s="99" t="s">
        <v>104</v>
      </c>
      <c r="F1714" s="99" t="s">
        <v>105</v>
      </c>
      <c r="G1714" s="99" t="s">
        <v>100</v>
      </c>
      <c r="H1714" s="99" t="s">
        <v>107</v>
      </c>
      <c r="I1714" s="99" t="s">
        <v>106</v>
      </c>
      <c r="J1714" s="99" t="s">
        <v>108</v>
      </c>
      <c r="K1714" s="99" t="s">
        <v>110</v>
      </c>
      <c r="L1714" s="99" t="s">
        <v>101</v>
      </c>
      <c r="M1714" s="99" t="s">
        <v>109</v>
      </c>
      <c r="N1714" s="101" t="s">
        <v>111</v>
      </c>
      <c r="P1714" s="142"/>
      <c r="Q1714" s="138"/>
      <c r="R1714" s="138"/>
      <c r="S1714" s="138"/>
      <c r="T1714" s="138"/>
      <c r="U1714" s="138"/>
      <c r="V1714" s="138"/>
      <c r="W1714" s="138"/>
      <c r="X1714" s="138"/>
      <c r="Y1714" s="138"/>
      <c r="Z1714" s="138"/>
      <c r="AA1714" s="138"/>
      <c r="AB1714" s="138"/>
    </row>
    <row r="1715" spans="1:28" ht="15" customHeight="1">
      <c r="A1715" s="421" t="s">
        <v>9</v>
      </c>
      <c r="B1715" s="2" t="s">
        <v>4</v>
      </c>
      <c r="C1715" s="96">
        <v>115816.8</v>
      </c>
      <c r="D1715" s="96">
        <v>99042</v>
      </c>
      <c r="E1715" s="96">
        <v>99042</v>
      </c>
      <c r="F1715" s="96">
        <v>154422.39999999999</v>
      </c>
      <c r="G1715" s="96">
        <v>121331.8</v>
      </c>
      <c r="H1715" s="96">
        <v>110071.9</v>
      </c>
      <c r="I1715" s="96">
        <v>121331.8</v>
      </c>
      <c r="J1715" s="96">
        <v>170967.6</v>
      </c>
      <c r="K1715" s="96">
        <v>54921</v>
      </c>
      <c r="L1715" s="96">
        <v>60665.9</v>
      </c>
      <c r="M1715" s="96">
        <v>176482.7</v>
      </c>
      <c r="N1715" s="100">
        <v>54921</v>
      </c>
      <c r="O1715" s="12"/>
      <c r="X1715" s="138"/>
      <c r="Y1715" s="104"/>
      <c r="Z1715" s="104"/>
      <c r="AA1715" s="104"/>
      <c r="AB1715" s="104"/>
    </row>
    <row r="1716" spans="1:28" s="64" customFormat="1">
      <c r="A1716" s="422"/>
      <c r="B1716" s="63" t="s">
        <v>5</v>
      </c>
      <c r="C1716" s="97">
        <v>95872</v>
      </c>
      <c r="D1716" s="97">
        <v>65539.7</v>
      </c>
      <c r="E1716" s="97">
        <v>66917.399999999994</v>
      </c>
      <c r="F1716" s="97">
        <v>133188.4</v>
      </c>
      <c r="G1716" s="97">
        <v>1592.8</v>
      </c>
      <c r="H1716" s="97">
        <v>30765</v>
      </c>
      <c r="I1716" s="97">
        <v>19954.3</v>
      </c>
      <c r="J1716" s="97">
        <v>120611.4</v>
      </c>
      <c r="K1716" s="97">
        <v>29878.400000000001</v>
      </c>
      <c r="L1716" s="97">
        <v>847.8</v>
      </c>
      <c r="M1716" s="97">
        <v>78692.7</v>
      </c>
      <c r="N1716" s="102">
        <v>22941.8</v>
      </c>
      <c r="O1716" s="12"/>
      <c r="P1716" s="14"/>
      <c r="Q1716" s="104"/>
      <c r="R1716" s="104"/>
      <c r="S1716" s="104"/>
      <c r="T1716" s="104"/>
      <c r="U1716" s="104"/>
      <c r="V1716" s="104"/>
      <c r="W1716" s="104"/>
      <c r="X1716" s="138"/>
      <c r="Y1716" s="104"/>
      <c r="Z1716" s="104"/>
      <c r="AA1716" s="104"/>
      <c r="AB1716" s="104"/>
    </row>
    <row r="1717" spans="1:28" ht="15.75" thickBot="1">
      <c r="A1717" s="423"/>
      <c r="B1717" s="3" t="s">
        <v>3</v>
      </c>
      <c r="C1717" s="71">
        <f>C1716/C1715</f>
        <v>0.82779009608277898</v>
      </c>
      <c r="D1717" s="72">
        <f t="shared" ref="D1717:F1717" si="1234">D1716/D1715</f>
        <v>0.66173643504775748</v>
      </c>
      <c r="E1717" s="72">
        <f t="shared" si="1234"/>
        <v>0.67564669534137023</v>
      </c>
      <c r="F1717" s="72">
        <f t="shared" si="1234"/>
        <v>0.86249404231510451</v>
      </c>
      <c r="G1717" s="72">
        <f>G1716/G1715</f>
        <v>1.312763842619989E-2</v>
      </c>
      <c r="H1717" s="72">
        <f t="shared" ref="H1717:N1717" si="1235">H1716/H1715</f>
        <v>0.27949912738855243</v>
      </c>
      <c r="I1717" s="72">
        <f t="shared" si="1235"/>
        <v>0.16446059483169292</v>
      </c>
      <c r="J1717" s="72">
        <f t="shared" si="1235"/>
        <v>0.70546349132818142</v>
      </c>
      <c r="K1717" s="72">
        <f t="shared" si="1235"/>
        <v>0.54402505416871505</v>
      </c>
      <c r="L1717" s="72">
        <f t="shared" si="1235"/>
        <v>1.397490188062816E-2</v>
      </c>
      <c r="M1717" s="72">
        <f t="shared" si="1235"/>
        <v>0.44589469676064564</v>
      </c>
      <c r="N1717" s="83">
        <f t="shared" si="1235"/>
        <v>0.41772363940933338</v>
      </c>
      <c r="O1717" s="12"/>
      <c r="X1717" s="138"/>
      <c r="Y1717" s="104"/>
      <c r="Z1717" s="104"/>
      <c r="AA1717" s="104"/>
      <c r="AB1717" s="104"/>
    </row>
    <row r="1718" spans="1:28" ht="15" customHeight="1">
      <c r="A1718" s="411" t="s">
        <v>6</v>
      </c>
      <c r="B1718" s="27" t="s">
        <v>7</v>
      </c>
      <c r="C1718" s="68">
        <v>5006</v>
      </c>
      <c r="D1718" s="68">
        <v>3200</v>
      </c>
      <c r="E1718" s="68">
        <v>3183</v>
      </c>
      <c r="F1718" s="68">
        <v>9526</v>
      </c>
      <c r="G1718" s="68">
        <v>5000</v>
      </c>
      <c r="H1718" s="68">
        <v>6989</v>
      </c>
      <c r="I1718" s="68">
        <f>(4000-2000)</f>
        <v>2000</v>
      </c>
      <c r="J1718" s="68">
        <v>9194</v>
      </c>
      <c r="K1718" s="68">
        <v>2971</v>
      </c>
      <c r="L1718" s="68">
        <v>2500</v>
      </c>
      <c r="M1718" s="68">
        <f>5451-2614</f>
        <v>2837</v>
      </c>
      <c r="N1718" s="80">
        <v>830</v>
      </c>
      <c r="O1718" s="12"/>
      <c r="X1718" s="138"/>
      <c r="Y1718" s="104"/>
      <c r="Z1718" s="104"/>
      <c r="AA1718" s="104"/>
      <c r="AB1718" s="104"/>
    </row>
    <row r="1719" spans="1:28">
      <c r="A1719" s="412"/>
      <c r="B1719" s="28" t="s">
        <v>11</v>
      </c>
      <c r="C1719" s="73">
        <f t="shared" ref="C1719:I1719" si="1236">C1718*33.72</f>
        <v>168802.32</v>
      </c>
      <c r="D1719" s="73">
        <f t="shared" si="1236"/>
        <v>107904</v>
      </c>
      <c r="E1719" s="73">
        <f t="shared" si="1236"/>
        <v>107330.76</v>
      </c>
      <c r="F1719" s="73">
        <f t="shared" si="1236"/>
        <v>321216.71999999997</v>
      </c>
      <c r="G1719" s="73">
        <f t="shared" si="1236"/>
        <v>168600</v>
      </c>
      <c r="H1719" s="73">
        <f t="shared" si="1236"/>
        <v>235669.08</v>
      </c>
      <c r="I1719" s="73">
        <f t="shared" si="1236"/>
        <v>67440</v>
      </c>
      <c r="J1719" s="73">
        <f>J1718*33.72</f>
        <v>310021.68</v>
      </c>
      <c r="K1719" s="73">
        <f t="shared" ref="K1719:N1719" si="1237">K1718*33.72</f>
        <v>100182.12</v>
      </c>
      <c r="L1719" s="73">
        <f t="shared" si="1237"/>
        <v>84300</v>
      </c>
      <c r="M1719" s="73">
        <f t="shared" si="1237"/>
        <v>95663.64</v>
      </c>
      <c r="N1719" s="73">
        <f t="shared" si="1237"/>
        <v>27987.599999999999</v>
      </c>
      <c r="O1719" s="12"/>
      <c r="X1719" s="138"/>
      <c r="Y1719" s="104"/>
      <c r="Z1719" s="104"/>
      <c r="AA1719" s="104"/>
      <c r="AB1719" s="104"/>
    </row>
    <row r="1720" spans="1:28">
      <c r="A1720" s="412"/>
      <c r="B1720" s="28" t="s">
        <v>79</v>
      </c>
      <c r="C1720" s="73">
        <v>164000</v>
      </c>
      <c r="D1720" s="73">
        <v>109880</v>
      </c>
      <c r="E1720" s="73">
        <v>109880</v>
      </c>
      <c r="F1720" s="73">
        <v>328000</v>
      </c>
      <c r="G1720" s="73">
        <f>G1715*2</f>
        <v>242663.6</v>
      </c>
      <c r="H1720" s="73">
        <f>H1715*2</f>
        <v>220143.8</v>
      </c>
      <c r="I1720" s="73">
        <f>I1715*2</f>
        <v>242663.6</v>
      </c>
      <c r="J1720" s="73">
        <v>328000</v>
      </c>
      <c r="K1720" s="73">
        <f>K1715*2</f>
        <v>109842</v>
      </c>
      <c r="L1720" s="73">
        <v>328000</v>
      </c>
      <c r="M1720" s="73">
        <f>2*M1715</f>
        <v>352965.4</v>
      </c>
      <c r="N1720" s="84">
        <f>2*N1715</f>
        <v>109842</v>
      </c>
      <c r="O1720" s="12"/>
    </row>
    <row r="1721" spans="1:28" s="64" customFormat="1">
      <c r="A1721" s="412"/>
      <c r="B1721" s="66" t="s">
        <v>8</v>
      </c>
      <c r="C1721" s="98">
        <f>SUM(C1718-458)</f>
        <v>4548</v>
      </c>
      <c r="D1721" s="98">
        <f>SUM(D1718-737)</f>
        <v>2463</v>
      </c>
      <c r="E1721" s="98">
        <f>SUM(E1718-690)</f>
        <v>2493</v>
      </c>
      <c r="F1721" s="98">
        <f>SUM(F1718-1224)</f>
        <v>8302</v>
      </c>
      <c r="G1721" s="98">
        <f>SUM(G1718-4749)</f>
        <v>251</v>
      </c>
      <c r="H1721" s="98">
        <f>SUM(H1718-1876)</f>
        <v>5113</v>
      </c>
      <c r="I1721" s="98">
        <f>SUM(I1718-(2801-2000))</f>
        <v>1199</v>
      </c>
      <c r="J1721" s="98">
        <f>SUM(J1718-1494)</f>
        <v>7700</v>
      </c>
      <c r="K1721" s="98">
        <f>SUM(K1718-1010)</f>
        <v>1961</v>
      </c>
      <c r="L1721" s="98">
        <f>SUM(L1718-2098)</f>
        <v>402</v>
      </c>
      <c r="M1721" s="98">
        <f>SUM(M1718-(3245-2614))</f>
        <v>2206</v>
      </c>
      <c r="N1721" s="103">
        <f>SUM(N1718-49)</f>
        <v>781</v>
      </c>
      <c r="O1721" s="12"/>
      <c r="P1721" s="14"/>
      <c r="Q1721" s="138"/>
      <c r="R1721" s="104"/>
      <c r="S1721" s="104"/>
      <c r="T1721" s="104"/>
      <c r="U1721" s="104"/>
      <c r="V1721" s="104"/>
      <c r="W1721" s="104"/>
    </row>
    <row r="1722" spans="1:28">
      <c r="A1722" s="412"/>
      <c r="B1722" s="29" t="s">
        <v>77</v>
      </c>
      <c r="C1722" s="75">
        <f>C1721*33.72</f>
        <v>153358.56</v>
      </c>
      <c r="D1722" s="75">
        <f>D1721*33.72</f>
        <v>83052.36</v>
      </c>
      <c r="E1722" s="75">
        <f>E1721*33.72</f>
        <v>84063.959999999992</v>
      </c>
      <c r="F1722" s="75">
        <f>F1721*33.72</f>
        <v>279943.44</v>
      </c>
      <c r="G1722" s="75">
        <f>G1721*33.72*2</f>
        <v>16927.439999999999</v>
      </c>
      <c r="H1722" s="75">
        <f>H1721*33.72</f>
        <v>172410.36</v>
      </c>
      <c r="I1722" s="75">
        <f>I1721*33.72</f>
        <v>40430.28</v>
      </c>
      <c r="J1722" s="75">
        <f>J1721*33.72</f>
        <v>259644</v>
      </c>
      <c r="K1722" s="75">
        <f>K1721*33.72</f>
        <v>66124.92</v>
      </c>
      <c r="L1722" s="75">
        <f>L1721*33.72</f>
        <v>13555.439999999999</v>
      </c>
      <c r="M1722" s="75">
        <f>M1721*33.72*2</f>
        <v>148772.63999999998</v>
      </c>
      <c r="N1722" s="11">
        <f>N1721*33.72</f>
        <v>26335.32</v>
      </c>
      <c r="O1722" s="12"/>
      <c r="Q1722" s="138"/>
    </row>
    <row r="1723" spans="1:28" ht="15.75" thickBot="1">
      <c r="A1723" s="412"/>
      <c r="B1723" s="30" t="s">
        <v>10</v>
      </c>
      <c r="C1723" s="71">
        <f>C1721*33.7/C1715</f>
        <v>1.3233624137430839</v>
      </c>
      <c r="D1723" s="71">
        <f t="shared" ref="D1723:N1723" si="1238">D1721*33.7/D1715</f>
        <v>0.83805961107408988</v>
      </c>
      <c r="E1723" s="78">
        <f t="shared" si="1238"/>
        <v>0.84826740170836623</v>
      </c>
      <c r="F1723" s="78">
        <f t="shared" si="1238"/>
        <v>1.8117669457280812</v>
      </c>
      <c r="G1723" s="78">
        <f t="shared" si="1238"/>
        <v>6.9715441458875579E-2</v>
      </c>
      <c r="H1723" s="78">
        <f t="shared" si="1238"/>
        <v>1.5654140611727427</v>
      </c>
      <c r="I1723" s="78">
        <f t="shared" si="1238"/>
        <v>0.33302316457845349</v>
      </c>
      <c r="J1723" s="78">
        <f t="shared" si="1238"/>
        <v>1.5177729581511352</v>
      </c>
      <c r="K1723" s="78">
        <f t="shared" si="1238"/>
        <v>1.2032865388467073</v>
      </c>
      <c r="L1723" s="78">
        <f t="shared" si="1238"/>
        <v>0.22331161327862936</v>
      </c>
      <c r="M1723" s="79">
        <f t="shared" si="1238"/>
        <v>0.42124355531732011</v>
      </c>
      <c r="N1723" s="26">
        <f t="shared" si="1238"/>
        <v>0.47922834616995325</v>
      </c>
      <c r="O1723" s="12"/>
      <c r="Q1723" s="138"/>
    </row>
    <row r="1724" spans="1:28" ht="15.75" customHeight="1" thickBot="1">
      <c r="A1724" s="424" t="s">
        <v>83</v>
      </c>
      <c r="B1724" s="425"/>
      <c r="C1724" s="76">
        <f>MIN(2*C1715,C1720)-C1722</f>
        <v>10641.440000000002</v>
      </c>
      <c r="D1724" s="76">
        <f t="shared" ref="D1724:N1724" si="1239">MIN(2*D1715,D1720)-D1722</f>
        <v>26827.64</v>
      </c>
      <c r="E1724" s="76">
        <f t="shared" si="1239"/>
        <v>25816.040000000008</v>
      </c>
      <c r="F1724" s="76">
        <f t="shared" si="1239"/>
        <v>28901.359999999986</v>
      </c>
      <c r="G1724" s="76">
        <f t="shared" si="1239"/>
        <v>225736.16</v>
      </c>
      <c r="H1724" s="76">
        <f t="shared" si="1239"/>
        <v>47733.440000000002</v>
      </c>
      <c r="I1724" s="76">
        <f t="shared" si="1239"/>
        <v>202233.32</v>
      </c>
      <c r="J1724" s="76">
        <f t="shared" si="1239"/>
        <v>68356</v>
      </c>
      <c r="K1724" s="76">
        <f t="shared" si="1239"/>
        <v>43717.08</v>
      </c>
      <c r="L1724" s="76">
        <f t="shared" si="1239"/>
        <v>107776.36</v>
      </c>
      <c r="M1724" s="76">
        <f t="shared" si="1239"/>
        <v>204192.76000000004</v>
      </c>
      <c r="N1724" s="22">
        <f t="shared" si="1239"/>
        <v>83506.679999999993</v>
      </c>
      <c r="O1724" s="12"/>
      <c r="Q1724" s="138"/>
    </row>
    <row r="1725" spans="1:28" ht="15.75" thickBot="1">
      <c r="A1725" s="368">
        <v>40981</v>
      </c>
      <c r="B1725" s="368"/>
      <c r="C1725" s="368"/>
      <c r="N1725" s="15"/>
    </row>
    <row r="1726" spans="1:28">
      <c r="A1726" s="407" t="s">
        <v>1</v>
      </c>
      <c r="B1726" s="420"/>
      <c r="C1726" s="68" t="s">
        <v>12</v>
      </c>
      <c r="D1726" s="68" t="s">
        <v>12</v>
      </c>
      <c r="E1726" s="68" t="s">
        <v>13</v>
      </c>
      <c r="F1726" s="68" t="s">
        <v>13</v>
      </c>
      <c r="G1726" s="68" t="s">
        <v>13</v>
      </c>
      <c r="H1726" s="68" t="s">
        <v>13</v>
      </c>
      <c r="I1726" s="68" t="s">
        <v>13</v>
      </c>
      <c r="J1726" s="68" t="s">
        <v>2</v>
      </c>
      <c r="K1726" s="68" t="s">
        <v>2</v>
      </c>
      <c r="L1726" s="68" t="s">
        <v>2</v>
      </c>
      <c r="M1726" s="68" t="s">
        <v>2</v>
      </c>
      <c r="N1726" s="4" t="s">
        <v>84</v>
      </c>
      <c r="X1726" s="142"/>
      <c r="Y1726" s="14"/>
      <c r="Z1726" s="14"/>
      <c r="AA1726" s="14"/>
      <c r="AB1726" s="104"/>
    </row>
    <row r="1727" spans="1:28" ht="15.75" thickBot="1">
      <c r="A1727" s="409" t="s">
        <v>0</v>
      </c>
      <c r="B1727" s="414"/>
      <c r="C1727" s="99" t="s">
        <v>102</v>
      </c>
      <c r="D1727" s="99" t="s">
        <v>103</v>
      </c>
      <c r="E1727" s="99" t="s">
        <v>104</v>
      </c>
      <c r="F1727" s="99" t="s">
        <v>105</v>
      </c>
      <c r="G1727" s="99" t="s">
        <v>100</v>
      </c>
      <c r="H1727" s="99" t="s">
        <v>107</v>
      </c>
      <c r="I1727" s="99" t="s">
        <v>106</v>
      </c>
      <c r="J1727" s="99" t="s">
        <v>108</v>
      </c>
      <c r="K1727" s="99" t="s">
        <v>110</v>
      </c>
      <c r="L1727" s="99" t="s">
        <v>101</v>
      </c>
      <c r="M1727" s="99" t="s">
        <v>109</v>
      </c>
      <c r="N1727" s="101" t="s">
        <v>111</v>
      </c>
      <c r="P1727" s="142"/>
      <c r="Q1727" s="138"/>
      <c r="R1727" s="138"/>
      <c r="S1727" s="138"/>
      <c r="T1727" s="138"/>
      <c r="U1727" s="138"/>
      <c r="V1727" s="138"/>
      <c r="W1727" s="138"/>
      <c r="X1727" s="138"/>
      <c r="Y1727" s="138"/>
      <c r="Z1727" s="138"/>
      <c r="AA1727" s="138"/>
      <c r="AB1727" s="138"/>
    </row>
    <row r="1728" spans="1:28" ht="15" customHeight="1">
      <c r="A1728" s="421" t="s">
        <v>9</v>
      </c>
      <c r="B1728" s="2" t="s">
        <v>4</v>
      </c>
      <c r="C1728" s="96">
        <v>115816.8</v>
      </c>
      <c r="D1728" s="96">
        <v>99042</v>
      </c>
      <c r="E1728" s="96">
        <v>99042</v>
      </c>
      <c r="F1728" s="96">
        <v>154422.39999999999</v>
      </c>
      <c r="G1728" s="96">
        <v>121331.8</v>
      </c>
      <c r="H1728" s="96">
        <v>110071.9</v>
      </c>
      <c r="I1728" s="96">
        <v>121331.8</v>
      </c>
      <c r="J1728" s="96">
        <v>170967.6</v>
      </c>
      <c r="K1728" s="96">
        <v>54921</v>
      </c>
      <c r="L1728" s="96">
        <v>60665.9</v>
      </c>
      <c r="M1728" s="96">
        <v>176482.7</v>
      </c>
      <c r="N1728" s="100">
        <v>54921</v>
      </c>
      <c r="O1728" s="12"/>
      <c r="X1728" s="138"/>
      <c r="Y1728" s="104"/>
      <c r="Z1728" s="104"/>
      <c r="AA1728" s="104"/>
      <c r="AB1728" s="104"/>
    </row>
    <row r="1729" spans="1:28" s="64" customFormat="1">
      <c r="A1729" s="422"/>
      <c r="B1729" s="63" t="s">
        <v>5</v>
      </c>
      <c r="C1729" s="97">
        <v>95691.8</v>
      </c>
      <c r="D1729" s="97">
        <v>65536.2</v>
      </c>
      <c r="E1729" s="97">
        <v>66913.899999999994</v>
      </c>
      <c r="F1729" s="97">
        <v>133121.9</v>
      </c>
      <c r="G1729" s="97">
        <v>1592.8</v>
      </c>
      <c r="H1729" s="97">
        <v>30517.599999999999</v>
      </c>
      <c r="I1729" s="97">
        <v>19946.900000000001</v>
      </c>
      <c r="J1729" s="97">
        <v>120574.7</v>
      </c>
      <c r="K1729" s="97">
        <v>29875.3</v>
      </c>
      <c r="L1729" s="97">
        <v>846.3</v>
      </c>
      <c r="M1729" s="97">
        <v>78677.899999999994</v>
      </c>
      <c r="N1729" s="102">
        <v>22941.7</v>
      </c>
      <c r="O1729" s="12"/>
      <c r="P1729" s="14"/>
      <c r="Q1729" s="104"/>
      <c r="R1729" s="104"/>
      <c r="S1729" s="104"/>
      <c r="T1729" s="104"/>
      <c r="U1729" s="104"/>
      <c r="V1729" s="104"/>
      <c r="W1729" s="104"/>
      <c r="X1729" s="138"/>
      <c r="Y1729" s="104"/>
      <c r="Z1729" s="104"/>
      <c r="AA1729" s="104"/>
      <c r="AB1729" s="104"/>
    </row>
    <row r="1730" spans="1:28" ht="15.75" thickBot="1">
      <c r="A1730" s="423"/>
      <c r="B1730" s="3" t="s">
        <v>3</v>
      </c>
      <c r="C1730" s="71">
        <f>C1729/C1728</f>
        <v>0.82623419054921221</v>
      </c>
      <c r="D1730" s="72">
        <f t="shared" ref="D1730:F1730" si="1240">D1729/D1728</f>
        <v>0.66170109650451325</v>
      </c>
      <c r="E1730" s="72">
        <f t="shared" si="1240"/>
        <v>0.67561135679812601</v>
      </c>
      <c r="F1730" s="72">
        <f t="shared" si="1240"/>
        <v>0.86206340530907433</v>
      </c>
      <c r="G1730" s="72">
        <f>G1729/G1728</f>
        <v>1.312763842619989E-2</v>
      </c>
      <c r="H1730" s="72">
        <f t="shared" ref="H1730:N1730" si="1241">H1729/H1728</f>
        <v>0.27725150560678974</v>
      </c>
      <c r="I1730" s="72">
        <f t="shared" si="1241"/>
        <v>0.16439960504995393</v>
      </c>
      <c r="J1730" s="72">
        <f t="shared" si="1241"/>
        <v>0.70524883077261413</v>
      </c>
      <c r="K1730" s="72">
        <f t="shared" si="1241"/>
        <v>0.54396860945722036</v>
      </c>
      <c r="L1730" s="72">
        <f t="shared" si="1241"/>
        <v>1.3950176293436674E-2</v>
      </c>
      <c r="M1730" s="72">
        <f t="shared" si="1241"/>
        <v>0.44581083584963277</v>
      </c>
      <c r="N1730" s="83">
        <f t="shared" si="1241"/>
        <v>0.41772181861218843</v>
      </c>
      <c r="O1730" s="12"/>
      <c r="X1730" s="138"/>
      <c r="Y1730" s="104"/>
      <c r="Z1730" s="104"/>
      <c r="AA1730" s="104"/>
      <c r="AB1730" s="104"/>
    </row>
    <row r="1731" spans="1:28" ht="15" customHeight="1">
      <c r="A1731" s="411" t="s">
        <v>6</v>
      </c>
      <c r="B1731" s="27" t="s">
        <v>7</v>
      </c>
      <c r="C1731" s="68">
        <v>5006</v>
      </c>
      <c r="D1731" s="68">
        <v>3200</v>
      </c>
      <c r="E1731" s="68">
        <v>3183</v>
      </c>
      <c r="F1731" s="68">
        <v>9526</v>
      </c>
      <c r="G1731" s="68">
        <v>5000</v>
      </c>
      <c r="H1731" s="68">
        <v>6989</v>
      </c>
      <c r="I1731" s="68">
        <f>(4000-2000)</f>
        <v>2000</v>
      </c>
      <c r="J1731" s="68">
        <v>9194</v>
      </c>
      <c r="K1731" s="68">
        <v>2971</v>
      </c>
      <c r="L1731" s="68">
        <v>2500</v>
      </c>
      <c r="M1731" s="68">
        <f>5451-2614</f>
        <v>2837</v>
      </c>
      <c r="N1731" s="80">
        <v>830</v>
      </c>
      <c r="O1731" s="12"/>
      <c r="X1731" s="138"/>
      <c r="Y1731" s="104"/>
      <c r="Z1731" s="104"/>
      <c r="AA1731" s="104"/>
      <c r="AB1731" s="104"/>
    </row>
    <row r="1732" spans="1:28">
      <c r="A1732" s="412"/>
      <c r="B1732" s="28" t="s">
        <v>11</v>
      </c>
      <c r="C1732" s="73">
        <f t="shared" ref="C1732:I1732" si="1242">C1731*33.72</f>
        <v>168802.32</v>
      </c>
      <c r="D1732" s="73">
        <f t="shared" si="1242"/>
        <v>107904</v>
      </c>
      <c r="E1732" s="73">
        <f t="shared" si="1242"/>
        <v>107330.76</v>
      </c>
      <c r="F1732" s="73">
        <f t="shared" si="1242"/>
        <v>321216.71999999997</v>
      </c>
      <c r="G1732" s="73">
        <f t="shared" si="1242"/>
        <v>168600</v>
      </c>
      <c r="H1732" s="73">
        <f t="shared" si="1242"/>
        <v>235669.08</v>
      </c>
      <c r="I1732" s="73">
        <f t="shared" si="1242"/>
        <v>67440</v>
      </c>
      <c r="J1732" s="73">
        <f>J1731*33.72</f>
        <v>310021.68</v>
      </c>
      <c r="K1732" s="73">
        <f t="shared" ref="K1732:N1732" si="1243">K1731*33.72</f>
        <v>100182.12</v>
      </c>
      <c r="L1732" s="73">
        <f t="shared" si="1243"/>
        <v>84300</v>
      </c>
      <c r="M1732" s="73">
        <f t="shared" si="1243"/>
        <v>95663.64</v>
      </c>
      <c r="N1732" s="73">
        <f t="shared" si="1243"/>
        <v>27987.599999999999</v>
      </c>
      <c r="O1732" s="12"/>
      <c r="X1732" s="138"/>
      <c r="Y1732" s="104"/>
      <c r="Z1732" s="104"/>
      <c r="AA1732" s="104"/>
      <c r="AB1732" s="104"/>
    </row>
    <row r="1733" spans="1:28">
      <c r="A1733" s="412"/>
      <c r="B1733" s="28" t="s">
        <v>79</v>
      </c>
      <c r="C1733" s="73">
        <v>164000</v>
      </c>
      <c r="D1733" s="73">
        <v>109880</v>
      </c>
      <c r="E1733" s="73">
        <v>109880</v>
      </c>
      <c r="F1733" s="73">
        <v>328000</v>
      </c>
      <c r="G1733" s="73">
        <f>G1728*2</f>
        <v>242663.6</v>
      </c>
      <c r="H1733" s="73">
        <f>H1728*2</f>
        <v>220143.8</v>
      </c>
      <c r="I1733" s="73">
        <f>I1728*2</f>
        <v>242663.6</v>
      </c>
      <c r="J1733" s="73">
        <v>328000</v>
      </c>
      <c r="K1733" s="73">
        <f>K1728*2</f>
        <v>109842</v>
      </c>
      <c r="L1733" s="73">
        <v>328000</v>
      </c>
      <c r="M1733" s="73">
        <f>2*M1728</f>
        <v>352965.4</v>
      </c>
      <c r="N1733" s="84">
        <f>2*N1728</f>
        <v>109842</v>
      </c>
      <c r="O1733" s="12"/>
    </row>
    <row r="1734" spans="1:28" s="64" customFormat="1">
      <c r="A1734" s="412"/>
      <c r="B1734" s="66" t="s">
        <v>8</v>
      </c>
      <c r="C1734" s="98">
        <f>SUM(C1731-458)</f>
        <v>4548</v>
      </c>
      <c r="D1734" s="98">
        <f>SUM(D1731-737)</f>
        <v>2463</v>
      </c>
      <c r="E1734" s="98">
        <f>SUM(E1731-690)</f>
        <v>2493</v>
      </c>
      <c r="F1734" s="98">
        <f>SUM(F1731-1224)</f>
        <v>8302</v>
      </c>
      <c r="G1734" s="98">
        <f>SUM(G1731-4749)</f>
        <v>251</v>
      </c>
      <c r="H1734" s="98">
        <f>SUM(H1731-1876)</f>
        <v>5113</v>
      </c>
      <c r="I1734" s="98">
        <f>SUM(I1731-(2801-2000))</f>
        <v>1199</v>
      </c>
      <c r="J1734" s="98">
        <f>SUM(J1731-1494)</f>
        <v>7700</v>
      </c>
      <c r="K1734" s="98">
        <f>SUM(K1731-1010)</f>
        <v>1961</v>
      </c>
      <c r="L1734" s="98">
        <f>SUM(L1731-2098)</f>
        <v>402</v>
      </c>
      <c r="M1734" s="98">
        <f>SUM(M1731-(3245-2614))</f>
        <v>2206</v>
      </c>
      <c r="N1734" s="103">
        <f>SUM(N1731-49)</f>
        <v>781</v>
      </c>
      <c r="O1734" s="12"/>
      <c r="P1734" s="14"/>
      <c r="Q1734" s="138"/>
      <c r="R1734" s="104"/>
      <c r="S1734" s="104"/>
      <c r="T1734" s="104"/>
      <c r="U1734" s="104"/>
      <c r="V1734" s="104"/>
      <c r="W1734" s="104"/>
    </row>
    <row r="1735" spans="1:28">
      <c r="A1735" s="412"/>
      <c r="B1735" s="29" t="s">
        <v>77</v>
      </c>
      <c r="C1735" s="75">
        <f>C1734*33.72</f>
        <v>153358.56</v>
      </c>
      <c r="D1735" s="75">
        <f>D1734*33.72</f>
        <v>83052.36</v>
      </c>
      <c r="E1735" s="75">
        <f>E1734*33.72</f>
        <v>84063.959999999992</v>
      </c>
      <c r="F1735" s="75">
        <f>F1734*33.72</f>
        <v>279943.44</v>
      </c>
      <c r="G1735" s="75">
        <f>G1734*33.72*2</f>
        <v>16927.439999999999</v>
      </c>
      <c r="H1735" s="75">
        <f>H1734*33.72</f>
        <v>172410.36</v>
      </c>
      <c r="I1735" s="75">
        <f>I1734*33.72</f>
        <v>40430.28</v>
      </c>
      <c r="J1735" s="75">
        <f>J1734*33.72</f>
        <v>259644</v>
      </c>
      <c r="K1735" s="75">
        <f>K1734*33.72</f>
        <v>66124.92</v>
      </c>
      <c r="L1735" s="75">
        <f>L1734*33.72</f>
        <v>13555.439999999999</v>
      </c>
      <c r="M1735" s="75">
        <f>M1734*33.72*2</f>
        <v>148772.63999999998</v>
      </c>
      <c r="N1735" s="11">
        <f>N1734*33.72</f>
        <v>26335.32</v>
      </c>
      <c r="O1735" s="12"/>
      <c r="Q1735" s="138"/>
    </row>
    <row r="1736" spans="1:28" ht="15.75" thickBot="1">
      <c r="A1736" s="412"/>
      <c r="B1736" s="30" t="s">
        <v>10</v>
      </c>
      <c r="C1736" s="71">
        <f>C1734*33.7/C1728</f>
        <v>1.3233624137430839</v>
      </c>
      <c r="D1736" s="71">
        <f t="shared" ref="D1736:N1736" si="1244">D1734*33.7/D1728</f>
        <v>0.83805961107408988</v>
      </c>
      <c r="E1736" s="78">
        <f t="shared" si="1244"/>
        <v>0.84826740170836623</v>
      </c>
      <c r="F1736" s="78">
        <f t="shared" si="1244"/>
        <v>1.8117669457280812</v>
      </c>
      <c r="G1736" s="78">
        <f t="shared" si="1244"/>
        <v>6.9715441458875579E-2</v>
      </c>
      <c r="H1736" s="78">
        <f t="shared" si="1244"/>
        <v>1.5654140611727427</v>
      </c>
      <c r="I1736" s="78">
        <f t="shared" si="1244"/>
        <v>0.33302316457845349</v>
      </c>
      <c r="J1736" s="78">
        <f t="shared" si="1244"/>
        <v>1.5177729581511352</v>
      </c>
      <c r="K1736" s="78">
        <f t="shared" si="1244"/>
        <v>1.2032865388467073</v>
      </c>
      <c r="L1736" s="78">
        <f t="shared" si="1244"/>
        <v>0.22331161327862936</v>
      </c>
      <c r="M1736" s="79">
        <f t="shared" si="1244"/>
        <v>0.42124355531732011</v>
      </c>
      <c r="N1736" s="26">
        <f t="shared" si="1244"/>
        <v>0.47922834616995325</v>
      </c>
      <c r="O1736" s="12"/>
      <c r="Q1736" s="138"/>
    </row>
    <row r="1737" spans="1:28" ht="15.75" customHeight="1" thickBot="1">
      <c r="A1737" s="424" t="s">
        <v>83</v>
      </c>
      <c r="B1737" s="425"/>
      <c r="C1737" s="76">
        <f>MIN(2*C1728,C1733)-C1735</f>
        <v>10641.440000000002</v>
      </c>
      <c r="D1737" s="76">
        <f t="shared" ref="D1737:N1737" si="1245">MIN(2*D1728,D1733)-D1735</f>
        <v>26827.64</v>
      </c>
      <c r="E1737" s="76">
        <f t="shared" si="1245"/>
        <v>25816.040000000008</v>
      </c>
      <c r="F1737" s="76">
        <f t="shared" si="1245"/>
        <v>28901.359999999986</v>
      </c>
      <c r="G1737" s="76">
        <f t="shared" si="1245"/>
        <v>225736.16</v>
      </c>
      <c r="H1737" s="76">
        <f t="shared" si="1245"/>
        <v>47733.440000000002</v>
      </c>
      <c r="I1737" s="76">
        <f t="shared" si="1245"/>
        <v>202233.32</v>
      </c>
      <c r="J1737" s="76">
        <f t="shared" si="1245"/>
        <v>68356</v>
      </c>
      <c r="K1737" s="76">
        <f t="shared" si="1245"/>
        <v>43717.08</v>
      </c>
      <c r="L1737" s="76">
        <f t="shared" si="1245"/>
        <v>107776.36</v>
      </c>
      <c r="M1737" s="76">
        <f t="shared" si="1245"/>
        <v>204192.76000000004</v>
      </c>
      <c r="N1737" s="22">
        <f t="shared" si="1245"/>
        <v>83506.679999999993</v>
      </c>
      <c r="O1737" s="12"/>
      <c r="Q1737" s="138"/>
    </row>
    <row r="1738" spans="1:28" ht="15.75" thickBot="1">
      <c r="A1738" s="368">
        <v>40980</v>
      </c>
      <c r="B1738" s="368"/>
      <c r="C1738" s="368"/>
      <c r="N1738" s="15"/>
    </row>
    <row r="1739" spans="1:28">
      <c r="A1739" s="407" t="s">
        <v>1</v>
      </c>
      <c r="B1739" s="420"/>
      <c r="C1739" s="68" t="s">
        <v>12</v>
      </c>
      <c r="D1739" s="68" t="s">
        <v>12</v>
      </c>
      <c r="E1739" s="68" t="s">
        <v>13</v>
      </c>
      <c r="F1739" s="68" t="s">
        <v>13</v>
      </c>
      <c r="G1739" s="68" t="s">
        <v>13</v>
      </c>
      <c r="H1739" s="68" t="s">
        <v>13</v>
      </c>
      <c r="I1739" s="68" t="s">
        <v>13</v>
      </c>
      <c r="J1739" s="68" t="s">
        <v>2</v>
      </c>
      <c r="K1739" s="68" t="s">
        <v>2</v>
      </c>
      <c r="L1739" s="68" t="s">
        <v>2</v>
      </c>
      <c r="M1739" s="68" t="s">
        <v>2</v>
      </c>
      <c r="N1739" s="4" t="s">
        <v>84</v>
      </c>
      <c r="X1739" s="142"/>
      <c r="Y1739" s="14"/>
      <c r="Z1739" s="14"/>
      <c r="AA1739" s="14"/>
      <c r="AB1739" s="104"/>
    </row>
    <row r="1740" spans="1:28" ht="15.75" thickBot="1">
      <c r="A1740" s="409" t="s">
        <v>0</v>
      </c>
      <c r="B1740" s="414"/>
      <c r="C1740" s="99" t="s">
        <v>102</v>
      </c>
      <c r="D1740" s="99" t="s">
        <v>103</v>
      </c>
      <c r="E1740" s="99" t="s">
        <v>104</v>
      </c>
      <c r="F1740" s="99" t="s">
        <v>105</v>
      </c>
      <c r="G1740" s="99" t="s">
        <v>100</v>
      </c>
      <c r="H1740" s="99" t="s">
        <v>107</v>
      </c>
      <c r="I1740" s="99" t="s">
        <v>106</v>
      </c>
      <c r="J1740" s="99" t="s">
        <v>108</v>
      </c>
      <c r="K1740" s="99" t="s">
        <v>110</v>
      </c>
      <c r="L1740" s="99" t="s">
        <v>101</v>
      </c>
      <c r="M1740" s="99" t="s">
        <v>109</v>
      </c>
      <c r="N1740" s="101" t="s">
        <v>111</v>
      </c>
      <c r="P1740" s="142"/>
      <c r="Q1740" s="138"/>
      <c r="R1740" s="138"/>
      <c r="S1740" s="138"/>
      <c r="T1740" s="138"/>
      <c r="U1740" s="138"/>
      <c r="V1740" s="138"/>
      <c r="W1740" s="138"/>
      <c r="X1740" s="138"/>
      <c r="Y1740" s="138"/>
      <c r="Z1740" s="138"/>
      <c r="AA1740" s="138"/>
      <c r="AB1740" s="138"/>
    </row>
    <row r="1741" spans="1:28" ht="15" customHeight="1">
      <c r="A1741" s="421" t="s">
        <v>9</v>
      </c>
      <c r="B1741" s="2" t="s">
        <v>4</v>
      </c>
      <c r="C1741" s="96">
        <v>115816.8</v>
      </c>
      <c r="D1741" s="96">
        <v>99042</v>
      </c>
      <c r="E1741" s="96">
        <v>99042</v>
      </c>
      <c r="F1741" s="96">
        <v>154422.39999999999</v>
      </c>
      <c r="G1741" s="96">
        <v>121331.8</v>
      </c>
      <c r="H1741" s="96">
        <v>110071.9</v>
      </c>
      <c r="I1741" s="96">
        <v>121331.8</v>
      </c>
      <c r="J1741" s="96">
        <v>170967.6</v>
      </c>
      <c r="K1741" s="96">
        <v>54921</v>
      </c>
      <c r="L1741" s="96">
        <v>60665.9</v>
      </c>
      <c r="M1741" s="96">
        <v>176482.7</v>
      </c>
      <c r="N1741" s="100">
        <v>54921</v>
      </c>
      <c r="O1741" s="12"/>
      <c r="X1741" s="138"/>
      <c r="Y1741" s="104"/>
      <c r="Z1741" s="104"/>
      <c r="AA1741" s="104"/>
      <c r="AB1741" s="104"/>
    </row>
    <row r="1742" spans="1:28" s="64" customFormat="1">
      <c r="A1742" s="422"/>
      <c r="B1742" s="63" t="s">
        <v>5</v>
      </c>
      <c r="C1742" s="97">
        <v>95412.1</v>
      </c>
      <c r="D1742" s="97">
        <v>65478.8</v>
      </c>
      <c r="E1742" s="97">
        <v>66856.5</v>
      </c>
      <c r="F1742" s="97">
        <v>132884.20000000001</v>
      </c>
      <c r="G1742" s="97">
        <v>1592.8</v>
      </c>
      <c r="H1742" s="97">
        <v>30223.8</v>
      </c>
      <c r="I1742" s="97">
        <v>19930.8</v>
      </c>
      <c r="J1742" s="97">
        <v>120488.6</v>
      </c>
      <c r="K1742" s="97">
        <v>29633.1</v>
      </c>
      <c r="L1742" s="97">
        <v>845.2</v>
      </c>
      <c r="M1742" s="97">
        <v>78645</v>
      </c>
      <c r="N1742" s="102">
        <v>22941.4</v>
      </c>
      <c r="O1742" s="12"/>
      <c r="P1742" s="14"/>
      <c r="Q1742" s="104"/>
      <c r="R1742" s="104"/>
      <c r="S1742" s="104"/>
      <c r="T1742" s="104"/>
      <c r="U1742" s="104"/>
      <c r="V1742" s="104"/>
      <c r="W1742" s="104"/>
      <c r="X1742" s="138"/>
      <c r="Y1742" s="104"/>
      <c r="Z1742" s="104"/>
      <c r="AA1742" s="104"/>
      <c r="AB1742" s="104"/>
    </row>
    <row r="1743" spans="1:28" ht="15.75" thickBot="1">
      <c r="A1743" s="423"/>
      <c r="B1743" s="3" t="s">
        <v>3</v>
      </c>
      <c r="C1743" s="71">
        <f>C1742/C1741</f>
        <v>0.82381916958506884</v>
      </c>
      <c r="D1743" s="72">
        <f t="shared" ref="D1743:N1743" si="1246">D1742/D1741</f>
        <v>0.66112154439530713</v>
      </c>
      <c r="E1743" s="72">
        <f t="shared" si="1246"/>
        <v>0.67503180468891988</v>
      </c>
      <c r="F1743" s="72">
        <f t="shared" si="1246"/>
        <v>0.86052412085293339</v>
      </c>
      <c r="G1743" s="72">
        <f>G1742/G1741</f>
        <v>1.312763842619989E-2</v>
      </c>
      <c r="H1743" s="72">
        <f t="shared" si="1246"/>
        <v>0.27458234117881131</v>
      </c>
      <c r="I1743" s="72">
        <f t="shared" si="1246"/>
        <v>0.16426691106535959</v>
      </c>
      <c r="J1743" s="72">
        <f t="shared" si="1246"/>
        <v>0.70474522658094285</v>
      </c>
      <c r="K1743" s="72">
        <f t="shared" si="1246"/>
        <v>0.53955863877205434</v>
      </c>
      <c r="L1743" s="72">
        <f t="shared" si="1246"/>
        <v>1.3932044196162919E-2</v>
      </c>
      <c r="M1743" s="72">
        <f t="shared" si="1246"/>
        <v>0.44562441531096247</v>
      </c>
      <c r="N1743" s="83">
        <f t="shared" si="1246"/>
        <v>0.41771635622075348</v>
      </c>
      <c r="O1743" s="12"/>
      <c r="X1743" s="138"/>
      <c r="Y1743" s="104"/>
      <c r="Z1743" s="104"/>
      <c r="AA1743" s="104"/>
      <c r="AB1743" s="104"/>
    </row>
    <row r="1744" spans="1:28" ht="15" customHeight="1">
      <c r="A1744" s="411" t="s">
        <v>6</v>
      </c>
      <c r="B1744" s="27" t="s">
        <v>7</v>
      </c>
      <c r="C1744" s="68">
        <v>5006</v>
      </c>
      <c r="D1744" s="68">
        <v>3200</v>
      </c>
      <c r="E1744" s="68">
        <v>3183</v>
      </c>
      <c r="F1744" s="68">
        <v>9526</v>
      </c>
      <c r="G1744" s="68">
        <v>5000</v>
      </c>
      <c r="H1744" s="68">
        <v>6989</v>
      </c>
      <c r="I1744" s="68">
        <f>(4000-2000)</f>
        <v>2000</v>
      </c>
      <c r="J1744" s="68">
        <v>9194</v>
      </c>
      <c r="K1744" s="68">
        <v>2971</v>
      </c>
      <c r="L1744" s="68">
        <v>2500</v>
      </c>
      <c r="M1744" s="68">
        <f>5451-2614</f>
        <v>2837</v>
      </c>
      <c r="N1744" s="80">
        <v>830</v>
      </c>
      <c r="O1744" s="12"/>
      <c r="X1744" s="138"/>
      <c r="Y1744" s="104"/>
      <c r="Z1744" s="104"/>
      <c r="AA1744" s="104"/>
      <c r="AB1744" s="104"/>
    </row>
    <row r="1745" spans="1:28">
      <c r="A1745" s="412"/>
      <c r="B1745" s="28" t="s">
        <v>11</v>
      </c>
      <c r="C1745" s="73">
        <f t="shared" ref="C1745:I1745" si="1247">C1744*33.72</f>
        <v>168802.32</v>
      </c>
      <c r="D1745" s="73">
        <f t="shared" si="1247"/>
        <v>107904</v>
      </c>
      <c r="E1745" s="73">
        <f t="shared" si="1247"/>
        <v>107330.76</v>
      </c>
      <c r="F1745" s="73">
        <f t="shared" si="1247"/>
        <v>321216.71999999997</v>
      </c>
      <c r="G1745" s="73">
        <f t="shared" si="1247"/>
        <v>168600</v>
      </c>
      <c r="H1745" s="73">
        <f t="shared" si="1247"/>
        <v>235669.08</v>
      </c>
      <c r="I1745" s="73">
        <f t="shared" si="1247"/>
        <v>67440</v>
      </c>
      <c r="J1745" s="73">
        <f>J1744*33.72</f>
        <v>310021.68</v>
      </c>
      <c r="K1745" s="73">
        <f t="shared" ref="K1745:N1745" si="1248">K1744*33.72</f>
        <v>100182.12</v>
      </c>
      <c r="L1745" s="73">
        <f t="shared" si="1248"/>
        <v>84300</v>
      </c>
      <c r="M1745" s="73">
        <f t="shared" si="1248"/>
        <v>95663.64</v>
      </c>
      <c r="N1745" s="73">
        <f t="shared" si="1248"/>
        <v>27987.599999999999</v>
      </c>
      <c r="O1745" s="12"/>
      <c r="X1745" s="138"/>
      <c r="Y1745" s="104"/>
      <c r="Z1745" s="104"/>
      <c r="AA1745" s="104"/>
      <c r="AB1745" s="104"/>
    </row>
    <row r="1746" spans="1:28">
      <c r="A1746" s="412"/>
      <c r="B1746" s="28" t="s">
        <v>79</v>
      </c>
      <c r="C1746" s="73">
        <v>164000</v>
      </c>
      <c r="D1746" s="73">
        <v>109880</v>
      </c>
      <c r="E1746" s="73">
        <v>109880</v>
      </c>
      <c r="F1746" s="73">
        <v>328000</v>
      </c>
      <c r="G1746" s="73">
        <f>G1741*2</f>
        <v>242663.6</v>
      </c>
      <c r="H1746" s="73">
        <f>H1741*2</f>
        <v>220143.8</v>
      </c>
      <c r="I1746" s="73">
        <f>I1741*2</f>
        <v>242663.6</v>
      </c>
      <c r="J1746" s="73">
        <v>328000</v>
      </c>
      <c r="K1746" s="73">
        <f>K1741*2</f>
        <v>109842</v>
      </c>
      <c r="L1746" s="73">
        <v>328000</v>
      </c>
      <c r="M1746" s="73">
        <f>2*M1741</f>
        <v>352965.4</v>
      </c>
      <c r="N1746" s="84">
        <f>2*N1741</f>
        <v>109842</v>
      </c>
      <c r="O1746" s="12"/>
    </row>
    <row r="1747" spans="1:28" s="64" customFormat="1">
      <c r="A1747" s="412"/>
      <c r="B1747" s="66" t="s">
        <v>8</v>
      </c>
      <c r="C1747" s="98">
        <f>SUM(C1744-458)</f>
        <v>4548</v>
      </c>
      <c r="D1747" s="98">
        <f>SUM(D1744-737)</f>
        <v>2463</v>
      </c>
      <c r="E1747" s="98">
        <f>SUM(E1744-690)</f>
        <v>2493</v>
      </c>
      <c r="F1747" s="98">
        <f>SUM(F1744-1224)</f>
        <v>8302</v>
      </c>
      <c r="G1747" s="98">
        <f>SUM(G1744-4800)</f>
        <v>200</v>
      </c>
      <c r="H1747" s="98">
        <f>SUM(H1744-1940)</f>
        <v>5049</v>
      </c>
      <c r="I1747" s="98">
        <f>SUM(I1744-(2923-2000))</f>
        <v>1077</v>
      </c>
      <c r="J1747" s="98">
        <f>SUM(J1744-1494)</f>
        <v>7700</v>
      </c>
      <c r="K1747" s="98">
        <f>SUM(K1744-1010)</f>
        <v>1961</v>
      </c>
      <c r="L1747" s="98">
        <f>SUM(L1744-2172)</f>
        <v>328</v>
      </c>
      <c r="M1747" s="98">
        <f>SUM(M1744-(3367-2614))</f>
        <v>2084</v>
      </c>
      <c r="N1747" s="103">
        <f>SUM(N1744-49)</f>
        <v>781</v>
      </c>
      <c r="O1747" s="12"/>
      <c r="P1747" s="14"/>
      <c r="Q1747" s="138"/>
      <c r="R1747" s="104"/>
      <c r="S1747" s="104"/>
      <c r="T1747" s="104"/>
      <c r="U1747" s="104"/>
      <c r="V1747" s="104"/>
      <c r="W1747" s="104"/>
    </row>
    <row r="1748" spans="1:28">
      <c r="A1748" s="412"/>
      <c r="B1748" s="29" t="s">
        <v>77</v>
      </c>
      <c r="C1748" s="75">
        <f>C1747*33.72</f>
        <v>153358.56</v>
      </c>
      <c r="D1748" s="75">
        <f>D1747*33.72</f>
        <v>83052.36</v>
      </c>
      <c r="E1748" s="75">
        <f>E1747*33.72</f>
        <v>84063.959999999992</v>
      </c>
      <c r="F1748" s="75">
        <f>F1747*33.72</f>
        <v>279943.44</v>
      </c>
      <c r="G1748" s="75">
        <f>G1747*33.72*2</f>
        <v>13488</v>
      </c>
      <c r="H1748" s="75">
        <f>H1747*33.72</f>
        <v>170252.28</v>
      </c>
      <c r="I1748" s="75">
        <f>I1747*33.72</f>
        <v>36316.44</v>
      </c>
      <c r="J1748" s="75">
        <f>J1747*33.72</f>
        <v>259644</v>
      </c>
      <c r="K1748" s="75">
        <f>K1747*33.72</f>
        <v>66124.92</v>
      </c>
      <c r="L1748" s="75">
        <f>L1747*33.72</f>
        <v>11060.16</v>
      </c>
      <c r="M1748" s="75">
        <f>M1747*33.72*2</f>
        <v>140544.95999999999</v>
      </c>
      <c r="N1748" s="11">
        <f>N1747*33.72</f>
        <v>26335.32</v>
      </c>
      <c r="O1748" s="12"/>
      <c r="Q1748" s="138"/>
    </row>
    <row r="1749" spans="1:28" ht="15.75" thickBot="1">
      <c r="A1749" s="412"/>
      <c r="B1749" s="30" t="s">
        <v>10</v>
      </c>
      <c r="C1749" s="71">
        <f>C1747*33.7/C1741</f>
        <v>1.3233624137430839</v>
      </c>
      <c r="D1749" s="71">
        <f t="shared" ref="D1749:N1749" si="1249">D1747*33.7/D1741</f>
        <v>0.83805961107408988</v>
      </c>
      <c r="E1749" s="78">
        <f t="shared" si="1249"/>
        <v>0.84826740170836623</v>
      </c>
      <c r="F1749" s="78">
        <f t="shared" si="1249"/>
        <v>1.8117669457280812</v>
      </c>
      <c r="G1749" s="78">
        <f t="shared" si="1249"/>
        <v>5.5550152556872977E-2</v>
      </c>
      <c r="H1749" s="78">
        <f t="shared" si="1249"/>
        <v>1.5458195961003673</v>
      </c>
      <c r="I1749" s="78">
        <f t="shared" si="1249"/>
        <v>0.29913757151876097</v>
      </c>
      <c r="J1749" s="78">
        <f t="shared" si="1249"/>
        <v>1.5177729581511352</v>
      </c>
      <c r="K1749" s="78">
        <f t="shared" si="1249"/>
        <v>1.2032865388467073</v>
      </c>
      <c r="L1749" s="78">
        <f t="shared" si="1249"/>
        <v>0.18220450038654334</v>
      </c>
      <c r="M1749" s="79">
        <f t="shared" si="1249"/>
        <v>0.39794722088907297</v>
      </c>
      <c r="N1749" s="26">
        <f t="shared" si="1249"/>
        <v>0.47922834616995325</v>
      </c>
      <c r="O1749" s="12"/>
      <c r="Q1749" s="138"/>
    </row>
    <row r="1750" spans="1:28" ht="15.75" customHeight="1" thickBot="1">
      <c r="A1750" s="424" t="s">
        <v>83</v>
      </c>
      <c r="B1750" s="425"/>
      <c r="C1750" s="76">
        <f>MIN(2*C1741,C1746)-C1748</f>
        <v>10641.440000000002</v>
      </c>
      <c r="D1750" s="76">
        <f t="shared" ref="D1750:N1750" si="1250">MIN(2*D1741,D1746)-D1748</f>
        <v>26827.64</v>
      </c>
      <c r="E1750" s="76">
        <f t="shared" si="1250"/>
        <v>25816.040000000008</v>
      </c>
      <c r="F1750" s="76">
        <f t="shared" si="1250"/>
        <v>28901.359999999986</v>
      </c>
      <c r="G1750" s="76">
        <f t="shared" si="1250"/>
        <v>229175.6</v>
      </c>
      <c r="H1750" s="76">
        <f t="shared" si="1250"/>
        <v>49891.51999999999</v>
      </c>
      <c r="I1750" s="76">
        <f t="shared" si="1250"/>
        <v>206347.16</v>
      </c>
      <c r="J1750" s="76">
        <f t="shared" si="1250"/>
        <v>68356</v>
      </c>
      <c r="K1750" s="76">
        <f t="shared" si="1250"/>
        <v>43717.08</v>
      </c>
      <c r="L1750" s="76">
        <f t="shared" si="1250"/>
        <v>110271.64</v>
      </c>
      <c r="M1750" s="76">
        <f t="shared" si="1250"/>
        <v>212420.44000000003</v>
      </c>
      <c r="N1750" s="22">
        <f t="shared" si="1250"/>
        <v>83506.679999999993</v>
      </c>
      <c r="O1750" s="12"/>
      <c r="Q1750" s="138"/>
    </row>
    <row r="1751" spans="1:28" ht="15.75" thickBot="1">
      <c r="A1751" s="368">
        <v>40977</v>
      </c>
      <c r="B1751" s="368"/>
      <c r="C1751" s="368"/>
      <c r="N1751" s="15"/>
    </row>
    <row r="1752" spans="1:28">
      <c r="A1752" s="407" t="s">
        <v>1</v>
      </c>
      <c r="B1752" s="420"/>
      <c r="C1752" s="68" t="s">
        <v>12</v>
      </c>
      <c r="D1752" s="68" t="s">
        <v>12</v>
      </c>
      <c r="E1752" s="68" t="s">
        <v>13</v>
      </c>
      <c r="F1752" s="68" t="s">
        <v>13</v>
      </c>
      <c r="G1752" s="68" t="s">
        <v>13</v>
      </c>
      <c r="H1752" s="68" t="s">
        <v>13</v>
      </c>
      <c r="I1752" s="68" t="s">
        <v>13</v>
      </c>
      <c r="J1752" s="68" t="s">
        <v>2</v>
      </c>
      <c r="K1752" s="68" t="s">
        <v>2</v>
      </c>
      <c r="L1752" s="68" t="s">
        <v>2</v>
      </c>
      <c r="M1752" s="68" t="s">
        <v>2</v>
      </c>
      <c r="N1752" s="4" t="s">
        <v>84</v>
      </c>
      <c r="X1752" s="142"/>
      <c r="Y1752" s="14"/>
      <c r="Z1752" s="14"/>
      <c r="AA1752" s="14"/>
      <c r="AB1752" s="104"/>
    </row>
    <row r="1753" spans="1:28" ht="15.75" thickBot="1">
      <c r="A1753" s="409" t="s">
        <v>0</v>
      </c>
      <c r="B1753" s="414"/>
      <c r="C1753" s="99" t="s">
        <v>102</v>
      </c>
      <c r="D1753" s="99" t="s">
        <v>103</v>
      </c>
      <c r="E1753" s="99" t="s">
        <v>104</v>
      </c>
      <c r="F1753" s="99" t="s">
        <v>105</v>
      </c>
      <c r="G1753" s="99" t="s">
        <v>100</v>
      </c>
      <c r="H1753" s="99" t="s">
        <v>107</v>
      </c>
      <c r="I1753" s="99" t="s">
        <v>106</v>
      </c>
      <c r="J1753" s="99" t="s">
        <v>108</v>
      </c>
      <c r="K1753" s="99" t="s">
        <v>110</v>
      </c>
      <c r="L1753" s="99" t="s">
        <v>101</v>
      </c>
      <c r="M1753" s="99" t="s">
        <v>109</v>
      </c>
      <c r="N1753" s="101" t="s">
        <v>111</v>
      </c>
      <c r="P1753" s="142"/>
      <c r="Q1753" s="138"/>
      <c r="R1753" s="138"/>
      <c r="S1753" s="138"/>
      <c r="T1753" s="138"/>
      <c r="U1753" s="138"/>
      <c r="V1753" s="138"/>
      <c r="W1753" s="138"/>
      <c r="X1753" s="138"/>
      <c r="Y1753" s="138"/>
      <c r="Z1753" s="138"/>
      <c r="AA1753" s="138"/>
      <c r="AB1753" s="138"/>
    </row>
    <row r="1754" spans="1:28" ht="15" customHeight="1">
      <c r="A1754" s="421" t="s">
        <v>9</v>
      </c>
      <c r="B1754" s="2" t="s">
        <v>4</v>
      </c>
      <c r="C1754" s="96">
        <v>115816.8</v>
      </c>
      <c r="D1754" s="96">
        <v>99042</v>
      </c>
      <c r="E1754" s="96">
        <v>99042</v>
      </c>
      <c r="F1754" s="96">
        <v>154422.39999999999</v>
      </c>
      <c r="G1754" s="96">
        <v>121331.8</v>
      </c>
      <c r="H1754" s="96">
        <v>110071.9</v>
      </c>
      <c r="I1754" s="96">
        <v>121331.8</v>
      </c>
      <c r="J1754" s="96">
        <v>170967.6</v>
      </c>
      <c r="K1754" s="96">
        <v>54921</v>
      </c>
      <c r="L1754" s="96">
        <v>60665.9</v>
      </c>
      <c r="M1754" s="96">
        <v>176482.7</v>
      </c>
      <c r="N1754" s="100">
        <v>54921</v>
      </c>
      <c r="O1754" s="12"/>
      <c r="X1754" s="138"/>
      <c r="Y1754" s="104"/>
      <c r="Z1754" s="104"/>
      <c r="AA1754" s="104"/>
      <c r="AB1754" s="104"/>
    </row>
    <row r="1755" spans="1:28" s="64" customFormat="1">
      <c r="A1755" s="422"/>
      <c r="B1755" s="63" t="s">
        <v>5</v>
      </c>
      <c r="C1755" s="97">
        <v>94970.2</v>
      </c>
      <c r="D1755" s="97">
        <v>65398.9</v>
      </c>
      <c r="E1755" s="97">
        <v>66776.600000000006</v>
      </c>
      <c r="F1755" s="97">
        <v>132700.4</v>
      </c>
      <c r="G1755" s="97">
        <v>1565.8</v>
      </c>
      <c r="H1755" s="97">
        <v>29984.3</v>
      </c>
      <c r="I1755" s="97">
        <v>19784.599999999999</v>
      </c>
      <c r="J1755" s="97">
        <v>120141.4</v>
      </c>
      <c r="K1755" s="97">
        <v>29599.3</v>
      </c>
      <c r="L1755" s="97">
        <v>828.9</v>
      </c>
      <c r="M1755" s="97">
        <v>78490</v>
      </c>
      <c r="N1755" s="102">
        <v>22940.9</v>
      </c>
      <c r="O1755" s="12"/>
      <c r="P1755" s="14"/>
      <c r="Q1755" s="104"/>
      <c r="R1755" s="104"/>
      <c r="S1755" s="104"/>
      <c r="T1755" s="104"/>
      <c r="U1755" s="104"/>
      <c r="V1755" s="104"/>
      <c r="W1755" s="104"/>
      <c r="X1755" s="138"/>
      <c r="Y1755" s="104"/>
      <c r="Z1755" s="104"/>
      <c r="AA1755" s="104"/>
      <c r="AB1755" s="104"/>
    </row>
    <row r="1756" spans="1:28" ht="15.75" thickBot="1">
      <c r="A1756" s="423"/>
      <c r="B1756" s="3" t="s">
        <v>3</v>
      </c>
      <c r="C1756" s="71">
        <f>C1755/C1754</f>
        <v>0.82000366095419663</v>
      </c>
      <c r="D1756" s="72">
        <f t="shared" ref="D1756:N1756" si="1251">D1755/D1754</f>
        <v>0.66031481593667329</v>
      </c>
      <c r="E1756" s="72">
        <f t="shared" si="1251"/>
        <v>0.67422507623028616</v>
      </c>
      <c r="F1756" s="72">
        <f t="shared" si="1251"/>
        <v>0.85933387902273239</v>
      </c>
      <c r="G1756" s="72">
        <f t="shared" si="1251"/>
        <v>1.2905108141476513E-2</v>
      </c>
      <c r="H1756" s="72">
        <f t="shared" si="1251"/>
        <v>0.27240649066655526</v>
      </c>
      <c r="I1756" s="72">
        <f t="shared" si="1251"/>
        <v>0.16306195078289448</v>
      </c>
      <c r="J1756" s="72">
        <f t="shared" si="1251"/>
        <v>0.70271443244217024</v>
      </c>
      <c r="K1756" s="72">
        <f t="shared" si="1251"/>
        <v>0.53894320933704776</v>
      </c>
      <c r="L1756" s="72">
        <f t="shared" si="1251"/>
        <v>1.3663359482015431E-2</v>
      </c>
      <c r="M1756" s="72">
        <f t="shared" si="1251"/>
        <v>0.44474614225643644</v>
      </c>
      <c r="N1756" s="83">
        <f t="shared" si="1251"/>
        <v>0.41770725223502853</v>
      </c>
      <c r="O1756" s="12"/>
      <c r="X1756" s="138"/>
      <c r="Y1756" s="104"/>
      <c r="Z1756" s="104"/>
      <c r="AA1756" s="104"/>
      <c r="AB1756" s="104"/>
    </row>
    <row r="1757" spans="1:28" ht="15" customHeight="1">
      <c r="A1757" s="411" t="s">
        <v>6</v>
      </c>
      <c r="B1757" s="27" t="s">
        <v>7</v>
      </c>
      <c r="C1757" s="68">
        <v>5006</v>
      </c>
      <c r="D1757" s="68">
        <v>3200</v>
      </c>
      <c r="E1757" s="68">
        <v>3200</v>
      </c>
      <c r="F1757" s="68">
        <v>9503</v>
      </c>
      <c r="G1757" s="68">
        <v>5000</v>
      </c>
      <c r="H1757" s="68">
        <v>5980</v>
      </c>
      <c r="I1757" s="68">
        <v>4000</v>
      </c>
      <c r="J1757" s="68">
        <v>9503</v>
      </c>
      <c r="K1757" s="68">
        <v>3000</v>
      </c>
      <c r="L1757" s="68">
        <v>2500</v>
      </c>
      <c r="M1757" s="68">
        <f>4643-2210</f>
        <v>2433</v>
      </c>
      <c r="N1757" s="80">
        <v>396</v>
      </c>
      <c r="O1757" s="12"/>
      <c r="X1757" s="138"/>
      <c r="Y1757" s="104"/>
      <c r="Z1757" s="104"/>
      <c r="AA1757" s="104"/>
      <c r="AB1757" s="104"/>
    </row>
    <row r="1758" spans="1:28">
      <c r="A1758" s="412"/>
      <c r="B1758" s="28" t="s">
        <v>11</v>
      </c>
      <c r="C1758" s="73">
        <f t="shared" ref="C1758:G1758" si="1252">C1757*33.79</f>
        <v>169152.74</v>
      </c>
      <c r="D1758" s="73">
        <f t="shared" si="1252"/>
        <v>108128</v>
      </c>
      <c r="E1758" s="73">
        <f t="shared" si="1252"/>
        <v>108128</v>
      </c>
      <c r="F1758" s="73">
        <f t="shared" si="1252"/>
        <v>321106.37</v>
      </c>
      <c r="G1758" s="73">
        <f t="shared" si="1252"/>
        <v>168950</v>
      </c>
      <c r="H1758" s="73">
        <f>H1757*33.79</f>
        <v>202064.19999999998</v>
      </c>
      <c r="I1758" s="73">
        <f t="shared" ref="I1758:N1758" si="1253">I1757*33.79</f>
        <v>135160</v>
      </c>
      <c r="J1758" s="73">
        <f t="shared" si="1253"/>
        <v>321106.37</v>
      </c>
      <c r="K1758" s="73">
        <f t="shared" si="1253"/>
        <v>101370</v>
      </c>
      <c r="L1758" s="73">
        <f t="shared" si="1253"/>
        <v>84475</v>
      </c>
      <c r="M1758" s="73">
        <f t="shared" si="1253"/>
        <v>82211.069999999992</v>
      </c>
      <c r="N1758" s="84">
        <f t="shared" si="1253"/>
        <v>13380.84</v>
      </c>
      <c r="O1758" s="12"/>
      <c r="X1758" s="138"/>
      <c r="Y1758" s="104"/>
      <c r="Z1758" s="104"/>
      <c r="AA1758" s="104"/>
      <c r="AB1758" s="104"/>
    </row>
    <row r="1759" spans="1:28">
      <c r="A1759" s="412"/>
      <c r="B1759" s="28" t="s">
        <v>79</v>
      </c>
      <c r="C1759" s="73">
        <v>164000</v>
      </c>
      <c r="D1759" s="73">
        <v>109880</v>
      </c>
      <c r="E1759" s="73">
        <v>109880</v>
      </c>
      <c r="F1759" s="73">
        <v>328000</v>
      </c>
      <c r="G1759" s="73">
        <f>G1754*2</f>
        <v>242663.6</v>
      </c>
      <c r="H1759" s="73">
        <f>H1754*2</f>
        <v>220143.8</v>
      </c>
      <c r="I1759" s="73">
        <f>I1754*2</f>
        <v>242663.6</v>
      </c>
      <c r="J1759" s="73">
        <v>328000</v>
      </c>
      <c r="K1759" s="73">
        <f>K1754*2</f>
        <v>109842</v>
      </c>
      <c r="L1759" s="73">
        <v>328000</v>
      </c>
      <c r="M1759" s="73">
        <f>2*M1754</f>
        <v>352965.4</v>
      </c>
      <c r="N1759" s="84">
        <f>2*N1754</f>
        <v>109842</v>
      </c>
      <c r="O1759" s="12"/>
    </row>
    <row r="1760" spans="1:28" s="64" customFormat="1">
      <c r="A1760" s="412"/>
      <c r="B1760" s="66" t="s">
        <v>8</v>
      </c>
      <c r="C1760" s="98">
        <f>SUM(C1757-458)</f>
        <v>4548</v>
      </c>
      <c r="D1760" s="98">
        <f>SUM(D1757-736)</f>
        <v>2464</v>
      </c>
      <c r="E1760" s="98">
        <f>SUM(E1757-689)</f>
        <v>2511</v>
      </c>
      <c r="F1760" s="98">
        <f>SUM(F1757-1224)</f>
        <v>8279</v>
      </c>
      <c r="G1760" s="98">
        <f>SUM(G1757-4800)</f>
        <v>200</v>
      </c>
      <c r="H1760" s="98">
        <f>SUM(H1757-1940)</f>
        <v>4040</v>
      </c>
      <c r="I1760" s="98">
        <f>SUM(I1757-2923)</f>
        <v>1077</v>
      </c>
      <c r="J1760" s="98">
        <f>SUM(J1757-1494)</f>
        <v>8009</v>
      </c>
      <c r="K1760" s="98">
        <f>SUM(K1757-1010)</f>
        <v>1990</v>
      </c>
      <c r="L1760" s="98">
        <f>SUM(L1757-2206)</f>
        <v>294</v>
      </c>
      <c r="M1760" s="98">
        <f>SUM(M1757-(3367-2210))</f>
        <v>1276</v>
      </c>
      <c r="N1760" s="103">
        <f>SUM(N1757-49)</f>
        <v>347</v>
      </c>
      <c r="O1760" s="12"/>
      <c r="P1760" s="14"/>
      <c r="Q1760" s="138"/>
      <c r="R1760" s="104"/>
      <c r="S1760" s="104"/>
      <c r="T1760" s="104"/>
      <c r="U1760" s="104"/>
      <c r="V1760" s="104"/>
      <c r="W1760" s="104"/>
    </row>
    <row r="1761" spans="1:28">
      <c r="A1761" s="412"/>
      <c r="B1761" s="29" t="s">
        <v>77</v>
      </c>
      <c r="C1761" s="75">
        <f>C1760*33.72</f>
        <v>153358.56</v>
      </c>
      <c r="D1761" s="75">
        <f>D1760*33.72</f>
        <v>83086.080000000002</v>
      </c>
      <c r="E1761" s="75">
        <f>E1760*33.72</f>
        <v>84670.92</v>
      </c>
      <c r="F1761" s="75">
        <f>F1760*33.72</f>
        <v>279167.88</v>
      </c>
      <c r="G1761" s="75">
        <f>G1760*33.72*2</f>
        <v>13488</v>
      </c>
      <c r="H1761" s="75">
        <f>H1760*33.72</f>
        <v>136228.79999999999</v>
      </c>
      <c r="I1761" s="75">
        <f>I1760*33.72</f>
        <v>36316.44</v>
      </c>
      <c r="J1761" s="75">
        <f>J1760*33.72</f>
        <v>270063.48</v>
      </c>
      <c r="K1761" s="75">
        <f>K1760*33.72</f>
        <v>67102.8</v>
      </c>
      <c r="L1761" s="75">
        <f>L1760*33.72</f>
        <v>9913.68</v>
      </c>
      <c r="M1761" s="75">
        <f>M1760*33.72*2</f>
        <v>86053.440000000002</v>
      </c>
      <c r="N1761" s="11">
        <f>N1760*33.72</f>
        <v>11700.84</v>
      </c>
      <c r="O1761" s="12"/>
      <c r="Q1761" s="138"/>
    </row>
    <row r="1762" spans="1:28" ht="15.75" thickBot="1">
      <c r="A1762" s="412"/>
      <c r="B1762" s="30" t="s">
        <v>10</v>
      </c>
      <c r="C1762" s="71">
        <f>C1760*33.7/C1754</f>
        <v>1.3233624137430839</v>
      </c>
      <c r="D1762" s="71">
        <f t="shared" ref="D1762:N1762" si="1254">D1760*33.7/D1754</f>
        <v>0.83839987076189904</v>
      </c>
      <c r="E1762" s="78">
        <f t="shared" si="1254"/>
        <v>0.85439207608893208</v>
      </c>
      <c r="F1762" s="78">
        <f t="shared" si="1254"/>
        <v>1.8067475962036599</v>
      </c>
      <c r="G1762" s="78">
        <f t="shared" si="1254"/>
        <v>5.5550152556872977E-2</v>
      </c>
      <c r="H1762" s="78">
        <f t="shared" si="1254"/>
        <v>1.2369006076936984</v>
      </c>
      <c r="I1762" s="78">
        <f t="shared" si="1254"/>
        <v>0.29913757151876097</v>
      </c>
      <c r="J1762" s="78">
        <f t="shared" si="1254"/>
        <v>1.5786809898483691</v>
      </c>
      <c r="K1762" s="78">
        <f t="shared" si="1254"/>
        <v>1.2210811893446951</v>
      </c>
      <c r="L1762" s="78">
        <f t="shared" si="1254"/>
        <v>0.16331744851720656</v>
      </c>
      <c r="M1762" s="79">
        <f t="shared" si="1254"/>
        <v>0.24365674369215792</v>
      </c>
      <c r="N1762" s="26">
        <f t="shared" si="1254"/>
        <v>0.21292219733799461</v>
      </c>
      <c r="O1762" s="12"/>
      <c r="Q1762" s="138"/>
    </row>
    <row r="1763" spans="1:28" ht="15.75" customHeight="1" thickBot="1">
      <c r="A1763" s="424" t="s">
        <v>83</v>
      </c>
      <c r="B1763" s="425"/>
      <c r="C1763" s="76">
        <f>MIN(2*C1754,C1759)-C1761</f>
        <v>10641.440000000002</v>
      </c>
      <c r="D1763" s="76">
        <f t="shared" ref="D1763:N1763" si="1255">MIN(2*D1754,D1759)-D1761</f>
        <v>26793.919999999998</v>
      </c>
      <c r="E1763" s="76">
        <f t="shared" si="1255"/>
        <v>25209.08</v>
      </c>
      <c r="F1763" s="76">
        <f t="shared" si="1255"/>
        <v>29676.919999999984</v>
      </c>
      <c r="G1763" s="76">
        <f t="shared" si="1255"/>
        <v>229175.6</v>
      </c>
      <c r="H1763" s="76">
        <f t="shared" si="1255"/>
        <v>83915</v>
      </c>
      <c r="I1763" s="76">
        <f t="shared" si="1255"/>
        <v>206347.16</v>
      </c>
      <c r="J1763" s="76">
        <f t="shared" si="1255"/>
        <v>57936.520000000019</v>
      </c>
      <c r="K1763" s="76">
        <f t="shared" si="1255"/>
        <v>42739.199999999997</v>
      </c>
      <c r="L1763" s="76">
        <f t="shared" si="1255"/>
        <v>111418.12</v>
      </c>
      <c r="M1763" s="76">
        <f t="shared" si="1255"/>
        <v>266911.96000000002</v>
      </c>
      <c r="N1763" s="22">
        <f t="shared" si="1255"/>
        <v>98141.16</v>
      </c>
      <c r="O1763" s="12"/>
      <c r="Q1763" s="138"/>
    </row>
    <row r="1764" spans="1:28" ht="15.75" thickBot="1">
      <c r="A1764" s="368">
        <v>40976</v>
      </c>
      <c r="B1764" s="368"/>
      <c r="C1764" s="368"/>
      <c r="N1764" s="15"/>
    </row>
    <row r="1765" spans="1:28">
      <c r="A1765" s="407" t="s">
        <v>1</v>
      </c>
      <c r="B1765" s="420"/>
      <c r="C1765" s="68" t="s">
        <v>12</v>
      </c>
      <c r="D1765" s="68" t="s">
        <v>12</v>
      </c>
      <c r="E1765" s="68" t="s">
        <v>13</v>
      </c>
      <c r="F1765" s="68" t="s">
        <v>13</v>
      </c>
      <c r="G1765" s="68" t="s">
        <v>13</v>
      </c>
      <c r="H1765" s="68" t="s">
        <v>13</v>
      </c>
      <c r="I1765" s="68" t="s">
        <v>13</v>
      </c>
      <c r="J1765" s="68" t="s">
        <v>2</v>
      </c>
      <c r="K1765" s="68" t="s">
        <v>2</v>
      </c>
      <c r="L1765" s="68" t="s">
        <v>2</v>
      </c>
      <c r="M1765" s="68" t="s">
        <v>2</v>
      </c>
      <c r="N1765" s="4" t="s">
        <v>84</v>
      </c>
      <c r="X1765" s="142"/>
      <c r="Y1765" s="14"/>
      <c r="Z1765" s="14"/>
      <c r="AA1765" s="14"/>
      <c r="AB1765" s="104"/>
    </row>
    <row r="1766" spans="1:28" ht="15.75" thickBot="1">
      <c r="A1766" s="409" t="s">
        <v>0</v>
      </c>
      <c r="B1766" s="414"/>
      <c r="C1766" s="99" t="s">
        <v>102</v>
      </c>
      <c r="D1766" s="99" t="s">
        <v>103</v>
      </c>
      <c r="E1766" s="99" t="s">
        <v>104</v>
      </c>
      <c r="F1766" s="99" t="s">
        <v>105</v>
      </c>
      <c r="G1766" s="99" t="s">
        <v>100</v>
      </c>
      <c r="H1766" s="99" t="s">
        <v>107</v>
      </c>
      <c r="I1766" s="99" t="s">
        <v>106</v>
      </c>
      <c r="J1766" s="99" t="s">
        <v>108</v>
      </c>
      <c r="K1766" s="99" t="s">
        <v>110</v>
      </c>
      <c r="L1766" s="99" t="s">
        <v>101</v>
      </c>
      <c r="M1766" s="99" t="s">
        <v>109</v>
      </c>
      <c r="N1766" s="101" t="s">
        <v>111</v>
      </c>
      <c r="P1766" s="142"/>
      <c r="Q1766" s="138"/>
      <c r="R1766" s="138"/>
      <c r="S1766" s="138"/>
      <c r="T1766" s="138"/>
      <c r="U1766" s="138"/>
      <c r="V1766" s="138"/>
      <c r="W1766" s="138"/>
      <c r="X1766" s="138"/>
      <c r="Y1766" s="138"/>
      <c r="Z1766" s="138"/>
      <c r="AA1766" s="138"/>
      <c r="AB1766" s="138"/>
    </row>
    <row r="1767" spans="1:28" ht="15" customHeight="1">
      <c r="A1767" s="421" t="s">
        <v>9</v>
      </c>
      <c r="B1767" s="2" t="s">
        <v>4</v>
      </c>
      <c r="C1767" s="96">
        <v>115816.8</v>
      </c>
      <c r="D1767" s="96">
        <v>99042</v>
      </c>
      <c r="E1767" s="96">
        <v>99042</v>
      </c>
      <c r="F1767" s="96">
        <v>154422.39999999999</v>
      </c>
      <c r="G1767" s="96">
        <v>121331.8</v>
      </c>
      <c r="H1767" s="96">
        <v>110071.9</v>
      </c>
      <c r="I1767" s="96">
        <v>121331.8</v>
      </c>
      <c r="J1767" s="96">
        <v>170967.6</v>
      </c>
      <c r="K1767" s="96">
        <v>54921</v>
      </c>
      <c r="L1767" s="96">
        <v>60665.9</v>
      </c>
      <c r="M1767" s="96">
        <v>176482.7</v>
      </c>
      <c r="N1767" s="100">
        <v>54921</v>
      </c>
      <c r="O1767" s="12"/>
      <c r="X1767" s="138"/>
      <c r="Y1767" s="104"/>
      <c r="Z1767" s="104"/>
      <c r="AA1767" s="104"/>
      <c r="AB1767" s="104"/>
    </row>
    <row r="1768" spans="1:28" s="64" customFormat="1">
      <c r="A1768" s="422"/>
      <c r="B1768" s="63" t="s">
        <v>5</v>
      </c>
      <c r="C1768" s="97">
        <v>94709.7</v>
      </c>
      <c r="D1768" s="97">
        <v>65411.4</v>
      </c>
      <c r="E1768" s="97">
        <v>66789</v>
      </c>
      <c r="F1768" s="97">
        <v>132576.20000000001</v>
      </c>
      <c r="G1768" s="97">
        <v>1565.8</v>
      </c>
      <c r="H1768" s="97">
        <v>29687.200000000001</v>
      </c>
      <c r="I1768" s="97">
        <v>19782.5</v>
      </c>
      <c r="J1768" s="97">
        <v>119385.3</v>
      </c>
      <c r="K1768" s="97">
        <v>29586.7</v>
      </c>
      <c r="L1768" s="97">
        <v>826.3</v>
      </c>
      <c r="M1768" s="97">
        <v>78485.8</v>
      </c>
      <c r="N1768" s="102">
        <v>22940.9</v>
      </c>
      <c r="O1768" s="12"/>
      <c r="P1768" s="14"/>
      <c r="Q1768" s="104"/>
      <c r="R1768" s="104"/>
      <c r="S1768" s="104"/>
      <c r="T1768" s="104"/>
      <c r="U1768" s="104"/>
      <c r="V1768" s="104"/>
      <c r="W1768" s="104"/>
      <c r="X1768" s="138"/>
      <c r="Y1768" s="104"/>
      <c r="Z1768" s="104"/>
      <c r="AA1768" s="104"/>
      <c r="AB1768" s="104"/>
    </row>
    <row r="1769" spans="1:28" ht="15.75" thickBot="1">
      <c r="A1769" s="423"/>
      <c r="B1769" s="3" t="s">
        <v>3</v>
      </c>
      <c r="C1769" s="71">
        <f>C1768/C1767</f>
        <v>0.81775441904801371</v>
      </c>
      <c r="D1769" s="72">
        <f t="shared" ref="D1769:N1769" si="1256">D1768/D1767</f>
        <v>0.6604410250196886</v>
      </c>
      <c r="E1769" s="72">
        <f t="shared" si="1256"/>
        <v>0.67435027564063732</v>
      </c>
      <c r="F1769" s="72">
        <f t="shared" si="1256"/>
        <v>0.85852959156184605</v>
      </c>
      <c r="G1769" s="72">
        <f t="shared" si="1256"/>
        <v>1.2905108141476513E-2</v>
      </c>
      <c r="H1769" s="72">
        <f t="shared" si="1256"/>
        <v>0.26970734583485889</v>
      </c>
      <c r="I1769" s="72">
        <f t="shared" si="1256"/>
        <v>0.16304464287186046</v>
      </c>
      <c r="J1769" s="72">
        <f t="shared" si="1256"/>
        <v>0.69829195707256808</v>
      </c>
      <c r="K1769" s="72">
        <f t="shared" si="1256"/>
        <v>0.53871378889677901</v>
      </c>
      <c r="L1769" s="72">
        <f t="shared" si="1256"/>
        <v>1.3620501797550187E-2</v>
      </c>
      <c r="M1769" s="72">
        <f t="shared" si="1256"/>
        <v>0.4447223438897977</v>
      </c>
      <c r="N1769" s="83">
        <f t="shared" si="1256"/>
        <v>0.41770725223502853</v>
      </c>
      <c r="O1769" s="12"/>
      <c r="X1769" s="138"/>
      <c r="Y1769" s="104"/>
      <c r="Z1769" s="104"/>
      <c r="AA1769" s="104"/>
      <c r="AB1769" s="104"/>
    </row>
    <row r="1770" spans="1:28" ht="15" customHeight="1">
      <c r="A1770" s="411" t="s">
        <v>6</v>
      </c>
      <c r="B1770" s="27" t="s">
        <v>7</v>
      </c>
      <c r="C1770" s="68">
        <v>5006</v>
      </c>
      <c r="D1770" s="68">
        <v>3200</v>
      </c>
      <c r="E1770" s="68">
        <v>3200</v>
      </c>
      <c r="F1770" s="68">
        <v>9503</v>
      </c>
      <c r="G1770" s="68">
        <v>5000</v>
      </c>
      <c r="H1770" s="68">
        <v>5980</v>
      </c>
      <c r="I1770" s="68">
        <v>4000</v>
      </c>
      <c r="J1770" s="68">
        <v>9503</v>
      </c>
      <c r="K1770" s="68">
        <v>3000</v>
      </c>
      <c r="L1770" s="68">
        <v>2500</v>
      </c>
      <c r="M1770" s="68">
        <f>4643-2210</f>
        <v>2433</v>
      </c>
      <c r="N1770" s="80">
        <v>396</v>
      </c>
      <c r="O1770" s="12"/>
      <c r="X1770" s="138"/>
      <c r="Y1770" s="104"/>
      <c r="Z1770" s="104"/>
      <c r="AA1770" s="104"/>
      <c r="AB1770" s="104"/>
    </row>
    <row r="1771" spans="1:28">
      <c r="A1771" s="412"/>
      <c r="B1771" s="28" t="s">
        <v>11</v>
      </c>
      <c r="C1771" s="73">
        <f t="shared" ref="C1771:G1771" si="1257">C1770*33.79</f>
        <v>169152.74</v>
      </c>
      <c r="D1771" s="73">
        <f t="shared" si="1257"/>
        <v>108128</v>
      </c>
      <c r="E1771" s="73">
        <f t="shared" si="1257"/>
        <v>108128</v>
      </c>
      <c r="F1771" s="73">
        <f t="shared" si="1257"/>
        <v>321106.37</v>
      </c>
      <c r="G1771" s="73">
        <f t="shared" si="1257"/>
        <v>168950</v>
      </c>
      <c r="H1771" s="73">
        <f>H1770*33.79</f>
        <v>202064.19999999998</v>
      </c>
      <c r="I1771" s="73">
        <f t="shared" ref="I1771:N1771" si="1258">I1770*33.79</f>
        <v>135160</v>
      </c>
      <c r="J1771" s="73">
        <f t="shared" si="1258"/>
        <v>321106.37</v>
      </c>
      <c r="K1771" s="73">
        <f t="shared" si="1258"/>
        <v>101370</v>
      </c>
      <c r="L1771" s="73">
        <f t="shared" si="1258"/>
        <v>84475</v>
      </c>
      <c r="M1771" s="73">
        <f t="shared" si="1258"/>
        <v>82211.069999999992</v>
      </c>
      <c r="N1771" s="84">
        <f t="shared" si="1258"/>
        <v>13380.84</v>
      </c>
      <c r="O1771" s="12"/>
      <c r="X1771" s="138"/>
      <c r="Y1771" s="104"/>
      <c r="Z1771" s="104"/>
      <c r="AA1771" s="104"/>
      <c r="AB1771" s="104"/>
    </row>
    <row r="1772" spans="1:28">
      <c r="A1772" s="412"/>
      <c r="B1772" s="28" t="s">
        <v>79</v>
      </c>
      <c r="C1772" s="73">
        <v>164000</v>
      </c>
      <c r="D1772" s="73">
        <v>109880</v>
      </c>
      <c r="E1772" s="73">
        <v>109880</v>
      </c>
      <c r="F1772" s="73">
        <v>328000</v>
      </c>
      <c r="G1772" s="73">
        <f>G1767*2</f>
        <v>242663.6</v>
      </c>
      <c r="H1772" s="73">
        <f>H1767*2</f>
        <v>220143.8</v>
      </c>
      <c r="I1772" s="73">
        <f>I1767*2</f>
        <v>242663.6</v>
      </c>
      <c r="J1772" s="73">
        <v>328000</v>
      </c>
      <c r="K1772" s="73">
        <f>K1767*2</f>
        <v>109842</v>
      </c>
      <c r="L1772" s="73">
        <v>328000</v>
      </c>
      <c r="M1772" s="73">
        <f>2*M1767</f>
        <v>352965.4</v>
      </c>
      <c r="N1772" s="84">
        <f>2*N1767</f>
        <v>109842</v>
      </c>
      <c r="O1772" s="12"/>
    </row>
    <row r="1773" spans="1:28" s="64" customFormat="1">
      <c r="A1773" s="412"/>
      <c r="B1773" s="66" t="s">
        <v>8</v>
      </c>
      <c r="C1773" s="98">
        <f>SUM(C1770-460)</f>
        <v>4546</v>
      </c>
      <c r="D1773" s="98">
        <f>SUM(D1770-737)</f>
        <v>2463</v>
      </c>
      <c r="E1773" s="98">
        <f>SUM(E1770-690)</f>
        <v>2510</v>
      </c>
      <c r="F1773" s="98">
        <f>SUM(F1770-1224)</f>
        <v>8279</v>
      </c>
      <c r="G1773" s="98">
        <f>SUM(G1770-4800)</f>
        <v>200</v>
      </c>
      <c r="H1773" s="98">
        <f>SUM(H1770-1940)</f>
        <v>4040</v>
      </c>
      <c r="I1773" s="98">
        <f>SUM(I1770-2923)</f>
        <v>1077</v>
      </c>
      <c r="J1773" s="98">
        <f>SUM(J1770-1494)</f>
        <v>8009</v>
      </c>
      <c r="K1773" s="98">
        <f>SUM(K1770-1010)</f>
        <v>1990</v>
      </c>
      <c r="L1773" s="98">
        <f>SUM(L1770-2206)</f>
        <v>294</v>
      </c>
      <c r="M1773" s="98">
        <f>SUM(M1770-(3367-2210))</f>
        <v>1276</v>
      </c>
      <c r="N1773" s="103">
        <f>SUM(N1770-49)</f>
        <v>347</v>
      </c>
      <c r="O1773" s="12"/>
      <c r="P1773" s="14"/>
      <c r="Q1773" s="138"/>
      <c r="R1773" s="104"/>
      <c r="S1773" s="104"/>
      <c r="T1773" s="104"/>
      <c r="U1773" s="104"/>
      <c r="V1773" s="104"/>
      <c r="W1773" s="104"/>
    </row>
    <row r="1774" spans="1:28">
      <c r="A1774" s="412"/>
      <c r="B1774" s="29" t="s">
        <v>77</v>
      </c>
      <c r="C1774" s="75">
        <f>C1773*33.72</f>
        <v>153291.12</v>
      </c>
      <c r="D1774" s="75">
        <f>D1773*33.72</f>
        <v>83052.36</v>
      </c>
      <c r="E1774" s="75">
        <f>E1773*33.72</f>
        <v>84637.2</v>
      </c>
      <c r="F1774" s="75">
        <f>F1773*33.72</f>
        <v>279167.88</v>
      </c>
      <c r="G1774" s="75">
        <f>G1773*33.72*2</f>
        <v>13488</v>
      </c>
      <c r="H1774" s="75">
        <f>H1773*33.72</f>
        <v>136228.79999999999</v>
      </c>
      <c r="I1774" s="75">
        <f>I1773*33.72</f>
        <v>36316.44</v>
      </c>
      <c r="J1774" s="75">
        <f>J1773*33.72</f>
        <v>270063.48</v>
      </c>
      <c r="K1774" s="75">
        <f>K1773*33.72</f>
        <v>67102.8</v>
      </c>
      <c r="L1774" s="75">
        <f>L1773*33.72</f>
        <v>9913.68</v>
      </c>
      <c r="M1774" s="75">
        <f>M1773*33.72*2</f>
        <v>86053.440000000002</v>
      </c>
      <c r="N1774" s="11">
        <f>N1773*33.72</f>
        <v>11700.84</v>
      </c>
      <c r="O1774" s="12"/>
      <c r="Q1774" s="138"/>
    </row>
    <row r="1775" spans="1:28" ht="15.75" thickBot="1">
      <c r="A1775" s="412"/>
      <c r="B1775" s="30" t="s">
        <v>10</v>
      </c>
      <c r="C1775" s="71">
        <f>C1773*33.7/C1767</f>
        <v>1.322780460175035</v>
      </c>
      <c r="D1775" s="71">
        <f t="shared" ref="D1775:N1775" si="1259">D1773*33.7/D1767</f>
        <v>0.83805961107408988</v>
      </c>
      <c r="E1775" s="78">
        <f t="shared" si="1259"/>
        <v>0.85405181640112271</v>
      </c>
      <c r="F1775" s="78">
        <f t="shared" si="1259"/>
        <v>1.8067475962036599</v>
      </c>
      <c r="G1775" s="78">
        <f t="shared" si="1259"/>
        <v>5.5550152556872977E-2</v>
      </c>
      <c r="H1775" s="78">
        <f t="shared" si="1259"/>
        <v>1.2369006076936984</v>
      </c>
      <c r="I1775" s="78">
        <f t="shared" si="1259"/>
        <v>0.29913757151876097</v>
      </c>
      <c r="J1775" s="78">
        <f t="shared" si="1259"/>
        <v>1.5786809898483691</v>
      </c>
      <c r="K1775" s="78">
        <f t="shared" si="1259"/>
        <v>1.2210811893446951</v>
      </c>
      <c r="L1775" s="78">
        <f t="shared" si="1259"/>
        <v>0.16331744851720656</v>
      </c>
      <c r="M1775" s="79">
        <f t="shared" si="1259"/>
        <v>0.24365674369215792</v>
      </c>
      <c r="N1775" s="26">
        <f t="shared" si="1259"/>
        <v>0.21292219733799461</v>
      </c>
      <c r="O1775" s="12"/>
      <c r="Q1775" s="138"/>
    </row>
    <row r="1776" spans="1:28" ht="15.75" customHeight="1" thickBot="1">
      <c r="A1776" s="424" t="s">
        <v>83</v>
      </c>
      <c r="B1776" s="425"/>
      <c r="C1776" s="76">
        <f>MIN(2*C1767,C1772)-C1774</f>
        <v>10708.880000000005</v>
      </c>
      <c r="D1776" s="76">
        <f t="shared" ref="D1776:N1776" si="1260">MIN(2*D1767,D1772)-D1774</f>
        <v>26827.64</v>
      </c>
      <c r="E1776" s="76">
        <f t="shared" si="1260"/>
        <v>25242.800000000003</v>
      </c>
      <c r="F1776" s="76">
        <f t="shared" si="1260"/>
        <v>29676.919999999984</v>
      </c>
      <c r="G1776" s="76">
        <f t="shared" si="1260"/>
        <v>229175.6</v>
      </c>
      <c r="H1776" s="76">
        <f t="shared" si="1260"/>
        <v>83915</v>
      </c>
      <c r="I1776" s="76">
        <f t="shared" si="1260"/>
        <v>206347.16</v>
      </c>
      <c r="J1776" s="76">
        <f t="shared" si="1260"/>
        <v>57936.520000000019</v>
      </c>
      <c r="K1776" s="76">
        <f t="shared" si="1260"/>
        <v>42739.199999999997</v>
      </c>
      <c r="L1776" s="76">
        <f t="shared" si="1260"/>
        <v>111418.12</v>
      </c>
      <c r="M1776" s="76">
        <f t="shared" si="1260"/>
        <v>266911.96000000002</v>
      </c>
      <c r="N1776" s="22">
        <f t="shared" si="1260"/>
        <v>98141.16</v>
      </c>
      <c r="O1776" s="12"/>
      <c r="Q1776" s="138"/>
    </row>
    <row r="1777" spans="1:28" ht="15.75" thickBot="1">
      <c r="A1777" s="368">
        <v>40974</v>
      </c>
      <c r="B1777" s="368"/>
      <c r="C1777" s="368"/>
      <c r="N1777" s="15"/>
    </row>
    <row r="1778" spans="1:28">
      <c r="A1778" s="407" t="s">
        <v>1</v>
      </c>
      <c r="B1778" s="420"/>
      <c r="C1778" s="68" t="s">
        <v>12</v>
      </c>
      <c r="D1778" s="68" t="s">
        <v>12</v>
      </c>
      <c r="E1778" s="68" t="s">
        <v>13</v>
      </c>
      <c r="F1778" s="68" t="s">
        <v>13</v>
      </c>
      <c r="G1778" s="68" t="s">
        <v>13</v>
      </c>
      <c r="H1778" s="68" t="s">
        <v>13</v>
      </c>
      <c r="I1778" s="68" t="s">
        <v>13</v>
      </c>
      <c r="J1778" s="68" t="s">
        <v>2</v>
      </c>
      <c r="K1778" s="68" t="s">
        <v>2</v>
      </c>
      <c r="L1778" s="68" t="s">
        <v>2</v>
      </c>
      <c r="M1778" s="68" t="s">
        <v>2</v>
      </c>
      <c r="N1778" s="4" t="s">
        <v>84</v>
      </c>
      <c r="X1778" s="142"/>
      <c r="Y1778" s="14"/>
      <c r="Z1778" s="14"/>
      <c r="AA1778" s="14"/>
      <c r="AB1778" s="104"/>
    </row>
    <row r="1779" spans="1:28" ht="15.75" thickBot="1">
      <c r="A1779" s="409" t="s">
        <v>0</v>
      </c>
      <c r="B1779" s="414"/>
      <c r="C1779" s="99" t="s">
        <v>102</v>
      </c>
      <c r="D1779" s="99" t="s">
        <v>103</v>
      </c>
      <c r="E1779" s="99" t="s">
        <v>104</v>
      </c>
      <c r="F1779" s="99" t="s">
        <v>105</v>
      </c>
      <c r="G1779" s="99" t="s">
        <v>100</v>
      </c>
      <c r="H1779" s="99" t="s">
        <v>107</v>
      </c>
      <c r="I1779" s="99" t="s">
        <v>106</v>
      </c>
      <c r="J1779" s="99" t="s">
        <v>108</v>
      </c>
      <c r="K1779" s="99" t="s">
        <v>110</v>
      </c>
      <c r="L1779" s="99" t="s">
        <v>101</v>
      </c>
      <c r="M1779" s="99" t="s">
        <v>109</v>
      </c>
      <c r="N1779" s="101" t="s">
        <v>111</v>
      </c>
      <c r="P1779" s="142"/>
      <c r="Q1779" s="138"/>
      <c r="R1779" s="138"/>
      <c r="S1779" s="138"/>
      <c r="T1779" s="138"/>
      <c r="U1779" s="138"/>
      <c r="V1779" s="138"/>
      <c r="W1779" s="138"/>
      <c r="X1779" s="138"/>
      <c r="Y1779" s="138"/>
      <c r="Z1779" s="138"/>
      <c r="AA1779" s="138"/>
      <c r="AB1779" s="138"/>
    </row>
    <row r="1780" spans="1:28" ht="15" customHeight="1">
      <c r="A1780" s="421" t="s">
        <v>9</v>
      </c>
      <c r="B1780" s="2" t="s">
        <v>4</v>
      </c>
      <c r="C1780" s="96">
        <v>115816.8</v>
      </c>
      <c r="D1780" s="96">
        <v>99042</v>
      </c>
      <c r="E1780" s="96">
        <v>99042</v>
      </c>
      <c r="F1780" s="96">
        <v>154422.39999999999</v>
      </c>
      <c r="G1780" s="96">
        <v>121331.8</v>
      </c>
      <c r="H1780" s="96">
        <v>110071.9</v>
      </c>
      <c r="I1780" s="96">
        <v>121331.8</v>
      </c>
      <c r="J1780" s="96">
        <v>170967.6</v>
      </c>
      <c r="K1780" s="96">
        <v>54921</v>
      </c>
      <c r="L1780" s="96">
        <v>60665.9</v>
      </c>
      <c r="M1780" s="96">
        <v>176482.7</v>
      </c>
      <c r="N1780" s="100">
        <v>54921</v>
      </c>
      <c r="O1780" s="12"/>
      <c r="X1780" s="138"/>
      <c r="Y1780" s="104"/>
      <c r="Z1780" s="104"/>
      <c r="AA1780" s="104"/>
      <c r="AB1780" s="104"/>
    </row>
    <row r="1781" spans="1:28" s="64" customFormat="1">
      <c r="A1781" s="422"/>
      <c r="B1781" s="63" t="s">
        <v>5</v>
      </c>
      <c r="C1781" s="97">
        <v>94244.1</v>
      </c>
      <c r="D1781" s="97">
        <v>66165</v>
      </c>
      <c r="E1781" s="97">
        <v>67542.7</v>
      </c>
      <c r="F1781" s="97">
        <v>132318.1</v>
      </c>
      <c r="G1781" s="97">
        <v>1565.8</v>
      </c>
      <c r="H1781" s="97">
        <v>29416.7</v>
      </c>
      <c r="I1781" s="97">
        <v>19759.900000000001</v>
      </c>
      <c r="J1781" s="97">
        <v>119217.2</v>
      </c>
      <c r="K1781" s="97">
        <v>29558</v>
      </c>
      <c r="L1781" s="97">
        <v>820.3</v>
      </c>
      <c r="M1781" s="97">
        <v>78440.600000000006</v>
      </c>
      <c r="N1781" s="102">
        <v>22940.9</v>
      </c>
      <c r="O1781" s="12"/>
      <c r="P1781" s="14"/>
      <c r="Q1781" s="104"/>
      <c r="R1781" s="104"/>
      <c r="S1781" s="104"/>
      <c r="T1781" s="104"/>
      <c r="U1781" s="104"/>
      <c r="V1781" s="104"/>
      <c r="W1781" s="104"/>
      <c r="X1781" s="138"/>
      <c r="Y1781" s="104"/>
      <c r="Z1781" s="104"/>
      <c r="AA1781" s="104"/>
      <c r="AB1781" s="104"/>
    </row>
    <row r="1782" spans="1:28" ht="15.75" thickBot="1">
      <c r="A1782" s="423"/>
      <c r="B1782" s="3" t="s">
        <v>3</v>
      </c>
      <c r="C1782" s="71">
        <f>C1781/C1780</f>
        <v>0.81373427689247158</v>
      </c>
      <c r="D1782" s="72">
        <f t="shared" ref="D1782:N1782" si="1261">D1781/D1780</f>
        <v>0.66804991821651416</v>
      </c>
      <c r="E1782" s="72">
        <f t="shared" si="1261"/>
        <v>0.68196017851012702</v>
      </c>
      <c r="F1782" s="72">
        <f t="shared" si="1261"/>
        <v>0.85685820191889261</v>
      </c>
      <c r="G1782" s="72">
        <f t="shared" si="1261"/>
        <v>1.2905108141476513E-2</v>
      </c>
      <c r="H1782" s="72">
        <f t="shared" si="1261"/>
        <v>0.26724986122707067</v>
      </c>
      <c r="I1782" s="72">
        <f t="shared" si="1261"/>
        <v>0.16285837678168461</v>
      </c>
      <c r="J1782" s="72">
        <f t="shared" si="1261"/>
        <v>0.69730872984120962</v>
      </c>
      <c r="K1782" s="72">
        <f t="shared" si="1261"/>
        <v>0.53819122011616682</v>
      </c>
      <c r="L1782" s="72">
        <f t="shared" si="1261"/>
        <v>1.3521599448784241E-2</v>
      </c>
      <c r="M1782" s="72">
        <f t="shared" si="1261"/>
        <v>0.4444662281345424</v>
      </c>
      <c r="N1782" s="83">
        <f t="shared" si="1261"/>
        <v>0.41770725223502853</v>
      </c>
      <c r="O1782" s="12"/>
      <c r="X1782" s="138"/>
      <c r="Y1782" s="104"/>
      <c r="Z1782" s="104"/>
      <c r="AA1782" s="104"/>
      <c r="AB1782" s="104"/>
    </row>
    <row r="1783" spans="1:28" ht="15" customHeight="1">
      <c r="A1783" s="411" t="s">
        <v>6</v>
      </c>
      <c r="B1783" s="27" t="s">
        <v>7</v>
      </c>
      <c r="C1783" s="68">
        <v>5006</v>
      </c>
      <c r="D1783" s="68">
        <v>3200</v>
      </c>
      <c r="E1783" s="68">
        <v>3200</v>
      </c>
      <c r="F1783" s="68">
        <v>9503</v>
      </c>
      <c r="G1783" s="68">
        <v>5000</v>
      </c>
      <c r="H1783" s="68">
        <v>5980</v>
      </c>
      <c r="I1783" s="68">
        <v>4000</v>
      </c>
      <c r="J1783" s="68">
        <v>9503</v>
      </c>
      <c r="K1783" s="68">
        <v>3000</v>
      </c>
      <c r="L1783" s="68">
        <v>2500</v>
      </c>
      <c r="M1783" s="68">
        <f>4643-2210</f>
        <v>2433</v>
      </c>
      <c r="N1783" s="80">
        <v>396</v>
      </c>
      <c r="O1783" s="12"/>
      <c r="X1783" s="138"/>
      <c r="Y1783" s="104"/>
      <c r="Z1783" s="104"/>
      <c r="AA1783" s="104"/>
      <c r="AB1783" s="104"/>
    </row>
    <row r="1784" spans="1:28">
      <c r="A1784" s="412"/>
      <c r="B1784" s="28" t="s">
        <v>11</v>
      </c>
      <c r="C1784" s="73">
        <f t="shared" ref="C1784:G1784" si="1262">C1783*33.79</f>
        <v>169152.74</v>
      </c>
      <c r="D1784" s="73">
        <f t="shared" si="1262"/>
        <v>108128</v>
      </c>
      <c r="E1784" s="73">
        <f t="shared" si="1262"/>
        <v>108128</v>
      </c>
      <c r="F1784" s="73">
        <f t="shared" si="1262"/>
        <v>321106.37</v>
      </c>
      <c r="G1784" s="73">
        <f t="shared" si="1262"/>
        <v>168950</v>
      </c>
      <c r="H1784" s="73">
        <f>H1783*33.79</f>
        <v>202064.19999999998</v>
      </c>
      <c r="I1784" s="73">
        <f t="shared" ref="I1784:N1784" si="1263">I1783*33.79</f>
        <v>135160</v>
      </c>
      <c r="J1784" s="73">
        <f t="shared" si="1263"/>
        <v>321106.37</v>
      </c>
      <c r="K1784" s="73">
        <f t="shared" si="1263"/>
        <v>101370</v>
      </c>
      <c r="L1784" s="73">
        <f t="shared" si="1263"/>
        <v>84475</v>
      </c>
      <c r="M1784" s="73">
        <f t="shared" si="1263"/>
        <v>82211.069999999992</v>
      </c>
      <c r="N1784" s="84">
        <f t="shared" si="1263"/>
        <v>13380.84</v>
      </c>
      <c r="O1784" s="12"/>
      <c r="X1784" s="138"/>
      <c r="Y1784" s="104"/>
      <c r="Z1784" s="104"/>
      <c r="AA1784" s="104"/>
      <c r="AB1784" s="104"/>
    </row>
    <row r="1785" spans="1:28">
      <c r="A1785" s="412"/>
      <c r="B1785" s="28" t="s">
        <v>79</v>
      </c>
      <c r="C1785" s="73">
        <v>164000</v>
      </c>
      <c r="D1785" s="73">
        <v>109880</v>
      </c>
      <c r="E1785" s="73">
        <v>109880</v>
      </c>
      <c r="F1785" s="73">
        <v>328000</v>
      </c>
      <c r="G1785" s="73">
        <f>G1780*2</f>
        <v>242663.6</v>
      </c>
      <c r="H1785" s="73">
        <f>H1780*2</f>
        <v>220143.8</v>
      </c>
      <c r="I1785" s="73">
        <f>I1780*2</f>
        <v>242663.6</v>
      </c>
      <c r="J1785" s="73">
        <v>328000</v>
      </c>
      <c r="K1785" s="73">
        <f>K1780*2</f>
        <v>109842</v>
      </c>
      <c r="L1785" s="73">
        <v>328000</v>
      </c>
      <c r="M1785" s="73">
        <f>2*M1780</f>
        <v>352965.4</v>
      </c>
      <c r="N1785" s="84">
        <f>2*N1780</f>
        <v>109842</v>
      </c>
      <c r="O1785" s="12"/>
    </row>
    <row r="1786" spans="1:28" s="64" customFormat="1">
      <c r="A1786" s="412"/>
      <c r="B1786" s="66" t="s">
        <v>8</v>
      </c>
      <c r="C1786" s="98">
        <f>SUM(C1783-460)</f>
        <v>4546</v>
      </c>
      <c r="D1786" s="98">
        <f>SUM(D1783-740)</f>
        <v>2460</v>
      </c>
      <c r="E1786" s="98">
        <f>SUM(E1783-710)</f>
        <v>2490</v>
      </c>
      <c r="F1786" s="98">
        <f>SUM(F1783-1224)</f>
        <v>8279</v>
      </c>
      <c r="G1786" s="98">
        <f>SUM(G1783-4807)</f>
        <v>193</v>
      </c>
      <c r="H1786" s="98">
        <f>SUM(H1783-2248)</f>
        <v>3732</v>
      </c>
      <c r="I1786" s="98">
        <f>SUM(I1783-2923)</f>
        <v>1077</v>
      </c>
      <c r="J1786" s="98">
        <f>SUM(J1783-1494)</f>
        <v>8009</v>
      </c>
      <c r="K1786" s="98">
        <f>SUM(K1783-1034)</f>
        <v>1966</v>
      </c>
      <c r="L1786" s="98">
        <f>SUM(L1783-2206)</f>
        <v>294</v>
      </c>
      <c r="M1786" s="98">
        <f>SUM(M1783-(3367-2210))</f>
        <v>1276</v>
      </c>
      <c r="N1786" s="103">
        <f>SUM(N1783-49)</f>
        <v>347</v>
      </c>
      <c r="O1786" s="12"/>
      <c r="P1786" s="14"/>
      <c r="Q1786" s="138"/>
      <c r="R1786" s="104"/>
      <c r="S1786" s="104"/>
      <c r="T1786" s="104"/>
      <c r="U1786" s="104"/>
      <c r="V1786" s="104"/>
      <c r="W1786" s="104"/>
    </row>
    <row r="1787" spans="1:28">
      <c r="A1787" s="412"/>
      <c r="B1787" s="29" t="s">
        <v>77</v>
      </c>
      <c r="C1787" s="75">
        <f>C1786*33.72</f>
        <v>153291.12</v>
      </c>
      <c r="D1787" s="75">
        <f>D1786*33.72</f>
        <v>82951.199999999997</v>
      </c>
      <c r="E1787" s="75">
        <f>E1786*33.72</f>
        <v>83962.8</v>
      </c>
      <c r="F1787" s="75">
        <f>F1786*33.72</f>
        <v>279167.88</v>
      </c>
      <c r="G1787" s="75">
        <f>G1786*33.72*2</f>
        <v>13015.92</v>
      </c>
      <c r="H1787" s="75">
        <f>H1786*33.72</f>
        <v>125843.04</v>
      </c>
      <c r="I1787" s="75">
        <f>I1786*33.72</f>
        <v>36316.44</v>
      </c>
      <c r="J1787" s="75">
        <f>J1786*33.72</f>
        <v>270063.48</v>
      </c>
      <c r="K1787" s="75">
        <f>K1786*33.72</f>
        <v>66293.52</v>
      </c>
      <c r="L1787" s="75">
        <f>L1786*33.72</f>
        <v>9913.68</v>
      </c>
      <c r="M1787" s="75">
        <f>M1786*33.72*2</f>
        <v>86053.440000000002</v>
      </c>
      <c r="N1787" s="11">
        <f>N1786*33.72</f>
        <v>11700.84</v>
      </c>
      <c r="O1787" s="12"/>
      <c r="Q1787" s="138"/>
    </row>
    <row r="1788" spans="1:28" ht="15.75" thickBot="1">
      <c r="A1788" s="412"/>
      <c r="B1788" s="30" t="s">
        <v>10</v>
      </c>
      <c r="C1788" s="71">
        <f>C1786*33.7/C1780</f>
        <v>1.322780460175035</v>
      </c>
      <c r="D1788" s="71">
        <f t="shared" ref="D1788:N1788" si="1264">D1786*33.7/D1780</f>
        <v>0.83703883201066209</v>
      </c>
      <c r="E1788" s="78">
        <f t="shared" si="1264"/>
        <v>0.84724662264493855</v>
      </c>
      <c r="F1788" s="78">
        <f t="shared" si="1264"/>
        <v>1.8067475962036599</v>
      </c>
      <c r="G1788" s="78">
        <f t="shared" si="1264"/>
        <v>5.3605897217382417E-2</v>
      </c>
      <c r="H1788" s="78">
        <f t="shared" si="1264"/>
        <v>1.1426022445328918</v>
      </c>
      <c r="I1788" s="78">
        <f t="shared" si="1264"/>
        <v>0.29913757151876097</v>
      </c>
      <c r="J1788" s="78">
        <f t="shared" si="1264"/>
        <v>1.5786809898483691</v>
      </c>
      <c r="K1788" s="78">
        <f t="shared" si="1264"/>
        <v>1.2063545820360155</v>
      </c>
      <c r="L1788" s="78">
        <f t="shared" si="1264"/>
        <v>0.16331744851720656</v>
      </c>
      <c r="M1788" s="79">
        <f t="shared" si="1264"/>
        <v>0.24365674369215792</v>
      </c>
      <c r="N1788" s="26">
        <f t="shared" si="1264"/>
        <v>0.21292219733799461</v>
      </c>
      <c r="O1788" s="12"/>
      <c r="Q1788" s="138"/>
    </row>
    <row r="1789" spans="1:28" ht="15.75" customHeight="1" thickBot="1">
      <c r="A1789" s="424" t="s">
        <v>83</v>
      </c>
      <c r="B1789" s="425"/>
      <c r="C1789" s="76">
        <f>MIN(2*C1780,C1785)-C1787</f>
        <v>10708.880000000005</v>
      </c>
      <c r="D1789" s="76">
        <f t="shared" ref="D1789:N1789" si="1265">MIN(2*D1780,D1785)-D1787</f>
        <v>26928.800000000003</v>
      </c>
      <c r="E1789" s="76">
        <f t="shared" si="1265"/>
        <v>25917.199999999997</v>
      </c>
      <c r="F1789" s="76">
        <f t="shared" si="1265"/>
        <v>29676.919999999984</v>
      </c>
      <c r="G1789" s="76">
        <f t="shared" si="1265"/>
        <v>229647.68</v>
      </c>
      <c r="H1789" s="76">
        <f t="shared" si="1265"/>
        <v>94300.76</v>
      </c>
      <c r="I1789" s="76">
        <f t="shared" si="1265"/>
        <v>206347.16</v>
      </c>
      <c r="J1789" s="76">
        <f t="shared" si="1265"/>
        <v>57936.520000000019</v>
      </c>
      <c r="K1789" s="76">
        <f t="shared" si="1265"/>
        <v>43548.479999999996</v>
      </c>
      <c r="L1789" s="76">
        <f t="shared" si="1265"/>
        <v>111418.12</v>
      </c>
      <c r="M1789" s="76">
        <f t="shared" si="1265"/>
        <v>266911.96000000002</v>
      </c>
      <c r="N1789" s="22">
        <f t="shared" si="1265"/>
        <v>98141.16</v>
      </c>
      <c r="O1789" s="12"/>
      <c r="Q1789" s="138"/>
    </row>
    <row r="1790" spans="1:28" ht="15.75" thickBot="1">
      <c r="A1790" s="368">
        <v>40973</v>
      </c>
      <c r="B1790" s="368"/>
      <c r="C1790" s="368"/>
      <c r="N1790" s="15"/>
    </row>
    <row r="1791" spans="1:28">
      <c r="A1791" s="407" t="s">
        <v>1</v>
      </c>
      <c r="B1791" s="420"/>
      <c r="C1791" s="68" t="s">
        <v>12</v>
      </c>
      <c r="D1791" s="68" t="s">
        <v>12</v>
      </c>
      <c r="E1791" s="68" t="s">
        <v>13</v>
      </c>
      <c r="F1791" s="68" t="s">
        <v>13</v>
      </c>
      <c r="G1791" s="68" t="s">
        <v>13</v>
      </c>
      <c r="H1791" s="68" t="s">
        <v>13</v>
      </c>
      <c r="I1791" s="68" t="s">
        <v>13</v>
      </c>
      <c r="J1791" s="68" t="s">
        <v>2</v>
      </c>
      <c r="K1791" s="68" t="s">
        <v>2</v>
      </c>
      <c r="L1791" s="68" t="s">
        <v>2</v>
      </c>
      <c r="M1791" s="68" t="s">
        <v>2</v>
      </c>
      <c r="N1791" s="4" t="s">
        <v>84</v>
      </c>
      <c r="X1791" s="142"/>
      <c r="Y1791" s="14"/>
      <c r="Z1791" s="14"/>
      <c r="AA1791" s="14"/>
      <c r="AB1791" s="104"/>
    </row>
    <row r="1792" spans="1:28" ht="15.75" thickBot="1">
      <c r="A1792" s="409" t="s">
        <v>0</v>
      </c>
      <c r="B1792" s="414"/>
      <c r="C1792" s="99" t="s">
        <v>102</v>
      </c>
      <c r="D1792" s="99" t="s">
        <v>103</v>
      </c>
      <c r="E1792" s="99" t="s">
        <v>104</v>
      </c>
      <c r="F1792" s="99" t="s">
        <v>105</v>
      </c>
      <c r="G1792" s="99" t="s">
        <v>100</v>
      </c>
      <c r="H1792" s="99" t="s">
        <v>107</v>
      </c>
      <c r="I1792" s="99" t="s">
        <v>106</v>
      </c>
      <c r="J1792" s="99" t="s">
        <v>108</v>
      </c>
      <c r="K1792" s="99" t="s">
        <v>110</v>
      </c>
      <c r="L1792" s="99" t="s">
        <v>101</v>
      </c>
      <c r="M1792" s="99" t="s">
        <v>109</v>
      </c>
      <c r="N1792" s="101" t="s">
        <v>111</v>
      </c>
      <c r="P1792" s="142"/>
      <c r="Q1792" s="138"/>
      <c r="R1792" s="138"/>
      <c r="S1792" s="138"/>
      <c r="T1792" s="138"/>
      <c r="U1792" s="138"/>
      <c r="V1792" s="138"/>
      <c r="W1792" s="138"/>
      <c r="X1792" s="138"/>
      <c r="Y1792" s="138"/>
      <c r="Z1792" s="138"/>
      <c r="AA1792" s="138"/>
      <c r="AB1792" s="138"/>
    </row>
    <row r="1793" spans="1:28" ht="15" customHeight="1">
      <c r="A1793" s="421" t="s">
        <v>9</v>
      </c>
      <c r="B1793" s="2" t="s">
        <v>4</v>
      </c>
      <c r="C1793" s="96">
        <v>115816.8</v>
      </c>
      <c r="D1793" s="96">
        <v>79968.7</v>
      </c>
      <c r="E1793" s="96">
        <v>79968.7</v>
      </c>
      <c r="F1793" s="96">
        <v>154422.39999999999</v>
      </c>
      <c r="G1793" s="96">
        <v>121331.8</v>
      </c>
      <c r="H1793" s="96">
        <v>110071.9</v>
      </c>
      <c r="I1793" s="96">
        <v>121331.8</v>
      </c>
      <c r="J1793" s="96">
        <v>170967.6</v>
      </c>
      <c r="K1793" s="96">
        <v>54921</v>
      </c>
      <c r="L1793" s="96">
        <v>60665.9</v>
      </c>
      <c r="M1793" s="96">
        <v>176482.7</v>
      </c>
      <c r="N1793" s="100">
        <v>54921</v>
      </c>
      <c r="O1793" s="12"/>
      <c r="X1793" s="138"/>
      <c r="Y1793" s="104"/>
      <c r="Z1793" s="104"/>
      <c r="AA1793" s="104"/>
      <c r="AB1793" s="104"/>
    </row>
    <row r="1794" spans="1:28" s="64" customFormat="1">
      <c r="A1794" s="422"/>
      <c r="B1794" s="63" t="s">
        <v>5</v>
      </c>
      <c r="C1794" s="97">
        <v>94048.8</v>
      </c>
      <c r="D1794" s="97">
        <v>66164.100000000006</v>
      </c>
      <c r="E1794" s="97">
        <v>67541.600000000006</v>
      </c>
      <c r="F1794" s="97">
        <v>132093.1</v>
      </c>
      <c r="G1794" s="97">
        <v>1565.8</v>
      </c>
      <c r="H1794" s="97">
        <v>29386.799999999999</v>
      </c>
      <c r="I1794" s="97">
        <v>19752.5</v>
      </c>
      <c r="J1794" s="97">
        <v>119098.5</v>
      </c>
      <c r="K1794" s="97">
        <v>29551.8</v>
      </c>
      <c r="L1794" s="97">
        <v>817.7</v>
      </c>
      <c r="M1794" s="97">
        <v>78425.8</v>
      </c>
      <c r="N1794" s="102">
        <v>22940.9</v>
      </c>
      <c r="O1794" s="12"/>
      <c r="P1794" s="14"/>
      <c r="Q1794" s="104"/>
      <c r="R1794" s="104"/>
      <c r="S1794" s="104"/>
      <c r="T1794" s="104"/>
      <c r="U1794" s="104"/>
      <c r="V1794" s="104"/>
      <c r="W1794" s="104"/>
      <c r="X1794" s="138"/>
      <c r="Y1794" s="104"/>
      <c r="Z1794" s="104"/>
      <c r="AA1794" s="104"/>
      <c r="AB1794" s="104"/>
    </row>
    <row r="1795" spans="1:28" ht="15.75" thickBot="1">
      <c r="A1795" s="423"/>
      <c r="B1795" s="3" t="s">
        <v>3</v>
      </c>
      <c r="C1795" s="71">
        <f>C1794/C1793</f>
        <v>0.81204799303727959</v>
      </c>
      <c r="D1795" s="72">
        <f t="shared" ref="D1795:N1795" si="1266">D1794/D1793</f>
        <v>0.82737496045327741</v>
      </c>
      <c r="E1795" s="72">
        <f t="shared" si="1266"/>
        <v>0.84460044992603367</v>
      </c>
      <c r="F1795" s="72">
        <f t="shared" si="1266"/>
        <v>0.85540115941728667</v>
      </c>
      <c r="G1795" s="72">
        <f t="shared" si="1266"/>
        <v>1.2905108141476513E-2</v>
      </c>
      <c r="H1795" s="72">
        <f t="shared" si="1266"/>
        <v>0.26697822059944454</v>
      </c>
      <c r="I1795" s="72">
        <f t="shared" si="1266"/>
        <v>0.16279738699994559</v>
      </c>
      <c r="J1795" s="72">
        <f t="shared" si="1266"/>
        <v>0.69661444624595537</v>
      </c>
      <c r="K1795" s="72">
        <f t="shared" si="1266"/>
        <v>0.53807833069317745</v>
      </c>
      <c r="L1795" s="72">
        <f t="shared" si="1266"/>
        <v>1.3478741764318999E-2</v>
      </c>
      <c r="M1795" s="72">
        <f t="shared" si="1266"/>
        <v>0.44438236722352953</v>
      </c>
      <c r="N1795" s="83">
        <f t="shared" si="1266"/>
        <v>0.41770725223502853</v>
      </c>
      <c r="O1795" s="12"/>
      <c r="X1795" s="138"/>
      <c r="Y1795" s="104"/>
      <c r="Z1795" s="104"/>
      <c r="AA1795" s="104"/>
      <c r="AB1795" s="104"/>
    </row>
    <row r="1796" spans="1:28" ht="15" customHeight="1">
      <c r="A1796" s="411" t="s">
        <v>6</v>
      </c>
      <c r="B1796" s="27" t="s">
        <v>7</v>
      </c>
      <c r="C1796" s="68">
        <v>5006</v>
      </c>
      <c r="D1796" s="68">
        <v>3200</v>
      </c>
      <c r="E1796" s="68">
        <v>3200</v>
      </c>
      <c r="F1796" s="68">
        <v>9503</v>
      </c>
      <c r="G1796" s="68">
        <v>5000</v>
      </c>
      <c r="H1796" s="68">
        <v>5980</v>
      </c>
      <c r="I1796" s="68">
        <v>4000</v>
      </c>
      <c r="J1796" s="68">
        <v>9503</v>
      </c>
      <c r="K1796" s="68">
        <v>3000</v>
      </c>
      <c r="L1796" s="68">
        <v>2500</v>
      </c>
      <c r="M1796" s="68">
        <f>4643-2210</f>
        <v>2433</v>
      </c>
      <c r="N1796" s="80">
        <v>396</v>
      </c>
      <c r="O1796" s="12"/>
      <c r="X1796" s="138"/>
      <c r="Y1796" s="104"/>
      <c r="Z1796" s="104"/>
      <c r="AA1796" s="104"/>
      <c r="AB1796" s="104"/>
    </row>
    <row r="1797" spans="1:28">
      <c r="A1797" s="412"/>
      <c r="B1797" s="28" t="s">
        <v>11</v>
      </c>
      <c r="C1797" s="73">
        <f t="shared" ref="C1797:G1797" si="1267">C1796*33.79</f>
        <v>169152.74</v>
      </c>
      <c r="D1797" s="73">
        <f t="shared" si="1267"/>
        <v>108128</v>
      </c>
      <c r="E1797" s="73">
        <f t="shared" si="1267"/>
        <v>108128</v>
      </c>
      <c r="F1797" s="73">
        <f t="shared" si="1267"/>
        <v>321106.37</v>
      </c>
      <c r="G1797" s="73">
        <f t="shared" si="1267"/>
        <v>168950</v>
      </c>
      <c r="H1797" s="73">
        <f>H1796*33.79</f>
        <v>202064.19999999998</v>
      </c>
      <c r="I1797" s="73">
        <f t="shared" ref="I1797:N1797" si="1268">I1796*33.79</f>
        <v>135160</v>
      </c>
      <c r="J1797" s="73">
        <f t="shared" si="1268"/>
        <v>321106.37</v>
      </c>
      <c r="K1797" s="73">
        <f t="shared" si="1268"/>
        <v>101370</v>
      </c>
      <c r="L1797" s="73">
        <f t="shared" si="1268"/>
        <v>84475</v>
      </c>
      <c r="M1797" s="73">
        <f t="shared" si="1268"/>
        <v>82211.069999999992</v>
      </c>
      <c r="N1797" s="84">
        <f t="shared" si="1268"/>
        <v>13380.84</v>
      </c>
      <c r="O1797" s="12"/>
      <c r="X1797" s="138"/>
      <c r="Y1797" s="104"/>
      <c r="Z1797" s="104"/>
      <c r="AA1797" s="104"/>
      <c r="AB1797" s="104"/>
    </row>
    <row r="1798" spans="1:28">
      <c r="A1798" s="412"/>
      <c r="B1798" s="28" t="s">
        <v>79</v>
      </c>
      <c r="C1798" s="73">
        <v>164000</v>
      </c>
      <c r="D1798" s="73">
        <v>109880</v>
      </c>
      <c r="E1798" s="73">
        <v>109880</v>
      </c>
      <c r="F1798" s="73">
        <v>328000</v>
      </c>
      <c r="G1798" s="73">
        <f>G1793*2</f>
        <v>242663.6</v>
      </c>
      <c r="H1798" s="73">
        <f>H1793*2</f>
        <v>220143.8</v>
      </c>
      <c r="I1798" s="73">
        <f>I1793*2</f>
        <v>242663.6</v>
      </c>
      <c r="J1798" s="73">
        <v>328000</v>
      </c>
      <c r="K1798" s="73">
        <f>K1793*2</f>
        <v>109842</v>
      </c>
      <c r="L1798" s="73">
        <v>328000</v>
      </c>
      <c r="M1798" s="73">
        <f>2*M1793</f>
        <v>352965.4</v>
      </c>
      <c r="N1798" s="84">
        <f>2*N1793</f>
        <v>109842</v>
      </c>
      <c r="O1798" s="12"/>
    </row>
    <row r="1799" spans="1:28" s="64" customFormat="1">
      <c r="A1799" s="412"/>
      <c r="B1799" s="66" t="s">
        <v>8</v>
      </c>
      <c r="C1799" s="98">
        <f>SUM(C1796-460)</f>
        <v>4546</v>
      </c>
      <c r="D1799" s="98">
        <f>SUM(D1796-740)</f>
        <v>2460</v>
      </c>
      <c r="E1799" s="98">
        <f>SUM(E1796-710)</f>
        <v>2490</v>
      </c>
      <c r="F1799" s="98">
        <f>SUM(F1796-1224)</f>
        <v>8279</v>
      </c>
      <c r="G1799" s="98">
        <f>SUM(G1796-4807)</f>
        <v>193</v>
      </c>
      <c r="H1799" s="98">
        <f>SUM(H1796-2128)</f>
        <v>3852</v>
      </c>
      <c r="I1799" s="98">
        <f>SUM(I1796-2923)</f>
        <v>1077</v>
      </c>
      <c r="J1799" s="98">
        <f>SUM(J1796-1522)</f>
        <v>7981</v>
      </c>
      <c r="K1799" s="98">
        <f>SUM(K1796-1156)</f>
        <v>1844</v>
      </c>
      <c r="L1799" s="98">
        <f>SUM(L1796-2206)</f>
        <v>294</v>
      </c>
      <c r="M1799" s="98">
        <f>SUM(M1796-(3367-2210))</f>
        <v>1276</v>
      </c>
      <c r="N1799" s="103">
        <f>SUM(N1796-49)</f>
        <v>347</v>
      </c>
      <c r="O1799" s="12"/>
      <c r="P1799" s="14"/>
      <c r="Q1799" s="138"/>
      <c r="R1799" s="104"/>
      <c r="S1799" s="104"/>
      <c r="T1799" s="104"/>
      <c r="U1799" s="104"/>
      <c r="V1799" s="104"/>
      <c r="W1799" s="104"/>
    </row>
    <row r="1800" spans="1:28">
      <c r="A1800" s="412"/>
      <c r="B1800" s="29" t="s">
        <v>77</v>
      </c>
      <c r="C1800" s="75">
        <f>C1799*33.72</f>
        <v>153291.12</v>
      </c>
      <c r="D1800" s="75">
        <f>D1799*33.72</f>
        <v>82951.199999999997</v>
      </c>
      <c r="E1800" s="75">
        <f>E1799*33.72</f>
        <v>83962.8</v>
      </c>
      <c r="F1800" s="75">
        <f>F1799*33.72</f>
        <v>279167.88</v>
      </c>
      <c r="G1800" s="75">
        <f>G1799*33.72*2</f>
        <v>13015.92</v>
      </c>
      <c r="H1800" s="75">
        <f>H1799*33.72</f>
        <v>129889.44</v>
      </c>
      <c r="I1800" s="75">
        <f>I1799*33.72</f>
        <v>36316.44</v>
      </c>
      <c r="J1800" s="75">
        <f>J1799*33.72</f>
        <v>269119.32</v>
      </c>
      <c r="K1800" s="75">
        <f>K1799*33.72</f>
        <v>62179.68</v>
      </c>
      <c r="L1800" s="75">
        <f>L1799*33.72</f>
        <v>9913.68</v>
      </c>
      <c r="M1800" s="75">
        <f>M1799*33.72*2</f>
        <v>86053.440000000002</v>
      </c>
      <c r="N1800" s="11">
        <f>N1799*33.72</f>
        <v>11700.84</v>
      </c>
      <c r="O1800" s="12"/>
      <c r="Q1800" s="138"/>
    </row>
    <row r="1801" spans="1:28" ht="15.75" thickBot="1">
      <c r="A1801" s="412"/>
      <c r="B1801" s="30" t="s">
        <v>10</v>
      </c>
      <c r="C1801" s="71">
        <f>C1799*33.7/C1793</f>
        <v>1.322780460175035</v>
      </c>
      <c r="D1801" s="71">
        <f t="shared" ref="D1801:N1801" si="1269">D1799*33.7/D1793</f>
        <v>1.036680601285253</v>
      </c>
      <c r="E1801" s="78">
        <f t="shared" si="1269"/>
        <v>1.04932304764239</v>
      </c>
      <c r="F1801" s="78">
        <f t="shared" si="1269"/>
        <v>1.8067475962036599</v>
      </c>
      <c r="G1801" s="78">
        <f t="shared" si="1269"/>
        <v>5.3605897217382417E-2</v>
      </c>
      <c r="H1801" s="78">
        <f t="shared" si="1269"/>
        <v>1.1793418665435957</v>
      </c>
      <c r="I1801" s="78">
        <f t="shared" si="1269"/>
        <v>0.29913757151876097</v>
      </c>
      <c r="J1801" s="78">
        <f t="shared" si="1269"/>
        <v>1.5731618154550921</v>
      </c>
      <c r="K1801" s="78">
        <f t="shared" si="1269"/>
        <v>1.1314943282168934</v>
      </c>
      <c r="L1801" s="78">
        <f t="shared" si="1269"/>
        <v>0.16331744851720656</v>
      </c>
      <c r="M1801" s="79">
        <f t="shared" si="1269"/>
        <v>0.24365674369215792</v>
      </c>
      <c r="N1801" s="26">
        <f t="shared" si="1269"/>
        <v>0.21292219733799461</v>
      </c>
      <c r="O1801" s="12"/>
      <c r="Q1801" s="138"/>
    </row>
    <row r="1802" spans="1:28" ht="15.75" customHeight="1" thickBot="1">
      <c r="A1802" s="424" t="s">
        <v>83</v>
      </c>
      <c r="B1802" s="425"/>
      <c r="C1802" s="76">
        <f>MIN(2*C1793,C1798)-C1800</f>
        <v>10708.880000000005</v>
      </c>
      <c r="D1802" s="76">
        <f t="shared" ref="D1802:N1802" si="1270">MIN(2*D1793,D1798)-D1800</f>
        <v>26928.800000000003</v>
      </c>
      <c r="E1802" s="76">
        <f t="shared" si="1270"/>
        <v>25917.199999999997</v>
      </c>
      <c r="F1802" s="76">
        <f t="shared" si="1270"/>
        <v>29676.919999999984</v>
      </c>
      <c r="G1802" s="76">
        <f t="shared" si="1270"/>
        <v>229647.68</v>
      </c>
      <c r="H1802" s="76">
        <f t="shared" si="1270"/>
        <v>90254.359999999986</v>
      </c>
      <c r="I1802" s="76">
        <f t="shared" si="1270"/>
        <v>206347.16</v>
      </c>
      <c r="J1802" s="76">
        <f t="shared" si="1270"/>
        <v>58880.679999999993</v>
      </c>
      <c r="K1802" s="76">
        <f t="shared" si="1270"/>
        <v>47662.32</v>
      </c>
      <c r="L1802" s="76">
        <f t="shared" si="1270"/>
        <v>111418.12</v>
      </c>
      <c r="M1802" s="76">
        <f t="shared" si="1270"/>
        <v>266911.96000000002</v>
      </c>
      <c r="N1802" s="22">
        <f t="shared" si="1270"/>
        <v>98141.16</v>
      </c>
      <c r="O1802" s="12"/>
      <c r="Q1802" s="138"/>
    </row>
    <row r="1803" spans="1:28" ht="15.75" thickBot="1">
      <c r="A1803" s="368">
        <v>40968</v>
      </c>
      <c r="B1803" s="368"/>
      <c r="C1803" s="368"/>
      <c r="N1803" s="15"/>
    </row>
    <row r="1804" spans="1:28">
      <c r="A1804" s="407" t="s">
        <v>1</v>
      </c>
      <c r="B1804" s="420"/>
      <c r="C1804" s="68" t="s">
        <v>12</v>
      </c>
      <c r="D1804" s="68" t="s">
        <v>12</v>
      </c>
      <c r="E1804" s="68" t="s">
        <v>13</v>
      </c>
      <c r="F1804" s="68" t="s">
        <v>13</v>
      </c>
      <c r="G1804" s="68" t="s">
        <v>13</v>
      </c>
      <c r="H1804" s="68" t="s">
        <v>13</v>
      </c>
      <c r="I1804" s="68" t="s">
        <v>13</v>
      </c>
      <c r="J1804" s="68" t="s">
        <v>2</v>
      </c>
      <c r="K1804" s="68" t="s">
        <v>2</v>
      </c>
      <c r="L1804" s="68" t="s">
        <v>2</v>
      </c>
      <c r="M1804" s="68" t="s">
        <v>2</v>
      </c>
      <c r="N1804" s="4" t="s">
        <v>84</v>
      </c>
      <c r="X1804" s="142"/>
      <c r="Y1804" s="14"/>
      <c r="Z1804" s="14"/>
      <c r="AA1804" s="14"/>
      <c r="AB1804" s="104"/>
    </row>
    <row r="1805" spans="1:28" ht="15.75" thickBot="1">
      <c r="A1805" s="409" t="s">
        <v>0</v>
      </c>
      <c r="B1805" s="414"/>
      <c r="C1805" s="99" t="s">
        <v>102</v>
      </c>
      <c r="D1805" s="99" t="s">
        <v>103</v>
      </c>
      <c r="E1805" s="99" t="s">
        <v>104</v>
      </c>
      <c r="F1805" s="99" t="s">
        <v>105</v>
      </c>
      <c r="G1805" s="99" t="s">
        <v>100</v>
      </c>
      <c r="H1805" s="99" t="s">
        <v>107</v>
      </c>
      <c r="I1805" s="99" t="s">
        <v>106</v>
      </c>
      <c r="J1805" s="99" t="s">
        <v>108</v>
      </c>
      <c r="K1805" s="99" t="s">
        <v>110</v>
      </c>
      <c r="L1805" s="99" t="s">
        <v>101</v>
      </c>
      <c r="M1805" s="99" t="s">
        <v>109</v>
      </c>
      <c r="N1805" s="101" t="s">
        <v>111</v>
      </c>
      <c r="P1805" s="142"/>
      <c r="Q1805" s="138"/>
      <c r="R1805" s="138"/>
      <c r="S1805" s="138"/>
      <c r="T1805" s="138"/>
      <c r="U1805" s="138"/>
      <c r="V1805" s="138"/>
      <c r="W1805" s="138"/>
      <c r="X1805" s="138"/>
      <c r="Y1805" s="138"/>
      <c r="Z1805" s="138"/>
      <c r="AA1805" s="138"/>
      <c r="AB1805" s="138"/>
    </row>
    <row r="1806" spans="1:28" ht="15" customHeight="1">
      <c r="A1806" s="421" t="s">
        <v>9</v>
      </c>
      <c r="B1806" s="2" t="s">
        <v>4</v>
      </c>
      <c r="C1806" s="96">
        <v>115816.8</v>
      </c>
      <c r="D1806" s="96">
        <v>79968.7</v>
      </c>
      <c r="E1806" s="96">
        <v>79968.7</v>
      </c>
      <c r="F1806" s="96">
        <v>154422.39999999999</v>
      </c>
      <c r="G1806" s="96">
        <v>121331.8</v>
      </c>
      <c r="H1806" s="96">
        <v>110071.9</v>
      </c>
      <c r="I1806" s="96">
        <v>121331.8</v>
      </c>
      <c r="J1806" s="96">
        <v>170967.6</v>
      </c>
      <c r="K1806" s="96">
        <v>54921</v>
      </c>
      <c r="L1806" s="96">
        <v>60665.9</v>
      </c>
      <c r="M1806" s="96">
        <v>176482.7</v>
      </c>
      <c r="N1806" s="100">
        <v>54921</v>
      </c>
      <c r="O1806" s="12"/>
      <c r="X1806" s="138"/>
      <c r="Y1806" s="104"/>
      <c r="Z1806" s="104"/>
      <c r="AA1806" s="104"/>
      <c r="AB1806" s="104"/>
    </row>
    <row r="1807" spans="1:28" s="64" customFormat="1">
      <c r="A1807" s="422"/>
      <c r="B1807" s="63" t="s">
        <v>5</v>
      </c>
      <c r="C1807" s="97">
        <v>93713.9</v>
      </c>
      <c r="D1807" s="97">
        <v>66071.399999999994</v>
      </c>
      <c r="E1807" s="97">
        <v>67449</v>
      </c>
      <c r="F1807" s="97">
        <v>131445.70000000001</v>
      </c>
      <c r="G1807" s="97">
        <v>1556.4</v>
      </c>
      <c r="H1807" s="97">
        <v>26839.9</v>
      </c>
      <c r="I1807" s="97">
        <v>19671.8</v>
      </c>
      <c r="J1807" s="97">
        <v>118760.6</v>
      </c>
      <c r="K1807" s="97">
        <v>29309.599999999999</v>
      </c>
      <c r="L1807" s="97">
        <v>799.6</v>
      </c>
      <c r="M1807" s="97">
        <v>78253.100000000006</v>
      </c>
      <c r="N1807" s="102">
        <v>22935.3</v>
      </c>
      <c r="O1807" s="12"/>
      <c r="P1807" s="14"/>
      <c r="Q1807" s="104"/>
      <c r="R1807" s="104"/>
      <c r="S1807" s="104"/>
      <c r="T1807" s="104"/>
      <c r="U1807" s="104"/>
      <c r="V1807" s="104"/>
      <c r="W1807" s="104"/>
      <c r="X1807" s="138"/>
      <c r="Y1807" s="104"/>
      <c r="Z1807" s="104"/>
      <c r="AA1807" s="104"/>
      <c r="AB1807" s="104"/>
    </row>
    <row r="1808" spans="1:28" ht="15.75" thickBot="1">
      <c r="A1808" s="423"/>
      <c r="B1808" s="3" t="s">
        <v>3</v>
      </c>
      <c r="C1808" s="71">
        <f>C1807/C1806</f>
        <v>0.80915635728149971</v>
      </c>
      <c r="D1808" s="72">
        <f t="shared" ref="D1808:N1808" si="1271">D1807/D1806</f>
        <v>0.82621575691489291</v>
      </c>
      <c r="E1808" s="72">
        <f t="shared" si="1271"/>
        <v>0.84344249687690309</v>
      </c>
      <c r="F1808" s="72">
        <f t="shared" si="1271"/>
        <v>0.85120876245933241</v>
      </c>
      <c r="G1808" s="72">
        <f t="shared" si="1271"/>
        <v>1.2827634634943189E-2</v>
      </c>
      <c r="H1808" s="72">
        <f t="shared" si="1271"/>
        <v>0.24383970840877647</v>
      </c>
      <c r="I1808" s="72">
        <f t="shared" si="1271"/>
        <v>0.1621322687044946</v>
      </c>
      <c r="J1808" s="72">
        <f t="shared" si="1271"/>
        <v>0.6946380483787572</v>
      </c>
      <c r="K1808" s="72">
        <f t="shared" si="1271"/>
        <v>0.53366836000801143</v>
      </c>
      <c r="L1808" s="72">
        <f t="shared" si="1271"/>
        <v>1.3180386345541729E-2</v>
      </c>
      <c r="M1808" s="72">
        <f t="shared" si="1271"/>
        <v>0.44340380105245442</v>
      </c>
      <c r="N1808" s="83">
        <f t="shared" si="1271"/>
        <v>0.41760528759490906</v>
      </c>
      <c r="O1808" s="12"/>
      <c r="X1808" s="138"/>
      <c r="Y1808" s="104"/>
      <c r="Z1808" s="104"/>
      <c r="AA1808" s="104"/>
      <c r="AB1808" s="104"/>
    </row>
    <row r="1809" spans="1:28" ht="15" customHeight="1">
      <c r="A1809" s="411" t="s">
        <v>6</v>
      </c>
      <c r="B1809" s="27" t="s">
        <v>7</v>
      </c>
      <c r="C1809" s="68">
        <v>5006</v>
      </c>
      <c r="D1809" s="68">
        <v>3200</v>
      </c>
      <c r="E1809" s="68">
        <v>3200</v>
      </c>
      <c r="F1809" s="68">
        <v>9503</v>
      </c>
      <c r="G1809" s="68">
        <v>3200</v>
      </c>
      <c r="H1809" s="68">
        <v>5980</v>
      </c>
      <c r="I1809" s="68">
        <v>4000</v>
      </c>
      <c r="J1809" s="68">
        <v>9503</v>
      </c>
      <c r="K1809" s="68">
        <v>3000</v>
      </c>
      <c r="L1809" s="68">
        <v>1600</v>
      </c>
      <c r="M1809" s="68">
        <f>4643-2210</f>
        <v>2433</v>
      </c>
      <c r="N1809" s="80">
        <v>396</v>
      </c>
      <c r="O1809" s="12"/>
      <c r="X1809" s="138"/>
      <c r="Y1809" s="104"/>
      <c r="Z1809" s="104"/>
      <c r="AA1809" s="104"/>
      <c r="AB1809" s="104"/>
    </row>
    <row r="1810" spans="1:28">
      <c r="A1810" s="412"/>
      <c r="B1810" s="28" t="s">
        <v>11</v>
      </c>
      <c r="C1810" s="73">
        <f t="shared" ref="C1810:G1810" si="1272">C1809*33.79</f>
        <v>169152.74</v>
      </c>
      <c r="D1810" s="73">
        <f t="shared" si="1272"/>
        <v>108128</v>
      </c>
      <c r="E1810" s="73">
        <f t="shared" si="1272"/>
        <v>108128</v>
      </c>
      <c r="F1810" s="73">
        <f t="shared" si="1272"/>
        <v>321106.37</v>
      </c>
      <c r="G1810" s="73">
        <f t="shared" si="1272"/>
        <v>108128</v>
      </c>
      <c r="H1810" s="73">
        <f>H1809*33.79</f>
        <v>202064.19999999998</v>
      </c>
      <c r="I1810" s="73">
        <f t="shared" ref="I1810:N1810" si="1273">I1809*33.79</f>
        <v>135160</v>
      </c>
      <c r="J1810" s="73">
        <f t="shared" si="1273"/>
        <v>321106.37</v>
      </c>
      <c r="K1810" s="73">
        <f t="shared" si="1273"/>
        <v>101370</v>
      </c>
      <c r="L1810" s="73">
        <f t="shared" si="1273"/>
        <v>54064</v>
      </c>
      <c r="M1810" s="73">
        <f t="shared" si="1273"/>
        <v>82211.069999999992</v>
      </c>
      <c r="N1810" s="84">
        <f t="shared" si="1273"/>
        <v>13380.84</v>
      </c>
      <c r="O1810" s="12"/>
      <c r="X1810" s="138"/>
      <c r="Y1810" s="104"/>
      <c r="Z1810" s="104"/>
      <c r="AA1810" s="104"/>
      <c r="AB1810" s="104"/>
    </row>
    <row r="1811" spans="1:28">
      <c r="A1811" s="412"/>
      <c r="B1811" s="28" t="s">
        <v>79</v>
      </c>
      <c r="C1811" s="73">
        <v>164000</v>
      </c>
      <c r="D1811" s="73">
        <v>109880</v>
      </c>
      <c r="E1811" s="73">
        <v>109880</v>
      </c>
      <c r="F1811" s="73">
        <v>328000</v>
      </c>
      <c r="G1811" s="73">
        <f>G1806*2</f>
        <v>242663.6</v>
      </c>
      <c r="H1811" s="73">
        <f>H1806*2</f>
        <v>220143.8</v>
      </c>
      <c r="I1811" s="73">
        <f>I1806*2</f>
        <v>242663.6</v>
      </c>
      <c r="J1811" s="73">
        <v>328000</v>
      </c>
      <c r="K1811" s="73">
        <f>K1806*2</f>
        <v>109842</v>
      </c>
      <c r="L1811" s="73">
        <v>328000</v>
      </c>
      <c r="M1811" s="73">
        <f>2*M1806</f>
        <v>352965.4</v>
      </c>
      <c r="N1811" s="84">
        <f>2*N1806</f>
        <v>109842</v>
      </c>
      <c r="O1811" s="12"/>
    </row>
    <row r="1812" spans="1:28" s="64" customFormat="1">
      <c r="A1812" s="412"/>
      <c r="B1812" s="66" t="s">
        <v>8</v>
      </c>
      <c r="C1812" s="98">
        <f>SUM(C1809-460)</f>
        <v>4546</v>
      </c>
      <c r="D1812" s="98">
        <f>SUM(D1809-743)</f>
        <v>2457</v>
      </c>
      <c r="E1812" s="98">
        <f>SUM(E1809-713)</f>
        <v>2487</v>
      </c>
      <c r="F1812" s="98">
        <f>SUM(F1809-1224)</f>
        <v>8279</v>
      </c>
      <c r="G1812" s="98">
        <f>SUM(G1809-3007)</f>
        <v>193</v>
      </c>
      <c r="H1812" s="98">
        <f>SUM(H1809-2375)</f>
        <v>3605</v>
      </c>
      <c r="I1812" s="98">
        <f>SUM(I1809-2923)</f>
        <v>1077</v>
      </c>
      <c r="J1812" s="98">
        <f>SUM(J1809-1522)</f>
        <v>7981</v>
      </c>
      <c r="K1812" s="98">
        <f>SUM(K1809-1189)</f>
        <v>1811</v>
      </c>
      <c r="L1812" s="98">
        <f>SUM(L1809-1379)</f>
        <v>221</v>
      </c>
      <c r="M1812" s="98">
        <f>SUM(M1809-(3367-2210))</f>
        <v>1276</v>
      </c>
      <c r="N1812" s="103">
        <f>SUM(N1809-49)</f>
        <v>347</v>
      </c>
      <c r="O1812" s="12"/>
      <c r="P1812" s="14"/>
      <c r="Q1812" s="138"/>
      <c r="R1812" s="104"/>
      <c r="S1812" s="104"/>
      <c r="T1812" s="104"/>
      <c r="U1812" s="104"/>
      <c r="V1812" s="104"/>
      <c r="W1812" s="104"/>
    </row>
    <row r="1813" spans="1:28">
      <c r="A1813" s="412"/>
      <c r="B1813" s="29" t="s">
        <v>77</v>
      </c>
      <c r="C1813" s="75">
        <f>C1812*33.72</f>
        <v>153291.12</v>
      </c>
      <c r="D1813" s="75">
        <f>D1812*33.72</f>
        <v>82850.039999999994</v>
      </c>
      <c r="E1813" s="75">
        <f>E1812*33.72</f>
        <v>83861.64</v>
      </c>
      <c r="F1813" s="75">
        <f>F1812*33.72</f>
        <v>279167.88</v>
      </c>
      <c r="G1813" s="75">
        <f>G1812*33.72*2</f>
        <v>13015.92</v>
      </c>
      <c r="H1813" s="75">
        <f>H1812*33.72</f>
        <v>121560.59999999999</v>
      </c>
      <c r="I1813" s="75">
        <f>I1812*33.72</f>
        <v>36316.44</v>
      </c>
      <c r="J1813" s="75">
        <f>J1812*33.72</f>
        <v>269119.32</v>
      </c>
      <c r="K1813" s="75">
        <f>K1812*33.72</f>
        <v>61066.92</v>
      </c>
      <c r="L1813" s="75">
        <f>L1812*33.72</f>
        <v>7452.12</v>
      </c>
      <c r="M1813" s="75">
        <f>M1812*33.72*2</f>
        <v>86053.440000000002</v>
      </c>
      <c r="N1813" s="11">
        <f>N1812*33.72</f>
        <v>11700.84</v>
      </c>
      <c r="O1813" s="12"/>
      <c r="Q1813" s="138"/>
    </row>
    <row r="1814" spans="1:28" ht="15.75" thickBot="1">
      <c r="A1814" s="412"/>
      <c r="B1814" s="30" t="s">
        <v>10</v>
      </c>
      <c r="C1814" s="71">
        <f>C1812*33.7/C1806</f>
        <v>1.322780460175035</v>
      </c>
      <c r="D1814" s="71">
        <f t="shared" ref="D1814:N1814" si="1274">D1812*33.7/D1806</f>
        <v>1.0354163566495393</v>
      </c>
      <c r="E1814" s="78">
        <f t="shared" si="1274"/>
        <v>1.0480588030066764</v>
      </c>
      <c r="F1814" s="78">
        <f t="shared" si="1274"/>
        <v>1.8067475962036599</v>
      </c>
      <c r="G1814" s="78">
        <f t="shared" si="1274"/>
        <v>5.3605897217382417E-2</v>
      </c>
      <c r="H1814" s="78">
        <f t="shared" si="1274"/>
        <v>1.1037194779048969</v>
      </c>
      <c r="I1814" s="78">
        <f t="shared" si="1274"/>
        <v>0.29913757151876097</v>
      </c>
      <c r="J1814" s="78">
        <f t="shared" si="1274"/>
        <v>1.5731618154550921</v>
      </c>
      <c r="K1814" s="78">
        <f t="shared" si="1274"/>
        <v>1.1112452431674589</v>
      </c>
      <c r="L1814" s="78">
        <f t="shared" si="1274"/>
        <v>0.12276583715068927</v>
      </c>
      <c r="M1814" s="79">
        <f t="shared" si="1274"/>
        <v>0.24365674369215792</v>
      </c>
      <c r="N1814" s="26">
        <f t="shared" si="1274"/>
        <v>0.21292219733799461</v>
      </c>
      <c r="O1814" s="12"/>
      <c r="Q1814" s="138"/>
    </row>
    <row r="1815" spans="1:28" ht="15.75" customHeight="1" thickBot="1">
      <c r="A1815" s="424" t="s">
        <v>83</v>
      </c>
      <c r="B1815" s="425"/>
      <c r="C1815" s="76">
        <f>MIN(2*C1806,C1811)-C1813</f>
        <v>10708.880000000005</v>
      </c>
      <c r="D1815" s="76">
        <f t="shared" ref="D1815:N1815" si="1275">MIN(2*D1806,D1811)-D1813</f>
        <v>27029.960000000006</v>
      </c>
      <c r="E1815" s="76">
        <f t="shared" si="1275"/>
        <v>26018.36</v>
      </c>
      <c r="F1815" s="76">
        <f t="shared" si="1275"/>
        <v>29676.919999999984</v>
      </c>
      <c r="G1815" s="76">
        <f t="shared" si="1275"/>
        <v>229647.68</v>
      </c>
      <c r="H1815" s="76">
        <f t="shared" si="1275"/>
        <v>98583.2</v>
      </c>
      <c r="I1815" s="76">
        <f t="shared" si="1275"/>
        <v>206347.16</v>
      </c>
      <c r="J1815" s="76">
        <f t="shared" si="1275"/>
        <v>58880.679999999993</v>
      </c>
      <c r="K1815" s="76">
        <f t="shared" si="1275"/>
        <v>48775.08</v>
      </c>
      <c r="L1815" s="76">
        <f t="shared" si="1275"/>
        <v>113879.68000000001</v>
      </c>
      <c r="M1815" s="76">
        <f t="shared" si="1275"/>
        <v>266911.96000000002</v>
      </c>
      <c r="N1815" s="22">
        <f t="shared" si="1275"/>
        <v>98141.16</v>
      </c>
      <c r="O1815" s="12"/>
      <c r="Q1815" s="138"/>
    </row>
    <row r="1816" spans="1:28" ht="15.75" thickBot="1">
      <c r="A1816" s="368">
        <v>40967</v>
      </c>
      <c r="B1816" s="368"/>
      <c r="C1816" s="368"/>
      <c r="N1816" s="15"/>
    </row>
    <row r="1817" spans="1:28">
      <c r="A1817" s="407" t="s">
        <v>1</v>
      </c>
      <c r="B1817" s="420"/>
      <c r="C1817" s="68" t="s">
        <v>12</v>
      </c>
      <c r="D1817" s="68" t="s">
        <v>12</v>
      </c>
      <c r="E1817" s="68" t="s">
        <v>13</v>
      </c>
      <c r="F1817" s="68" t="s">
        <v>13</v>
      </c>
      <c r="G1817" s="68" t="s">
        <v>13</v>
      </c>
      <c r="H1817" s="68" t="s">
        <v>13</v>
      </c>
      <c r="I1817" s="68" t="s">
        <v>13</v>
      </c>
      <c r="J1817" s="68" t="s">
        <v>2</v>
      </c>
      <c r="K1817" s="68" t="s">
        <v>2</v>
      </c>
      <c r="L1817" s="68" t="s">
        <v>2</v>
      </c>
      <c r="M1817" s="68" t="s">
        <v>2</v>
      </c>
      <c r="N1817" s="4" t="s">
        <v>84</v>
      </c>
      <c r="X1817" s="142"/>
      <c r="Y1817" s="14"/>
      <c r="Z1817" s="14"/>
      <c r="AA1817" s="14"/>
      <c r="AB1817" s="104"/>
    </row>
    <row r="1818" spans="1:28" ht="15.75" thickBot="1">
      <c r="A1818" s="409" t="s">
        <v>0</v>
      </c>
      <c r="B1818" s="414"/>
      <c r="C1818" s="99" t="s">
        <v>102</v>
      </c>
      <c r="D1818" s="99" t="s">
        <v>103</v>
      </c>
      <c r="E1818" s="99" t="s">
        <v>104</v>
      </c>
      <c r="F1818" s="99" t="s">
        <v>105</v>
      </c>
      <c r="G1818" s="99" t="s">
        <v>100</v>
      </c>
      <c r="H1818" s="99" t="s">
        <v>107</v>
      </c>
      <c r="I1818" s="99" t="s">
        <v>106</v>
      </c>
      <c r="J1818" s="99" t="s">
        <v>108</v>
      </c>
      <c r="K1818" s="99" t="s">
        <v>110</v>
      </c>
      <c r="L1818" s="99" t="s">
        <v>101</v>
      </c>
      <c r="M1818" s="99" t="s">
        <v>109</v>
      </c>
      <c r="N1818" s="101" t="s">
        <v>111</v>
      </c>
      <c r="P1818" s="142"/>
      <c r="Q1818" s="138"/>
      <c r="R1818" s="138"/>
      <c r="S1818" s="138"/>
      <c r="T1818" s="138"/>
      <c r="U1818" s="138"/>
      <c r="V1818" s="138"/>
      <c r="W1818" s="138"/>
      <c r="X1818" s="138"/>
      <c r="Y1818" s="138"/>
      <c r="Z1818" s="138"/>
      <c r="AA1818" s="138"/>
      <c r="AB1818" s="138"/>
    </row>
    <row r="1819" spans="1:28" ht="15" customHeight="1">
      <c r="A1819" s="421" t="s">
        <v>9</v>
      </c>
      <c r="B1819" s="2" t="s">
        <v>4</v>
      </c>
      <c r="C1819" s="96">
        <v>115816.8</v>
      </c>
      <c r="D1819" s="96">
        <v>79968.7</v>
      </c>
      <c r="E1819" s="96">
        <v>79968.7</v>
      </c>
      <c r="F1819" s="96">
        <v>154422.39999999999</v>
      </c>
      <c r="G1819" s="96">
        <v>121331.8</v>
      </c>
      <c r="H1819" s="96">
        <v>110071.9</v>
      </c>
      <c r="I1819" s="96">
        <v>121331.8</v>
      </c>
      <c r="J1819" s="96">
        <v>170967.6</v>
      </c>
      <c r="K1819" s="96">
        <v>54921</v>
      </c>
      <c r="L1819" s="96">
        <v>60665.9</v>
      </c>
      <c r="M1819" s="96">
        <v>176482.7</v>
      </c>
      <c r="N1819" s="100">
        <v>54921</v>
      </c>
      <c r="O1819" s="12"/>
      <c r="X1819" s="138"/>
      <c r="Y1819" s="104"/>
      <c r="Z1819" s="104"/>
      <c r="AA1819" s="104"/>
      <c r="AB1819" s="104"/>
    </row>
    <row r="1820" spans="1:28" s="64" customFormat="1">
      <c r="A1820" s="422"/>
      <c r="B1820" s="63" t="s">
        <v>5</v>
      </c>
      <c r="C1820" s="97">
        <v>93577.600000000006</v>
      </c>
      <c r="D1820" s="97">
        <v>66066.899999999994</v>
      </c>
      <c r="E1820" s="97">
        <v>67444.600000000006</v>
      </c>
      <c r="F1820" s="97">
        <v>131356.79999999999</v>
      </c>
      <c r="G1820" s="97">
        <v>1360.9</v>
      </c>
      <c r="H1820" s="97">
        <v>26659.3</v>
      </c>
      <c r="I1820" s="97">
        <v>19660.900000000001</v>
      </c>
      <c r="J1820" s="97">
        <v>118652.4</v>
      </c>
      <c r="K1820" s="97">
        <v>29308.1</v>
      </c>
      <c r="L1820" s="97">
        <v>700.2</v>
      </c>
      <c r="M1820" s="97">
        <v>78231.5</v>
      </c>
      <c r="N1820" s="102">
        <v>22935.200000000001</v>
      </c>
      <c r="O1820" s="12"/>
      <c r="P1820" s="14"/>
      <c r="Q1820" s="104"/>
      <c r="R1820" s="104"/>
      <c r="S1820" s="104"/>
      <c r="T1820" s="104"/>
      <c r="U1820" s="104"/>
      <c r="V1820" s="104"/>
      <c r="W1820" s="104"/>
      <c r="X1820" s="138"/>
      <c r="Y1820" s="104"/>
      <c r="Z1820" s="104"/>
      <c r="AA1820" s="104"/>
      <c r="AB1820" s="104"/>
    </row>
    <row r="1821" spans="1:28" ht="15.75" thickBot="1">
      <c r="A1821" s="423"/>
      <c r="B1821" s="3" t="s">
        <v>3</v>
      </c>
      <c r="C1821" s="71">
        <f>C1820/C1819</f>
        <v>0.80797949865649887</v>
      </c>
      <c r="D1821" s="72">
        <f t="shared" ref="D1821:N1821" si="1276">D1820/D1819</f>
        <v>0.82615948489846647</v>
      </c>
      <c r="E1821" s="72">
        <f t="shared" si="1276"/>
        <v>0.84338747534973069</v>
      </c>
      <c r="F1821" s="72">
        <f t="shared" si="1276"/>
        <v>0.8506330687775866</v>
      </c>
      <c r="G1821" s="72">
        <f t="shared" si="1276"/>
        <v>1.1216350536297987E-2</v>
      </c>
      <c r="H1821" s="72">
        <f t="shared" si="1276"/>
        <v>0.24219896267803137</v>
      </c>
      <c r="I1821" s="72">
        <f t="shared" si="1276"/>
        <v>0.16204243240436556</v>
      </c>
      <c r="J1821" s="72">
        <f t="shared" si="1276"/>
        <v>0.6940051799288286</v>
      </c>
      <c r="K1821" s="72">
        <f t="shared" si="1276"/>
        <v>0.53364104805083667</v>
      </c>
      <c r="L1821" s="72">
        <f t="shared" si="1276"/>
        <v>1.1541904100985892E-2</v>
      </c>
      <c r="M1821" s="72">
        <f t="shared" si="1276"/>
        <v>0.44328140945259786</v>
      </c>
      <c r="N1821" s="83">
        <f t="shared" si="1276"/>
        <v>0.41760346679776406</v>
      </c>
      <c r="O1821" s="12"/>
      <c r="X1821" s="138"/>
      <c r="Y1821" s="104"/>
      <c r="Z1821" s="104"/>
      <c r="AA1821" s="104"/>
      <c r="AB1821" s="104"/>
    </row>
    <row r="1822" spans="1:28" ht="15" customHeight="1">
      <c r="A1822" s="411" t="s">
        <v>6</v>
      </c>
      <c r="B1822" s="27" t="s">
        <v>7</v>
      </c>
      <c r="C1822" s="68">
        <v>5006</v>
      </c>
      <c r="D1822" s="68">
        <v>3200</v>
      </c>
      <c r="E1822" s="68">
        <v>3200</v>
      </c>
      <c r="F1822" s="68">
        <v>9503</v>
      </c>
      <c r="G1822" s="68">
        <v>3200</v>
      </c>
      <c r="H1822" s="68">
        <v>5980</v>
      </c>
      <c r="I1822" s="68">
        <v>4000</v>
      </c>
      <c r="J1822" s="68">
        <v>9503</v>
      </c>
      <c r="K1822" s="68">
        <v>3000</v>
      </c>
      <c r="L1822" s="68">
        <v>1600</v>
      </c>
      <c r="M1822" s="68">
        <f>4643-2210</f>
        <v>2433</v>
      </c>
      <c r="N1822" s="80">
        <v>396</v>
      </c>
      <c r="O1822" s="12"/>
      <c r="X1822" s="138"/>
      <c r="Y1822" s="104"/>
      <c r="Z1822" s="104"/>
      <c r="AA1822" s="104"/>
      <c r="AB1822" s="104"/>
    </row>
    <row r="1823" spans="1:28">
      <c r="A1823" s="412"/>
      <c r="B1823" s="28" t="s">
        <v>11</v>
      </c>
      <c r="C1823" s="73">
        <f t="shared" ref="C1823:N1823" si="1277">C1822*33.79</f>
        <v>169152.74</v>
      </c>
      <c r="D1823" s="73">
        <f t="shared" si="1277"/>
        <v>108128</v>
      </c>
      <c r="E1823" s="73">
        <f t="shared" si="1277"/>
        <v>108128</v>
      </c>
      <c r="F1823" s="73">
        <f t="shared" si="1277"/>
        <v>321106.37</v>
      </c>
      <c r="G1823" s="73">
        <f t="shared" si="1277"/>
        <v>108128</v>
      </c>
      <c r="H1823" s="73">
        <f>H1822*33.79</f>
        <v>202064.19999999998</v>
      </c>
      <c r="I1823" s="73">
        <f t="shared" si="1277"/>
        <v>135160</v>
      </c>
      <c r="J1823" s="73">
        <f t="shared" si="1277"/>
        <v>321106.37</v>
      </c>
      <c r="K1823" s="73">
        <f t="shared" si="1277"/>
        <v>101370</v>
      </c>
      <c r="L1823" s="73">
        <f t="shared" si="1277"/>
        <v>54064</v>
      </c>
      <c r="M1823" s="73">
        <f t="shared" si="1277"/>
        <v>82211.069999999992</v>
      </c>
      <c r="N1823" s="84">
        <f t="shared" si="1277"/>
        <v>13380.84</v>
      </c>
      <c r="O1823" s="12"/>
      <c r="X1823" s="138"/>
      <c r="Y1823" s="104"/>
      <c r="Z1823" s="104"/>
      <c r="AA1823" s="104"/>
      <c r="AB1823" s="104"/>
    </row>
    <row r="1824" spans="1:28">
      <c r="A1824" s="412"/>
      <c r="B1824" s="28" t="s">
        <v>79</v>
      </c>
      <c r="C1824" s="73">
        <v>164000</v>
      </c>
      <c r="D1824" s="73">
        <v>109880</v>
      </c>
      <c r="E1824" s="73">
        <v>109880</v>
      </c>
      <c r="F1824" s="73">
        <v>328000</v>
      </c>
      <c r="G1824" s="73">
        <f>G1819*2</f>
        <v>242663.6</v>
      </c>
      <c r="H1824" s="73">
        <f>H1819*2</f>
        <v>220143.8</v>
      </c>
      <c r="I1824" s="73">
        <f>I1819*2</f>
        <v>242663.6</v>
      </c>
      <c r="J1824" s="73">
        <v>328000</v>
      </c>
      <c r="K1824" s="73">
        <f>K1819*2</f>
        <v>109842</v>
      </c>
      <c r="L1824" s="73">
        <v>328000</v>
      </c>
      <c r="M1824" s="73">
        <f>2*M1819</f>
        <v>352965.4</v>
      </c>
      <c r="N1824" s="84">
        <f>2*N1819</f>
        <v>109842</v>
      </c>
      <c r="O1824" s="12"/>
    </row>
    <row r="1825" spans="1:28" s="64" customFormat="1">
      <c r="A1825" s="412"/>
      <c r="B1825" s="66" t="s">
        <v>8</v>
      </c>
      <c r="C1825" s="98">
        <f>SUM(C1822-460)</f>
        <v>4546</v>
      </c>
      <c r="D1825" s="98">
        <f>SUM(D1822-743)</f>
        <v>2457</v>
      </c>
      <c r="E1825" s="98">
        <f>SUM(E1822-713)</f>
        <v>2487</v>
      </c>
      <c r="F1825" s="98">
        <f>SUM(F1822-1224)</f>
        <v>8279</v>
      </c>
      <c r="G1825" s="98">
        <f>SUM(G1822-3007)</f>
        <v>193</v>
      </c>
      <c r="H1825" s="98">
        <f>SUM(H1822-2401)</f>
        <v>3579</v>
      </c>
      <c r="I1825" s="98">
        <f>SUM(I1822-2923)</f>
        <v>1077</v>
      </c>
      <c r="J1825" s="98">
        <f>SUM(J1822-1522)</f>
        <v>7981</v>
      </c>
      <c r="K1825" s="98">
        <f>SUM(K1822-1205)</f>
        <v>1795</v>
      </c>
      <c r="L1825" s="98">
        <f>SUM(L1822-1379)</f>
        <v>221</v>
      </c>
      <c r="M1825" s="98">
        <f>SUM(M1822-(3367-2210))</f>
        <v>1276</v>
      </c>
      <c r="N1825" s="103">
        <f>SUM(N1822-49)</f>
        <v>347</v>
      </c>
      <c r="O1825" s="12"/>
      <c r="P1825" s="14"/>
      <c r="Q1825" s="138"/>
      <c r="R1825" s="104"/>
      <c r="S1825" s="104"/>
      <c r="T1825" s="104"/>
      <c r="U1825" s="104"/>
      <c r="V1825" s="104"/>
      <c r="W1825" s="104"/>
    </row>
    <row r="1826" spans="1:28">
      <c r="A1826" s="412"/>
      <c r="B1826" s="29" t="s">
        <v>77</v>
      </c>
      <c r="C1826" s="75">
        <f>C1825*33.72</f>
        <v>153291.12</v>
      </c>
      <c r="D1826" s="75">
        <f>D1825*33.72</f>
        <v>82850.039999999994</v>
      </c>
      <c r="E1826" s="75">
        <f>E1825*33.72</f>
        <v>83861.64</v>
      </c>
      <c r="F1826" s="75">
        <f>F1825*33.72</f>
        <v>279167.88</v>
      </c>
      <c r="G1826" s="75">
        <f>G1825*33.72*2</f>
        <v>13015.92</v>
      </c>
      <c r="H1826" s="75">
        <f>H1825*33.72</f>
        <v>120683.87999999999</v>
      </c>
      <c r="I1826" s="75">
        <f>I1825*33.72</f>
        <v>36316.44</v>
      </c>
      <c r="J1826" s="75">
        <f>J1825*33.72</f>
        <v>269119.32</v>
      </c>
      <c r="K1826" s="75">
        <f>K1825*33.72</f>
        <v>60527.4</v>
      </c>
      <c r="L1826" s="75">
        <f>L1825*33.72</f>
        <v>7452.12</v>
      </c>
      <c r="M1826" s="75">
        <f>M1825*33.72*2</f>
        <v>86053.440000000002</v>
      </c>
      <c r="N1826" s="11">
        <f>N1825*33.72</f>
        <v>11700.84</v>
      </c>
      <c r="O1826" s="12"/>
      <c r="Q1826" s="138"/>
    </row>
    <row r="1827" spans="1:28" ht="15.75" thickBot="1">
      <c r="A1827" s="412"/>
      <c r="B1827" s="30" t="s">
        <v>10</v>
      </c>
      <c r="C1827" s="71">
        <f>C1825*33.7/C1819</f>
        <v>1.322780460175035</v>
      </c>
      <c r="D1827" s="71">
        <f t="shared" ref="D1827:N1827" si="1278">D1825*33.7/D1819</f>
        <v>1.0354163566495393</v>
      </c>
      <c r="E1827" s="78">
        <f t="shared" si="1278"/>
        <v>1.0480588030066764</v>
      </c>
      <c r="F1827" s="78">
        <f t="shared" si="1278"/>
        <v>1.8067475962036599</v>
      </c>
      <c r="G1827" s="78">
        <f t="shared" si="1278"/>
        <v>5.3605897217382417E-2</v>
      </c>
      <c r="H1827" s="78">
        <f t="shared" si="1278"/>
        <v>1.0957592264692442</v>
      </c>
      <c r="I1827" s="78">
        <f t="shared" si="1278"/>
        <v>0.29913757151876097</v>
      </c>
      <c r="J1827" s="78">
        <f t="shared" si="1278"/>
        <v>1.5731618154550921</v>
      </c>
      <c r="K1827" s="78">
        <f t="shared" si="1278"/>
        <v>1.1014275049616724</v>
      </c>
      <c r="L1827" s="78">
        <f t="shared" si="1278"/>
        <v>0.12276583715068927</v>
      </c>
      <c r="M1827" s="79">
        <f t="shared" si="1278"/>
        <v>0.24365674369215792</v>
      </c>
      <c r="N1827" s="26">
        <f t="shared" si="1278"/>
        <v>0.21292219733799461</v>
      </c>
      <c r="O1827" s="12"/>
      <c r="Q1827" s="138"/>
    </row>
    <row r="1828" spans="1:28" ht="15.75" customHeight="1" thickBot="1">
      <c r="A1828" s="424" t="s">
        <v>83</v>
      </c>
      <c r="B1828" s="425"/>
      <c r="C1828" s="76">
        <f>MIN(2*C1819,C1824)-C1826</f>
        <v>10708.880000000005</v>
      </c>
      <c r="D1828" s="76">
        <f t="shared" ref="D1828:N1828" si="1279">MIN(2*D1819,D1824)-D1826</f>
        <v>27029.960000000006</v>
      </c>
      <c r="E1828" s="76">
        <f t="shared" si="1279"/>
        <v>26018.36</v>
      </c>
      <c r="F1828" s="76">
        <f t="shared" si="1279"/>
        <v>29676.919999999984</v>
      </c>
      <c r="G1828" s="76">
        <f t="shared" si="1279"/>
        <v>229647.68</v>
      </c>
      <c r="H1828" s="76">
        <f t="shared" si="1279"/>
        <v>99459.92</v>
      </c>
      <c r="I1828" s="76">
        <f t="shared" si="1279"/>
        <v>206347.16</v>
      </c>
      <c r="J1828" s="76">
        <f t="shared" si="1279"/>
        <v>58880.679999999993</v>
      </c>
      <c r="K1828" s="76">
        <f t="shared" si="1279"/>
        <v>49314.6</v>
      </c>
      <c r="L1828" s="76">
        <f t="shared" si="1279"/>
        <v>113879.68000000001</v>
      </c>
      <c r="M1828" s="76">
        <f t="shared" si="1279"/>
        <v>266911.96000000002</v>
      </c>
      <c r="N1828" s="22">
        <f t="shared" si="1279"/>
        <v>98141.16</v>
      </c>
      <c r="O1828" s="12"/>
      <c r="Q1828" s="138"/>
    </row>
    <row r="1829" spans="1:28" ht="15.75" thickBot="1">
      <c r="A1829" s="368">
        <v>40966</v>
      </c>
      <c r="B1829" s="368"/>
      <c r="C1829" s="368"/>
      <c r="N1829" s="15"/>
    </row>
    <row r="1830" spans="1:28">
      <c r="A1830" s="407" t="s">
        <v>1</v>
      </c>
      <c r="B1830" s="420"/>
      <c r="C1830" s="68" t="s">
        <v>12</v>
      </c>
      <c r="D1830" s="68" t="s">
        <v>12</v>
      </c>
      <c r="E1830" s="68" t="s">
        <v>13</v>
      </c>
      <c r="F1830" s="68" t="s">
        <v>13</v>
      </c>
      <c r="G1830" s="68" t="s">
        <v>13</v>
      </c>
      <c r="H1830" s="68" t="s">
        <v>13</v>
      </c>
      <c r="I1830" s="68" t="s">
        <v>13</v>
      </c>
      <c r="J1830" s="68" t="s">
        <v>2</v>
      </c>
      <c r="K1830" s="68" t="s">
        <v>2</v>
      </c>
      <c r="L1830" s="68" t="s">
        <v>2</v>
      </c>
      <c r="M1830" s="68" t="s">
        <v>2</v>
      </c>
      <c r="N1830" s="4" t="s">
        <v>84</v>
      </c>
      <c r="X1830" s="142"/>
      <c r="Y1830" s="14"/>
      <c r="Z1830" s="14"/>
      <c r="AA1830" s="14"/>
      <c r="AB1830" s="104"/>
    </row>
    <row r="1831" spans="1:28" ht="15.75" thickBot="1">
      <c r="A1831" s="409" t="s">
        <v>0</v>
      </c>
      <c r="B1831" s="414"/>
      <c r="C1831" s="99" t="s">
        <v>102</v>
      </c>
      <c r="D1831" s="99" t="s">
        <v>103</v>
      </c>
      <c r="E1831" s="99" t="s">
        <v>104</v>
      </c>
      <c r="F1831" s="99" t="s">
        <v>105</v>
      </c>
      <c r="G1831" s="99" t="s">
        <v>100</v>
      </c>
      <c r="H1831" s="99" t="s">
        <v>107</v>
      </c>
      <c r="I1831" s="99" t="s">
        <v>106</v>
      </c>
      <c r="J1831" s="99" t="s">
        <v>108</v>
      </c>
      <c r="K1831" s="99" t="s">
        <v>110</v>
      </c>
      <c r="L1831" s="99" t="s">
        <v>101</v>
      </c>
      <c r="M1831" s="99" t="s">
        <v>109</v>
      </c>
      <c r="N1831" s="101" t="s">
        <v>111</v>
      </c>
      <c r="P1831" s="142"/>
      <c r="Q1831" s="138"/>
      <c r="R1831" s="138"/>
      <c r="S1831" s="138"/>
      <c r="T1831" s="138"/>
      <c r="U1831" s="138"/>
      <c r="V1831" s="138"/>
      <c r="W1831" s="138"/>
      <c r="X1831" s="138"/>
      <c r="Y1831" s="138"/>
      <c r="Z1831" s="138"/>
      <c r="AA1831" s="138"/>
      <c r="AB1831" s="138"/>
    </row>
    <row r="1832" spans="1:28" ht="15" customHeight="1">
      <c r="A1832" s="421" t="s">
        <v>9</v>
      </c>
      <c r="B1832" s="2" t="s">
        <v>4</v>
      </c>
      <c r="C1832" s="96">
        <v>115816.8</v>
      </c>
      <c r="D1832" s="96">
        <v>79968.7</v>
      </c>
      <c r="E1832" s="96">
        <v>79968.7</v>
      </c>
      <c r="F1832" s="96">
        <v>154422.39999999999</v>
      </c>
      <c r="G1832" s="96">
        <v>121331.8</v>
      </c>
      <c r="H1832" s="96">
        <v>110071.9</v>
      </c>
      <c r="I1832" s="96">
        <v>121331.8</v>
      </c>
      <c r="J1832" s="96">
        <v>170967.6</v>
      </c>
      <c r="K1832" s="96">
        <v>54921</v>
      </c>
      <c r="L1832" s="96">
        <v>60665.9</v>
      </c>
      <c r="M1832" s="96">
        <v>176482.7</v>
      </c>
      <c r="N1832" s="100">
        <v>54921</v>
      </c>
      <c r="X1832" s="138"/>
      <c r="Y1832" s="104"/>
      <c r="Z1832" s="104"/>
      <c r="AA1832" s="104"/>
      <c r="AB1832" s="104"/>
    </row>
    <row r="1833" spans="1:28" s="64" customFormat="1">
      <c r="A1833" s="422"/>
      <c r="B1833" s="63" t="s">
        <v>5</v>
      </c>
      <c r="C1833" s="97">
        <v>93569.5</v>
      </c>
      <c r="D1833" s="97">
        <v>66065.7</v>
      </c>
      <c r="E1833" s="97">
        <v>67443.399999999994</v>
      </c>
      <c r="F1833" s="97">
        <v>131241.70000000001</v>
      </c>
      <c r="G1833" s="97">
        <v>856.4</v>
      </c>
      <c r="H1833" s="97">
        <v>26588.400000000001</v>
      </c>
      <c r="I1833" s="97">
        <v>19652.400000000001</v>
      </c>
      <c r="J1833" s="97">
        <v>118181.7</v>
      </c>
      <c r="K1833" s="97">
        <v>29297.200000000001</v>
      </c>
      <c r="L1833" s="97">
        <v>449.3</v>
      </c>
      <c r="M1833" s="97">
        <v>78212.800000000003</v>
      </c>
      <c r="N1833" s="102">
        <v>22934.400000000001</v>
      </c>
      <c r="P1833" s="14"/>
      <c r="Q1833" s="104"/>
      <c r="R1833" s="104"/>
      <c r="S1833" s="104"/>
      <c r="T1833" s="104"/>
      <c r="U1833" s="104"/>
      <c r="V1833" s="104"/>
      <c r="W1833" s="104"/>
      <c r="X1833" s="138"/>
      <c r="Y1833" s="104"/>
      <c r="Z1833" s="104"/>
      <c r="AA1833" s="104"/>
      <c r="AB1833" s="104"/>
    </row>
    <row r="1834" spans="1:28" ht="15.75" thickBot="1">
      <c r="A1834" s="423"/>
      <c r="B1834" s="3" t="s">
        <v>3</v>
      </c>
      <c r="C1834" s="71">
        <f>C1833/C1832</f>
        <v>0.80790956061642183</v>
      </c>
      <c r="D1834" s="72">
        <f t="shared" ref="D1834:N1834" si="1280">D1833/D1832</f>
        <v>0.8261444790274195</v>
      </c>
      <c r="E1834" s="72">
        <f t="shared" si="1280"/>
        <v>0.8433724694786835</v>
      </c>
      <c r="F1834" s="72">
        <f t="shared" si="1280"/>
        <v>0.84988771059120971</v>
      </c>
      <c r="G1834" s="72">
        <f t="shared" si="1280"/>
        <v>7.0583309569296751E-3</v>
      </c>
      <c r="H1834" s="72">
        <f t="shared" si="1280"/>
        <v>0.24155483824663701</v>
      </c>
      <c r="I1834" s="72">
        <f t="shared" si="1280"/>
        <v>0.16197237657398969</v>
      </c>
      <c r="J1834" s="72">
        <f t="shared" si="1280"/>
        <v>0.69125202669979569</v>
      </c>
      <c r="K1834" s="72">
        <f t="shared" si="1280"/>
        <v>0.5334425811620328</v>
      </c>
      <c r="L1834" s="72">
        <f t="shared" si="1280"/>
        <v>7.4061375500899191E-3</v>
      </c>
      <c r="M1834" s="72">
        <f t="shared" si="1280"/>
        <v>0.44317545005827763</v>
      </c>
      <c r="N1834" s="83">
        <f t="shared" si="1280"/>
        <v>0.41758890042060415</v>
      </c>
      <c r="X1834" s="138"/>
      <c r="Y1834" s="104"/>
      <c r="Z1834" s="104"/>
      <c r="AA1834" s="104"/>
      <c r="AB1834" s="104"/>
    </row>
    <row r="1835" spans="1:28" ht="15" customHeight="1">
      <c r="A1835" s="411" t="s">
        <v>6</v>
      </c>
      <c r="B1835" s="27" t="s">
        <v>7</v>
      </c>
      <c r="C1835" s="68">
        <v>5006</v>
      </c>
      <c r="D1835" s="68">
        <v>3200</v>
      </c>
      <c r="E1835" s="68">
        <v>3200</v>
      </c>
      <c r="F1835" s="68">
        <v>9503</v>
      </c>
      <c r="G1835" s="68">
        <v>3200</v>
      </c>
      <c r="H1835" s="68">
        <v>4800</v>
      </c>
      <c r="I1835" s="68">
        <v>4000</v>
      </c>
      <c r="J1835" s="68">
        <v>9503</v>
      </c>
      <c r="K1835" s="68">
        <v>2900</v>
      </c>
      <c r="L1835" s="68">
        <v>1600</v>
      </c>
      <c r="M1835" s="68">
        <f>4643-2210</f>
        <v>2433</v>
      </c>
      <c r="N1835" s="80">
        <v>396</v>
      </c>
      <c r="X1835" s="138"/>
      <c r="Y1835" s="104"/>
      <c r="Z1835" s="104"/>
      <c r="AA1835" s="104"/>
      <c r="AB1835" s="104"/>
    </row>
    <row r="1836" spans="1:28">
      <c r="A1836" s="412"/>
      <c r="B1836" s="28" t="s">
        <v>11</v>
      </c>
      <c r="C1836" s="73">
        <f t="shared" ref="C1836:N1836" si="1281">C1835*33.79</f>
        <v>169152.74</v>
      </c>
      <c r="D1836" s="73">
        <f t="shared" si="1281"/>
        <v>108128</v>
      </c>
      <c r="E1836" s="73">
        <f t="shared" si="1281"/>
        <v>108128</v>
      </c>
      <c r="F1836" s="73">
        <f t="shared" si="1281"/>
        <v>321106.37</v>
      </c>
      <c r="G1836" s="73">
        <f t="shared" si="1281"/>
        <v>108128</v>
      </c>
      <c r="H1836" s="73">
        <f t="shared" si="1281"/>
        <v>162192</v>
      </c>
      <c r="I1836" s="73">
        <f t="shared" si="1281"/>
        <v>135160</v>
      </c>
      <c r="J1836" s="73">
        <f t="shared" si="1281"/>
        <v>321106.37</v>
      </c>
      <c r="K1836" s="73">
        <f t="shared" si="1281"/>
        <v>97991</v>
      </c>
      <c r="L1836" s="73">
        <f t="shared" si="1281"/>
        <v>54064</v>
      </c>
      <c r="M1836" s="73">
        <f t="shared" si="1281"/>
        <v>82211.069999999992</v>
      </c>
      <c r="N1836" s="84">
        <f t="shared" si="1281"/>
        <v>13380.84</v>
      </c>
      <c r="X1836" s="138"/>
      <c r="Y1836" s="104"/>
      <c r="Z1836" s="104"/>
      <c r="AA1836" s="104"/>
      <c r="AB1836" s="104"/>
    </row>
    <row r="1837" spans="1:28">
      <c r="A1837" s="412"/>
      <c r="B1837" s="28" t="s">
        <v>79</v>
      </c>
      <c r="C1837" s="73">
        <v>164000</v>
      </c>
      <c r="D1837" s="73">
        <v>109880</v>
      </c>
      <c r="E1837" s="73">
        <v>109880</v>
      </c>
      <c r="F1837" s="73">
        <v>328000</v>
      </c>
      <c r="G1837" s="73">
        <f>G1832*2</f>
        <v>242663.6</v>
      </c>
      <c r="H1837" s="73">
        <f>H1832*2</f>
        <v>220143.8</v>
      </c>
      <c r="I1837" s="73">
        <f>I1832*2</f>
        <v>242663.6</v>
      </c>
      <c r="J1837" s="73">
        <v>328000</v>
      </c>
      <c r="K1837" s="73">
        <f>K1832*2</f>
        <v>109842</v>
      </c>
      <c r="L1837" s="73">
        <v>328000</v>
      </c>
      <c r="M1837" s="73">
        <f>2*M1832</f>
        <v>352965.4</v>
      </c>
      <c r="N1837" s="84">
        <f>2*N1832</f>
        <v>109842</v>
      </c>
    </row>
    <row r="1838" spans="1:28" s="64" customFormat="1">
      <c r="A1838" s="412"/>
      <c r="B1838" s="66" t="s">
        <v>8</v>
      </c>
      <c r="C1838" s="98">
        <f>SUM(C1835-460)</f>
        <v>4546</v>
      </c>
      <c r="D1838" s="98">
        <f>SUM(D1835-743)</f>
        <v>2457</v>
      </c>
      <c r="E1838" s="98">
        <f>SUM(E1835-713)</f>
        <v>2487</v>
      </c>
      <c r="F1838" s="98">
        <f>SUM(F1835-1224)</f>
        <v>8279</v>
      </c>
      <c r="G1838" s="98">
        <f>SUM(G1835-3007)</f>
        <v>193</v>
      </c>
      <c r="H1838" s="98">
        <f>SUM(H1835-1416)</f>
        <v>3384</v>
      </c>
      <c r="I1838" s="98">
        <f>SUM(I1835-2923)</f>
        <v>1077</v>
      </c>
      <c r="J1838" s="98">
        <f>SUM(J1835-1522)</f>
        <v>7981</v>
      </c>
      <c r="K1838" s="98">
        <f>SUM(K1835-1205)</f>
        <v>1695</v>
      </c>
      <c r="L1838" s="98">
        <f>SUM(L1835-1379)</f>
        <v>221</v>
      </c>
      <c r="M1838" s="98">
        <f>SUM(M1835-(3367-2210))</f>
        <v>1276</v>
      </c>
      <c r="N1838" s="103">
        <f>SUM(N1835-49)</f>
        <v>347</v>
      </c>
      <c r="P1838" s="14"/>
      <c r="Q1838" s="138"/>
      <c r="R1838" s="104"/>
      <c r="S1838" s="104"/>
      <c r="T1838" s="104"/>
      <c r="U1838" s="104"/>
      <c r="V1838" s="104"/>
      <c r="W1838" s="104"/>
    </row>
    <row r="1839" spans="1:28">
      <c r="A1839" s="412"/>
      <c r="B1839" s="29" t="s">
        <v>77</v>
      </c>
      <c r="C1839" s="75">
        <f>C1838*33.72</f>
        <v>153291.12</v>
      </c>
      <c r="D1839" s="75">
        <f>D1838*33.72</f>
        <v>82850.039999999994</v>
      </c>
      <c r="E1839" s="75">
        <f>E1838*33.72</f>
        <v>83861.64</v>
      </c>
      <c r="F1839" s="75">
        <f>F1838*33.72</f>
        <v>279167.88</v>
      </c>
      <c r="G1839" s="75">
        <f>G1838*33.72*2</f>
        <v>13015.92</v>
      </c>
      <c r="H1839" s="75">
        <f>H1838*33.72</f>
        <v>114108.48</v>
      </c>
      <c r="I1839" s="75">
        <f>I1838*33.72</f>
        <v>36316.44</v>
      </c>
      <c r="J1839" s="75">
        <f>J1838*33.72</f>
        <v>269119.32</v>
      </c>
      <c r="K1839" s="75">
        <f>K1838*33.72</f>
        <v>57155.4</v>
      </c>
      <c r="L1839" s="75">
        <f>L1838*33.72</f>
        <v>7452.12</v>
      </c>
      <c r="M1839" s="75">
        <f>M1838*33.72*2</f>
        <v>86053.440000000002</v>
      </c>
      <c r="N1839" s="11">
        <f>N1838*33.72</f>
        <v>11700.84</v>
      </c>
      <c r="Q1839" s="138"/>
    </row>
    <row r="1840" spans="1:28" ht="15.75" thickBot="1">
      <c r="A1840" s="412"/>
      <c r="B1840" s="30" t="s">
        <v>10</v>
      </c>
      <c r="C1840" s="71">
        <f>C1838*33.7/C1832</f>
        <v>1.322780460175035</v>
      </c>
      <c r="D1840" s="71">
        <f t="shared" ref="D1840:N1840" si="1282">D1838*33.7/D1832</f>
        <v>1.0354163566495393</v>
      </c>
      <c r="E1840" s="78">
        <f t="shared" si="1282"/>
        <v>1.0480588030066764</v>
      </c>
      <c r="F1840" s="78">
        <f t="shared" si="1282"/>
        <v>1.8067475962036599</v>
      </c>
      <c r="G1840" s="78">
        <f t="shared" si="1282"/>
        <v>5.3605897217382417E-2</v>
      </c>
      <c r="H1840" s="78">
        <f t="shared" si="1282"/>
        <v>1.0360573407018505</v>
      </c>
      <c r="I1840" s="78">
        <f t="shared" si="1282"/>
        <v>0.29913757151876097</v>
      </c>
      <c r="J1840" s="78">
        <f t="shared" si="1282"/>
        <v>1.5731618154550921</v>
      </c>
      <c r="K1840" s="78">
        <f t="shared" si="1282"/>
        <v>1.0400666411755068</v>
      </c>
      <c r="L1840" s="78">
        <f t="shared" si="1282"/>
        <v>0.12276583715068927</v>
      </c>
      <c r="M1840" s="79">
        <f t="shared" si="1282"/>
        <v>0.24365674369215792</v>
      </c>
      <c r="N1840" s="26">
        <f t="shared" si="1282"/>
        <v>0.21292219733799461</v>
      </c>
      <c r="Q1840" s="138"/>
    </row>
    <row r="1841" spans="1:28" ht="15.75" customHeight="1" thickBot="1">
      <c r="A1841" s="424" t="s">
        <v>83</v>
      </c>
      <c r="B1841" s="425"/>
      <c r="C1841" s="76">
        <f>MIN(2*C1832,C1837)-C1839</f>
        <v>10708.880000000005</v>
      </c>
      <c r="D1841" s="76">
        <f t="shared" ref="D1841:N1841" si="1283">MIN(2*D1832,D1837)-D1839</f>
        <v>27029.960000000006</v>
      </c>
      <c r="E1841" s="76">
        <f t="shared" si="1283"/>
        <v>26018.36</v>
      </c>
      <c r="F1841" s="76">
        <f t="shared" si="1283"/>
        <v>29676.919999999984</v>
      </c>
      <c r="G1841" s="76">
        <f t="shared" si="1283"/>
        <v>229647.68</v>
      </c>
      <c r="H1841" s="76">
        <f t="shared" si="1283"/>
        <v>106035.31999999999</v>
      </c>
      <c r="I1841" s="76">
        <f t="shared" si="1283"/>
        <v>206347.16</v>
      </c>
      <c r="J1841" s="76">
        <f t="shared" si="1283"/>
        <v>58880.679999999993</v>
      </c>
      <c r="K1841" s="76">
        <f t="shared" si="1283"/>
        <v>52686.6</v>
      </c>
      <c r="L1841" s="76">
        <f t="shared" si="1283"/>
        <v>113879.68000000001</v>
      </c>
      <c r="M1841" s="76">
        <f t="shared" si="1283"/>
        <v>266911.96000000002</v>
      </c>
      <c r="N1841" s="22">
        <f t="shared" si="1283"/>
        <v>98141.16</v>
      </c>
      <c r="Q1841" s="138"/>
    </row>
    <row r="1842" spans="1:28" ht="15.75" thickBot="1">
      <c r="A1842" s="368">
        <v>40963</v>
      </c>
      <c r="B1842" s="368"/>
      <c r="C1842" s="368"/>
      <c r="N1842" s="15"/>
    </row>
    <row r="1843" spans="1:28">
      <c r="A1843" s="407" t="s">
        <v>1</v>
      </c>
      <c r="B1843" s="420"/>
      <c r="C1843" s="68" t="s">
        <v>12</v>
      </c>
      <c r="D1843" s="68" t="s">
        <v>12</v>
      </c>
      <c r="E1843" s="68" t="s">
        <v>13</v>
      </c>
      <c r="F1843" s="68" t="s">
        <v>13</v>
      </c>
      <c r="G1843" s="68" t="s">
        <v>13</v>
      </c>
      <c r="H1843" s="68" t="s">
        <v>13</v>
      </c>
      <c r="I1843" s="68" t="s">
        <v>13</v>
      </c>
      <c r="J1843" s="68" t="s">
        <v>2</v>
      </c>
      <c r="K1843" s="68" t="s">
        <v>2</v>
      </c>
      <c r="L1843" s="68" t="s">
        <v>2</v>
      </c>
      <c r="M1843" s="68" t="s">
        <v>2</v>
      </c>
      <c r="N1843" s="4" t="s">
        <v>84</v>
      </c>
      <c r="X1843" s="142"/>
      <c r="Y1843" s="14"/>
      <c r="Z1843" s="14"/>
      <c r="AA1843" s="14"/>
      <c r="AB1843" s="104"/>
    </row>
    <row r="1844" spans="1:28" ht="15.75" thickBot="1">
      <c r="A1844" s="409" t="s">
        <v>0</v>
      </c>
      <c r="B1844" s="414"/>
      <c r="C1844" s="99" t="s">
        <v>102</v>
      </c>
      <c r="D1844" s="99" t="s">
        <v>103</v>
      </c>
      <c r="E1844" s="99" t="s">
        <v>104</v>
      </c>
      <c r="F1844" s="99" t="s">
        <v>105</v>
      </c>
      <c r="G1844" s="99" t="s">
        <v>100</v>
      </c>
      <c r="H1844" s="99" t="s">
        <v>107</v>
      </c>
      <c r="I1844" s="99" t="s">
        <v>106</v>
      </c>
      <c r="J1844" s="99" t="s">
        <v>108</v>
      </c>
      <c r="K1844" s="99" t="s">
        <v>110</v>
      </c>
      <c r="L1844" s="99" t="s">
        <v>101</v>
      </c>
      <c r="M1844" s="99" t="s">
        <v>109</v>
      </c>
      <c r="N1844" s="101" t="s">
        <v>111</v>
      </c>
      <c r="P1844" s="142"/>
      <c r="Q1844" s="138"/>
      <c r="R1844" s="138"/>
      <c r="S1844" s="138"/>
      <c r="T1844" s="138"/>
      <c r="U1844" s="138"/>
      <c r="V1844" s="138"/>
      <c r="W1844" s="138"/>
      <c r="X1844" s="138"/>
      <c r="Y1844" s="138"/>
      <c r="Z1844" s="138"/>
      <c r="AA1844" s="138"/>
      <c r="AB1844" s="138"/>
    </row>
    <row r="1845" spans="1:28" ht="15" customHeight="1">
      <c r="A1845" s="421" t="s">
        <v>9</v>
      </c>
      <c r="B1845" s="2" t="s">
        <v>4</v>
      </c>
      <c r="C1845" s="96">
        <v>115816.8</v>
      </c>
      <c r="D1845" s="96">
        <v>79968.7</v>
      </c>
      <c r="E1845" s="96">
        <v>79968.7</v>
      </c>
      <c r="F1845" s="96">
        <v>154422.39999999999</v>
      </c>
      <c r="G1845" s="96">
        <v>121331.8</v>
      </c>
      <c r="H1845" s="96">
        <v>110071.9</v>
      </c>
      <c r="I1845" s="96">
        <v>121331.8</v>
      </c>
      <c r="J1845" s="96">
        <v>170967.6</v>
      </c>
      <c r="K1845" s="96">
        <v>54921</v>
      </c>
      <c r="L1845" s="96">
        <v>60665.9</v>
      </c>
      <c r="M1845" s="96">
        <v>176482.7</v>
      </c>
      <c r="N1845" s="100">
        <v>54921</v>
      </c>
      <c r="X1845" s="138"/>
      <c r="Y1845" s="104"/>
      <c r="Z1845" s="104"/>
      <c r="AA1845" s="104"/>
      <c r="AB1845" s="104"/>
    </row>
    <row r="1846" spans="1:28" s="64" customFormat="1">
      <c r="A1846" s="422"/>
      <c r="B1846" s="63" t="s">
        <v>5</v>
      </c>
      <c r="C1846" s="97">
        <v>93538</v>
      </c>
      <c r="D1846" s="97">
        <v>66063.399999999994</v>
      </c>
      <c r="E1846" s="97">
        <v>67441.100000000006</v>
      </c>
      <c r="F1846" s="97">
        <v>130892.3</v>
      </c>
      <c r="G1846" s="97">
        <v>421.3</v>
      </c>
      <c r="H1846" s="97">
        <v>26512.3</v>
      </c>
      <c r="I1846" s="97">
        <v>19630.099999999999</v>
      </c>
      <c r="J1846" s="97">
        <v>117832.8</v>
      </c>
      <c r="K1846" s="97">
        <v>29294</v>
      </c>
      <c r="L1846" s="97">
        <v>228.8</v>
      </c>
      <c r="M1846" s="97">
        <v>78167.899999999994</v>
      </c>
      <c r="N1846" s="102">
        <v>22934.2</v>
      </c>
      <c r="P1846" s="14"/>
      <c r="Q1846" s="104"/>
      <c r="R1846" s="104"/>
      <c r="S1846" s="104"/>
      <c r="T1846" s="104"/>
      <c r="U1846" s="104"/>
      <c r="V1846" s="104"/>
      <c r="W1846" s="104"/>
      <c r="X1846" s="138"/>
      <c r="Y1846" s="104"/>
      <c r="Z1846" s="104"/>
      <c r="AA1846" s="104"/>
      <c r="AB1846" s="104"/>
    </row>
    <row r="1847" spans="1:28" ht="15.75" thickBot="1">
      <c r="A1847" s="423"/>
      <c r="B1847" s="3" t="s">
        <v>3</v>
      </c>
      <c r="C1847" s="71">
        <f>C1846/C1845</f>
        <v>0.80763757934945535</v>
      </c>
      <c r="D1847" s="72">
        <f t="shared" ref="D1847:N1847" si="1284">D1846/D1845</f>
        <v>0.82611571777457926</v>
      </c>
      <c r="E1847" s="72">
        <f t="shared" si="1284"/>
        <v>0.84334370822584348</v>
      </c>
      <c r="F1847" s="72">
        <f t="shared" si="1284"/>
        <v>0.84762508547982685</v>
      </c>
      <c r="G1847" s="72">
        <f t="shared" si="1284"/>
        <v>3.4722966279244188E-3</v>
      </c>
      <c r="H1847" s="72">
        <f t="shared" si="1284"/>
        <v>0.24086347196695979</v>
      </c>
      <c r="I1847" s="72">
        <f t="shared" si="1284"/>
        <v>0.16178858304253294</v>
      </c>
      <c r="J1847" s="72">
        <f t="shared" si="1284"/>
        <v>0.68921128915654195</v>
      </c>
      <c r="K1847" s="72">
        <f t="shared" si="1284"/>
        <v>0.53338431565339306</v>
      </c>
      <c r="L1847" s="72">
        <f t="shared" si="1284"/>
        <v>3.7714762329414055E-3</v>
      </c>
      <c r="M1847" s="72">
        <f t="shared" si="1284"/>
        <v>0.44292103418635359</v>
      </c>
      <c r="N1847" s="83">
        <f t="shared" si="1284"/>
        <v>0.4175852588263142</v>
      </c>
      <c r="X1847" s="138"/>
      <c r="Y1847" s="104"/>
      <c r="Z1847" s="104"/>
      <c r="AA1847" s="104"/>
      <c r="AB1847" s="104"/>
    </row>
    <row r="1848" spans="1:28" ht="15" customHeight="1">
      <c r="A1848" s="411" t="s">
        <v>6</v>
      </c>
      <c r="B1848" s="27" t="s">
        <v>7</v>
      </c>
      <c r="C1848" s="68">
        <v>5006</v>
      </c>
      <c r="D1848" s="68">
        <v>3200</v>
      </c>
      <c r="E1848" s="68">
        <v>3200</v>
      </c>
      <c r="F1848" s="68">
        <v>9503</v>
      </c>
      <c r="G1848" s="68">
        <v>3200</v>
      </c>
      <c r="H1848" s="68">
        <v>4800</v>
      </c>
      <c r="I1848" s="68">
        <v>4000</v>
      </c>
      <c r="J1848" s="68">
        <v>9503</v>
      </c>
      <c r="K1848" s="68">
        <v>2900</v>
      </c>
      <c r="L1848" s="68">
        <v>1600</v>
      </c>
      <c r="M1848" s="68">
        <f>4643-2210</f>
        <v>2433</v>
      </c>
      <c r="N1848" s="80">
        <v>396</v>
      </c>
      <c r="X1848" s="138"/>
      <c r="Y1848" s="104"/>
      <c r="Z1848" s="104"/>
      <c r="AA1848" s="104"/>
      <c r="AB1848" s="104"/>
    </row>
    <row r="1849" spans="1:28">
      <c r="A1849" s="412"/>
      <c r="B1849" s="28" t="s">
        <v>11</v>
      </c>
      <c r="C1849" s="73">
        <f t="shared" ref="C1849:N1849" si="1285">C1848*33.79</f>
        <v>169152.74</v>
      </c>
      <c r="D1849" s="73">
        <f t="shared" si="1285"/>
        <v>108128</v>
      </c>
      <c r="E1849" s="73">
        <f t="shared" si="1285"/>
        <v>108128</v>
      </c>
      <c r="F1849" s="73">
        <f t="shared" si="1285"/>
        <v>321106.37</v>
      </c>
      <c r="G1849" s="73">
        <f t="shared" si="1285"/>
        <v>108128</v>
      </c>
      <c r="H1849" s="73">
        <f t="shared" si="1285"/>
        <v>162192</v>
      </c>
      <c r="I1849" s="73">
        <f t="shared" si="1285"/>
        <v>135160</v>
      </c>
      <c r="J1849" s="73">
        <f t="shared" si="1285"/>
        <v>321106.37</v>
      </c>
      <c r="K1849" s="73">
        <f t="shared" si="1285"/>
        <v>97991</v>
      </c>
      <c r="L1849" s="73">
        <f t="shared" si="1285"/>
        <v>54064</v>
      </c>
      <c r="M1849" s="73">
        <f t="shared" si="1285"/>
        <v>82211.069999999992</v>
      </c>
      <c r="N1849" s="84">
        <f t="shared" si="1285"/>
        <v>13380.84</v>
      </c>
      <c r="X1849" s="138"/>
      <c r="Y1849" s="104"/>
      <c r="Z1849" s="104"/>
      <c r="AA1849" s="104"/>
      <c r="AB1849" s="104"/>
    </row>
    <row r="1850" spans="1:28">
      <c r="A1850" s="412"/>
      <c r="B1850" s="28" t="s">
        <v>79</v>
      </c>
      <c r="C1850" s="73">
        <v>164000</v>
      </c>
      <c r="D1850" s="73">
        <v>109880</v>
      </c>
      <c r="E1850" s="73">
        <v>109880</v>
      </c>
      <c r="F1850" s="73">
        <v>328000</v>
      </c>
      <c r="G1850" s="73">
        <f>G1845*2</f>
        <v>242663.6</v>
      </c>
      <c r="H1850" s="73">
        <f>H1845*2</f>
        <v>220143.8</v>
      </c>
      <c r="I1850" s="73">
        <f>I1845*2</f>
        <v>242663.6</v>
      </c>
      <c r="J1850" s="73">
        <v>328000</v>
      </c>
      <c r="K1850" s="73">
        <f>K1845*2</f>
        <v>109842</v>
      </c>
      <c r="L1850" s="73">
        <v>328000</v>
      </c>
      <c r="M1850" s="73">
        <f>2*M1845</f>
        <v>352965.4</v>
      </c>
      <c r="N1850" s="84">
        <f>2*N1845</f>
        <v>109842</v>
      </c>
    </row>
    <row r="1851" spans="1:28" s="64" customFormat="1">
      <c r="A1851" s="412"/>
      <c r="B1851" s="66" t="s">
        <v>8</v>
      </c>
      <c r="C1851" s="98">
        <f>SUM(C1848-436)</f>
        <v>4570</v>
      </c>
      <c r="D1851" s="98">
        <f>SUM(D1848-721)</f>
        <v>2479</v>
      </c>
      <c r="E1851" s="98">
        <f>SUM(E1848-691)</f>
        <v>2509</v>
      </c>
      <c r="F1851" s="98">
        <f>SUM(F1848-1215)</f>
        <v>8288</v>
      </c>
      <c r="G1851" s="98">
        <f>SUM(G1848-3007)</f>
        <v>193</v>
      </c>
      <c r="H1851" s="98">
        <f>SUM(H1848-1416)</f>
        <v>3384</v>
      </c>
      <c r="I1851" s="98">
        <f>SUM(I1848-2923)</f>
        <v>1077</v>
      </c>
      <c r="J1851" s="98">
        <f>SUM(J1848-1522)</f>
        <v>7981</v>
      </c>
      <c r="K1851" s="98">
        <f>SUM(K1848-1235)</f>
        <v>1665</v>
      </c>
      <c r="L1851" s="98">
        <f>SUM(L1848-1379)</f>
        <v>221</v>
      </c>
      <c r="M1851" s="98">
        <f>SUM(M1848-(3367-2210))</f>
        <v>1276</v>
      </c>
      <c r="N1851" s="103">
        <f>SUM(N1848-49)</f>
        <v>347</v>
      </c>
      <c r="P1851" s="14"/>
      <c r="Q1851" s="138"/>
      <c r="R1851" s="104"/>
      <c r="S1851" s="104"/>
      <c r="T1851" s="104"/>
      <c r="U1851" s="104"/>
      <c r="V1851" s="104"/>
      <c r="W1851" s="104"/>
    </row>
    <row r="1852" spans="1:28">
      <c r="A1852" s="412"/>
      <c r="B1852" s="29" t="s">
        <v>77</v>
      </c>
      <c r="C1852" s="75">
        <f>C1851*33.72</f>
        <v>154100.4</v>
      </c>
      <c r="D1852" s="75">
        <f>D1851*33.72</f>
        <v>83591.87999999999</v>
      </c>
      <c r="E1852" s="75">
        <f>E1851*33.72</f>
        <v>84603.48</v>
      </c>
      <c r="F1852" s="75">
        <f>F1851*33.72</f>
        <v>279471.35999999999</v>
      </c>
      <c r="G1852" s="75">
        <f>G1851*33.72*2</f>
        <v>13015.92</v>
      </c>
      <c r="H1852" s="75">
        <f>H1851*33.72</f>
        <v>114108.48</v>
      </c>
      <c r="I1852" s="75">
        <f>I1851*33.72</f>
        <v>36316.44</v>
      </c>
      <c r="J1852" s="75">
        <f>J1851*33.72</f>
        <v>269119.32</v>
      </c>
      <c r="K1852" s="75">
        <f>K1851*33.72</f>
        <v>56143.799999999996</v>
      </c>
      <c r="L1852" s="75">
        <f>L1851*33.72</f>
        <v>7452.12</v>
      </c>
      <c r="M1852" s="75">
        <f>M1851*33.72*2</f>
        <v>86053.440000000002</v>
      </c>
      <c r="N1852" s="11">
        <f>N1851*33.72</f>
        <v>11700.84</v>
      </c>
      <c r="Q1852" s="138"/>
    </row>
    <row r="1853" spans="1:28" ht="15.75" thickBot="1">
      <c r="A1853" s="412"/>
      <c r="B1853" s="30" t="s">
        <v>10</v>
      </c>
      <c r="C1853" s="71">
        <f>C1851*33.7/C1845</f>
        <v>1.3297639029916213</v>
      </c>
      <c r="D1853" s="71">
        <f t="shared" ref="D1853:N1853" si="1286">D1851*33.7/D1845</f>
        <v>1.0446874839781064</v>
      </c>
      <c r="E1853" s="78">
        <f t="shared" si="1286"/>
        <v>1.0573299303352437</v>
      </c>
      <c r="F1853" s="78">
        <f t="shared" si="1286"/>
        <v>1.8087116894958248</v>
      </c>
      <c r="G1853" s="78">
        <f t="shared" si="1286"/>
        <v>5.3605897217382417E-2</v>
      </c>
      <c r="H1853" s="78">
        <f t="shared" si="1286"/>
        <v>1.0360573407018505</v>
      </c>
      <c r="I1853" s="78">
        <f t="shared" si="1286"/>
        <v>0.29913757151876097</v>
      </c>
      <c r="J1853" s="78">
        <f t="shared" si="1286"/>
        <v>1.5731618154550921</v>
      </c>
      <c r="K1853" s="78">
        <f t="shared" si="1286"/>
        <v>1.0216583820396572</v>
      </c>
      <c r="L1853" s="78">
        <f t="shared" si="1286"/>
        <v>0.12276583715068927</v>
      </c>
      <c r="M1853" s="79">
        <f t="shared" si="1286"/>
        <v>0.24365674369215792</v>
      </c>
      <c r="N1853" s="26">
        <f t="shared" si="1286"/>
        <v>0.21292219733799461</v>
      </c>
      <c r="Q1853" s="138"/>
    </row>
    <row r="1854" spans="1:28" ht="15.75" customHeight="1" thickBot="1">
      <c r="A1854" s="424" t="s">
        <v>83</v>
      </c>
      <c r="B1854" s="425"/>
      <c r="C1854" s="76">
        <f>MIN(2*C1845,C1850)-C1852</f>
        <v>9899.6000000000058</v>
      </c>
      <c r="D1854" s="76">
        <f t="shared" ref="D1854:N1854" si="1287">MIN(2*D1845,D1850)-D1852</f>
        <v>26288.12000000001</v>
      </c>
      <c r="E1854" s="76">
        <f t="shared" si="1287"/>
        <v>25276.520000000004</v>
      </c>
      <c r="F1854" s="76">
        <f t="shared" si="1287"/>
        <v>29373.440000000002</v>
      </c>
      <c r="G1854" s="76">
        <f t="shared" si="1287"/>
        <v>229647.68</v>
      </c>
      <c r="H1854" s="76">
        <f t="shared" si="1287"/>
        <v>106035.31999999999</v>
      </c>
      <c r="I1854" s="76">
        <f t="shared" si="1287"/>
        <v>206347.16</v>
      </c>
      <c r="J1854" s="76">
        <f t="shared" si="1287"/>
        <v>58880.679999999993</v>
      </c>
      <c r="K1854" s="76">
        <f t="shared" si="1287"/>
        <v>53698.200000000004</v>
      </c>
      <c r="L1854" s="76">
        <f t="shared" si="1287"/>
        <v>113879.68000000001</v>
      </c>
      <c r="M1854" s="76">
        <f t="shared" si="1287"/>
        <v>266911.96000000002</v>
      </c>
      <c r="N1854" s="22">
        <f t="shared" si="1287"/>
        <v>98141.16</v>
      </c>
      <c r="Q1854" s="138"/>
    </row>
    <row r="1855" spans="1:28" ht="15.75" thickBot="1">
      <c r="A1855" s="368">
        <v>40962</v>
      </c>
      <c r="B1855" s="368"/>
      <c r="C1855" s="368"/>
      <c r="N1855" s="15"/>
    </row>
    <row r="1856" spans="1:28">
      <c r="A1856" s="407" t="s">
        <v>1</v>
      </c>
      <c r="B1856" s="420"/>
      <c r="C1856" s="68" t="s">
        <v>12</v>
      </c>
      <c r="D1856" s="68" t="s">
        <v>12</v>
      </c>
      <c r="E1856" s="68" t="s">
        <v>13</v>
      </c>
      <c r="F1856" s="68" t="s">
        <v>13</v>
      </c>
      <c r="G1856" s="68" t="s">
        <v>13</v>
      </c>
      <c r="H1856" s="68" t="s">
        <v>13</v>
      </c>
      <c r="I1856" s="68" t="s">
        <v>13</v>
      </c>
      <c r="J1856" s="68" t="s">
        <v>2</v>
      </c>
      <c r="K1856" s="68" t="s">
        <v>2</v>
      </c>
      <c r="L1856" s="68" t="s">
        <v>2</v>
      </c>
      <c r="M1856" s="68" t="s">
        <v>2</v>
      </c>
      <c r="N1856" s="4" t="s">
        <v>84</v>
      </c>
      <c r="X1856" s="142"/>
      <c r="Y1856" s="14"/>
      <c r="Z1856" s="14"/>
      <c r="AA1856" s="14"/>
      <c r="AB1856" s="104"/>
    </row>
    <row r="1857" spans="1:28" ht="15.75" thickBot="1">
      <c r="A1857" s="409" t="s">
        <v>0</v>
      </c>
      <c r="B1857" s="414"/>
      <c r="C1857" s="99" t="s">
        <v>102</v>
      </c>
      <c r="D1857" s="99" t="s">
        <v>103</v>
      </c>
      <c r="E1857" s="99" t="s">
        <v>104</v>
      </c>
      <c r="F1857" s="99" t="s">
        <v>105</v>
      </c>
      <c r="G1857" s="99" t="s">
        <v>100</v>
      </c>
      <c r="H1857" s="99" t="s">
        <v>107</v>
      </c>
      <c r="I1857" s="99" t="s">
        <v>106</v>
      </c>
      <c r="J1857" s="99" t="s">
        <v>108</v>
      </c>
      <c r="K1857" s="99" t="s">
        <v>110</v>
      </c>
      <c r="L1857" s="99" t="s">
        <v>101</v>
      </c>
      <c r="M1857" s="99" t="s">
        <v>109</v>
      </c>
      <c r="N1857" s="101" t="s">
        <v>111</v>
      </c>
      <c r="P1857" s="142"/>
      <c r="Q1857" s="138"/>
      <c r="R1857" s="138"/>
      <c r="S1857" s="138"/>
      <c r="T1857" s="138"/>
      <c r="U1857" s="138"/>
      <c r="V1857" s="138"/>
      <c r="W1857" s="138"/>
      <c r="X1857" s="138"/>
      <c r="Y1857" s="138"/>
      <c r="Z1857" s="138"/>
      <c r="AA1857" s="138"/>
      <c r="AB1857" s="138"/>
    </row>
    <row r="1858" spans="1:28" ht="15" customHeight="1">
      <c r="A1858" s="421" t="s">
        <v>9</v>
      </c>
      <c r="B1858" s="2" t="s">
        <v>4</v>
      </c>
      <c r="C1858" s="96">
        <v>115816.8</v>
      </c>
      <c r="D1858" s="96">
        <v>79968.7</v>
      </c>
      <c r="E1858" s="96">
        <v>79968.7</v>
      </c>
      <c r="F1858" s="96">
        <v>154422.39999999999</v>
      </c>
      <c r="G1858" s="96">
        <v>121331.8</v>
      </c>
      <c r="H1858" s="96">
        <v>110071.9</v>
      </c>
      <c r="I1858" s="96">
        <v>121331.8</v>
      </c>
      <c r="J1858" s="96">
        <v>170967.6</v>
      </c>
      <c r="K1858" s="96">
        <v>54921</v>
      </c>
      <c r="L1858" s="96">
        <v>60665.9</v>
      </c>
      <c r="M1858" s="96">
        <v>176482.7</v>
      </c>
      <c r="N1858" s="100">
        <v>54921</v>
      </c>
      <c r="X1858" s="138"/>
      <c r="Y1858" s="104"/>
      <c r="Z1858" s="104"/>
      <c r="AA1858" s="104"/>
      <c r="AB1858" s="104"/>
    </row>
    <row r="1859" spans="1:28" s="64" customFormat="1">
      <c r="A1859" s="422"/>
      <c r="B1859" s="63" t="s">
        <v>5</v>
      </c>
      <c r="C1859" s="97">
        <v>93452.7</v>
      </c>
      <c r="D1859" s="97">
        <v>66062.100000000006</v>
      </c>
      <c r="E1859" s="97">
        <v>67435.8</v>
      </c>
      <c r="F1859" s="97">
        <v>130704.8</v>
      </c>
      <c r="G1859" s="97">
        <v>420.5</v>
      </c>
      <c r="H1859" s="97">
        <v>26424.3</v>
      </c>
      <c r="I1859" s="97">
        <v>19625.900000000001</v>
      </c>
      <c r="J1859" s="97">
        <v>117381.9</v>
      </c>
      <c r="K1859" s="97">
        <v>29293.4</v>
      </c>
      <c r="L1859" s="97">
        <v>227.5</v>
      </c>
      <c r="M1859" s="97">
        <v>78161.899999999994</v>
      </c>
      <c r="N1859" s="102">
        <v>22934.2</v>
      </c>
      <c r="P1859" s="14"/>
      <c r="Q1859" s="104"/>
      <c r="R1859" s="104"/>
      <c r="S1859" s="104"/>
      <c r="T1859" s="104"/>
      <c r="U1859" s="104"/>
      <c r="V1859" s="104"/>
      <c r="W1859" s="104"/>
      <c r="X1859" s="138"/>
      <c r="Y1859" s="104"/>
      <c r="Z1859" s="104"/>
      <c r="AA1859" s="104"/>
      <c r="AB1859" s="104"/>
    </row>
    <row r="1860" spans="1:28" ht="15.75" thickBot="1">
      <c r="A1860" s="423"/>
      <c r="B1860" s="3" t="s">
        <v>3</v>
      </c>
      <c r="C1860" s="71">
        <f>C1859/C1858</f>
        <v>0.80690107134716205</v>
      </c>
      <c r="D1860" s="72">
        <f t="shared" ref="D1860:N1860" si="1288">D1859/D1858</f>
        <v>0.82609946141427848</v>
      </c>
      <c r="E1860" s="72">
        <f t="shared" si="1288"/>
        <v>0.84327743229538565</v>
      </c>
      <c r="F1860" s="72">
        <f t="shared" si="1288"/>
        <v>0.84641088339515513</v>
      </c>
      <c r="G1860" s="72">
        <f t="shared" si="1288"/>
        <v>3.4657031380066891E-3</v>
      </c>
      <c r="H1860" s="72">
        <f t="shared" si="1288"/>
        <v>0.24006399453448155</v>
      </c>
      <c r="I1860" s="72">
        <f t="shared" si="1288"/>
        <v>0.16175396722046489</v>
      </c>
      <c r="J1860" s="72">
        <f t="shared" si="1288"/>
        <v>0.68657394734440902</v>
      </c>
      <c r="K1860" s="72">
        <f t="shared" si="1288"/>
        <v>0.53337339087052316</v>
      </c>
      <c r="L1860" s="72">
        <f t="shared" si="1288"/>
        <v>3.7500473907087837E-3</v>
      </c>
      <c r="M1860" s="72">
        <f t="shared" si="1288"/>
        <v>0.44288703651972677</v>
      </c>
      <c r="N1860" s="83">
        <f t="shared" si="1288"/>
        <v>0.4175852588263142</v>
      </c>
      <c r="X1860" s="138"/>
      <c r="Y1860" s="104"/>
      <c r="Z1860" s="104"/>
      <c r="AA1860" s="104"/>
      <c r="AB1860" s="104"/>
    </row>
    <row r="1861" spans="1:28" ht="15" customHeight="1">
      <c r="A1861" s="411" t="s">
        <v>6</v>
      </c>
      <c r="B1861" s="27" t="s">
        <v>7</v>
      </c>
      <c r="C1861" s="68">
        <v>5006</v>
      </c>
      <c r="D1861" s="68">
        <v>3200</v>
      </c>
      <c r="E1861" s="68">
        <v>3200</v>
      </c>
      <c r="F1861" s="68">
        <v>9503</v>
      </c>
      <c r="G1861" s="68">
        <v>3200</v>
      </c>
      <c r="H1861" s="68">
        <v>4800</v>
      </c>
      <c r="I1861" s="68">
        <v>4000</v>
      </c>
      <c r="J1861" s="68">
        <v>9503</v>
      </c>
      <c r="K1861" s="68">
        <v>2900</v>
      </c>
      <c r="L1861" s="68">
        <v>1600</v>
      </c>
      <c r="M1861" s="68">
        <f>4643-2210</f>
        <v>2433</v>
      </c>
      <c r="N1861" s="80">
        <v>396</v>
      </c>
      <c r="X1861" s="138"/>
      <c r="Y1861" s="104"/>
      <c r="Z1861" s="104"/>
      <c r="AA1861" s="104"/>
      <c r="AB1861" s="104"/>
    </row>
    <row r="1862" spans="1:28">
      <c r="A1862" s="412"/>
      <c r="B1862" s="28" t="s">
        <v>11</v>
      </c>
      <c r="C1862" s="73">
        <f t="shared" ref="C1862:N1862" si="1289">C1861*33.79</f>
        <v>169152.74</v>
      </c>
      <c r="D1862" s="73">
        <f t="shared" si="1289"/>
        <v>108128</v>
      </c>
      <c r="E1862" s="73">
        <f t="shared" si="1289"/>
        <v>108128</v>
      </c>
      <c r="F1862" s="73">
        <f t="shared" si="1289"/>
        <v>321106.37</v>
      </c>
      <c r="G1862" s="73">
        <f t="shared" si="1289"/>
        <v>108128</v>
      </c>
      <c r="H1862" s="73">
        <f t="shared" si="1289"/>
        <v>162192</v>
      </c>
      <c r="I1862" s="73">
        <f t="shared" si="1289"/>
        <v>135160</v>
      </c>
      <c r="J1862" s="73">
        <f t="shared" si="1289"/>
        <v>321106.37</v>
      </c>
      <c r="K1862" s="73">
        <f t="shared" si="1289"/>
        <v>97991</v>
      </c>
      <c r="L1862" s="73">
        <f t="shared" si="1289"/>
        <v>54064</v>
      </c>
      <c r="M1862" s="73">
        <f t="shared" si="1289"/>
        <v>82211.069999999992</v>
      </c>
      <c r="N1862" s="84">
        <f t="shared" si="1289"/>
        <v>13380.84</v>
      </c>
      <c r="X1862" s="138"/>
      <c r="Y1862" s="104"/>
      <c r="Z1862" s="104"/>
      <c r="AA1862" s="104"/>
      <c r="AB1862" s="104"/>
    </row>
    <row r="1863" spans="1:28">
      <c r="A1863" s="412"/>
      <c r="B1863" s="28" t="s">
        <v>79</v>
      </c>
      <c r="C1863" s="73">
        <v>164000</v>
      </c>
      <c r="D1863" s="73">
        <v>109880</v>
      </c>
      <c r="E1863" s="73">
        <v>109880</v>
      </c>
      <c r="F1863" s="73">
        <v>328000</v>
      </c>
      <c r="G1863" s="73">
        <f>G1858*2</f>
        <v>242663.6</v>
      </c>
      <c r="H1863" s="73">
        <f>H1858*2</f>
        <v>220143.8</v>
      </c>
      <c r="I1863" s="73">
        <f>I1858*2</f>
        <v>242663.6</v>
      </c>
      <c r="J1863" s="73">
        <v>328000</v>
      </c>
      <c r="K1863" s="73">
        <f>K1858*2</f>
        <v>109842</v>
      </c>
      <c r="L1863" s="73">
        <v>328000</v>
      </c>
      <c r="M1863" s="73">
        <f>2*M1858</f>
        <v>352965.4</v>
      </c>
      <c r="N1863" s="84">
        <f>2*N1858</f>
        <v>109842</v>
      </c>
    </row>
    <row r="1864" spans="1:28" s="64" customFormat="1">
      <c r="A1864" s="412"/>
      <c r="B1864" s="66" t="s">
        <v>8</v>
      </c>
      <c r="C1864" s="98">
        <f>SUM(C1861-436)</f>
        <v>4570</v>
      </c>
      <c r="D1864" s="98">
        <f>SUM(D1861-721)</f>
        <v>2479</v>
      </c>
      <c r="E1864" s="98">
        <f>SUM(E1861-691)</f>
        <v>2509</v>
      </c>
      <c r="F1864" s="98">
        <f>SUM(F1861-1215)</f>
        <v>8288</v>
      </c>
      <c r="G1864" s="98">
        <f>SUM(G1861-3077)</f>
        <v>123</v>
      </c>
      <c r="H1864" s="98">
        <f>SUM(H1861-1416)</f>
        <v>3384</v>
      </c>
      <c r="I1864" s="98">
        <f>SUM(I1861-2923)</f>
        <v>1077</v>
      </c>
      <c r="J1864" s="98">
        <f>SUM(J1861-1522)</f>
        <v>7981</v>
      </c>
      <c r="K1864" s="98">
        <f>SUM(K1861-1235)</f>
        <v>1665</v>
      </c>
      <c r="L1864" s="98">
        <f>SUM(L1861-1379)</f>
        <v>221</v>
      </c>
      <c r="M1864" s="98">
        <f>SUM(M1861-(3367-2210))</f>
        <v>1276</v>
      </c>
      <c r="N1864" s="103">
        <f>SUM(N1861-49)</f>
        <v>347</v>
      </c>
      <c r="P1864" s="14"/>
      <c r="Q1864" s="138"/>
      <c r="R1864" s="104"/>
      <c r="S1864" s="104"/>
      <c r="T1864" s="104"/>
      <c r="U1864" s="104"/>
      <c r="V1864" s="104"/>
      <c r="W1864" s="104"/>
    </row>
    <row r="1865" spans="1:28">
      <c r="A1865" s="412"/>
      <c r="B1865" s="29" t="s">
        <v>77</v>
      </c>
      <c r="C1865" s="75">
        <f>C1864*33.72</f>
        <v>154100.4</v>
      </c>
      <c r="D1865" s="75">
        <f>D1864*33.72</f>
        <v>83591.87999999999</v>
      </c>
      <c r="E1865" s="75">
        <f>E1864*33.72</f>
        <v>84603.48</v>
      </c>
      <c r="F1865" s="75">
        <f>F1864*33.72</f>
        <v>279471.35999999999</v>
      </c>
      <c r="G1865" s="75">
        <f>G1864*33.72*2</f>
        <v>8295.119999999999</v>
      </c>
      <c r="H1865" s="75">
        <f>H1864*33.72</f>
        <v>114108.48</v>
      </c>
      <c r="I1865" s="75">
        <f>I1864*33.72</f>
        <v>36316.44</v>
      </c>
      <c r="J1865" s="75">
        <f>J1864*33.72</f>
        <v>269119.32</v>
      </c>
      <c r="K1865" s="75">
        <f>K1864*33.72</f>
        <v>56143.799999999996</v>
      </c>
      <c r="L1865" s="75">
        <f>L1864*33.72</f>
        <v>7452.12</v>
      </c>
      <c r="M1865" s="75">
        <f>M1864*33.72*2</f>
        <v>86053.440000000002</v>
      </c>
      <c r="N1865" s="11">
        <f>N1864*33.72</f>
        <v>11700.84</v>
      </c>
      <c r="Q1865" s="138"/>
    </row>
    <row r="1866" spans="1:28" ht="15.75" thickBot="1">
      <c r="A1866" s="412"/>
      <c r="B1866" s="30" t="s">
        <v>10</v>
      </c>
      <c r="C1866" s="71">
        <f>C1864*33.7/C1858</f>
        <v>1.3297639029916213</v>
      </c>
      <c r="D1866" s="71">
        <f t="shared" ref="D1866:N1866" si="1290">D1864*33.7/D1858</f>
        <v>1.0446874839781064</v>
      </c>
      <c r="E1866" s="78">
        <f t="shared" si="1290"/>
        <v>1.0573299303352437</v>
      </c>
      <c r="F1866" s="78">
        <f t="shared" si="1290"/>
        <v>1.8087116894958248</v>
      </c>
      <c r="G1866" s="78">
        <f t="shared" si="1290"/>
        <v>3.4163343822476877E-2</v>
      </c>
      <c r="H1866" s="78">
        <f t="shared" si="1290"/>
        <v>1.0360573407018505</v>
      </c>
      <c r="I1866" s="78">
        <f t="shared" si="1290"/>
        <v>0.29913757151876097</v>
      </c>
      <c r="J1866" s="78">
        <f t="shared" si="1290"/>
        <v>1.5731618154550921</v>
      </c>
      <c r="K1866" s="78">
        <f t="shared" si="1290"/>
        <v>1.0216583820396572</v>
      </c>
      <c r="L1866" s="78">
        <f t="shared" si="1290"/>
        <v>0.12276583715068927</v>
      </c>
      <c r="M1866" s="79">
        <f t="shared" si="1290"/>
        <v>0.24365674369215792</v>
      </c>
      <c r="N1866" s="26">
        <f t="shared" si="1290"/>
        <v>0.21292219733799461</v>
      </c>
      <c r="Q1866" s="138"/>
    </row>
    <row r="1867" spans="1:28" ht="15.75" customHeight="1" thickBot="1">
      <c r="A1867" s="424" t="s">
        <v>83</v>
      </c>
      <c r="B1867" s="425"/>
      <c r="C1867" s="76">
        <f>MIN(2*C1858,C1863)-C1865</f>
        <v>9899.6000000000058</v>
      </c>
      <c r="D1867" s="76">
        <f t="shared" ref="D1867:N1867" si="1291">MIN(2*D1858,D1863)-D1865</f>
        <v>26288.12000000001</v>
      </c>
      <c r="E1867" s="76">
        <f t="shared" si="1291"/>
        <v>25276.520000000004</v>
      </c>
      <c r="F1867" s="76">
        <f t="shared" si="1291"/>
        <v>29373.440000000002</v>
      </c>
      <c r="G1867" s="76">
        <f t="shared" si="1291"/>
        <v>234368.48</v>
      </c>
      <c r="H1867" s="76">
        <f t="shared" si="1291"/>
        <v>106035.31999999999</v>
      </c>
      <c r="I1867" s="76">
        <f t="shared" si="1291"/>
        <v>206347.16</v>
      </c>
      <c r="J1867" s="76">
        <f t="shared" si="1291"/>
        <v>58880.679999999993</v>
      </c>
      <c r="K1867" s="76">
        <f t="shared" si="1291"/>
        <v>53698.200000000004</v>
      </c>
      <c r="L1867" s="76">
        <f t="shared" si="1291"/>
        <v>113879.68000000001</v>
      </c>
      <c r="M1867" s="76">
        <f t="shared" si="1291"/>
        <v>266911.96000000002</v>
      </c>
      <c r="N1867" s="22">
        <f t="shared" si="1291"/>
        <v>98141.16</v>
      </c>
      <c r="Q1867" s="138"/>
    </row>
    <row r="1868" spans="1:28" ht="15.75" thickBot="1">
      <c r="A1868" s="368">
        <v>40961</v>
      </c>
      <c r="B1868" s="368"/>
      <c r="C1868" s="368"/>
      <c r="N1868" s="15"/>
    </row>
    <row r="1869" spans="1:28">
      <c r="A1869" s="407" t="s">
        <v>1</v>
      </c>
      <c r="B1869" s="420"/>
      <c r="C1869" s="68" t="s">
        <v>12</v>
      </c>
      <c r="D1869" s="68" t="s">
        <v>12</v>
      </c>
      <c r="E1869" s="68" t="s">
        <v>13</v>
      </c>
      <c r="F1869" s="68" t="s">
        <v>13</v>
      </c>
      <c r="G1869" s="68" t="s">
        <v>13</v>
      </c>
      <c r="H1869" s="68" t="s">
        <v>13</v>
      </c>
      <c r="I1869" s="68" t="s">
        <v>13</v>
      </c>
      <c r="J1869" s="68" t="s">
        <v>2</v>
      </c>
      <c r="K1869" s="68" t="s">
        <v>2</v>
      </c>
      <c r="L1869" s="68" t="s">
        <v>2</v>
      </c>
      <c r="M1869" s="68" t="s">
        <v>2</v>
      </c>
      <c r="N1869" s="4" t="s">
        <v>84</v>
      </c>
      <c r="X1869" s="142"/>
      <c r="Y1869" s="14"/>
      <c r="Z1869" s="14"/>
      <c r="AA1869" s="14"/>
      <c r="AB1869" s="104"/>
    </row>
    <row r="1870" spans="1:28" ht="15.75" thickBot="1">
      <c r="A1870" s="409" t="s">
        <v>0</v>
      </c>
      <c r="B1870" s="414"/>
      <c r="C1870" s="99" t="s">
        <v>102</v>
      </c>
      <c r="D1870" s="99" t="s">
        <v>103</v>
      </c>
      <c r="E1870" s="99" t="s">
        <v>104</v>
      </c>
      <c r="F1870" s="99" t="s">
        <v>105</v>
      </c>
      <c r="G1870" s="99" t="s">
        <v>100</v>
      </c>
      <c r="H1870" s="99" t="s">
        <v>107</v>
      </c>
      <c r="I1870" s="99" t="s">
        <v>106</v>
      </c>
      <c r="J1870" s="99" t="s">
        <v>108</v>
      </c>
      <c r="K1870" s="99" t="s">
        <v>110</v>
      </c>
      <c r="L1870" s="99" t="s">
        <v>101</v>
      </c>
      <c r="M1870" s="99" t="s">
        <v>109</v>
      </c>
      <c r="N1870" s="101" t="s">
        <v>111</v>
      </c>
      <c r="P1870" s="142"/>
      <c r="Q1870" s="138"/>
      <c r="R1870" s="138"/>
      <c r="S1870" s="138"/>
      <c r="T1870" s="138"/>
      <c r="U1870" s="138"/>
      <c r="V1870" s="138"/>
      <c r="W1870" s="138"/>
      <c r="X1870" s="138"/>
      <c r="Y1870" s="138"/>
      <c r="Z1870" s="138"/>
      <c r="AA1870" s="138"/>
      <c r="AB1870" s="138"/>
    </row>
    <row r="1871" spans="1:28" ht="15" customHeight="1">
      <c r="A1871" s="421" t="s">
        <v>9</v>
      </c>
      <c r="B1871" s="2" t="s">
        <v>4</v>
      </c>
      <c r="C1871" s="96">
        <v>115816.8</v>
      </c>
      <c r="D1871" s="96">
        <v>79968.7</v>
      </c>
      <c r="E1871" s="96">
        <v>79968.7</v>
      </c>
      <c r="F1871" s="96">
        <v>154422.39999999999</v>
      </c>
      <c r="G1871" s="96">
        <v>121331.8</v>
      </c>
      <c r="H1871" s="96">
        <v>110071.9</v>
      </c>
      <c r="I1871" s="96">
        <v>121331.8</v>
      </c>
      <c r="J1871" s="96">
        <v>170967.6</v>
      </c>
      <c r="K1871" s="96">
        <v>54921</v>
      </c>
      <c r="L1871" s="96">
        <v>60665.9</v>
      </c>
      <c r="M1871" s="96">
        <v>176482.7</v>
      </c>
      <c r="N1871" s="100">
        <v>54921</v>
      </c>
      <c r="X1871" s="138"/>
      <c r="Y1871" s="104"/>
      <c r="Z1871" s="104"/>
      <c r="AA1871" s="104"/>
      <c r="AB1871" s="104"/>
    </row>
    <row r="1872" spans="1:28" s="64" customFormat="1">
      <c r="A1872" s="422"/>
      <c r="B1872" s="63" t="s">
        <v>5</v>
      </c>
      <c r="C1872" s="97">
        <v>93418.3</v>
      </c>
      <c r="D1872" s="97">
        <v>66058.100000000006</v>
      </c>
      <c r="E1872" s="97">
        <v>67435.8</v>
      </c>
      <c r="F1872" s="97">
        <v>130596.3</v>
      </c>
      <c r="G1872" s="97">
        <v>420.1</v>
      </c>
      <c r="H1872" s="97">
        <v>26409</v>
      </c>
      <c r="I1872" s="97">
        <v>19624.8</v>
      </c>
      <c r="J1872" s="97">
        <v>117245.5</v>
      </c>
      <c r="K1872" s="97">
        <v>29293.3</v>
      </c>
      <c r="L1872" s="97">
        <v>226.6</v>
      </c>
      <c r="M1872" s="97">
        <v>78161.399999999994</v>
      </c>
      <c r="N1872" s="102">
        <v>22934.2</v>
      </c>
      <c r="P1872" s="14"/>
      <c r="Q1872" s="104"/>
      <c r="R1872" s="104"/>
      <c r="S1872" s="104"/>
      <c r="T1872" s="104"/>
      <c r="U1872" s="104"/>
      <c r="V1872" s="104"/>
      <c r="W1872" s="104"/>
      <c r="X1872" s="138"/>
      <c r="Y1872" s="104"/>
      <c r="Z1872" s="104"/>
      <c r="AA1872" s="104"/>
      <c r="AB1872" s="104"/>
    </row>
    <row r="1873" spans="1:28" ht="15.75" thickBot="1">
      <c r="A1873" s="423"/>
      <c r="B1873" s="3" t="s">
        <v>3</v>
      </c>
      <c r="C1873" s="71">
        <f>C1872/C1871</f>
        <v>0.80660405053498285</v>
      </c>
      <c r="D1873" s="72">
        <f t="shared" ref="D1873:N1873" si="1292">D1872/D1871</f>
        <v>0.82604944184412166</v>
      </c>
      <c r="E1873" s="72">
        <f t="shared" si="1292"/>
        <v>0.84327743229538565</v>
      </c>
      <c r="F1873" s="72">
        <f t="shared" si="1292"/>
        <v>0.84570826512215846</v>
      </c>
      <c r="G1873" s="72">
        <f t="shared" si="1292"/>
        <v>3.4624063930478242E-3</v>
      </c>
      <c r="H1873" s="72">
        <f t="shared" si="1292"/>
        <v>0.23992499448088023</v>
      </c>
      <c r="I1873" s="72">
        <f t="shared" si="1292"/>
        <v>0.16174490117182799</v>
      </c>
      <c r="J1873" s="72">
        <f t="shared" si="1292"/>
        <v>0.68577613536131987</v>
      </c>
      <c r="K1873" s="72">
        <f t="shared" si="1292"/>
        <v>0.5333715700733781</v>
      </c>
      <c r="L1873" s="72">
        <f t="shared" si="1292"/>
        <v>3.7352120383938917E-3</v>
      </c>
      <c r="M1873" s="72">
        <f t="shared" si="1292"/>
        <v>0.44288420338084122</v>
      </c>
      <c r="N1873" s="83">
        <f t="shared" si="1292"/>
        <v>0.4175852588263142</v>
      </c>
      <c r="X1873" s="138"/>
      <c r="Y1873" s="104"/>
      <c r="Z1873" s="104"/>
      <c r="AA1873" s="104"/>
      <c r="AB1873" s="104"/>
    </row>
    <row r="1874" spans="1:28" ht="15" customHeight="1">
      <c r="A1874" s="411" t="s">
        <v>6</v>
      </c>
      <c r="B1874" s="27" t="s">
        <v>7</v>
      </c>
      <c r="C1874" s="68">
        <v>5006</v>
      </c>
      <c r="D1874" s="68">
        <v>3200</v>
      </c>
      <c r="E1874" s="68">
        <v>3200</v>
      </c>
      <c r="F1874" s="68">
        <v>9503</v>
      </c>
      <c r="G1874" s="68">
        <v>3200</v>
      </c>
      <c r="H1874" s="68">
        <v>4800</v>
      </c>
      <c r="I1874" s="68">
        <v>4000</v>
      </c>
      <c r="J1874" s="68">
        <v>9503</v>
      </c>
      <c r="K1874" s="68">
        <v>2900</v>
      </c>
      <c r="L1874" s="68">
        <v>1600</v>
      </c>
      <c r="M1874" s="68">
        <f>4643-2210</f>
        <v>2433</v>
      </c>
      <c r="N1874" s="80">
        <v>396</v>
      </c>
      <c r="X1874" s="138"/>
      <c r="Y1874" s="104"/>
      <c r="Z1874" s="104"/>
      <c r="AA1874" s="104"/>
      <c r="AB1874" s="104"/>
    </row>
    <row r="1875" spans="1:28">
      <c r="A1875" s="412"/>
      <c r="B1875" s="28" t="s">
        <v>11</v>
      </c>
      <c r="C1875" s="73">
        <f t="shared" ref="C1875:N1875" si="1293">C1874*33.79</f>
        <v>169152.74</v>
      </c>
      <c r="D1875" s="73">
        <f t="shared" si="1293"/>
        <v>108128</v>
      </c>
      <c r="E1875" s="73">
        <f t="shared" si="1293"/>
        <v>108128</v>
      </c>
      <c r="F1875" s="73">
        <f t="shared" si="1293"/>
        <v>321106.37</v>
      </c>
      <c r="G1875" s="73">
        <f t="shared" si="1293"/>
        <v>108128</v>
      </c>
      <c r="H1875" s="73">
        <f t="shared" si="1293"/>
        <v>162192</v>
      </c>
      <c r="I1875" s="73">
        <f t="shared" si="1293"/>
        <v>135160</v>
      </c>
      <c r="J1875" s="73">
        <f t="shared" si="1293"/>
        <v>321106.37</v>
      </c>
      <c r="K1875" s="73">
        <f t="shared" si="1293"/>
        <v>97991</v>
      </c>
      <c r="L1875" s="73">
        <f t="shared" si="1293"/>
        <v>54064</v>
      </c>
      <c r="M1875" s="73">
        <f t="shared" si="1293"/>
        <v>82211.069999999992</v>
      </c>
      <c r="N1875" s="84">
        <f t="shared" si="1293"/>
        <v>13380.84</v>
      </c>
      <c r="X1875" s="138"/>
      <c r="Y1875" s="104"/>
      <c r="Z1875" s="104"/>
      <c r="AA1875" s="104"/>
      <c r="AB1875" s="104"/>
    </row>
    <row r="1876" spans="1:28">
      <c r="A1876" s="412"/>
      <c r="B1876" s="28" t="s">
        <v>79</v>
      </c>
      <c r="C1876" s="73">
        <v>164000</v>
      </c>
      <c r="D1876" s="73">
        <v>109880</v>
      </c>
      <c r="E1876" s="73">
        <v>109880</v>
      </c>
      <c r="F1876" s="73">
        <v>328000</v>
      </c>
      <c r="G1876" s="73">
        <f>G1871*2</f>
        <v>242663.6</v>
      </c>
      <c r="H1876" s="73">
        <f>H1871*2</f>
        <v>220143.8</v>
      </c>
      <c r="I1876" s="73">
        <f>I1871*2</f>
        <v>242663.6</v>
      </c>
      <c r="J1876" s="73">
        <v>328000</v>
      </c>
      <c r="K1876" s="73">
        <f>K1871*2</f>
        <v>109842</v>
      </c>
      <c r="L1876" s="73">
        <v>328000</v>
      </c>
      <c r="M1876" s="73">
        <f>2*M1871</f>
        <v>352965.4</v>
      </c>
      <c r="N1876" s="84">
        <f>2*N1871</f>
        <v>109842</v>
      </c>
    </row>
    <row r="1877" spans="1:28" s="64" customFormat="1">
      <c r="A1877" s="412"/>
      <c r="B1877" s="66" t="s">
        <v>8</v>
      </c>
      <c r="C1877" s="98">
        <f>SUM(C1874-436)</f>
        <v>4570</v>
      </c>
      <c r="D1877" s="98">
        <f>SUM(D1874-721)</f>
        <v>2479</v>
      </c>
      <c r="E1877" s="98">
        <f>SUM(E1874-691)</f>
        <v>2509</v>
      </c>
      <c r="F1877" s="98">
        <f>SUM(F1874-1215)</f>
        <v>8288</v>
      </c>
      <c r="G1877" s="98">
        <f>SUM(G1874-3077)</f>
        <v>123</v>
      </c>
      <c r="H1877" s="98">
        <f>SUM(H1874-1416)</f>
        <v>3384</v>
      </c>
      <c r="I1877" s="98">
        <f>SUM(I1874-2923)</f>
        <v>1077</v>
      </c>
      <c r="J1877" s="98">
        <f>SUM(J1874-1522)</f>
        <v>7981</v>
      </c>
      <c r="K1877" s="98">
        <f>SUM(K1874-1235)</f>
        <v>1665</v>
      </c>
      <c r="L1877" s="98">
        <f>SUM(L1874-1379)</f>
        <v>221</v>
      </c>
      <c r="M1877" s="98">
        <f>SUM(M1874-(3367-2210))</f>
        <v>1276</v>
      </c>
      <c r="N1877" s="103">
        <f>SUM(N1874-49)</f>
        <v>347</v>
      </c>
      <c r="P1877" s="14"/>
      <c r="Q1877" s="138"/>
      <c r="R1877" s="104"/>
      <c r="S1877" s="104"/>
      <c r="T1877" s="104"/>
      <c r="U1877" s="104"/>
      <c r="V1877" s="104"/>
      <c r="W1877" s="104"/>
    </row>
    <row r="1878" spans="1:28">
      <c r="A1878" s="412"/>
      <c r="B1878" s="29" t="s">
        <v>77</v>
      </c>
      <c r="C1878" s="75">
        <f>C1877*33.72</f>
        <v>154100.4</v>
      </c>
      <c r="D1878" s="75">
        <f>D1877*33.72</f>
        <v>83591.87999999999</v>
      </c>
      <c r="E1878" s="75">
        <f>E1877*33.72</f>
        <v>84603.48</v>
      </c>
      <c r="F1878" s="75">
        <f>F1877*33.72</f>
        <v>279471.35999999999</v>
      </c>
      <c r="G1878" s="75">
        <f>G1877*33.72*2</f>
        <v>8295.119999999999</v>
      </c>
      <c r="H1878" s="75">
        <f>H1877*33.72</f>
        <v>114108.48</v>
      </c>
      <c r="I1878" s="75">
        <f>I1877*33.72</f>
        <v>36316.44</v>
      </c>
      <c r="J1878" s="75">
        <f>J1877*33.72</f>
        <v>269119.32</v>
      </c>
      <c r="K1878" s="75">
        <f>K1877*33.72</f>
        <v>56143.799999999996</v>
      </c>
      <c r="L1878" s="75">
        <f>L1877*33.72</f>
        <v>7452.12</v>
      </c>
      <c r="M1878" s="75">
        <f>M1877*33.72*2</f>
        <v>86053.440000000002</v>
      </c>
      <c r="N1878" s="11">
        <f>N1877*33.72</f>
        <v>11700.84</v>
      </c>
      <c r="Q1878" s="138"/>
    </row>
    <row r="1879" spans="1:28" ht="15.75" thickBot="1">
      <c r="A1879" s="412"/>
      <c r="B1879" s="30" t="s">
        <v>10</v>
      </c>
      <c r="C1879" s="71">
        <f>C1877*33.7/C1871</f>
        <v>1.3297639029916213</v>
      </c>
      <c r="D1879" s="71">
        <f t="shared" ref="D1879:N1879" si="1294">D1877*33.7/D1871</f>
        <v>1.0446874839781064</v>
      </c>
      <c r="E1879" s="78">
        <f t="shared" si="1294"/>
        <v>1.0573299303352437</v>
      </c>
      <c r="F1879" s="78">
        <f t="shared" si="1294"/>
        <v>1.8087116894958248</v>
      </c>
      <c r="G1879" s="78">
        <f t="shared" si="1294"/>
        <v>3.4163343822476877E-2</v>
      </c>
      <c r="H1879" s="78">
        <f t="shared" si="1294"/>
        <v>1.0360573407018505</v>
      </c>
      <c r="I1879" s="78">
        <f t="shared" si="1294"/>
        <v>0.29913757151876097</v>
      </c>
      <c r="J1879" s="78">
        <f t="shared" si="1294"/>
        <v>1.5731618154550921</v>
      </c>
      <c r="K1879" s="78">
        <f t="shared" si="1294"/>
        <v>1.0216583820396572</v>
      </c>
      <c r="L1879" s="78">
        <f t="shared" si="1294"/>
        <v>0.12276583715068927</v>
      </c>
      <c r="M1879" s="79">
        <f t="shared" si="1294"/>
        <v>0.24365674369215792</v>
      </c>
      <c r="N1879" s="26">
        <f t="shared" si="1294"/>
        <v>0.21292219733799461</v>
      </c>
      <c r="Q1879" s="138"/>
    </row>
    <row r="1880" spans="1:28" ht="15.75" customHeight="1" thickBot="1">
      <c r="A1880" s="424" t="s">
        <v>83</v>
      </c>
      <c r="B1880" s="425"/>
      <c r="C1880" s="76">
        <f>MIN(2*C1871,C1876)-C1878</f>
        <v>9899.6000000000058</v>
      </c>
      <c r="D1880" s="76">
        <f t="shared" ref="D1880:N1880" si="1295">MIN(2*D1871,D1876)-D1878</f>
        <v>26288.12000000001</v>
      </c>
      <c r="E1880" s="76">
        <f t="shared" si="1295"/>
        <v>25276.520000000004</v>
      </c>
      <c r="F1880" s="76">
        <f t="shared" si="1295"/>
        <v>29373.440000000002</v>
      </c>
      <c r="G1880" s="76">
        <f t="shared" si="1295"/>
        <v>234368.48</v>
      </c>
      <c r="H1880" s="76">
        <f t="shared" si="1295"/>
        <v>106035.31999999999</v>
      </c>
      <c r="I1880" s="76">
        <f t="shared" si="1295"/>
        <v>206347.16</v>
      </c>
      <c r="J1880" s="76">
        <f t="shared" si="1295"/>
        <v>58880.679999999993</v>
      </c>
      <c r="K1880" s="76">
        <f t="shared" si="1295"/>
        <v>53698.200000000004</v>
      </c>
      <c r="L1880" s="76">
        <f t="shared" si="1295"/>
        <v>113879.68000000001</v>
      </c>
      <c r="M1880" s="76">
        <f t="shared" si="1295"/>
        <v>266911.96000000002</v>
      </c>
      <c r="N1880" s="22">
        <f t="shared" si="1295"/>
        <v>98141.16</v>
      </c>
      <c r="Q1880" s="138"/>
    </row>
    <row r="1881" spans="1:28" ht="15.75" thickBot="1">
      <c r="A1881" s="368">
        <v>40960</v>
      </c>
      <c r="B1881" s="368"/>
      <c r="C1881" s="368"/>
      <c r="N1881" s="15"/>
    </row>
    <row r="1882" spans="1:28">
      <c r="A1882" s="407" t="s">
        <v>1</v>
      </c>
      <c r="B1882" s="420"/>
      <c r="C1882" s="68" t="s">
        <v>12</v>
      </c>
      <c r="D1882" s="68" t="s">
        <v>12</v>
      </c>
      <c r="E1882" s="68" t="s">
        <v>13</v>
      </c>
      <c r="F1882" s="68" t="s">
        <v>13</v>
      </c>
      <c r="G1882" s="68" t="s">
        <v>13</v>
      </c>
      <c r="H1882" s="68" t="s">
        <v>13</v>
      </c>
      <c r="I1882" s="68" t="s">
        <v>13</v>
      </c>
      <c r="J1882" s="68" t="s">
        <v>2</v>
      </c>
      <c r="K1882" s="68" t="s">
        <v>2</v>
      </c>
      <c r="L1882" s="68" t="s">
        <v>2</v>
      </c>
      <c r="M1882" s="68" t="s">
        <v>2</v>
      </c>
      <c r="N1882" s="4" t="s">
        <v>84</v>
      </c>
      <c r="X1882" s="142"/>
      <c r="Y1882" s="14"/>
      <c r="Z1882" s="14"/>
      <c r="AA1882" s="14"/>
      <c r="AB1882" s="104"/>
    </row>
    <row r="1883" spans="1:28" ht="15.75" thickBot="1">
      <c r="A1883" s="409" t="s">
        <v>0</v>
      </c>
      <c r="B1883" s="414"/>
      <c r="C1883" s="99" t="s">
        <v>102</v>
      </c>
      <c r="D1883" s="99" t="s">
        <v>103</v>
      </c>
      <c r="E1883" s="99" t="s">
        <v>104</v>
      </c>
      <c r="F1883" s="99" t="s">
        <v>105</v>
      </c>
      <c r="G1883" s="99" t="s">
        <v>100</v>
      </c>
      <c r="H1883" s="99" t="s">
        <v>107</v>
      </c>
      <c r="I1883" s="99" t="s">
        <v>106</v>
      </c>
      <c r="J1883" s="99" t="s">
        <v>108</v>
      </c>
      <c r="K1883" s="99" t="s">
        <v>110</v>
      </c>
      <c r="L1883" s="99" t="s">
        <v>101</v>
      </c>
      <c r="M1883" s="99" t="s">
        <v>109</v>
      </c>
      <c r="N1883" s="101" t="s">
        <v>111</v>
      </c>
      <c r="P1883" s="142"/>
      <c r="Q1883" s="138"/>
      <c r="R1883" s="138"/>
      <c r="S1883" s="138"/>
      <c r="T1883" s="138"/>
      <c r="U1883" s="138"/>
      <c r="V1883" s="138"/>
      <c r="W1883" s="138"/>
      <c r="X1883" s="138"/>
      <c r="Y1883" s="138"/>
      <c r="Z1883" s="138"/>
      <c r="AA1883" s="138"/>
      <c r="AB1883" s="138"/>
    </row>
    <row r="1884" spans="1:28" ht="15" customHeight="1">
      <c r="A1884" s="421" t="s">
        <v>9</v>
      </c>
      <c r="B1884" s="2" t="s">
        <v>4</v>
      </c>
      <c r="C1884" s="96">
        <v>115816.8</v>
      </c>
      <c r="D1884" s="96">
        <v>79968.7</v>
      </c>
      <c r="E1884" s="96">
        <v>79968.7</v>
      </c>
      <c r="F1884" s="96">
        <v>154422.39999999999</v>
      </c>
      <c r="G1884" s="96">
        <v>121331.8</v>
      </c>
      <c r="H1884" s="96">
        <v>110071.9</v>
      </c>
      <c r="I1884" s="96">
        <v>121331.8</v>
      </c>
      <c r="J1884" s="96">
        <v>170967.6</v>
      </c>
      <c r="K1884" s="96">
        <v>54921</v>
      </c>
      <c r="L1884" s="96">
        <v>60665.9</v>
      </c>
      <c r="M1884" s="96">
        <v>176482.7</v>
      </c>
      <c r="N1884" s="100">
        <v>54921</v>
      </c>
      <c r="X1884" s="138"/>
      <c r="Y1884" s="104"/>
      <c r="Z1884" s="104"/>
      <c r="AA1884" s="104"/>
      <c r="AB1884" s="104"/>
    </row>
    <row r="1885" spans="1:28" s="64" customFormat="1">
      <c r="A1885" s="422"/>
      <c r="B1885" s="63" t="s">
        <v>5</v>
      </c>
      <c r="C1885" s="97">
        <v>93358.6</v>
      </c>
      <c r="D1885" s="97">
        <v>66054.100000000006</v>
      </c>
      <c r="E1885" s="97">
        <v>67431.8</v>
      </c>
      <c r="F1885" s="97">
        <v>130277.7</v>
      </c>
      <c r="G1885" s="97">
        <v>290.3</v>
      </c>
      <c r="H1885" s="97">
        <v>26321.200000000001</v>
      </c>
      <c r="I1885" s="97">
        <v>19623.7</v>
      </c>
      <c r="J1885" s="97">
        <v>117036.6</v>
      </c>
      <c r="K1885" s="97">
        <v>29292.7</v>
      </c>
      <c r="L1885" s="97">
        <v>161.69999999999999</v>
      </c>
      <c r="M1885" s="97">
        <v>78175.7</v>
      </c>
      <c r="N1885" s="102">
        <v>22933.3</v>
      </c>
      <c r="P1885" s="14"/>
      <c r="Q1885" s="104"/>
      <c r="R1885" s="104"/>
      <c r="S1885" s="104"/>
      <c r="T1885" s="104"/>
      <c r="U1885" s="104"/>
      <c r="V1885" s="104"/>
      <c r="W1885" s="104"/>
      <c r="X1885" s="138"/>
      <c r="Y1885" s="104"/>
      <c r="Z1885" s="104"/>
      <c r="AA1885" s="104"/>
      <c r="AB1885" s="104"/>
    </row>
    <row r="1886" spans="1:28" ht="15.75" thickBot="1">
      <c r="A1886" s="423"/>
      <c r="B1886" s="3" t="s">
        <v>3</v>
      </c>
      <c r="C1886" s="71">
        <f>C1885/C1884</f>
        <v>0.80608858127663696</v>
      </c>
      <c r="D1886" s="72">
        <f t="shared" ref="D1886:N1886" si="1296">D1885/D1884</f>
        <v>0.82599942227396483</v>
      </c>
      <c r="E1886" s="72">
        <f t="shared" si="1296"/>
        <v>0.84322741272522883</v>
      </c>
      <c r="F1886" s="72">
        <f t="shared" si="1296"/>
        <v>0.84364509293988443</v>
      </c>
      <c r="G1886" s="72">
        <f t="shared" si="1296"/>
        <v>2.3926126538961756E-3</v>
      </c>
      <c r="H1886" s="72">
        <f t="shared" si="1296"/>
        <v>0.23912733404256675</v>
      </c>
      <c r="I1886" s="72">
        <f t="shared" si="1296"/>
        <v>0.16173583512319112</v>
      </c>
      <c r="J1886" s="72">
        <f t="shared" si="1296"/>
        <v>0.68455426642240991</v>
      </c>
      <c r="K1886" s="72">
        <f t="shared" si="1296"/>
        <v>0.5333606452905082</v>
      </c>
      <c r="L1886" s="72">
        <f t="shared" si="1296"/>
        <v>2.6654182992422431E-3</v>
      </c>
      <c r="M1886" s="72">
        <f t="shared" si="1296"/>
        <v>0.44296523115296849</v>
      </c>
      <c r="N1886" s="83">
        <f t="shared" si="1296"/>
        <v>0.41756887165200923</v>
      </c>
      <c r="X1886" s="138"/>
      <c r="Y1886" s="104"/>
      <c r="Z1886" s="104"/>
      <c r="AA1886" s="104"/>
      <c r="AB1886" s="104"/>
    </row>
    <row r="1887" spans="1:28" ht="15" customHeight="1">
      <c r="A1887" s="411" t="s">
        <v>6</v>
      </c>
      <c r="B1887" s="27" t="s">
        <v>7</v>
      </c>
      <c r="C1887" s="68">
        <v>5006</v>
      </c>
      <c r="D1887" s="68">
        <v>3200</v>
      </c>
      <c r="E1887" s="68">
        <v>3200</v>
      </c>
      <c r="F1887" s="68">
        <v>9503</v>
      </c>
      <c r="G1887" s="68">
        <v>3200</v>
      </c>
      <c r="H1887" s="68">
        <v>4800</v>
      </c>
      <c r="I1887" s="68">
        <v>4000</v>
      </c>
      <c r="J1887" s="68">
        <v>9503</v>
      </c>
      <c r="K1887" s="68">
        <v>2900</v>
      </c>
      <c r="L1887" s="68">
        <v>1600</v>
      </c>
      <c r="M1887" s="68">
        <f>4643-2210</f>
        <v>2433</v>
      </c>
      <c r="N1887" s="80">
        <v>396</v>
      </c>
      <c r="X1887" s="138"/>
      <c r="Y1887" s="104"/>
      <c r="Z1887" s="104"/>
      <c r="AA1887" s="104"/>
      <c r="AB1887" s="104"/>
    </row>
    <row r="1888" spans="1:28">
      <c r="A1888" s="412"/>
      <c r="B1888" s="28" t="s">
        <v>11</v>
      </c>
      <c r="C1888" s="73">
        <f t="shared" ref="C1888:N1888" si="1297">C1887*33.79</f>
        <v>169152.74</v>
      </c>
      <c r="D1888" s="73">
        <f t="shared" si="1297"/>
        <v>108128</v>
      </c>
      <c r="E1888" s="73">
        <f t="shared" si="1297"/>
        <v>108128</v>
      </c>
      <c r="F1888" s="73">
        <f t="shared" si="1297"/>
        <v>321106.37</v>
      </c>
      <c r="G1888" s="73">
        <f t="shared" si="1297"/>
        <v>108128</v>
      </c>
      <c r="H1888" s="73">
        <f t="shared" si="1297"/>
        <v>162192</v>
      </c>
      <c r="I1888" s="73">
        <f t="shared" si="1297"/>
        <v>135160</v>
      </c>
      <c r="J1888" s="73">
        <f t="shared" si="1297"/>
        <v>321106.37</v>
      </c>
      <c r="K1888" s="73">
        <f t="shared" si="1297"/>
        <v>97991</v>
      </c>
      <c r="L1888" s="73">
        <f t="shared" si="1297"/>
        <v>54064</v>
      </c>
      <c r="M1888" s="73">
        <f t="shared" si="1297"/>
        <v>82211.069999999992</v>
      </c>
      <c r="N1888" s="84">
        <f t="shared" si="1297"/>
        <v>13380.84</v>
      </c>
      <c r="X1888" s="138"/>
      <c r="Y1888" s="104"/>
      <c r="Z1888" s="104"/>
      <c r="AA1888" s="104"/>
      <c r="AB1888" s="104"/>
    </row>
    <row r="1889" spans="1:28">
      <c r="A1889" s="412"/>
      <c r="B1889" s="28" t="s">
        <v>79</v>
      </c>
      <c r="C1889" s="73">
        <v>164000</v>
      </c>
      <c r="D1889" s="73">
        <v>109880</v>
      </c>
      <c r="E1889" s="73">
        <v>109880</v>
      </c>
      <c r="F1889" s="73">
        <v>328000</v>
      </c>
      <c r="G1889" s="73">
        <f>G1884*2</f>
        <v>242663.6</v>
      </c>
      <c r="H1889" s="73">
        <f>H1884*2</f>
        <v>220143.8</v>
      </c>
      <c r="I1889" s="73">
        <f>I1884*2</f>
        <v>242663.6</v>
      </c>
      <c r="J1889" s="73">
        <v>328000</v>
      </c>
      <c r="K1889" s="73">
        <f>K1884*2</f>
        <v>109842</v>
      </c>
      <c r="L1889" s="73">
        <v>328000</v>
      </c>
      <c r="M1889" s="73">
        <f>2*M1884</f>
        <v>352965.4</v>
      </c>
      <c r="N1889" s="84">
        <f>2*N1884</f>
        <v>109842</v>
      </c>
    </row>
    <row r="1890" spans="1:28" s="64" customFormat="1">
      <c r="A1890" s="412"/>
      <c r="B1890" s="66" t="s">
        <v>8</v>
      </c>
      <c r="C1890" s="98">
        <f>SUM(C1887-436)</f>
        <v>4570</v>
      </c>
      <c r="D1890" s="98">
        <f>SUM(D1887-721)</f>
        <v>2479</v>
      </c>
      <c r="E1890" s="98">
        <f>SUM(E1887-691)</f>
        <v>2509</v>
      </c>
      <c r="F1890" s="98">
        <f>SUM(F1887-1215)</f>
        <v>8288</v>
      </c>
      <c r="G1890" s="98">
        <f>SUM(G1887-3077)</f>
        <v>123</v>
      </c>
      <c r="H1890" s="98">
        <f>SUM(H1887-1416)</f>
        <v>3384</v>
      </c>
      <c r="I1890" s="98">
        <f>SUM(I1887-2923)</f>
        <v>1077</v>
      </c>
      <c r="J1890" s="98">
        <f>SUM(J1887-1522)</f>
        <v>7981</v>
      </c>
      <c r="K1890" s="98">
        <f>SUM(K1887-1235)</f>
        <v>1665</v>
      </c>
      <c r="L1890" s="98">
        <f>SUM(L1887-1379)</f>
        <v>221</v>
      </c>
      <c r="M1890" s="98">
        <f>SUM(M1887-(3367-2210))</f>
        <v>1276</v>
      </c>
      <c r="N1890" s="103">
        <f>SUM(N1887-49)</f>
        <v>347</v>
      </c>
      <c r="P1890" s="14"/>
      <c r="Q1890" s="138"/>
      <c r="R1890" s="104"/>
      <c r="S1890" s="104"/>
      <c r="T1890" s="104"/>
      <c r="U1890" s="104"/>
      <c r="V1890" s="104"/>
      <c r="W1890" s="104"/>
    </row>
    <row r="1891" spans="1:28">
      <c r="A1891" s="412"/>
      <c r="B1891" s="29" t="s">
        <v>77</v>
      </c>
      <c r="C1891" s="75">
        <f>C1890*33.72</f>
        <v>154100.4</v>
      </c>
      <c r="D1891" s="75">
        <f>D1890*33.72</f>
        <v>83591.87999999999</v>
      </c>
      <c r="E1891" s="75">
        <f>E1890*33.72</f>
        <v>84603.48</v>
      </c>
      <c r="F1891" s="75">
        <f>F1890*33.72</f>
        <v>279471.35999999999</v>
      </c>
      <c r="G1891" s="75">
        <f>G1890*33.72*2</f>
        <v>8295.119999999999</v>
      </c>
      <c r="H1891" s="75">
        <f>H1890*33.72</f>
        <v>114108.48</v>
      </c>
      <c r="I1891" s="75">
        <f>I1890*33.72</f>
        <v>36316.44</v>
      </c>
      <c r="J1891" s="75">
        <f>J1890*33.72</f>
        <v>269119.32</v>
      </c>
      <c r="K1891" s="75">
        <f>K1890*33.72</f>
        <v>56143.799999999996</v>
      </c>
      <c r="L1891" s="75">
        <f>L1890*33.72</f>
        <v>7452.12</v>
      </c>
      <c r="M1891" s="75">
        <f>M1890*33.72*2</f>
        <v>86053.440000000002</v>
      </c>
      <c r="N1891" s="11">
        <f>N1890*33.72</f>
        <v>11700.84</v>
      </c>
      <c r="Q1891" s="138"/>
    </row>
    <row r="1892" spans="1:28" ht="15.75" thickBot="1">
      <c r="A1892" s="412"/>
      <c r="B1892" s="30" t="s">
        <v>10</v>
      </c>
      <c r="C1892" s="71">
        <f>C1890*33.7/C1884</f>
        <v>1.3297639029916213</v>
      </c>
      <c r="D1892" s="71">
        <f t="shared" ref="D1892:N1892" si="1298">D1890*33.7/D1884</f>
        <v>1.0446874839781064</v>
      </c>
      <c r="E1892" s="78">
        <f t="shared" si="1298"/>
        <v>1.0573299303352437</v>
      </c>
      <c r="F1892" s="78">
        <f t="shared" si="1298"/>
        <v>1.8087116894958248</v>
      </c>
      <c r="G1892" s="78">
        <f t="shared" si="1298"/>
        <v>3.4163343822476877E-2</v>
      </c>
      <c r="H1892" s="78">
        <f t="shared" si="1298"/>
        <v>1.0360573407018505</v>
      </c>
      <c r="I1892" s="78">
        <f t="shared" si="1298"/>
        <v>0.29913757151876097</v>
      </c>
      <c r="J1892" s="78">
        <f t="shared" si="1298"/>
        <v>1.5731618154550921</v>
      </c>
      <c r="K1892" s="78">
        <f t="shared" si="1298"/>
        <v>1.0216583820396572</v>
      </c>
      <c r="L1892" s="78">
        <f t="shared" si="1298"/>
        <v>0.12276583715068927</v>
      </c>
      <c r="M1892" s="79">
        <f t="shared" si="1298"/>
        <v>0.24365674369215792</v>
      </c>
      <c r="N1892" s="26">
        <f t="shared" si="1298"/>
        <v>0.21292219733799461</v>
      </c>
      <c r="Q1892" s="138"/>
    </row>
    <row r="1893" spans="1:28" ht="15.75" customHeight="1" thickBot="1">
      <c r="A1893" s="424" t="s">
        <v>83</v>
      </c>
      <c r="B1893" s="425"/>
      <c r="C1893" s="76">
        <f>MIN(2*C1884,C1889)-C1891</f>
        <v>9899.6000000000058</v>
      </c>
      <c r="D1893" s="76">
        <f t="shared" ref="D1893:N1893" si="1299">MIN(2*D1884,D1889)-D1891</f>
        <v>26288.12000000001</v>
      </c>
      <c r="E1893" s="76">
        <f t="shared" si="1299"/>
        <v>25276.520000000004</v>
      </c>
      <c r="F1893" s="76">
        <f t="shared" si="1299"/>
        <v>29373.440000000002</v>
      </c>
      <c r="G1893" s="76">
        <f t="shared" si="1299"/>
        <v>234368.48</v>
      </c>
      <c r="H1893" s="76">
        <f t="shared" si="1299"/>
        <v>106035.31999999999</v>
      </c>
      <c r="I1893" s="76">
        <f t="shared" si="1299"/>
        <v>206347.16</v>
      </c>
      <c r="J1893" s="76">
        <f t="shared" si="1299"/>
        <v>58880.679999999993</v>
      </c>
      <c r="K1893" s="76">
        <f t="shared" si="1299"/>
        <v>53698.200000000004</v>
      </c>
      <c r="L1893" s="76">
        <f t="shared" si="1299"/>
        <v>113879.68000000001</v>
      </c>
      <c r="M1893" s="76">
        <f t="shared" si="1299"/>
        <v>266911.96000000002</v>
      </c>
      <c r="N1893" s="22">
        <f t="shared" si="1299"/>
        <v>98141.16</v>
      </c>
      <c r="Q1893" s="138"/>
    </row>
    <row r="1894" spans="1:28" ht="15.75" thickBot="1">
      <c r="A1894" s="368">
        <v>40959</v>
      </c>
      <c r="B1894" s="368"/>
      <c r="C1894" s="368"/>
      <c r="N1894" s="15"/>
    </row>
    <row r="1895" spans="1:28">
      <c r="A1895" s="407" t="s">
        <v>1</v>
      </c>
      <c r="B1895" s="420"/>
      <c r="C1895" s="68" t="s">
        <v>12</v>
      </c>
      <c r="D1895" s="68" t="s">
        <v>12</v>
      </c>
      <c r="E1895" s="68" t="s">
        <v>13</v>
      </c>
      <c r="F1895" s="68" t="s">
        <v>13</v>
      </c>
      <c r="G1895" s="68" t="s">
        <v>13</v>
      </c>
      <c r="H1895" s="68" t="s">
        <v>13</v>
      </c>
      <c r="I1895" s="68" t="s">
        <v>13</v>
      </c>
      <c r="J1895" s="68" t="s">
        <v>2</v>
      </c>
      <c r="K1895" s="68" t="s">
        <v>2</v>
      </c>
      <c r="L1895" s="68" t="s">
        <v>2</v>
      </c>
      <c r="M1895" s="68" t="s">
        <v>2</v>
      </c>
      <c r="N1895" s="4" t="s">
        <v>84</v>
      </c>
      <c r="X1895" s="142"/>
      <c r="Y1895" s="14"/>
      <c r="Z1895" s="14"/>
      <c r="AA1895" s="14"/>
      <c r="AB1895" s="104"/>
    </row>
    <row r="1896" spans="1:28" ht="15.75" thickBot="1">
      <c r="A1896" s="409" t="s">
        <v>0</v>
      </c>
      <c r="B1896" s="414"/>
      <c r="C1896" s="99" t="s">
        <v>102</v>
      </c>
      <c r="D1896" s="99" t="s">
        <v>103</v>
      </c>
      <c r="E1896" s="99" t="s">
        <v>104</v>
      </c>
      <c r="F1896" s="99" t="s">
        <v>105</v>
      </c>
      <c r="G1896" s="99" t="s">
        <v>100</v>
      </c>
      <c r="H1896" s="99" t="s">
        <v>107</v>
      </c>
      <c r="I1896" s="99" t="s">
        <v>106</v>
      </c>
      <c r="J1896" s="99" t="s">
        <v>108</v>
      </c>
      <c r="K1896" s="99" t="s">
        <v>110</v>
      </c>
      <c r="L1896" s="99" t="s">
        <v>101</v>
      </c>
      <c r="M1896" s="99" t="s">
        <v>109</v>
      </c>
      <c r="N1896" s="101" t="s">
        <v>111</v>
      </c>
      <c r="P1896" s="142"/>
      <c r="Q1896" s="138"/>
      <c r="R1896" s="138"/>
      <c r="S1896" s="138"/>
      <c r="T1896" s="138"/>
      <c r="U1896" s="138"/>
      <c r="V1896" s="138"/>
      <c r="W1896" s="138"/>
      <c r="X1896" s="138"/>
      <c r="Y1896" s="138"/>
      <c r="Z1896" s="138"/>
      <c r="AA1896" s="138"/>
      <c r="AB1896" s="138"/>
    </row>
    <row r="1897" spans="1:28" ht="15" customHeight="1">
      <c r="A1897" s="421" t="s">
        <v>9</v>
      </c>
      <c r="B1897" s="2" t="s">
        <v>4</v>
      </c>
      <c r="C1897" s="96">
        <v>115816.8</v>
      </c>
      <c r="D1897" s="96">
        <v>79968.7</v>
      </c>
      <c r="E1897" s="96">
        <v>79968.7</v>
      </c>
      <c r="F1897" s="96">
        <v>154422.39999999999</v>
      </c>
      <c r="G1897" s="96">
        <v>121331.8</v>
      </c>
      <c r="H1897" s="96">
        <v>110071.9</v>
      </c>
      <c r="I1897" s="96">
        <v>121331.8</v>
      </c>
      <c r="J1897" s="96">
        <v>170967.6</v>
      </c>
      <c r="K1897" s="96">
        <v>54921</v>
      </c>
      <c r="L1897" s="96">
        <v>60665.9</v>
      </c>
      <c r="M1897" s="96">
        <v>176482.7</v>
      </c>
      <c r="N1897" s="100">
        <v>54921</v>
      </c>
      <c r="X1897" s="138"/>
      <c r="Y1897" s="104"/>
      <c r="Z1897" s="104"/>
      <c r="AA1897" s="104"/>
      <c r="AB1897" s="104"/>
    </row>
    <row r="1898" spans="1:28" s="64" customFormat="1">
      <c r="A1898" s="422"/>
      <c r="B1898" s="63" t="s">
        <v>5</v>
      </c>
      <c r="C1898" s="97">
        <v>93324.3</v>
      </c>
      <c r="D1898" s="97">
        <v>66052.2</v>
      </c>
      <c r="E1898" s="97">
        <v>67429.899999999994</v>
      </c>
      <c r="F1898" s="97">
        <v>130113</v>
      </c>
      <c r="G1898" s="97">
        <v>225.3</v>
      </c>
      <c r="H1898" s="97">
        <v>26284.6</v>
      </c>
      <c r="I1898" s="97">
        <v>19623.3</v>
      </c>
      <c r="J1898" s="97">
        <v>116974.7</v>
      </c>
      <c r="K1898" s="97">
        <v>29289.5</v>
      </c>
      <c r="L1898" s="97">
        <v>129.1</v>
      </c>
      <c r="M1898" s="97">
        <v>78155.7</v>
      </c>
      <c r="N1898" s="102">
        <v>22932.799999999999</v>
      </c>
      <c r="P1898" s="14"/>
      <c r="Q1898" s="104"/>
      <c r="R1898" s="104"/>
      <c r="S1898" s="104"/>
      <c r="T1898" s="104"/>
      <c r="U1898" s="104"/>
      <c r="V1898" s="104"/>
      <c r="W1898" s="104"/>
      <c r="X1898" s="138"/>
      <c r="Y1898" s="104"/>
      <c r="Z1898" s="104"/>
      <c r="AA1898" s="104"/>
      <c r="AB1898" s="104"/>
    </row>
    <row r="1899" spans="1:28" ht="15.75" thickBot="1">
      <c r="A1899" s="423"/>
      <c r="B1899" s="3" t="s">
        <v>3</v>
      </c>
      <c r="C1899" s="71">
        <f>C1898/C1897</f>
        <v>0.80579242389705119</v>
      </c>
      <c r="D1899" s="72">
        <f t="shared" ref="D1899:N1899" si="1300">D1898/D1897</f>
        <v>0.82597566297814018</v>
      </c>
      <c r="E1899" s="72">
        <f t="shared" si="1300"/>
        <v>0.84320365342940418</v>
      </c>
      <c r="F1899" s="72">
        <f t="shared" si="1300"/>
        <v>0.84257853782870884</v>
      </c>
      <c r="G1899" s="72">
        <f t="shared" si="1300"/>
        <v>1.8568915980806352E-3</v>
      </c>
      <c r="H1899" s="72">
        <f t="shared" si="1300"/>
        <v>0.23879482411042238</v>
      </c>
      <c r="I1899" s="72">
        <f t="shared" si="1300"/>
        <v>0.16173253837823223</v>
      </c>
      <c r="J1899" s="72">
        <f t="shared" si="1300"/>
        <v>0.6841922095180607</v>
      </c>
      <c r="K1899" s="72">
        <f t="shared" si="1300"/>
        <v>0.53330237978186845</v>
      </c>
      <c r="L1899" s="72">
        <f t="shared" si="1300"/>
        <v>2.12804887094727E-3</v>
      </c>
      <c r="M1899" s="72">
        <f t="shared" si="1300"/>
        <v>0.44285190559754578</v>
      </c>
      <c r="N1899" s="83">
        <f t="shared" si="1300"/>
        <v>0.41755976766628428</v>
      </c>
      <c r="X1899" s="138"/>
      <c r="Y1899" s="104"/>
      <c r="Z1899" s="104"/>
      <c r="AA1899" s="104"/>
      <c r="AB1899" s="104"/>
    </row>
    <row r="1900" spans="1:28" ht="15" customHeight="1">
      <c r="A1900" s="411" t="s">
        <v>6</v>
      </c>
      <c r="B1900" s="27" t="s">
        <v>7</v>
      </c>
      <c r="C1900" s="68">
        <v>5006</v>
      </c>
      <c r="D1900" s="68">
        <v>3200</v>
      </c>
      <c r="E1900" s="68">
        <v>3200</v>
      </c>
      <c r="F1900" s="68">
        <v>9503</v>
      </c>
      <c r="G1900" s="68">
        <v>3200</v>
      </c>
      <c r="H1900" s="68">
        <v>4800</v>
      </c>
      <c r="I1900" s="68">
        <v>4000</v>
      </c>
      <c r="J1900" s="68">
        <v>9503</v>
      </c>
      <c r="K1900" s="68">
        <v>2900</v>
      </c>
      <c r="L1900" s="68">
        <v>1600</v>
      </c>
      <c r="M1900" s="68">
        <f>4643-2210</f>
        <v>2433</v>
      </c>
      <c r="N1900" s="80">
        <v>396</v>
      </c>
      <c r="X1900" s="138"/>
      <c r="Y1900" s="104"/>
      <c r="Z1900" s="104"/>
      <c r="AA1900" s="104"/>
      <c r="AB1900" s="104"/>
    </row>
    <row r="1901" spans="1:28">
      <c r="A1901" s="412"/>
      <c r="B1901" s="28" t="s">
        <v>11</v>
      </c>
      <c r="C1901" s="73">
        <f t="shared" ref="C1901:N1901" si="1301">C1900*33.79</f>
        <v>169152.74</v>
      </c>
      <c r="D1901" s="73">
        <f t="shared" si="1301"/>
        <v>108128</v>
      </c>
      <c r="E1901" s="73">
        <f t="shared" si="1301"/>
        <v>108128</v>
      </c>
      <c r="F1901" s="73">
        <f t="shared" si="1301"/>
        <v>321106.37</v>
      </c>
      <c r="G1901" s="73">
        <f t="shared" si="1301"/>
        <v>108128</v>
      </c>
      <c r="H1901" s="73">
        <f t="shared" si="1301"/>
        <v>162192</v>
      </c>
      <c r="I1901" s="73">
        <f t="shared" si="1301"/>
        <v>135160</v>
      </c>
      <c r="J1901" s="73">
        <f t="shared" si="1301"/>
        <v>321106.37</v>
      </c>
      <c r="K1901" s="73">
        <f t="shared" si="1301"/>
        <v>97991</v>
      </c>
      <c r="L1901" s="73">
        <f t="shared" si="1301"/>
        <v>54064</v>
      </c>
      <c r="M1901" s="73">
        <f t="shared" si="1301"/>
        <v>82211.069999999992</v>
      </c>
      <c r="N1901" s="84">
        <f t="shared" si="1301"/>
        <v>13380.84</v>
      </c>
      <c r="X1901" s="138"/>
      <c r="Y1901" s="104"/>
      <c r="Z1901" s="104"/>
      <c r="AA1901" s="104"/>
      <c r="AB1901" s="104"/>
    </row>
    <row r="1902" spans="1:28">
      <c r="A1902" s="412"/>
      <c r="B1902" s="28" t="s">
        <v>79</v>
      </c>
      <c r="C1902" s="73">
        <v>164000</v>
      </c>
      <c r="D1902" s="73">
        <v>109880</v>
      </c>
      <c r="E1902" s="73">
        <v>109880</v>
      </c>
      <c r="F1902" s="73">
        <v>328000</v>
      </c>
      <c r="G1902" s="73">
        <f>G1897*2</f>
        <v>242663.6</v>
      </c>
      <c r="H1902" s="73">
        <f>H1897*2</f>
        <v>220143.8</v>
      </c>
      <c r="I1902" s="73">
        <f>I1897*2</f>
        <v>242663.6</v>
      </c>
      <c r="J1902" s="73">
        <v>328000</v>
      </c>
      <c r="K1902" s="73">
        <f>K1897*2</f>
        <v>109842</v>
      </c>
      <c r="L1902" s="73">
        <v>328000</v>
      </c>
      <c r="M1902" s="73">
        <f>2*M1897</f>
        <v>352965.4</v>
      </c>
      <c r="N1902" s="84">
        <f>2*N1897</f>
        <v>109842</v>
      </c>
    </row>
    <row r="1903" spans="1:28" s="64" customFormat="1">
      <c r="A1903" s="412"/>
      <c r="B1903" s="66" t="s">
        <v>8</v>
      </c>
      <c r="C1903" s="98">
        <f>SUM(C1900-436)</f>
        <v>4570</v>
      </c>
      <c r="D1903" s="98">
        <f>SUM(D1900-721)</f>
        <v>2479</v>
      </c>
      <c r="E1903" s="98">
        <f>SUM(E1900-691)</f>
        <v>2509</v>
      </c>
      <c r="F1903" s="98">
        <f>SUM(F1900-1215)</f>
        <v>8288</v>
      </c>
      <c r="G1903" s="98">
        <f>SUM(G1900-3077)</f>
        <v>123</v>
      </c>
      <c r="H1903" s="98">
        <f>SUM(H1900-1416)</f>
        <v>3384</v>
      </c>
      <c r="I1903" s="98">
        <f>SUM(I1900-2923)</f>
        <v>1077</v>
      </c>
      <c r="J1903" s="98">
        <f>SUM(J1900-1522)</f>
        <v>7981</v>
      </c>
      <c r="K1903" s="98">
        <f>SUM(K1900-1235)</f>
        <v>1665</v>
      </c>
      <c r="L1903" s="98">
        <f>SUM(L1900-1379)</f>
        <v>221</v>
      </c>
      <c r="M1903" s="98">
        <f>SUM(M1900-(3367-2210))</f>
        <v>1276</v>
      </c>
      <c r="N1903" s="103">
        <f>SUM(N1900-49)</f>
        <v>347</v>
      </c>
      <c r="P1903" s="14"/>
      <c r="Q1903" s="138"/>
      <c r="R1903" s="104"/>
      <c r="S1903" s="104"/>
      <c r="T1903" s="104"/>
      <c r="U1903" s="104"/>
      <c r="V1903" s="104"/>
      <c r="W1903" s="104"/>
    </row>
    <row r="1904" spans="1:28">
      <c r="A1904" s="412"/>
      <c r="B1904" s="29" t="s">
        <v>77</v>
      </c>
      <c r="C1904" s="75">
        <f>C1903*33.72</f>
        <v>154100.4</v>
      </c>
      <c r="D1904" s="75">
        <f>D1903*33.72</f>
        <v>83591.87999999999</v>
      </c>
      <c r="E1904" s="75">
        <f>E1903*33.72</f>
        <v>84603.48</v>
      </c>
      <c r="F1904" s="75">
        <f>F1903*33.72</f>
        <v>279471.35999999999</v>
      </c>
      <c r="G1904" s="75">
        <f>G1903*33.72*2</f>
        <v>8295.119999999999</v>
      </c>
      <c r="H1904" s="75">
        <f>H1903*33.72</f>
        <v>114108.48</v>
      </c>
      <c r="I1904" s="75">
        <f>I1903*33.72</f>
        <v>36316.44</v>
      </c>
      <c r="J1904" s="75">
        <f>J1903*33.72</f>
        <v>269119.32</v>
      </c>
      <c r="K1904" s="75">
        <f>K1903*33.72</f>
        <v>56143.799999999996</v>
      </c>
      <c r="L1904" s="75">
        <f>L1903*33.72</f>
        <v>7452.12</v>
      </c>
      <c r="M1904" s="75">
        <f>M1903*33.72*2</f>
        <v>86053.440000000002</v>
      </c>
      <c r="N1904" s="11">
        <f>N1903*33.72</f>
        <v>11700.84</v>
      </c>
      <c r="Q1904" s="138"/>
    </row>
    <row r="1905" spans="1:28" ht="15.75" thickBot="1">
      <c r="A1905" s="412"/>
      <c r="B1905" s="30" t="s">
        <v>10</v>
      </c>
      <c r="C1905" s="71">
        <f>C1903*33.7/C1897</f>
        <v>1.3297639029916213</v>
      </c>
      <c r="D1905" s="71">
        <f t="shared" ref="D1905:N1905" si="1302">D1903*33.7/D1897</f>
        <v>1.0446874839781064</v>
      </c>
      <c r="E1905" s="78">
        <f t="shared" si="1302"/>
        <v>1.0573299303352437</v>
      </c>
      <c r="F1905" s="78">
        <f t="shared" si="1302"/>
        <v>1.8087116894958248</v>
      </c>
      <c r="G1905" s="78">
        <f t="shared" si="1302"/>
        <v>3.4163343822476877E-2</v>
      </c>
      <c r="H1905" s="78">
        <f t="shared" si="1302"/>
        <v>1.0360573407018505</v>
      </c>
      <c r="I1905" s="78">
        <f t="shared" si="1302"/>
        <v>0.29913757151876097</v>
      </c>
      <c r="J1905" s="78">
        <f t="shared" si="1302"/>
        <v>1.5731618154550921</v>
      </c>
      <c r="K1905" s="78">
        <f t="shared" si="1302"/>
        <v>1.0216583820396572</v>
      </c>
      <c r="L1905" s="78">
        <f t="shared" si="1302"/>
        <v>0.12276583715068927</v>
      </c>
      <c r="M1905" s="79">
        <f t="shared" si="1302"/>
        <v>0.24365674369215792</v>
      </c>
      <c r="N1905" s="26">
        <f t="shared" si="1302"/>
        <v>0.21292219733799461</v>
      </c>
      <c r="Q1905" s="138"/>
    </row>
    <row r="1906" spans="1:28" ht="15.75" customHeight="1" thickBot="1">
      <c r="A1906" s="424" t="s">
        <v>83</v>
      </c>
      <c r="B1906" s="425"/>
      <c r="C1906" s="76">
        <f>MIN(2*C1897,C1902)-C1904</f>
        <v>9899.6000000000058</v>
      </c>
      <c r="D1906" s="76">
        <f t="shared" ref="D1906:N1906" si="1303">MIN(2*D1897,D1902)-D1904</f>
        <v>26288.12000000001</v>
      </c>
      <c r="E1906" s="76">
        <f t="shared" si="1303"/>
        <v>25276.520000000004</v>
      </c>
      <c r="F1906" s="76">
        <f t="shared" si="1303"/>
        <v>29373.440000000002</v>
      </c>
      <c r="G1906" s="76">
        <f t="shared" si="1303"/>
        <v>234368.48</v>
      </c>
      <c r="H1906" s="76">
        <f t="shared" si="1303"/>
        <v>106035.31999999999</v>
      </c>
      <c r="I1906" s="76">
        <f t="shared" si="1303"/>
        <v>206347.16</v>
      </c>
      <c r="J1906" s="76">
        <f t="shared" si="1303"/>
        <v>58880.679999999993</v>
      </c>
      <c r="K1906" s="76">
        <f t="shared" si="1303"/>
        <v>53698.200000000004</v>
      </c>
      <c r="L1906" s="76">
        <f t="shared" si="1303"/>
        <v>113879.68000000001</v>
      </c>
      <c r="M1906" s="76">
        <f t="shared" si="1303"/>
        <v>266911.96000000002</v>
      </c>
      <c r="N1906" s="22">
        <f t="shared" si="1303"/>
        <v>98141.16</v>
      </c>
      <c r="Q1906" s="138"/>
    </row>
    <row r="1907" spans="1:28" ht="15.75" thickBot="1">
      <c r="A1907" s="368">
        <v>40956</v>
      </c>
      <c r="B1907" s="368"/>
      <c r="C1907" s="368"/>
      <c r="N1907" s="15"/>
      <c r="Q1907" s="138"/>
    </row>
    <row r="1908" spans="1:28">
      <c r="A1908" s="407" t="s">
        <v>1</v>
      </c>
      <c r="B1908" s="420"/>
      <c r="C1908" s="68" t="s">
        <v>12</v>
      </c>
      <c r="D1908" s="68" t="s">
        <v>12</v>
      </c>
      <c r="E1908" s="68" t="s">
        <v>13</v>
      </c>
      <c r="F1908" s="68" t="s">
        <v>13</v>
      </c>
      <c r="G1908" s="68" t="s">
        <v>13</v>
      </c>
      <c r="H1908" s="68" t="s">
        <v>13</v>
      </c>
      <c r="I1908" s="68" t="s">
        <v>13</v>
      </c>
      <c r="J1908" s="68" t="s">
        <v>2</v>
      </c>
      <c r="K1908" s="68" t="s">
        <v>2</v>
      </c>
      <c r="L1908" s="68" t="s">
        <v>2</v>
      </c>
      <c r="M1908" s="68" t="s">
        <v>2</v>
      </c>
      <c r="N1908" s="4" t="s">
        <v>84</v>
      </c>
      <c r="Q1908" s="138"/>
      <c r="X1908" s="14"/>
      <c r="Y1908" s="14"/>
      <c r="AA1908" s="14"/>
      <c r="AB1908" s="104"/>
    </row>
    <row r="1909" spans="1:28" ht="15.75" thickBot="1">
      <c r="A1909" s="409" t="s">
        <v>0</v>
      </c>
      <c r="B1909" s="414"/>
      <c r="C1909" s="99" t="s">
        <v>102</v>
      </c>
      <c r="D1909" s="99" t="s">
        <v>103</v>
      </c>
      <c r="E1909" s="99" t="s">
        <v>104</v>
      </c>
      <c r="F1909" s="99" t="s">
        <v>105</v>
      </c>
      <c r="G1909" s="99" t="s">
        <v>100</v>
      </c>
      <c r="H1909" s="99" t="s">
        <v>107</v>
      </c>
      <c r="I1909" s="99" t="s">
        <v>106</v>
      </c>
      <c r="J1909" s="99" t="s">
        <v>108</v>
      </c>
      <c r="K1909" s="99" t="s">
        <v>110</v>
      </c>
      <c r="L1909" s="99" t="s">
        <v>101</v>
      </c>
      <c r="M1909" s="99" t="s">
        <v>109</v>
      </c>
      <c r="N1909" s="101" t="s">
        <v>111</v>
      </c>
      <c r="Q1909" s="138"/>
      <c r="X1909" s="138"/>
      <c r="Y1909" s="138"/>
      <c r="Z1909" s="138"/>
      <c r="AA1909" s="138"/>
      <c r="AB1909" s="138"/>
    </row>
    <row r="1910" spans="1:28" ht="15" customHeight="1">
      <c r="A1910" s="421" t="s">
        <v>9</v>
      </c>
      <c r="B1910" s="2" t="s">
        <v>4</v>
      </c>
      <c r="C1910" s="96">
        <v>115816.8</v>
      </c>
      <c r="D1910" s="96">
        <v>79968.7</v>
      </c>
      <c r="E1910" s="96">
        <v>79968.7</v>
      </c>
      <c r="F1910" s="96">
        <v>154422.39999999999</v>
      </c>
      <c r="G1910" s="96">
        <v>121331.8</v>
      </c>
      <c r="H1910" s="96">
        <v>110071.9</v>
      </c>
      <c r="I1910" s="96">
        <v>121331.8</v>
      </c>
      <c r="J1910" s="96">
        <v>170967.6</v>
      </c>
      <c r="K1910" s="96">
        <v>54921</v>
      </c>
      <c r="L1910" s="96">
        <v>60665.9</v>
      </c>
      <c r="M1910" s="96">
        <v>176482.7</v>
      </c>
      <c r="N1910" s="100">
        <v>54921</v>
      </c>
      <c r="P1910" s="142"/>
      <c r="Q1910" s="138"/>
      <c r="R1910" s="138"/>
      <c r="S1910" s="138"/>
      <c r="T1910" s="138"/>
      <c r="U1910" s="138"/>
      <c r="V1910" s="138"/>
      <c r="Y1910" s="104"/>
      <c r="Z1910" s="104"/>
      <c r="AA1910" s="104"/>
      <c r="AB1910" s="104"/>
    </row>
    <row r="1911" spans="1:28" s="64" customFormat="1">
      <c r="A1911" s="422"/>
      <c r="B1911" s="63" t="s">
        <v>5</v>
      </c>
      <c r="C1911" s="97">
        <v>93115.9</v>
      </c>
      <c r="D1911" s="97">
        <v>66043.8</v>
      </c>
      <c r="E1911" s="97">
        <v>67421.5</v>
      </c>
      <c r="F1911" s="97">
        <v>129627.9</v>
      </c>
      <c r="G1911" s="97">
        <v>136.9</v>
      </c>
      <c r="H1911" s="97">
        <v>25918.7</v>
      </c>
      <c r="I1911" s="97">
        <v>19622.400000000001</v>
      </c>
      <c r="J1911" s="97">
        <v>116024.2</v>
      </c>
      <c r="K1911" s="97">
        <v>29281.200000000001</v>
      </c>
      <c r="L1911" s="97">
        <v>84.7</v>
      </c>
      <c r="M1911" s="97">
        <v>78152.899999999994</v>
      </c>
      <c r="N1911" s="102">
        <v>22932.3</v>
      </c>
      <c r="P1911" s="14"/>
      <c r="Q1911" s="138"/>
      <c r="R1911" s="104"/>
      <c r="S1911" s="104"/>
      <c r="T1911" s="104"/>
      <c r="U1911" s="104"/>
      <c r="V1911" s="104"/>
      <c r="W1911" s="104"/>
      <c r="X1911" s="104"/>
      <c r="Y1911" s="104"/>
      <c r="Z1911" s="104"/>
      <c r="AA1911" s="104"/>
      <c r="AB1911" s="104"/>
    </row>
    <row r="1912" spans="1:28" ht="15.75" thickBot="1">
      <c r="A1912" s="423"/>
      <c r="B1912" s="3" t="s">
        <v>3</v>
      </c>
      <c r="C1912" s="71">
        <f>C1911/C1910</f>
        <v>0.80399303037210479</v>
      </c>
      <c r="D1912" s="72">
        <f t="shared" ref="D1912:N1912" si="1304">D1911/D1910</f>
        <v>0.82587062188081095</v>
      </c>
      <c r="E1912" s="72">
        <f t="shared" si="1304"/>
        <v>0.84309861233207495</v>
      </c>
      <c r="F1912" s="72">
        <f t="shared" si="1304"/>
        <v>0.83943715419524623</v>
      </c>
      <c r="G1912" s="72">
        <f t="shared" si="1304"/>
        <v>1.1283109621715E-3</v>
      </c>
      <c r="H1912" s="72">
        <f t="shared" si="1304"/>
        <v>0.23547063328606122</v>
      </c>
      <c r="I1912" s="72">
        <f t="shared" si="1304"/>
        <v>0.16172512070207481</v>
      </c>
      <c r="J1912" s="72">
        <f t="shared" si="1304"/>
        <v>0.67863267660071258</v>
      </c>
      <c r="K1912" s="72">
        <f t="shared" si="1304"/>
        <v>0.53315125361883431</v>
      </c>
      <c r="L1912" s="72">
        <f t="shared" si="1304"/>
        <v>1.3961714900792702E-3</v>
      </c>
      <c r="M1912" s="72">
        <f t="shared" si="1304"/>
        <v>0.4428360400197866</v>
      </c>
      <c r="N1912" s="83">
        <f t="shared" si="1304"/>
        <v>0.41755066368055932</v>
      </c>
      <c r="Q1912" s="138"/>
      <c r="Y1912" s="104"/>
      <c r="Z1912" s="104"/>
      <c r="AA1912" s="104"/>
      <c r="AB1912" s="104"/>
    </row>
    <row r="1913" spans="1:28" ht="15" customHeight="1">
      <c r="A1913" s="411" t="s">
        <v>6</v>
      </c>
      <c r="B1913" s="27" t="s">
        <v>7</v>
      </c>
      <c r="C1913" s="68">
        <v>5006</v>
      </c>
      <c r="D1913" s="68">
        <v>3200</v>
      </c>
      <c r="E1913" s="68">
        <v>3200</v>
      </c>
      <c r="F1913" s="68">
        <v>9503</v>
      </c>
      <c r="G1913" s="68">
        <v>3200</v>
      </c>
      <c r="H1913" s="68">
        <v>4800</v>
      </c>
      <c r="I1913" s="68">
        <v>4000</v>
      </c>
      <c r="J1913" s="68">
        <v>9503</v>
      </c>
      <c r="K1913" s="68">
        <v>2900</v>
      </c>
      <c r="L1913" s="68">
        <v>1600</v>
      </c>
      <c r="M1913" s="68">
        <f>4643-2210</f>
        <v>2433</v>
      </c>
      <c r="N1913" s="80">
        <v>396</v>
      </c>
      <c r="AB1913" s="104"/>
    </row>
    <row r="1914" spans="1:28">
      <c r="A1914" s="412"/>
      <c r="B1914" s="28" t="s">
        <v>11</v>
      </c>
      <c r="C1914" s="73">
        <f t="shared" ref="C1914:N1914" si="1305">C1913*33.79</f>
        <v>169152.74</v>
      </c>
      <c r="D1914" s="73">
        <f t="shared" si="1305"/>
        <v>108128</v>
      </c>
      <c r="E1914" s="73">
        <f t="shared" si="1305"/>
        <v>108128</v>
      </c>
      <c r="F1914" s="73">
        <f t="shared" si="1305"/>
        <v>321106.37</v>
      </c>
      <c r="G1914" s="73">
        <f t="shared" si="1305"/>
        <v>108128</v>
      </c>
      <c r="H1914" s="73">
        <f t="shared" si="1305"/>
        <v>162192</v>
      </c>
      <c r="I1914" s="73">
        <f t="shared" si="1305"/>
        <v>135160</v>
      </c>
      <c r="J1914" s="73">
        <f t="shared" si="1305"/>
        <v>321106.37</v>
      </c>
      <c r="K1914" s="73">
        <f t="shared" si="1305"/>
        <v>97991</v>
      </c>
      <c r="L1914" s="73">
        <f t="shared" si="1305"/>
        <v>54064</v>
      </c>
      <c r="M1914" s="73">
        <f t="shared" si="1305"/>
        <v>82211.069999999992</v>
      </c>
      <c r="N1914" s="84">
        <f t="shared" si="1305"/>
        <v>13380.84</v>
      </c>
      <c r="AB1914" s="104"/>
    </row>
    <row r="1915" spans="1:28">
      <c r="A1915" s="412"/>
      <c r="B1915" s="28" t="s">
        <v>79</v>
      </c>
      <c r="C1915" s="73">
        <v>164000</v>
      </c>
      <c r="D1915" s="73">
        <v>109880</v>
      </c>
      <c r="E1915" s="73">
        <v>109880</v>
      </c>
      <c r="F1915" s="73">
        <v>328000</v>
      </c>
      <c r="G1915" s="73">
        <f>G1910*2</f>
        <v>242663.6</v>
      </c>
      <c r="H1915" s="73">
        <f>H1910*2</f>
        <v>220143.8</v>
      </c>
      <c r="I1915" s="73">
        <f>I1910*2</f>
        <v>242663.6</v>
      </c>
      <c r="J1915" s="73">
        <v>328000</v>
      </c>
      <c r="K1915" s="73">
        <f>K1910*2</f>
        <v>109842</v>
      </c>
      <c r="L1915" s="73">
        <v>328000</v>
      </c>
      <c r="M1915" s="73">
        <f>2*M1910</f>
        <v>352965.4</v>
      </c>
      <c r="N1915" s="84">
        <f>2*N1910</f>
        <v>109842</v>
      </c>
    </row>
    <row r="1916" spans="1:28" s="64" customFormat="1">
      <c r="A1916" s="412"/>
      <c r="B1916" s="66" t="s">
        <v>8</v>
      </c>
      <c r="C1916" s="98">
        <f>SUM(C1913-436)</f>
        <v>4570</v>
      </c>
      <c r="D1916" s="98">
        <f>SUM(D1913-721)</f>
        <v>2479</v>
      </c>
      <c r="E1916" s="98">
        <f>SUM(E1913-691)</f>
        <v>2509</v>
      </c>
      <c r="F1916" s="98">
        <f>SUM(F1913-1215)</f>
        <v>8288</v>
      </c>
      <c r="G1916" s="98">
        <f>SUM(G1913-3077)</f>
        <v>123</v>
      </c>
      <c r="H1916" s="98">
        <f>SUM(H1913-1416)</f>
        <v>3384</v>
      </c>
      <c r="I1916" s="98">
        <f>SUM(I1913-2923)</f>
        <v>1077</v>
      </c>
      <c r="J1916" s="98">
        <f>SUM(J1913-1522)</f>
        <v>7981</v>
      </c>
      <c r="K1916" s="98">
        <f>SUM(K1913-1235)</f>
        <v>1665</v>
      </c>
      <c r="L1916" s="98">
        <f>SUM(L1913-1379)</f>
        <v>221</v>
      </c>
      <c r="M1916" s="98">
        <f>SUM(M1913-(3367-2210))</f>
        <v>1276</v>
      </c>
      <c r="N1916" s="103">
        <f>SUM(N1913-49)</f>
        <v>347</v>
      </c>
      <c r="P1916" s="14"/>
      <c r="Q1916" s="104"/>
      <c r="R1916" s="104"/>
      <c r="S1916" s="104"/>
      <c r="T1916" s="104"/>
      <c r="U1916" s="104"/>
      <c r="V1916" s="104"/>
      <c r="W1916" s="104"/>
    </row>
    <row r="1917" spans="1:28">
      <c r="A1917" s="412"/>
      <c r="B1917" s="29" t="s">
        <v>77</v>
      </c>
      <c r="C1917" s="75">
        <f>C1916*33.72</f>
        <v>154100.4</v>
      </c>
      <c r="D1917" s="75">
        <f>D1916*33.72</f>
        <v>83591.87999999999</v>
      </c>
      <c r="E1917" s="75">
        <f>E1916*33.72</f>
        <v>84603.48</v>
      </c>
      <c r="F1917" s="75">
        <f>F1916*33.72</f>
        <v>279471.35999999999</v>
      </c>
      <c r="G1917" s="75">
        <f>G1916*33.72*2</f>
        <v>8295.119999999999</v>
      </c>
      <c r="H1917" s="75">
        <f>H1916*33.72</f>
        <v>114108.48</v>
      </c>
      <c r="I1917" s="75">
        <f>I1916*33.72</f>
        <v>36316.44</v>
      </c>
      <c r="J1917" s="75">
        <f>J1916*33.72</f>
        <v>269119.32</v>
      </c>
      <c r="K1917" s="75">
        <f>K1916*33.72</f>
        <v>56143.799999999996</v>
      </c>
      <c r="L1917" s="75">
        <f>L1916*33.72</f>
        <v>7452.12</v>
      </c>
      <c r="M1917" s="75">
        <f>M1916*33.72*2</f>
        <v>86053.440000000002</v>
      </c>
      <c r="N1917" s="11">
        <f>N1916*33.72</f>
        <v>11700.84</v>
      </c>
    </row>
    <row r="1918" spans="1:28" ht="15.75" thickBot="1">
      <c r="A1918" s="412"/>
      <c r="B1918" s="30" t="s">
        <v>10</v>
      </c>
      <c r="C1918" s="71">
        <f>C1916*33.7/C1910</f>
        <v>1.3297639029916213</v>
      </c>
      <c r="D1918" s="71">
        <f t="shared" ref="D1918:N1918" si="1306">D1916*33.7/D1910</f>
        <v>1.0446874839781064</v>
      </c>
      <c r="E1918" s="78">
        <f t="shared" si="1306"/>
        <v>1.0573299303352437</v>
      </c>
      <c r="F1918" s="78">
        <f t="shared" si="1306"/>
        <v>1.8087116894958248</v>
      </c>
      <c r="G1918" s="78">
        <f t="shared" si="1306"/>
        <v>3.4163343822476877E-2</v>
      </c>
      <c r="H1918" s="78">
        <f t="shared" si="1306"/>
        <v>1.0360573407018505</v>
      </c>
      <c r="I1918" s="78">
        <f t="shared" si="1306"/>
        <v>0.29913757151876097</v>
      </c>
      <c r="J1918" s="78">
        <f t="shared" si="1306"/>
        <v>1.5731618154550921</v>
      </c>
      <c r="K1918" s="78">
        <f t="shared" si="1306"/>
        <v>1.0216583820396572</v>
      </c>
      <c r="L1918" s="78">
        <f t="shared" si="1306"/>
        <v>0.12276583715068927</v>
      </c>
      <c r="M1918" s="79">
        <f t="shared" si="1306"/>
        <v>0.24365674369215792</v>
      </c>
      <c r="N1918" s="26">
        <f t="shared" si="1306"/>
        <v>0.21292219733799461</v>
      </c>
    </row>
    <row r="1919" spans="1:28" ht="15.75" customHeight="1" thickBot="1">
      <c r="A1919" s="424" t="s">
        <v>83</v>
      </c>
      <c r="B1919" s="425"/>
      <c r="C1919" s="76">
        <f>MIN(2*C1910,C1915)-C1917</f>
        <v>9899.6000000000058</v>
      </c>
      <c r="D1919" s="76">
        <f t="shared" ref="D1919:N1919" si="1307">MIN(2*D1910,D1915)-D1917</f>
        <v>26288.12000000001</v>
      </c>
      <c r="E1919" s="76">
        <f t="shared" si="1307"/>
        <v>25276.520000000004</v>
      </c>
      <c r="F1919" s="76">
        <f t="shared" si="1307"/>
        <v>29373.440000000002</v>
      </c>
      <c r="G1919" s="76">
        <f t="shared" si="1307"/>
        <v>234368.48</v>
      </c>
      <c r="H1919" s="76">
        <f t="shared" si="1307"/>
        <v>106035.31999999999</v>
      </c>
      <c r="I1919" s="76">
        <f t="shared" si="1307"/>
        <v>206347.16</v>
      </c>
      <c r="J1919" s="76">
        <f t="shared" si="1307"/>
        <v>58880.679999999993</v>
      </c>
      <c r="K1919" s="76">
        <f t="shared" si="1307"/>
        <v>53698.200000000004</v>
      </c>
      <c r="L1919" s="76">
        <f t="shared" si="1307"/>
        <v>113879.68000000001</v>
      </c>
      <c r="M1919" s="76">
        <f t="shared" si="1307"/>
        <v>266911.96000000002</v>
      </c>
      <c r="N1919" s="22">
        <f t="shared" si="1307"/>
        <v>98141.16</v>
      </c>
    </row>
    <row r="1920" spans="1:28" ht="15.75" thickBot="1">
      <c r="A1920" s="368">
        <v>40955</v>
      </c>
      <c r="B1920" s="368"/>
      <c r="C1920" s="368"/>
      <c r="N1920" s="15"/>
    </row>
    <row r="1921" spans="1:28">
      <c r="A1921" s="407" t="s">
        <v>1</v>
      </c>
      <c r="B1921" s="420"/>
      <c r="C1921" s="68" t="s">
        <v>12</v>
      </c>
      <c r="D1921" s="68" t="s">
        <v>12</v>
      </c>
      <c r="E1921" s="68" t="s">
        <v>13</v>
      </c>
      <c r="F1921" s="68" t="s">
        <v>13</v>
      </c>
      <c r="G1921" s="68" t="s">
        <v>13</v>
      </c>
      <c r="H1921" s="68" t="s">
        <v>13</v>
      </c>
      <c r="I1921" s="68" t="s">
        <v>13</v>
      </c>
      <c r="J1921" s="68" t="s">
        <v>2</v>
      </c>
      <c r="K1921" s="68" t="s">
        <v>2</v>
      </c>
      <c r="L1921" s="68" t="s">
        <v>2</v>
      </c>
      <c r="M1921" s="68" t="s">
        <v>2</v>
      </c>
      <c r="N1921" s="4" t="s">
        <v>84</v>
      </c>
      <c r="Q1921" s="138"/>
      <c r="AB1921" s="104"/>
    </row>
    <row r="1922" spans="1:28" ht="15.75" thickBot="1">
      <c r="A1922" s="409" t="s">
        <v>0</v>
      </c>
      <c r="B1922" s="414"/>
      <c r="C1922" s="99" t="s">
        <v>102</v>
      </c>
      <c r="D1922" s="99" t="s">
        <v>103</v>
      </c>
      <c r="E1922" s="99" t="s">
        <v>104</v>
      </c>
      <c r="F1922" s="99" t="s">
        <v>105</v>
      </c>
      <c r="G1922" s="99" t="s">
        <v>100</v>
      </c>
      <c r="H1922" s="99" t="s">
        <v>107</v>
      </c>
      <c r="I1922" s="99" t="s">
        <v>106</v>
      </c>
      <c r="J1922" s="99" t="s">
        <v>108</v>
      </c>
      <c r="K1922" s="99" t="s">
        <v>110</v>
      </c>
      <c r="L1922" s="99" t="s">
        <v>101</v>
      </c>
      <c r="M1922" s="99" t="s">
        <v>109</v>
      </c>
      <c r="N1922" s="101" t="s">
        <v>111</v>
      </c>
      <c r="Q1922" s="138"/>
      <c r="AB1922" s="138"/>
    </row>
    <row r="1923" spans="1:28" ht="15" customHeight="1">
      <c r="A1923" s="421" t="s">
        <v>9</v>
      </c>
      <c r="B1923" s="2" t="s">
        <v>4</v>
      </c>
      <c r="C1923" s="96">
        <v>115816.8</v>
      </c>
      <c r="D1923" s="96">
        <v>79968.7</v>
      </c>
      <c r="E1923" s="96">
        <v>79968.7</v>
      </c>
      <c r="F1923" s="96">
        <v>154422.39999999999</v>
      </c>
      <c r="G1923" s="96">
        <v>121331.8</v>
      </c>
      <c r="H1923" s="96">
        <v>110071.9</v>
      </c>
      <c r="I1923" s="96">
        <v>121331.8</v>
      </c>
      <c r="J1923" s="96">
        <v>170967.6</v>
      </c>
      <c r="K1923" s="96">
        <v>54921</v>
      </c>
      <c r="L1923" s="96">
        <v>60665.9</v>
      </c>
      <c r="M1923" s="96">
        <v>176482.7</v>
      </c>
      <c r="N1923" s="100">
        <v>54921</v>
      </c>
      <c r="Q1923" s="138"/>
      <c r="AB1923" s="104"/>
    </row>
    <row r="1924" spans="1:28" s="64" customFormat="1">
      <c r="A1924" s="422"/>
      <c r="B1924" s="63" t="s">
        <v>5</v>
      </c>
      <c r="C1924" s="97">
        <v>92868.4</v>
      </c>
      <c r="D1924" s="97">
        <v>66041.5</v>
      </c>
      <c r="E1924" s="97">
        <v>67419.199999999997</v>
      </c>
      <c r="F1924" s="97">
        <v>129350.8</v>
      </c>
      <c r="G1924" s="97">
        <v>96</v>
      </c>
      <c r="H1924" s="97">
        <v>25865.1</v>
      </c>
      <c r="I1924" s="97">
        <v>19621.900000000001</v>
      </c>
      <c r="J1924" s="97">
        <v>115940</v>
      </c>
      <c r="K1924" s="97">
        <v>29276.9</v>
      </c>
      <c r="L1924" s="97">
        <v>64.3</v>
      </c>
      <c r="M1924" s="97">
        <v>78151.5</v>
      </c>
      <c r="N1924" s="102">
        <v>22932</v>
      </c>
      <c r="P1924" s="14"/>
      <c r="Q1924" s="138"/>
      <c r="R1924" s="104"/>
      <c r="S1924" s="104"/>
      <c r="T1924" s="104"/>
      <c r="U1924" s="104"/>
      <c r="V1924" s="104"/>
      <c r="W1924" s="104"/>
      <c r="AB1924" s="104"/>
    </row>
    <row r="1925" spans="1:28" ht="15.75" thickBot="1">
      <c r="A1925" s="423"/>
      <c r="B1925" s="3" t="s">
        <v>3</v>
      </c>
      <c r="C1925" s="71">
        <f>C1924/C1923</f>
        <v>0.80185603470308275</v>
      </c>
      <c r="D1925" s="72">
        <f t="shared" ref="D1925:N1925" si="1308">D1924/D1923</f>
        <v>0.82584186062797071</v>
      </c>
      <c r="E1925" s="72">
        <f t="shared" si="1308"/>
        <v>0.84306985107923471</v>
      </c>
      <c r="F1925" s="72">
        <f t="shared" si="1308"/>
        <v>0.8376427254077129</v>
      </c>
      <c r="G1925" s="72">
        <f t="shared" si="1308"/>
        <v>7.9121879012756754E-4</v>
      </c>
      <c r="H1925" s="72">
        <f t="shared" si="1308"/>
        <v>0.23498367884991536</v>
      </c>
      <c r="I1925" s="72">
        <f t="shared" si="1308"/>
        <v>0.16172099977087623</v>
      </c>
      <c r="J1925" s="72">
        <f t="shared" si="1308"/>
        <v>0.67814018562581446</v>
      </c>
      <c r="K1925" s="72">
        <f t="shared" si="1308"/>
        <v>0.53307295934159982</v>
      </c>
      <c r="L1925" s="72">
        <f t="shared" si="1308"/>
        <v>1.0599035042750538E-3</v>
      </c>
      <c r="M1925" s="72">
        <f t="shared" si="1308"/>
        <v>0.44282810723090704</v>
      </c>
      <c r="N1925" s="83">
        <f t="shared" si="1308"/>
        <v>0.41754520128912437</v>
      </c>
      <c r="AB1925" s="104"/>
    </row>
    <row r="1926" spans="1:28" ht="15" customHeight="1">
      <c r="A1926" s="411" t="s">
        <v>6</v>
      </c>
      <c r="B1926" s="27" t="s">
        <v>7</v>
      </c>
      <c r="C1926" s="68">
        <v>5006</v>
      </c>
      <c r="D1926" s="68">
        <v>3200</v>
      </c>
      <c r="E1926" s="68">
        <v>3200</v>
      </c>
      <c r="F1926" s="68">
        <v>9503</v>
      </c>
      <c r="G1926" s="68">
        <v>3200</v>
      </c>
      <c r="H1926" s="68">
        <v>4800</v>
      </c>
      <c r="I1926" s="68">
        <v>4000</v>
      </c>
      <c r="J1926" s="68">
        <v>9503</v>
      </c>
      <c r="K1926" s="68">
        <v>2900</v>
      </c>
      <c r="L1926" s="68">
        <v>1600</v>
      </c>
      <c r="M1926" s="68">
        <f>4643-2210</f>
        <v>2433</v>
      </c>
      <c r="N1926" s="80">
        <v>396</v>
      </c>
      <c r="AB1926" s="104"/>
    </row>
    <row r="1927" spans="1:28">
      <c r="A1927" s="412"/>
      <c r="B1927" s="28" t="s">
        <v>11</v>
      </c>
      <c r="C1927" s="73">
        <f t="shared" ref="C1927:N1927" si="1309">C1926*33.79</f>
        <v>169152.74</v>
      </c>
      <c r="D1927" s="73">
        <f t="shared" si="1309"/>
        <v>108128</v>
      </c>
      <c r="E1927" s="73">
        <f t="shared" si="1309"/>
        <v>108128</v>
      </c>
      <c r="F1927" s="73">
        <f t="shared" si="1309"/>
        <v>321106.37</v>
      </c>
      <c r="G1927" s="73">
        <f t="shared" si="1309"/>
        <v>108128</v>
      </c>
      <c r="H1927" s="73">
        <f t="shared" si="1309"/>
        <v>162192</v>
      </c>
      <c r="I1927" s="73">
        <f t="shared" si="1309"/>
        <v>135160</v>
      </c>
      <c r="J1927" s="73">
        <f t="shared" si="1309"/>
        <v>321106.37</v>
      </c>
      <c r="K1927" s="73">
        <f t="shared" si="1309"/>
        <v>97991</v>
      </c>
      <c r="L1927" s="73">
        <f t="shared" si="1309"/>
        <v>54064</v>
      </c>
      <c r="M1927" s="73">
        <f t="shared" si="1309"/>
        <v>82211.069999999992</v>
      </c>
      <c r="N1927" s="84">
        <f t="shared" si="1309"/>
        <v>13380.84</v>
      </c>
      <c r="AB1927" s="104"/>
    </row>
    <row r="1928" spans="1:28">
      <c r="A1928" s="412"/>
      <c r="B1928" s="28" t="s">
        <v>79</v>
      </c>
      <c r="C1928" s="73">
        <v>164000</v>
      </c>
      <c r="D1928" s="73">
        <v>109880</v>
      </c>
      <c r="E1928" s="73">
        <v>109880</v>
      </c>
      <c r="F1928" s="73">
        <v>328000</v>
      </c>
      <c r="G1928" s="73">
        <f>G1923*2</f>
        <v>242663.6</v>
      </c>
      <c r="H1928" s="73">
        <f>H1923*2</f>
        <v>220143.8</v>
      </c>
      <c r="I1928" s="73">
        <f>I1923*2</f>
        <v>242663.6</v>
      </c>
      <c r="J1928" s="73">
        <v>328000</v>
      </c>
      <c r="K1928" s="73">
        <f>K1923*2</f>
        <v>109842</v>
      </c>
      <c r="L1928" s="73">
        <v>328000</v>
      </c>
      <c r="M1928" s="73">
        <f>2*M1923</f>
        <v>352965.4</v>
      </c>
      <c r="N1928" s="84">
        <f>2*N1923</f>
        <v>109842</v>
      </c>
    </row>
    <row r="1929" spans="1:28" s="64" customFormat="1">
      <c r="A1929" s="412"/>
      <c r="B1929" s="66" t="s">
        <v>8</v>
      </c>
      <c r="C1929" s="98">
        <f>SUM(C1926-436)</f>
        <v>4570</v>
      </c>
      <c r="D1929" s="98">
        <f>SUM(D1926-721)</f>
        <v>2479</v>
      </c>
      <c r="E1929" s="98">
        <f>SUM(E1926-691)</f>
        <v>2509</v>
      </c>
      <c r="F1929" s="98">
        <f>SUM(F1926-1215)</f>
        <v>8288</v>
      </c>
      <c r="G1929" s="98">
        <f>SUM(G1926-3077)</f>
        <v>123</v>
      </c>
      <c r="H1929" s="98">
        <f>SUM(H1926-1416)</f>
        <v>3384</v>
      </c>
      <c r="I1929" s="98">
        <f>SUM(I1926-2923)</f>
        <v>1077</v>
      </c>
      <c r="J1929" s="98">
        <f>SUM(J1926-1522)</f>
        <v>7981</v>
      </c>
      <c r="K1929" s="98">
        <f>SUM(K1926-1235)</f>
        <v>1665</v>
      </c>
      <c r="L1929" s="98">
        <f>SUM(L1926-1379)</f>
        <v>221</v>
      </c>
      <c r="M1929" s="98">
        <f>SUM(M1926-(3367-2210))</f>
        <v>1276</v>
      </c>
      <c r="N1929" s="103">
        <f>SUM(N1926-49)</f>
        <v>347</v>
      </c>
      <c r="P1929" s="14"/>
      <c r="Q1929" s="138"/>
      <c r="R1929" s="104"/>
      <c r="S1929" s="104"/>
      <c r="T1929" s="104"/>
      <c r="U1929" s="104"/>
      <c r="V1929" s="104"/>
      <c r="W1929" s="104"/>
    </row>
    <row r="1930" spans="1:28">
      <c r="A1930" s="412"/>
      <c r="B1930" s="29" t="s">
        <v>77</v>
      </c>
      <c r="C1930" s="75">
        <f>C1929*33.72</f>
        <v>154100.4</v>
      </c>
      <c r="D1930" s="75">
        <f>D1929*33.72</f>
        <v>83591.87999999999</v>
      </c>
      <c r="E1930" s="75">
        <f>E1929*33.72</f>
        <v>84603.48</v>
      </c>
      <c r="F1930" s="75">
        <f>F1929*33.72</f>
        <v>279471.35999999999</v>
      </c>
      <c r="G1930" s="75">
        <f>G1929*33.72*2</f>
        <v>8295.119999999999</v>
      </c>
      <c r="H1930" s="75">
        <f>H1929*33.72</f>
        <v>114108.48</v>
      </c>
      <c r="I1930" s="75">
        <f>I1929*33.72</f>
        <v>36316.44</v>
      </c>
      <c r="J1930" s="75">
        <f>J1929*33.72</f>
        <v>269119.32</v>
      </c>
      <c r="K1930" s="75">
        <f>K1929*33.72</f>
        <v>56143.799999999996</v>
      </c>
      <c r="L1930" s="75">
        <f>L1929*33.72</f>
        <v>7452.12</v>
      </c>
      <c r="M1930" s="75">
        <f>M1929*33.72*2</f>
        <v>86053.440000000002</v>
      </c>
      <c r="N1930" s="11">
        <f>N1929*33.72</f>
        <v>11700.84</v>
      </c>
      <c r="Q1930" s="138"/>
    </row>
    <row r="1931" spans="1:28" ht="15.75" thickBot="1">
      <c r="A1931" s="412"/>
      <c r="B1931" s="30" t="s">
        <v>10</v>
      </c>
      <c r="C1931" s="71">
        <f>C1929*33.7/C1923</f>
        <v>1.3297639029916213</v>
      </c>
      <c r="D1931" s="71">
        <f t="shared" ref="D1931:N1931" si="1310">D1929*33.7/D1923</f>
        <v>1.0446874839781064</v>
      </c>
      <c r="E1931" s="78">
        <f t="shared" si="1310"/>
        <v>1.0573299303352437</v>
      </c>
      <c r="F1931" s="78">
        <f t="shared" si="1310"/>
        <v>1.8087116894958248</v>
      </c>
      <c r="G1931" s="78">
        <f t="shared" si="1310"/>
        <v>3.4163343822476877E-2</v>
      </c>
      <c r="H1931" s="78">
        <f t="shared" si="1310"/>
        <v>1.0360573407018505</v>
      </c>
      <c r="I1931" s="78">
        <f t="shared" si="1310"/>
        <v>0.29913757151876097</v>
      </c>
      <c r="J1931" s="78">
        <f t="shared" si="1310"/>
        <v>1.5731618154550921</v>
      </c>
      <c r="K1931" s="78">
        <f t="shared" si="1310"/>
        <v>1.0216583820396572</v>
      </c>
      <c r="L1931" s="78">
        <f t="shared" si="1310"/>
        <v>0.12276583715068927</v>
      </c>
      <c r="M1931" s="79">
        <f t="shared" si="1310"/>
        <v>0.24365674369215792</v>
      </c>
      <c r="N1931" s="26">
        <f t="shared" si="1310"/>
        <v>0.21292219733799461</v>
      </c>
      <c r="Q1931" s="138"/>
    </row>
    <row r="1932" spans="1:28" ht="15.75" customHeight="1" thickBot="1">
      <c r="A1932" s="424" t="s">
        <v>83</v>
      </c>
      <c r="B1932" s="425"/>
      <c r="C1932" s="76">
        <f>MIN(2*C1923,C1928)-C1930</f>
        <v>9899.6000000000058</v>
      </c>
      <c r="D1932" s="76">
        <f t="shared" ref="D1932:N1932" si="1311">MIN(2*D1923,D1928)-D1930</f>
        <v>26288.12000000001</v>
      </c>
      <c r="E1932" s="76">
        <f t="shared" si="1311"/>
        <v>25276.520000000004</v>
      </c>
      <c r="F1932" s="76">
        <f t="shared" si="1311"/>
        <v>29373.440000000002</v>
      </c>
      <c r="G1932" s="76">
        <f t="shared" si="1311"/>
        <v>234368.48</v>
      </c>
      <c r="H1932" s="76">
        <f t="shared" si="1311"/>
        <v>106035.31999999999</v>
      </c>
      <c r="I1932" s="76">
        <f t="shared" si="1311"/>
        <v>206347.16</v>
      </c>
      <c r="J1932" s="76">
        <f t="shared" si="1311"/>
        <v>58880.679999999993</v>
      </c>
      <c r="K1932" s="76">
        <f t="shared" si="1311"/>
        <v>53698.200000000004</v>
      </c>
      <c r="L1932" s="76">
        <f t="shared" si="1311"/>
        <v>113879.68000000001</v>
      </c>
      <c r="M1932" s="76">
        <f t="shared" si="1311"/>
        <v>266911.96000000002</v>
      </c>
      <c r="N1932" s="22">
        <f t="shared" si="1311"/>
        <v>98141.16</v>
      </c>
      <c r="Q1932" s="138"/>
    </row>
    <row r="1933" spans="1:28" ht="15.75" thickBot="1">
      <c r="A1933" s="368">
        <v>40954</v>
      </c>
      <c r="B1933" s="368"/>
      <c r="C1933" s="368"/>
      <c r="N1933" s="15"/>
    </row>
    <row r="1934" spans="1:28">
      <c r="A1934" s="407" t="s">
        <v>1</v>
      </c>
      <c r="B1934" s="420"/>
      <c r="C1934" s="68" t="s">
        <v>12</v>
      </c>
      <c r="D1934" s="68" t="s">
        <v>12</v>
      </c>
      <c r="E1934" s="68" t="s">
        <v>13</v>
      </c>
      <c r="F1934" s="68" t="s">
        <v>13</v>
      </c>
      <c r="G1934" s="68" t="s">
        <v>13</v>
      </c>
      <c r="H1934" s="68" t="s">
        <v>13</v>
      </c>
      <c r="I1934" s="68" t="s">
        <v>13</v>
      </c>
      <c r="J1934" s="68" t="s">
        <v>2</v>
      </c>
      <c r="K1934" s="68" t="s">
        <v>2</v>
      </c>
      <c r="L1934" s="68" t="s">
        <v>2</v>
      </c>
      <c r="M1934" s="68" t="s">
        <v>2</v>
      </c>
      <c r="N1934" s="4" t="s">
        <v>84</v>
      </c>
      <c r="AB1934" s="104"/>
    </row>
    <row r="1935" spans="1:28" ht="15.75" thickBot="1">
      <c r="A1935" s="409" t="s">
        <v>0</v>
      </c>
      <c r="B1935" s="414"/>
      <c r="C1935" s="99" t="s">
        <v>102</v>
      </c>
      <c r="D1935" s="99" t="s">
        <v>103</v>
      </c>
      <c r="E1935" s="99" t="s">
        <v>104</v>
      </c>
      <c r="F1935" s="99" t="s">
        <v>105</v>
      </c>
      <c r="G1935" s="99" t="s">
        <v>100</v>
      </c>
      <c r="H1935" s="99" t="s">
        <v>107</v>
      </c>
      <c r="I1935" s="99" t="s">
        <v>106</v>
      </c>
      <c r="J1935" s="99" t="s">
        <v>108</v>
      </c>
      <c r="K1935" s="99" t="s">
        <v>110</v>
      </c>
      <c r="L1935" s="99" t="s">
        <v>101</v>
      </c>
      <c r="M1935" s="99" t="s">
        <v>109</v>
      </c>
      <c r="N1935" s="101" t="s">
        <v>111</v>
      </c>
      <c r="AB1935" s="138"/>
    </row>
    <row r="1936" spans="1:28" ht="15" customHeight="1">
      <c r="A1936" s="421" t="s">
        <v>9</v>
      </c>
      <c r="B1936" s="2" t="s">
        <v>4</v>
      </c>
      <c r="C1936" s="96">
        <v>115816.8</v>
      </c>
      <c r="D1936" s="96">
        <v>79968.7</v>
      </c>
      <c r="E1936" s="96">
        <v>79968.7</v>
      </c>
      <c r="F1936" s="96">
        <v>154422.39999999999</v>
      </c>
      <c r="G1936" s="96">
        <v>121331.8</v>
      </c>
      <c r="H1936" s="96">
        <v>110071.9</v>
      </c>
      <c r="I1936" s="96">
        <v>121331.8</v>
      </c>
      <c r="J1936" s="96">
        <v>170967.6</v>
      </c>
      <c r="K1936" s="96">
        <v>54921</v>
      </c>
      <c r="L1936" s="96">
        <v>60665.9</v>
      </c>
      <c r="M1936" s="96">
        <v>176482.7</v>
      </c>
      <c r="N1936" s="100">
        <v>54921</v>
      </c>
      <c r="AB1936" s="104"/>
    </row>
    <row r="1937" spans="1:28" s="64" customFormat="1">
      <c r="A1937" s="422"/>
      <c r="B1937" s="63" t="s">
        <v>5</v>
      </c>
      <c r="C1937" s="97">
        <v>92786.2</v>
      </c>
      <c r="D1937" s="97">
        <v>66039.600000000006</v>
      </c>
      <c r="E1937" s="97">
        <v>67417.2</v>
      </c>
      <c r="F1937" s="97">
        <v>129263.1</v>
      </c>
      <c r="G1937" s="97">
        <v>96</v>
      </c>
      <c r="H1937" s="97">
        <v>25779.1</v>
      </c>
      <c r="I1937" s="97">
        <v>19616.5</v>
      </c>
      <c r="J1937" s="97">
        <v>115821.3</v>
      </c>
      <c r="K1937" s="97">
        <v>29276.3</v>
      </c>
      <c r="L1937" s="97">
        <v>64.2</v>
      </c>
      <c r="M1937" s="97">
        <v>78138.100000000006</v>
      </c>
      <c r="N1937" s="102">
        <v>22930.799999999999</v>
      </c>
      <c r="P1937" s="14"/>
      <c r="Q1937" s="104"/>
      <c r="R1937" s="104"/>
      <c r="S1937" s="104"/>
      <c r="T1937" s="104"/>
      <c r="U1937" s="104"/>
      <c r="V1937" s="104"/>
      <c r="W1937" s="104"/>
      <c r="AB1937" s="104"/>
    </row>
    <row r="1938" spans="1:28" ht="15.75" thickBot="1">
      <c r="A1938" s="423"/>
      <c r="B1938" s="3" t="s">
        <v>3</v>
      </c>
      <c r="C1938" s="71">
        <f>C1937/C1936</f>
        <v>0.80114629311118934</v>
      </c>
      <c r="D1938" s="72">
        <f t="shared" ref="D1938:N1938" si="1312">D1937/D1936</f>
        <v>0.82581810133214628</v>
      </c>
      <c r="E1938" s="72">
        <f t="shared" si="1312"/>
        <v>0.84304484129415636</v>
      </c>
      <c r="F1938" s="72">
        <f t="shared" si="1312"/>
        <v>0.83707480261930922</v>
      </c>
      <c r="G1938" s="72">
        <f t="shared" si="1312"/>
        <v>7.9121879012756754E-4</v>
      </c>
      <c r="H1938" s="72">
        <f t="shared" si="1312"/>
        <v>0.23420237135908437</v>
      </c>
      <c r="I1938" s="72">
        <f t="shared" si="1312"/>
        <v>0.16167649371393156</v>
      </c>
      <c r="J1938" s="72">
        <f t="shared" si="1312"/>
        <v>0.67744590203056021</v>
      </c>
      <c r="K1938" s="72">
        <f t="shared" si="1312"/>
        <v>0.5330620345587298</v>
      </c>
      <c r="L1938" s="72">
        <f t="shared" si="1312"/>
        <v>1.0582551317956216E-3</v>
      </c>
      <c r="M1938" s="72">
        <f t="shared" si="1312"/>
        <v>0.44275217910877385</v>
      </c>
      <c r="N1938" s="83">
        <f t="shared" si="1312"/>
        <v>0.41752335172338451</v>
      </c>
      <c r="AB1938" s="104"/>
    </row>
    <row r="1939" spans="1:28" ht="15" customHeight="1">
      <c r="A1939" s="411" t="s">
        <v>6</v>
      </c>
      <c r="B1939" s="27" t="s">
        <v>7</v>
      </c>
      <c r="C1939" s="68">
        <v>5006</v>
      </c>
      <c r="D1939" s="68">
        <v>3200</v>
      </c>
      <c r="E1939" s="68">
        <v>3200</v>
      </c>
      <c r="F1939" s="68">
        <v>9503</v>
      </c>
      <c r="G1939" s="68">
        <v>3200</v>
      </c>
      <c r="H1939" s="68">
        <v>4800</v>
      </c>
      <c r="I1939" s="68">
        <v>4000</v>
      </c>
      <c r="J1939" s="68">
        <v>9503</v>
      </c>
      <c r="K1939" s="68">
        <v>2900</v>
      </c>
      <c r="L1939" s="68">
        <v>1600</v>
      </c>
      <c r="M1939" s="68">
        <f>4643-2210</f>
        <v>2433</v>
      </c>
      <c r="N1939" s="80">
        <v>396</v>
      </c>
      <c r="AB1939" s="104"/>
    </row>
    <row r="1940" spans="1:28">
      <c r="A1940" s="412"/>
      <c r="B1940" s="28" t="s">
        <v>11</v>
      </c>
      <c r="C1940" s="73">
        <f t="shared" ref="C1940:N1940" si="1313">C1939*33.79</f>
        <v>169152.74</v>
      </c>
      <c r="D1940" s="73">
        <f t="shared" si="1313"/>
        <v>108128</v>
      </c>
      <c r="E1940" s="73">
        <f t="shared" si="1313"/>
        <v>108128</v>
      </c>
      <c r="F1940" s="73">
        <f t="shared" si="1313"/>
        <v>321106.37</v>
      </c>
      <c r="G1940" s="73">
        <f t="shared" si="1313"/>
        <v>108128</v>
      </c>
      <c r="H1940" s="73">
        <f t="shared" si="1313"/>
        <v>162192</v>
      </c>
      <c r="I1940" s="73">
        <f t="shared" si="1313"/>
        <v>135160</v>
      </c>
      <c r="J1940" s="73">
        <f t="shared" si="1313"/>
        <v>321106.37</v>
      </c>
      <c r="K1940" s="73">
        <f t="shared" si="1313"/>
        <v>97991</v>
      </c>
      <c r="L1940" s="73">
        <f t="shared" si="1313"/>
        <v>54064</v>
      </c>
      <c r="M1940" s="73">
        <f t="shared" si="1313"/>
        <v>82211.069999999992</v>
      </c>
      <c r="N1940" s="84">
        <f t="shared" si="1313"/>
        <v>13380.84</v>
      </c>
      <c r="AB1940" s="104"/>
    </row>
    <row r="1941" spans="1:28">
      <c r="A1941" s="412"/>
      <c r="B1941" s="28" t="s">
        <v>79</v>
      </c>
      <c r="C1941" s="73">
        <v>164000</v>
      </c>
      <c r="D1941" s="73">
        <v>109880</v>
      </c>
      <c r="E1941" s="73">
        <v>109880</v>
      </c>
      <c r="F1941" s="73">
        <v>328000</v>
      </c>
      <c r="G1941" s="73">
        <f>G1936*2</f>
        <v>242663.6</v>
      </c>
      <c r="H1941" s="73">
        <f>H1936*2</f>
        <v>220143.8</v>
      </c>
      <c r="I1941" s="73">
        <f>I1936*2</f>
        <v>242663.6</v>
      </c>
      <c r="J1941" s="73">
        <v>328000</v>
      </c>
      <c r="K1941" s="73">
        <f>K1936*2</f>
        <v>109842</v>
      </c>
      <c r="L1941" s="73">
        <v>328000</v>
      </c>
      <c r="M1941" s="73">
        <f>2*M1936</f>
        <v>352965.4</v>
      </c>
      <c r="N1941" s="84">
        <f>2*N1936</f>
        <v>109842</v>
      </c>
    </row>
    <row r="1942" spans="1:28" s="64" customFormat="1">
      <c r="A1942" s="412"/>
      <c r="B1942" s="66" t="s">
        <v>8</v>
      </c>
      <c r="C1942" s="98">
        <f>SUM(C1939-436)</f>
        <v>4570</v>
      </c>
      <c r="D1942" s="98">
        <f>SUM(D1939-721)</f>
        <v>2479</v>
      </c>
      <c r="E1942" s="98">
        <f>SUM(E1939-691)</f>
        <v>2509</v>
      </c>
      <c r="F1942" s="98">
        <f>SUM(F1939-1215)</f>
        <v>8288</v>
      </c>
      <c r="G1942" s="98">
        <f>SUM(G1939-3077)</f>
        <v>123</v>
      </c>
      <c r="H1942" s="98">
        <f>SUM(H1939-1418)</f>
        <v>3382</v>
      </c>
      <c r="I1942" s="98">
        <f>SUM(I1939-2923)</f>
        <v>1077</v>
      </c>
      <c r="J1942" s="98">
        <f>SUM(J1939-1522)</f>
        <v>7981</v>
      </c>
      <c r="K1942" s="98">
        <f>SUM(K1939-1235)</f>
        <v>1665</v>
      </c>
      <c r="L1942" s="98">
        <f>SUM(L1939-1449)</f>
        <v>151</v>
      </c>
      <c r="M1942" s="98">
        <f>SUM(M1939-(3367-2210))</f>
        <v>1276</v>
      </c>
      <c r="N1942" s="103">
        <f>SUM(N1939-49)</f>
        <v>347</v>
      </c>
      <c r="P1942" s="14"/>
      <c r="Q1942" s="138"/>
      <c r="R1942" s="104"/>
      <c r="S1942" s="104"/>
      <c r="T1942" s="104"/>
      <c r="U1942" s="104"/>
      <c r="V1942" s="104"/>
      <c r="W1942" s="104"/>
      <c r="X1942" s="104"/>
    </row>
    <row r="1943" spans="1:28">
      <c r="A1943" s="412"/>
      <c r="B1943" s="29" t="s">
        <v>77</v>
      </c>
      <c r="C1943" s="75">
        <f>C1942*33.72</f>
        <v>154100.4</v>
      </c>
      <c r="D1943" s="75">
        <f>D1942*33.72</f>
        <v>83591.87999999999</v>
      </c>
      <c r="E1943" s="75">
        <f>E1942*33.72</f>
        <v>84603.48</v>
      </c>
      <c r="F1943" s="75">
        <f>F1942*33.72</f>
        <v>279471.35999999999</v>
      </c>
      <c r="G1943" s="75">
        <f>G1942*33.72*2</f>
        <v>8295.119999999999</v>
      </c>
      <c r="H1943" s="75">
        <f>H1942*33.72</f>
        <v>114041.04</v>
      </c>
      <c r="I1943" s="75">
        <f>I1942*33.72</f>
        <v>36316.44</v>
      </c>
      <c r="J1943" s="75">
        <f>J1942*33.72</f>
        <v>269119.32</v>
      </c>
      <c r="K1943" s="75">
        <f>K1942*33.72</f>
        <v>56143.799999999996</v>
      </c>
      <c r="L1943" s="75">
        <f>L1942*33.72</f>
        <v>5091.72</v>
      </c>
      <c r="M1943" s="75">
        <f>M1942*33.72*2</f>
        <v>86053.440000000002</v>
      </c>
      <c r="N1943" s="11">
        <f>N1942*33.72</f>
        <v>11700.84</v>
      </c>
      <c r="Q1943" s="138"/>
    </row>
    <row r="1944" spans="1:28" ht="15.75" thickBot="1">
      <c r="A1944" s="412"/>
      <c r="B1944" s="30" t="s">
        <v>10</v>
      </c>
      <c r="C1944" s="71">
        <f>C1942*33.7/C1936</f>
        <v>1.3297639029916213</v>
      </c>
      <c r="D1944" s="71">
        <f t="shared" ref="D1944:N1944" si="1314">D1942*33.7/D1936</f>
        <v>1.0446874839781064</v>
      </c>
      <c r="E1944" s="78">
        <f t="shared" si="1314"/>
        <v>1.0573299303352437</v>
      </c>
      <c r="F1944" s="78">
        <f t="shared" si="1314"/>
        <v>1.8087116894958248</v>
      </c>
      <c r="G1944" s="78">
        <f t="shared" si="1314"/>
        <v>3.4163343822476877E-2</v>
      </c>
      <c r="H1944" s="78">
        <f t="shared" si="1314"/>
        <v>1.0354450136683386</v>
      </c>
      <c r="I1944" s="78">
        <f t="shared" si="1314"/>
        <v>0.29913757151876097</v>
      </c>
      <c r="J1944" s="78">
        <f t="shared" si="1314"/>
        <v>1.5731618154550921</v>
      </c>
      <c r="K1944" s="78">
        <f t="shared" si="1314"/>
        <v>1.0216583820396572</v>
      </c>
      <c r="L1944" s="78">
        <f t="shared" si="1314"/>
        <v>8.3880730360878203E-2</v>
      </c>
      <c r="M1944" s="79">
        <f t="shared" si="1314"/>
        <v>0.24365674369215792</v>
      </c>
      <c r="N1944" s="26">
        <f t="shared" si="1314"/>
        <v>0.21292219733799461</v>
      </c>
    </row>
    <row r="1945" spans="1:28" ht="15.75" customHeight="1" thickBot="1">
      <c r="A1945" s="424" t="s">
        <v>83</v>
      </c>
      <c r="B1945" s="425"/>
      <c r="C1945" s="76">
        <f>MIN(2*C1936,C1941)-C1943</f>
        <v>9899.6000000000058</v>
      </c>
      <c r="D1945" s="76">
        <f t="shared" ref="D1945:N1945" si="1315">MIN(2*D1936,D1941)-D1943</f>
        <v>26288.12000000001</v>
      </c>
      <c r="E1945" s="76">
        <f t="shared" si="1315"/>
        <v>25276.520000000004</v>
      </c>
      <c r="F1945" s="76">
        <f t="shared" si="1315"/>
        <v>29373.440000000002</v>
      </c>
      <c r="G1945" s="76">
        <f t="shared" si="1315"/>
        <v>234368.48</v>
      </c>
      <c r="H1945" s="76">
        <f t="shared" si="1315"/>
        <v>106102.76</v>
      </c>
      <c r="I1945" s="76">
        <f t="shared" si="1315"/>
        <v>206347.16</v>
      </c>
      <c r="J1945" s="76">
        <f t="shared" si="1315"/>
        <v>58880.679999999993</v>
      </c>
      <c r="K1945" s="76">
        <f t="shared" si="1315"/>
        <v>53698.200000000004</v>
      </c>
      <c r="L1945" s="76">
        <f t="shared" si="1315"/>
        <v>116240.08</v>
      </c>
      <c r="M1945" s="76">
        <f t="shared" si="1315"/>
        <v>266911.96000000002</v>
      </c>
      <c r="N1945" s="22">
        <f t="shared" si="1315"/>
        <v>98141.16</v>
      </c>
    </row>
    <row r="1946" spans="1:28" ht="15.75" thickBot="1">
      <c r="A1946" s="368">
        <v>40953</v>
      </c>
      <c r="B1946" s="368"/>
      <c r="C1946" s="368"/>
      <c r="N1946" s="15"/>
    </row>
    <row r="1947" spans="1:28">
      <c r="A1947" s="407" t="s">
        <v>1</v>
      </c>
      <c r="B1947" s="420"/>
      <c r="C1947" s="68" t="s">
        <v>12</v>
      </c>
      <c r="D1947" s="68" t="s">
        <v>12</v>
      </c>
      <c r="E1947" s="68" t="s">
        <v>13</v>
      </c>
      <c r="F1947" s="68" t="s">
        <v>13</v>
      </c>
      <c r="G1947" s="68" t="s">
        <v>13</v>
      </c>
      <c r="H1947" s="68" t="s">
        <v>13</v>
      </c>
      <c r="I1947" s="68" t="s">
        <v>13</v>
      </c>
      <c r="J1947" s="68" t="s">
        <v>2</v>
      </c>
      <c r="K1947" s="68" t="s">
        <v>2</v>
      </c>
      <c r="L1947" s="68" t="s">
        <v>2</v>
      </c>
      <c r="M1947" s="68" t="s">
        <v>2</v>
      </c>
      <c r="N1947" s="4" t="s">
        <v>84</v>
      </c>
      <c r="Y1947" s="14"/>
      <c r="Z1947" s="14"/>
      <c r="AA1947" s="14"/>
      <c r="AB1947" s="104"/>
    </row>
    <row r="1948" spans="1:28" ht="15.75" thickBot="1">
      <c r="A1948" s="409" t="s">
        <v>0</v>
      </c>
      <c r="B1948" s="414"/>
      <c r="C1948" s="99" t="s">
        <v>102</v>
      </c>
      <c r="D1948" s="99" t="s">
        <v>103</v>
      </c>
      <c r="E1948" s="99" t="s">
        <v>104</v>
      </c>
      <c r="F1948" s="99" t="s">
        <v>105</v>
      </c>
      <c r="G1948" s="99" t="s">
        <v>100</v>
      </c>
      <c r="H1948" s="99" t="s">
        <v>107</v>
      </c>
      <c r="I1948" s="99" t="s">
        <v>106</v>
      </c>
      <c r="J1948" s="99" t="s">
        <v>108</v>
      </c>
      <c r="K1948" s="99" t="s">
        <v>110</v>
      </c>
      <c r="L1948" s="99" t="s">
        <v>101</v>
      </c>
      <c r="M1948" s="99" t="s">
        <v>109</v>
      </c>
      <c r="N1948" s="101" t="s">
        <v>111</v>
      </c>
      <c r="X1948" s="137"/>
      <c r="Y1948" s="137"/>
      <c r="Z1948" s="137"/>
      <c r="AA1948" s="137"/>
      <c r="AB1948" s="138"/>
    </row>
    <row r="1949" spans="1:28" ht="15" customHeight="1">
      <c r="A1949" s="421" t="s">
        <v>9</v>
      </c>
      <c r="B1949" s="2" t="s">
        <v>4</v>
      </c>
      <c r="C1949" s="96">
        <v>115816.8</v>
      </c>
      <c r="D1949" s="96">
        <v>79968.7</v>
      </c>
      <c r="E1949" s="96">
        <v>79968.7</v>
      </c>
      <c r="F1949" s="96">
        <v>154422.39999999999</v>
      </c>
      <c r="G1949" s="96">
        <v>121331.8</v>
      </c>
      <c r="H1949" s="96">
        <v>110071.9</v>
      </c>
      <c r="I1949" s="96">
        <v>121331.8</v>
      </c>
      <c r="J1949" s="96">
        <v>170967.6</v>
      </c>
      <c r="K1949" s="96">
        <v>54921</v>
      </c>
      <c r="L1949" s="96">
        <v>60665.9</v>
      </c>
      <c r="M1949" s="96">
        <v>176482.7</v>
      </c>
      <c r="N1949" s="100">
        <v>54921</v>
      </c>
      <c r="Y1949" s="104"/>
      <c r="Z1949" s="104"/>
      <c r="AA1949" s="104"/>
      <c r="AB1949" s="104"/>
    </row>
    <row r="1950" spans="1:28" s="64" customFormat="1">
      <c r="A1950" s="422"/>
      <c r="B1950" s="63" t="s">
        <v>5</v>
      </c>
      <c r="C1950" s="97">
        <v>92683.3</v>
      </c>
      <c r="D1950" s="97">
        <v>66038.5</v>
      </c>
      <c r="E1950" s="97">
        <v>67416.2</v>
      </c>
      <c r="F1950" s="97">
        <v>129005.4</v>
      </c>
      <c r="G1950" s="97">
        <v>96</v>
      </c>
      <c r="H1950" s="97">
        <v>25570.1</v>
      </c>
      <c r="I1950" s="97">
        <v>19606.5</v>
      </c>
      <c r="J1950" s="97">
        <v>115456.5</v>
      </c>
      <c r="K1950" s="97">
        <v>29211.599999999999</v>
      </c>
      <c r="L1950" s="97">
        <v>64.2</v>
      </c>
      <c r="M1950" s="97">
        <v>78097.7</v>
      </c>
      <c r="N1950" s="102">
        <v>22920.5</v>
      </c>
      <c r="P1950" s="14"/>
      <c r="Q1950" s="104"/>
      <c r="R1950" s="104"/>
      <c r="S1950" s="104"/>
      <c r="T1950" s="104"/>
      <c r="U1950" s="104"/>
      <c r="V1950" s="104"/>
      <c r="W1950" s="104"/>
      <c r="AB1950" s="104"/>
    </row>
    <row r="1951" spans="1:28" ht="15.75" thickBot="1">
      <c r="A1951" s="423"/>
      <c r="B1951" s="3" t="s">
        <v>3</v>
      </c>
      <c r="C1951" s="71">
        <f>C1950/C1949</f>
        <v>0.80025782097243237</v>
      </c>
      <c r="D1951" s="72">
        <f t="shared" ref="D1951:N1951" si="1316">D1950/D1949</f>
        <v>0.82580434595035312</v>
      </c>
      <c r="E1951" s="72">
        <f t="shared" si="1316"/>
        <v>0.84303233640161712</v>
      </c>
      <c r="F1951" s="72">
        <f t="shared" si="1316"/>
        <v>0.83540600327413639</v>
      </c>
      <c r="G1951" s="72">
        <f t="shared" si="1316"/>
        <v>7.9121879012756754E-4</v>
      </c>
      <c r="H1951" s="72">
        <f t="shared" si="1316"/>
        <v>0.23230361245694858</v>
      </c>
      <c r="I1951" s="72">
        <f t="shared" si="1316"/>
        <v>0.16159407508995993</v>
      </c>
      <c r="J1951" s="72">
        <f t="shared" si="1316"/>
        <v>0.67531216441009878</v>
      </c>
      <c r="K1951" s="72">
        <f t="shared" si="1316"/>
        <v>0.5318839788059212</v>
      </c>
      <c r="L1951" s="72">
        <f t="shared" si="1316"/>
        <v>1.0582551317956216E-3</v>
      </c>
      <c r="M1951" s="72">
        <f t="shared" si="1316"/>
        <v>0.44252326148681992</v>
      </c>
      <c r="N1951" s="83">
        <f t="shared" si="1316"/>
        <v>0.41733580961745054</v>
      </c>
      <c r="AB1951" s="104"/>
    </row>
    <row r="1952" spans="1:28" ht="15" customHeight="1">
      <c r="A1952" s="411" t="s">
        <v>6</v>
      </c>
      <c r="B1952" s="27" t="s">
        <v>7</v>
      </c>
      <c r="C1952" s="68">
        <v>5006</v>
      </c>
      <c r="D1952" s="68">
        <v>3200</v>
      </c>
      <c r="E1952" s="68">
        <v>3200</v>
      </c>
      <c r="F1952" s="68">
        <v>9503</v>
      </c>
      <c r="G1952" s="68">
        <v>3200</v>
      </c>
      <c r="H1952" s="68">
        <v>4800</v>
      </c>
      <c r="I1952" s="68">
        <v>4000</v>
      </c>
      <c r="J1952" s="68">
        <v>9503</v>
      </c>
      <c r="K1952" s="68">
        <v>2900</v>
      </c>
      <c r="L1952" s="68">
        <v>1600</v>
      </c>
      <c r="M1952" s="68">
        <f>4643-2210</f>
        <v>2433</v>
      </c>
      <c r="N1952" s="80">
        <v>396</v>
      </c>
      <c r="AB1952" s="104"/>
    </row>
    <row r="1953" spans="1:28">
      <c r="A1953" s="412"/>
      <c r="B1953" s="28" t="s">
        <v>11</v>
      </c>
      <c r="C1953" s="73">
        <f t="shared" ref="C1953:N1953" si="1317">C1952*33.79</f>
        <v>169152.74</v>
      </c>
      <c r="D1953" s="73">
        <f t="shared" si="1317"/>
        <v>108128</v>
      </c>
      <c r="E1953" s="73">
        <f t="shared" si="1317"/>
        <v>108128</v>
      </c>
      <c r="F1953" s="73">
        <f t="shared" si="1317"/>
        <v>321106.37</v>
      </c>
      <c r="G1953" s="73">
        <f t="shared" si="1317"/>
        <v>108128</v>
      </c>
      <c r="H1953" s="73">
        <f t="shared" si="1317"/>
        <v>162192</v>
      </c>
      <c r="I1953" s="73">
        <f t="shared" si="1317"/>
        <v>135160</v>
      </c>
      <c r="J1953" s="73">
        <f t="shared" si="1317"/>
        <v>321106.37</v>
      </c>
      <c r="K1953" s="73">
        <f t="shared" si="1317"/>
        <v>97991</v>
      </c>
      <c r="L1953" s="73">
        <f t="shared" si="1317"/>
        <v>54064</v>
      </c>
      <c r="M1953" s="73">
        <f t="shared" si="1317"/>
        <v>82211.069999999992</v>
      </c>
      <c r="N1953" s="84">
        <f t="shared" si="1317"/>
        <v>13380.84</v>
      </c>
      <c r="AB1953" s="104"/>
    </row>
    <row r="1954" spans="1:28">
      <c r="A1954" s="412"/>
      <c r="B1954" s="28" t="s">
        <v>79</v>
      </c>
      <c r="C1954" s="73">
        <v>164000</v>
      </c>
      <c r="D1954" s="73">
        <v>109880</v>
      </c>
      <c r="E1954" s="73">
        <v>109880</v>
      </c>
      <c r="F1954" s="73">
        <v>328000</v>
      </c>
      <c r="G1954" s="73">
        <f>G1949*2</f>
        <v>242663.6</v>
      </c>
      <c r="H1954" s="73">
        <f>H1949*2</f>
        <v>220143.8</v>
      </c>
      <c r="I1954" s="73">
        <f>I1949*2</f>
        <v>242663.6</v>
      </c>
      <c r="J1954" s="73">
        <v>328000</v>
      </c>
      <c r="K1954" s="73">
        <f>K1949*2</f>
        <v>109842</v>
      </c>
      <c r="L1954" s="73">
        <v>328000</v>
      </c>
      <c r="M1954" s="73">
        <f>2*M1949</f>
        <v>352965.4</v>
      </c>
      <c r="N1954" s="84">
        <f>2*N1949</f>
        <v>109842</v>
      </c>
    </row>
    <row r="1955" spans="1:28" s="64" customFormat="1">
      <c r="A1955" s="412"/>
      <c r="B1955" s="66" t="s">
        <v>8</v>
      </c>
      <c r="C1955" s="98">
        <f>SUM(C1952-436)</f>
        <v>4570</v>
      </c>
      <c r="D1955" s="98">
        <f>SUM(D1952-721)</f>
        <v>2479</v>
      </c>
      <c r="E1955" s="98">
        <f>SUM(E1952-691)</f>
        <v>2509</v>
      </c>
      <c r="F1955" s="98">
        <f>SUM(F1952-1236)</f>
        <v>8267</v>
      </c>
      <c r="G1955" s="98">
        <f>SUM(G1952-3133)</f>
        <v>67</v>
      </c>
      <c r="H1955" s="98">
        <f>SUM(H1952-1430)</f>
        <v>3370</v>
      </c>
      <c r="I1955" s="98">
        <f>SUM(I1952-2923)</f>
        <v>1077</v>
      </c>
      <c r="J1955" s="98">
        <f>SUM(J1952-1564)</f>
        <v>7939</v>
      </c>
      <c r="K1955" s="98">
        <f>SUM(K1952-1151)</f>
        <v>1749</v>
      </c>
      <c r="L1955" s="98">
        <f>SUM(L1952-1533)</f>
        <v>67</v>
      </c>
      <c r="M1955" s="98">
        <f>SUM(M1952-(3367-2210))</f>
        <v>1276</v>
      </c>
      <c r="N1955" s="103">
        <f>SUM(N1952-49)</f>
        <v>347</v>
      </c>
      <c r="P1955" s="14"/>
      <c r="Q1955" s="104"/>
      <c r="R1955" s="104"/>
      <c r="S1955" s="104"/>
      <c r="T1955" s="104"/>
      <c r="U1955" s="104"/>
      <c r="V1955" s="104"/>
      <c r="W1955" s="104"/>
    </row>
    <row r="1956" spans="1:28">
      <c r="A1956" s="412"/>
      <c r="B1956" s="29" t="s">
        <v>77</v>
      </c>
      <c r="C1956" s="75">
        <f>C1955*33.72</f>
        <v>154100.4</v>
      </c>
      <c r="D1956" s="75">
        <f>D1955*33.72</f>
        <v>83591.87999999999</v>
      </c>
      <c r="E1956" s="75">
        <f>E1955*33.72</f>
        <v>84603.48</v>
      </c>
      <c r="F1956" s="75">
        <f>F1955*33.72</f>
        <v>278763.24</v>
      </c>
      <c r="G1956" s="75">
        <f>G1955*33.72*2</f>
        <v>4518.4799999999996</v>
      </c>
      <c r="H1956" s="75">
        <f>H1955*33.72</f>
        <v>113636.4</v>
      </c>
      <c r="I1956" s="75">
        <f>I1955*33.72</f>
        <v>36316.44</v>
      </c>
      <c r="J1956" s="75">
        <f>J1955*33.72</f>
        <v>267703.08</v>
      </c>
      <c r="K1956" s="75">
        <f>K1955*33.72</f>
        <v>58976.28</v>
      </c>
      <c r="L1956" s="75">
        <f>L1955*33.72</f>
        <v>2259.2399999999998</v>
      </c>
      <c r="M1956" s="75">
        <f>M1955*33.72*2</f>
        <v>86053.440000000002</v>
      </c>
      <c r="N1956" s="11">
        <f>N1955*33.72</f>
        <v>11700.84</v>
      </c>
    </row>
    <row r="1957" spans="1:28" ht="15.75" thickBot="1">
      <c r="A1957" s="412"/>
      <c r="B1957" s="30" t="s">
        <v>10</v>
      </c>
      <c r="C1957" s="71">
        <f>C1955*33.7/C1949</f>
        <v>1.3297639029916213</v>
      </c>
      <c r="D1957" s="71">
        <f t="shared" ref="D1957:N1957" si="1318">D1955*33.7/D1949</f>
        <v>1.0446874839781064</v>
      </c>
      <c r="E1957" s="78">
        <f t="shared" si="1318"/>
        <v>1.0573299303352437</v>
      </c>
      <c r="F1957" s="78">
        <f t="shared" si="1318"/>
        <v>1.80412880514744</v>
      </c>
      <c r="G1957" s="78">
        <f t="shared" si="1318"/>
        <v>1.8609301106552446E-2</v>
      </c>
      <c r="H1957" s="78">
        <f t="shared" si="1318"/>
        <v>1.0317710514672684</v>
      </c>
      <c r="I1957" s="78">
        <f t="shared" si="1318"/>
        <v>0.29913757151876097</v>
      </c>
      <c r="J1957" s="78">
        <f t="shared" si="1318"/>
        <v>1.564883053865177</v>
      </c>
      <c r="K1957" s="78">
        <f t="shared" si="1318"/>
        <v>1.0732015076200361</v>
      </c>
      <c r="L1957" s="78">
        <f t="shared" si="1318"/>
        <v>3.7218602213104891E-2</v>
      </c>
      <c r="M1957" s="79">
        <f t="shared" si="1318"/>
        <v>0.24365674369215792</v>
      </c>
      <c r="N1957" s="26">
        <f t="shared" si="1318"/>
        <v>0.21292219733799461</v>
      </c>
      <c r="R1957" s="137"/>
    </row>
    <row r="1958" spans="1:28" ht="15.75" customHeight="1" thickBot="1">
      <c r="A1958" s="424" t="s">
        <v>83</v>
      </c>
      <c r="B1958" s="425"/>
      <c r="C1958" s="76">
        <f>MIN(2*C1949,C1954)-C1956</f>
        <v>9899.6000000000058</v>
      </c>
      <c r="D1958" s="76">
        <f t="shared" ref="D1958:N1958" si="1319">MIN(2*D1949,D1954)-D1956</f>
        <v>26288.12000000001</v>
      </c>
      <c r="E1958" s="76">
        <f t="shared" si="1319"/>
        <v>25276.520000000004</v>
      </c>
      <c r="F1958" s="76">
        <f t="shared" si="1319"/>
        <v>30081.559999999998</v>
      </c>
      <c r="G1958" s="76">
        <f t="shared" si="1319"/>
        <v>238145.12</v>
      </c>
      <c r="H1958" s="76">
        <f t="shared" si="1319"/>
        <v>106507.4</v>
      </c>
      <c r="I1958" s="76">
        <f t="shared" si="1319"/>
        <v>206347.16</v>
      </c>
      <c r="J1958" s="76">
        <f t="shared" si="1319"/>
        <v>60296.919999999984</v>
      </c>
      <c r="K1958" s="76">
        <f t="shared" si="1319"/>
        <v>50865.72</v>
      </c>
      <c r="L1958" s="76">
        <f t="shared" si="1319"/>
        <v>119072.56</v>
      </c>
      <c r="M1958" s="76">
        <f t="shared" si="1319"/>
        <v>266911.96000000002</v>
      </c>
      <c r="N1958" s="22">
        <f t="shared" si="1319"/>
        <v>98141.16</v>
      </c>
      <c r="R1958" s="137"/>
    </row>
    <row r="1959" spans="1:28" ht="15.75" thickBot="1">
      <c r="A1959" s="368">
        <v>40952</v>
      </c>
      <c r="B1959" s="368"/>
      <c r="C1959" s="368"/>
      <c r="N1959" s="15"/>
      <c r="R1959" s="138"/>
    </row>
    <row r="1960" spans="1:28">
      <c r="A1960" s="407" t="s">
        <v>1</v>
      </c>
      <c r="B1960" s="420"/>
      <c r="C1960" s="68" t="s">
        <v>12</v>
      </c>
      <c r="D1960" s="68" t="s">
        <v>12</v>
      </c>
      <c r="E1960" s="68" t="s">
        <v>13</v>
      </c>
      <c r="F1960" s="68" t="s">
        <v>13</v>
      </c>
      <c r="G1960" s="68" t="s">
        <v>13</v>
      </c>
      <c r="H1960" s="68" t="s">
        <v>13</v>
      </c>
      <c r="I1960" s="68" t="s">
        <v>13</v>
      </c>
      <c r="J1960" s="68" t="s">
        <v>2</v>
      </c>
      <c r="K1960" s="68" t="s">
        <v>2</v>
      </c>
      <c r="L1960" s="68" t="s">
        <v>2</v>
      </c>
      <c r="M1960" s="68" t="s">
        <v>2</v>
      </c>
      <c r="N1960" s="4" t="s">
        <v>84</v>
      </c>
    </row>
    <row r="1961" spans="1:28" ht="15.75" thickBot="1">
      <c r="A1961" s="409" t="s">
        <v>0</v>
      </c>
      <c r="B1961" s="414"/>
      <c r="C1961" s="99" t="s">
        <v>102</v>
      </c>
      <c r="D1961" s="99" t="s">
        <v>103</v>
      </c>
      <c r="E1961" s="99" t="s">
        <v>104</v>
      </c>
      <c r="F1961" s="99" t="s">
        <v>105</v>
      </c>
      <c r="G1961" s="99" t="s">
        <v>100</v>
      </c>
      <c r="H1961" s="99" t="s">
        <v>107</v>
      </c>
      <c r="I1961" s="99" t="s">
        <v>106</v>
      </c>
      <c r="J1961" s="99" t="s">
        <v>108</v>
      </c>
      <c r="K1961" s="99" t="s">
        <v>110</v>
      </c>
      <c r="L1961" s="99" t="s">
        <v>101</v>
      </c>
      <c r="M1961" s="99" t="s">
        <v>109</v>
      </c>
      <c r="N1961" s="101" t="s">
        <v>111</v>
      </c>
      <c r="P1961" s="142"/>
    </row>
    <row r="1962" spans="1:28" ht="15" customHeight="1">
      <c r="A1962" s="421" t="s">
        <v>9</v>
      </c>
      <c r="B1962" s="2" t="s">
        <v>4</v>
      </c>
      <c r="C1962" s="96">
        <v>115816.8</v>
      </c>
      <c r="D1962" s="96">
        <v>79968.7</v>
      </c>
      <c r="E1962" s="96">
        <v>79968.7</v>
      </c>
      <c r="F1962" s="96">
        <v>154422.39999999999</v>
      </c>
      <c r="G1962" s="96">
        <v>121331.8</v>
      </c>
      <c r="H1962" s="96">
        <v>110071.9</v>
      </c>
      <c r="I1962" s="96">
        <v>121331.8</v>
      </c>
      <c r="J1962" s="96">
        <v>170967.6</v>
      </c>
      <c r="K1962" s="96">
        <v>54921</v>
      </c>
      <c r="L1962" s="96">
        <v>60665.9</v>
      </c>
      <c r="M1962" s="96">
        <v>176482.7</v>
      </c>
      <c r="N1962" s="100">
        <v>54921</v>
      </c>
    </row>
    <row r="1963" spans="1:28" s="64" customFormat="1">
      <c r="A1963" s="422"/>
      <c r="B1963" s="63" t="s">
        <v>5</v>
      </c>
      <c r="C1963" s="97">
        <v>92584.9</v>
      </c>
      <c r="D1963" s="97">
        <v>66037.899999999994</v>
      </c>
      <c r="E1963" s="97">
        <v>67415.600000000006</v>
      </c>
      <c r="F1963" s="97">
        <v>128727.8</v>
      </c>
      <c r="G1963" s="97">
        <v>96</v>
      </c>
      <c r="H1963" s="97">
        <v>25497.3</v>
      </c>
      <c r="I1963" s="97">
        <v>19604.099999999999</v>
      </c>
      <c r="J1963" s="97">
        <v>115358.6</v>
      </c>
      <c r="K1963" s="97">
        <v>29206.400000000001</v>
      </c>
      <c r="L1963" s="97">
        <v>64.2</v>
      </c>
      <c r="M1963" s="97">
        <v>78091.899999999994</v>
      </c>
      <c r="N1963" s="102">
        <v>22920</v>
      </c>
      <c r="P1963" s="14"/>
      <c r="Q1963" s="104"/>
      <c r="R1963" s="104"/>
      <c r="S1963" s="104"/>
      <c r="T1963" s="104"/>
      <c r="U1963" s="104"/>
      <c r="V1963" s="104"/>
      <c r="W1963" s="104"/>
      <c r="X1963" s="104"/>
    </row>
    <row r="1964" spans="1:28" ht="15.75" thickBot="1">
      <c r="A1964" s="423"/>
      <c r="B1964" s="3" t="s">
        <v>3</v>
      </c>
      <c r="C1964" s="71">
        <f>C1963/C1962</f>
        <v>0.79940820330038465</v>
      </c>
      <c r="D1964" s="72">
        <f t="shared" ref="D1964:N1964" si="1320">D1963/D1962</f>
        <v>0.82579684301482947</v>
      </c>
      <c r="E1964" s="72">
        <f t="shared" si="1320"/>
        <v>0.84302483346609369</v>
      </c>
      <c r="F1964" s="72">
        <f t="shared" si="1320"/>
        <v>0.83360833661437728</v>
      </c>
      <c r="G1964" s="72">
        <f t="shared" si="1320"/>
        <v>7.9121879012756754E-4</v>
      </c>
      <c r="H1964" s="72">
        <f t="shared" si="1320"/>
        <v>0.23164222658098935</v>
      </c>
      <c r="I1964" s="72">
        <f t="shared" si="1320"/>
        <v>0.16157429462020673</v>
      </c>
      <c r="J1964" s="72">
        <f t="shared" si="1320"/>
        <v>0.67473954129320413</v>
      </c>
      <c r="K1964" s="72">
        <f t="shared" si="1320"/>
        <v>0.53178929735438174</v>
      </c>
      <c r="L1964" s="72">
        <f t="shared" si="1320"/>
        <v>1.0582551317956216E-3</v>
      </c>
      <c r="M1964" s="72">
        <f t="shared" si="1320"/>
        <v>0.44249039707574733</v>
      </c>
      <c r="N1964" s="83">
        <f t="shared" si="1320"/>
        <v>0.41732670563172558</v>
      </c>
    </row>
    <row r="1965" spans="1:28" ht="15" customHeight="1">
      <c r="A1965" s="411" t="s">
        <v>6</v>
      </c>
      <c r="B1965" s="27" t="s">
        <v>7</v>
      </c>
      <c r="C1965" s="68">
        <v>5006</v>
      </c>
      <c r="D1965" s="68">
        <v>3200</v>
      </c>
      <c r="E1965" s="68">
        <v>3200</v>
      </c>
      <c r="F1965" s="68">
        <v>9503</v>
      </c>
      <c r="G1965" s="68">
        <v>3200</v>
      </c>
      <c r="H1965" s="68">
        <v>4800</v>
      </c>
      <c r="I1965" s="68">
        <v>4000</v>
      </c>
      <c r="J1965" s="68">
        <v>9503</v>
      </c>
      <c r="K1965" s="68">
        <v>2900</v>
      </c>
      <c r="L1965" s="68">
        <v>1600</v>
      </c>
      <c r="M1965" s="68">
        <f>4643-2210</f>
        <v>2433</v>
      </c>
      <c r="N1965" s="80">
        <v>396</v>
      </c>
    </row>
    <row r="1966" spans="1:28">
      <c r="A1966" s="412"/>
      <c r="B1966" s="28" t="s">
        <v>11</v>
      </c>
      <c r="C1966" s="73">
        <f t="shared" ref="C1966:N1966" si="1321">C1965*33.79</f>
        <v>169152.74</v>
      </c>
      <c r="D1966" s="73">
        <f t="shared" si="1321"/>
        <v>108128</v>
      </c>
      <c r="E1966" s="73">
        <f t="shared" si="1321"/>
        <v>108128</v>
      </c>
      <c r="F1966" s="73">
        <f t="shared" si="1321"/>
        <v>321106.37</v>
      </c>
      <c r="G1966" s="73">
        <f t="shared" si="1321"/>
        <v>108128</v>
      </c>
      <c r="H1966" s="73">
        <f t="shared" si="1321"/>
        <v>162192</v>
      </c>
      <c r="I1966" s="73">
        <f t="shared" si="1321"/>
        <v>135160</v>
      </c>
      <c r="J1966" s="73">
        <f t="shared" si="1321"/>
        <v>321106.37</v>
      </c>
      <c r="K1966" s="73">
        <f t="shared" si="1321"/>
        <v>97991</v>
      </c>
      <c r="L1966" s="73">
        <f t="shared" si="1321"/>
        <v>54064</v>
      </c>
      <c r="M1966" s="73">
        <f t="shared" si="1321"/>
        <v>82211.069999999992</v>
      </c>
      <c r="N1966" s="84">
        <f t="shared" si="1321"/>
        <v>13380.84</v>
      </c>
    </row>
    <row r="1967" spans="1:28">
      <c r="A1967" s="412"/>
      <c r="B1967" s="28" t="s">
        <v>79</v>
      </c>
      <c r="C1967" s="73">
        <v>164000</v>
      </c>
      <c r="D1967" s="73">
        <v>109880</v>
      </c>
      <c r="E1967" s="73">
        <v>109880</v>
      </c>
      <c r="F1967" s="73">
        <v>328000</v>
      </c>
      <c r="G1967" s="73">
        <f>G1962*2</f>
        <v>242663.6</v>
      </c>
      <c r="H1967" s="73">
        <f>H1962*2</f>
        <v>220143.8</v>
      </c>
      <c r="I1967" s="73">
        <f>I1962*2</f>
        <v>242663.6</v>
      </c>
      <c r="J1967" s="73">
        <v>328000</v>
      </c>
      <c r="K1967" s="73">
        <f>K1962*2</f>
        <v>109842</v>
      </c>
      <c r="L1967" s="73">
        <v>328000</v>
      </c>
      <c r="M1967" s="73">
        <f>2*M1962</f>
        <v>352965.4</v>
      </c>
      <c r="N1967" s="84">
        <f>2*N1962</f>
        <v>109842</v>
      </c>
    </row>
    <row r="1968" spans="1:28" s="64" customFormat="1">
      <c r="A1968" s="412"/>
      <c r="B1968" s="66" t="s">
        <v>8</v>
      </c>
      <c r="C1968" s="98">
        <f>SUM(C1965-436)</f>
        <v>4570</v>
      </c>
      <c r="D1968" s="98">
        <f>SUM(D1965-721)</f>
        <v>2479</v>
      </c>
      <c r="E1968" s="98">
        <f>SUM(E1965-691)</f>
        <v>2509</v>
      </c>
      <c r="F1968" s="98">
        <f>SUM(F1965-1236)</f>
        <v>8267</v>
      </c>
      <c r="G1968" s="98">
        <f>SUM(G1965-3133)</f>
        <v>67</v>
      </c>
      <c r="H1968" s="98">
        <f>SUM(H1965-1459)</f>
        <v>3341</v>
      </c>
      <c r="I1968" s="98">
        <f>SUM(I1965-2923)</f>
        <v>1077</v>
      </c>
      <c r="J1968" s="98">
        <f>SUM(J1965-1594)</f>
        <v>7909</v>
      </c>
      <c r="K1968" s="98">
        <f>SUM(K1965-1151)</f>
        <v>1749</v>
      </c>
      <c r="L1968" s="98">
        <f>SUM(L1965-1533)</f>
        <v>67</v>
      </c>
      <c r="M1968" s="98">
        <f>SUM(M1965-(3367-2210))</f>
        <v>1276</v>
      </c>
      <c r="N1968" s="103">
        <f>SUM(N1965-49)</f>
        <v>347</v>
      </c>
      <c r="P1968" s="14"/>
      <c r="Q1968" s="137"/>
      <c r="R1968" s="104"/>
      <c r="S1968" s="104"/>
      <c r="T1968" s="104"/>
      <c r="U1968" s="104"/>
      <c r="V1968" s="104"/>
      <c r="W1968" s="104"/>
      <c r="X1968" s="104"/>
      <c r="Y1968" s="67"/>
      <c r="Z1968" s="67"/>
    </row>
    <row r="1969" spans="1:27">
      <c r="A1969" s="412"/>
      <c r="B1969" s="29" t="s">
        <v>77</v>
      </c>
      <c r="C1969" s="75">
        <f>C1968*33.72</f>
        <v>154100.4</v>
      </c>
      <c r="D1969" s="75">
        <f>D1968*33.72</f>
        <v>83591.87999999999</v>
      </c>
      <c r="E1969" s="75">
        <f>E1968*33.72</f>
        <v>84603.48</v>
      </c>
      <c r="F1969" s="75">
        <f>F1968*33.72</f>
        <v>278763.24</v>
      </c>
      <c r="G1969" s="75">
        <f>G1968*33.72*2</f>
        <v>4518.4799999999996</v>
      </c>
      <c r="H1969" s="75">
        <f>H1968*33.72</f>
        <v>112658.51999999999</v>
      </c>
      <c r="I1969" s="75">
        <f>I1968*33.72</f>
        <v>36316.44</v>
      </c>
      <c r="J1969" s="75">
        <f>J1968*33.72</f>
        <v>266691.48</v>
      </c>
      <c r="K1969" s="75">
        <f>K1968*33.72</f>
        <v>58976.28</v>
      </c>
      <c r="L1969" s="75">
        <f>L1968*33.72</f>
        <v>2259.2399999999998</v>
      </c>
      <c r="M1969" s="75">
        <f>M1968*33.72*2</f>
        <v>86053.440000000002</v>
      </c>
      <c r="N1969" s="11">
        <f>N1968*33.72</f>
        <v>11700.84</v>
      </c>
      <c r="Q1969" s="137"/>
    </row>
    <row r="1970" spans="1:27" ht="15.75" thickBot="1">
      <c r="A1970" s="412"/>
      <c r="B1970" s="30" t="s">
        <v>10</v>
      </c>
      <c r="C1970" s="71">
        <f>C1968*33.7/C1962</f>
        <v>1.3297639029916213</v>
      </c>
      <c r="D1970" s="71">
        <f t="shared" ref="D1970:N1970" si="1322">D1968*33.7/D1962</f>
        <v>1.0446874839781064</v>
      </c>
      <c r="E1970" s="78">
        <f t="shared" si="1322"/>
        <v>1.0573299303352437</v>
      </c>
      <c r="F1970" s="78">
        <f t="shared" si="1322"/>
        <v>1.80412880514744</v>
      </c>
      <c r="G1970" s="78">
        <f t="shared" si="1322"/>
        <v>1.8609301106552446E-2</v>
      </c>
      <c r="H1970" s="78">
        <f t="shared" si="1322"/>
        <v>1.0228923094813482</v>
      </c>
      <c r="I1970" s="78">
        <f t="shared" si="1322"/>
        <v>0.29913757151876097</v>
      </c>
      <c r="J1970" s="78">
        <f t="shared" si="1322"/>
        <v>1.5589696527295231</v>
      </c>
      <c r="K1970" s="78">
        <f t="shared" si="1322"/>
        <v>1.0732015076200361</v>
      </c>
      <c r="L1970" s="78">
        <f t="shared" si="1322"/>
        <v>3.7218602213104891E-2</v>
      </c>
      <c r="M1970" s="79">
        <f t="shared" si="1322"/>
        <v>0.24365674369215792</v>
      </c>
      <c r="N1970" s="26">
        <f t="shared" si="1322"/>
        <v>0.21292219733799461</v>
      </c>
      <c r="Q1970" s="137"/>
    </row>
    <row r="1971" spans="1:27" ht="15.75" customHeight="1" thickBot="1">
      <c r="A1971" s="424" t="s">
        <v>83</v>
      </c>
      <c r="B1971" s="425"/>
      <c r="C1971" s="76">
        <f>MIN(2*C1962,C1967)-C1969</f>
        <v>9899.6000000000058</v>
      </c>
      <c r="D1971" s="76">
        <f t="shared" ref="D1971:N1971" si="1323">MIN(2*D1962,D1967)-D1969</f>
        <v>26288.12000000001</v>
      </c>
      <c r="E1971" s="76">
        <f t="shared" si="1323"/>
        <v>25276.520000000004</v>
      </c>
      <c r="F1971" s="76">
        <f t="shared" si="1323"/>
        <v>30081.559999999998</v>
      </c>
      <c r="G1971" s="76">
        <f t="shared" si="1323"/>
        <v>238145.12</v>
      </c>
      <c r="H1971" s="76">
        <f t="shared" si="1323"/>
        <v>107485.28</v>
      </c>
      <c r="I1971" s="76">
        <f t="shared" si="1323"/>
        <v>206347.16</v>
      </c>
      <c r="J1971" s="76">
        <f t="shared" si="1323"/>
        <v>61308.520000000019</v>
      </c>
      <c r="K1971" s="76">
        <f t="shared" si="1323"/>
        <v>50865.72</v>
      </c>
      <c r="L1971" s="76">
        <f t="shared" si="1323"/>
        <v>119072.56</v>
      </c>
      <c r="M1971" s="76">
        <f t="shared" si="1323"/>
        <v>266911.96000000002</v>
      </c>
      <c r="N1971" s="22">
        <f t="shared" si="1323"/>
        <v>98141.16</v>
      </c>
      <c r="Q1971" s="137"/>
    </row>
    <row r="1972" spans="1:27" ht="15.75" thickBot="1">
      <c r="A1972" s="368">
        <v>40949</v>
      </c>
      <c r="B1972" s="368"/>
      <c r="C1972" s="368"/>
      <c r="N1972" s="15"/>
      <c r="Q1972" s="105"/>
    </row>
    <row r="1973" spans="1:27">
      <c r="A1973" s="407" t="s">
        <v>1</v>
      </c>
      <c r="B1973" s="420"/>
      <c r="C1973" s="68" t="s">
        <v>12</v>
      </c>
      <c r="D1973" s="68" t="s">
        <v>12</v>
      </c>
      <c r="E1973" s="68" t="s">
        <v>13</v>
      </c>
      <c r="F1973" s="68" t="s">
        <v>13</v>
      </c>
      <c r="G1973" s="68" t="s">
        <v>13</v>
      </c>
      <c r="H1973" s="68" t="s">
        <v>13</v>
      </c>
      <c r="I1973" s="68" t="s">
        <v>13</v>
      </c>
      <c r="J1973" s="68" t="s">
        <v>2</v>
      </c>
      <c r="K1973" s="68" t="s">
        <v>2</v>
      </c>
      <c r="L1973" s="68" t="s">
        <v>2</v>
      </c>
      <c r="M1973" s="68" t="s">
        <v>2</v>
      </c>
      <c r="N1973" s="4" t="s">
        <v>84</v>
      </c>
      <c r="Q1973" s="137"/>
      <c r="R1973" s="138"/>
      <c r="S1973" s="137"/>
      <c r="T1973" s="137"/>
      <c r="U1973" s="138"/>
      <c r="Y1973" s="104"/>
      <c r="Z1973" s="104"/>
      <c r="AA1973" s="134"/>
    </row>
    <row r="1974" spans="1:27" ht="15.75" thickBot="1">
      <c r="A1974" s="409" t="s">
        <v>0</v>
      </c>
      <c r="B1974" s="414"/>
      <c r="C1974" s="99" t="s">
        <v>102</v>
      </c>
      <c r="D1974" s="99" t="s">
        <v>103</v>
      </c>
      <c r="E1974" s="99" t="s">
        <v>104</v>
      </c>
      <c r="F1974" s="99" t="s">
        <v>105</v>
      </c>
      <c r="G1974" s="99" t="s">
        <v>100</v>
      </c>
      <c r="H1974" s="99" t="s">
        <v>107</v>
      </c>
      <c r="I1974" s="99" t="s">
        <v>106</v>
      </c>
      <c r="J1974" s="99" t="s">
        <v>108</v>
      </c>
      <c r="K1974" s="99" t="s">
        <v>110</v>
      </c>
      <c r="L1974" s="99" t="s">
        <v>101</v>
      </c>
      <c r="M1974" s="99" t="s">
        <v>109</v>
      </c>
      <c r="N1974" s="101" t="s">
        <v>111</v>
      </c>
      <c r="P1974" s="172"/>
      <c r="Q1974" s="105"/>
    </row>
    <row r="1975" spans="1:27" ht="15" customHeight="1">
      <c r="A1975" s="421" t="s">
        <v>9</v>
      </c>
      <c r="B1975" s="2" t="s">
        <v>4</v>
      </c>
      <c r="C1975" s="96">
        <v>115816.8</v>
      </c>
      <c r="D1975" s="96">
        <v>79968.7</v>
      </c>
      <c r="E1975" s="96">
        <v>79968.7</v>
      </c>
      <c r="F1975" s="96">
        <v>154422.39999999999</v>
      </c>
      <c r="G1975" s="96">
        <v>121331.8</v>
      </c>
      <c r="H1975" s="96">
        <v>110071.9</v>
      </c>
      <c r="I1975" s="96">
        <v>121331.8</v>
      </c>
      <c r="J1975" s="96">
        <v>170967.6</v>
      </c>
      <c r="K1975" s="96">
        <v>54921</v>
      </c>
      <c r="L1975" s="96">
        <v>60665.9</v>
      </c>
      <c r="M1975" s="96">
        <v>176482.7</v>
      </c>
      <c r="N1975" s="100">
        <v>54921</v>
      </c>
      <c r="Q1975" s="105"/>
    </row>
    <row r="1976" spans="1:27" s="64" customFormat="1">
      <c r="A1976" s="422"/>
      <c r="B1976" s="63" t="s">
        <v>5</v>
      </c>
      <c r="C1976" s="97">
        <v>92218.9</v>
      </c>
      <c r="D1976" s="97">
        <v>66009.5</v>
      </c>
      <c r="E1976" s="97">
        <v>67392.7</v>
      </c>
      <c r="F1976" s="97">
        <v>128302.1</v>
      </c>
      <c r="G1976" s="97">
        <v>96</v>
      </c>
      <c r="H1976" s="97">
        <v>24114.5</v>
      </c>
      <c r="I1976" s="97">
        <v>19548.5</v>
      </c>
      <c r="J1976" s="97">
        <v>115126.8</v>
      </c>
      <c r="K1976" s="97">
        <v>28901.9</v>
      </c>
      <c r="L1976" s="97">
        <v>63.1</v>
      </c>
      <c r="M1976" s="97">
        <v>77980.3</v>
      </c>
      <c r="N1976" s="102">
        <v>22919.8</v>
      </c>
      <c r="P1976" s="14"/>
      <c r="Q1976" s="105"/>
      <c r="R1976" s="104"/>
      <c r="S1976" s="104"/>
      <c r="T1976" s="104"/>
      <c r="U1976" s="104"/>
      <c r="V1976" s="104"/>
      <c r="W1976" s="104"/>
      <c r="X1976" s="104"/>
    </row>
    <row r="1977" spans="1:27" ht="15.75" thickBot="1">
      <c r="A1977" s="423"/>
      <c r="B1977" s="3" t="s">
        <v>3</v>
      </c>
      <c r="C1977" s="71">
        <f>C1976/C1975</f>
        <v>0.79624804000801264</v>
      </c>
      <c r="D1977" s="72">
        <f t="shared" ref="D1977:N1977" si="1324">D1976/D1975</f>
        <v>0.82544170406671613</v>
      </c>
      <c r="E1977" s="72">
        <f t="shared" si="1324"/>
        <v>0.8427384714269458</v>
      </c>
      <c r="F1977" s="72">
        <f t="shared" si="1324"/>
        <v>0.83085161220133874</v>
      </c>
      <c r="G1977" s="72">
        <f t="shared" si="1324"/>
        <v>7.9121879012756754E-4</v>
      </c>
      <c r="H1977" s="72">
        <f t="shared" si="1324"/>
        <v>0.21907952892609286</v>
      </c>
      <c r="I1977" s="72">
        <f t="shared" si="1324"/>
        <v>0.16111604707092453</v>
      </c>
      <c r="J1977" s="72">
        <f t="shared" si="1324"/>
        <v>0.67338372884686926</v>
      </c>
      <c r="K1977" s="72">
        <f t="shared" si="1324"/>
        <v>0.52624497004788695</v>
      </c>
      <c r="L1977" s="72">
        <f t="shared" si="1324"/>
        <v>1.0401230345218648E-3</v>
      </c>
      <c r="M1977" s="72">
        <f t="shared" si="1324"/>
        <v>0.44185804047648863</v>
      </c>
      <c r="N1977" s="83">
        <f t="shared" si="1324"/>
        <v>0.41732306403743558</v>
      </c>
      <c r="Q1977" s="105"/>
    </row>
    <row r="1978" spans="1:27" ht="15" customHeight="1">
      <c r="A1978" s="411" t="s">
        <v>6</v>
      </c>
      <c r="B1978" s="27" t="s">
        <v>7</v>
      </c>
      <c r="C1978" s="68">
        <v>5006</v>
      </c>
      <c r="D1978" s="68">
        <v>3200</v>
      </c>
      <c r="E1978" s="68">
        <v>3200</v>
      </c>
      <c r="F1978" s="68">
        <v>9503</v>
      </c>
      <c r="G1978" s="68">
        <v>3200</v>
      </c>
      <c r="H1978" s="68">
        <v>4800</v>
      </c>
      <c r="I1978" s="68">
        <v>4000</v>
      </c>
      <c r="J1978" s="68">
        <v>9503</v>
      </c>
      <c r="K1978" s="68">
        <v>2900</v>
      </c>
      <c r="L1978" s="68">
        <v>1600</v>
      </c>
      <c r="M1978" s="68">
        <f>4643-2210</f>
        <v>2433</v>
      </c>
      <c r="N1978" s="80">
        <v>396</v>
      </c>
      <c r="Q1978" s="105"/>
    </row>
    <row r="1979" spans="1:27">
      <c r="A1979" s="412"/>
      <c r="B1979" s="28" t="s">
        <v>11</v>
      </c>
      <c r="C1979" s="73">
        <f t="shared" ref="C1979:N1979" si="1325">C1978*33.79</f>
        <v>169152.74</v>
      </c>
      <c r="D1979" s="73">
        <f t="shared" si="1325"/>
        <v>108128</v>
      </c>
      <c r="E1979" s="73">
        <f t="shared" si="1325"/>
        <v>108128</v>
      </c>
      <c r="F1979" s="73">
        <f t="shared" si="1325"/>
        <v>321106.37</v>
      </c>
      <c r="G1979" s="73">
        <f t="shared" si="1325"/>
        <v>108128</v>
      </c>
      <c r="H1979" s="73">
        <f t="shared" si="1325"/>
        <v>162192</v>
      </c>
      <c r="I1979" s="73">
        <f t="shared" si="1325"/>
        <v>135160</v>
      </c>
      <c r="J1979" s="73">
        <f t="shared" si="1325"/>
        <v>321106.37</v>
      </c>
      <c r="K1979" s="73">
        <f t="shared" si="1325"/>
        <v>97991</v>
      </c>
      <c r="L1979" s="73">
        <f t="shared" si="1325"/>
        <v>54064</v>
      </c>
      <c r="M1979" s="73">
        <f t="shared" si="1325"/>
        <v>82211.069999999992</v>
      </c>
      <c r="N1979" s="84">
        <f t="shared" si="1325"/>
        <v>13380.84</v>
      </c>
      <c r="Q1979" s="105"/>
    </row>
    <row r="1980" spans="1:27">
      <c r="A1980" s="412"/>
      <c r="B1980" s="28" t="s">
        <v>79</v>
      </c>
      <c r="C1980" s="73">
        <v>164000</v>
      </c>
      <c r="D1980" s="73">
        <v>109880</v>
      </c>
      <c r="E1980" s="73">
        <v>109880</v>
      </c>
      <c r="F1980" s="73">
        <v>328000</v>
      </c>
      <c r="G1980" s="73">
        <f>G1975*2</f>
        <v>242663.6</v>
      </c>
      <c r="H1980" s="73">
        <f>H1975*2</f>
        <v>220143.8</v>
      </c>
      <c r="I1980" s="73">
        <f>I1975*2</f>
        <v>242663.6</v>
      </c>
      <c r="J1980" s="73">
        <v>328000</v>
      </c>
      <c r="K1980" s="73">
        <f>K1975*2</f>
        <v>109842</v>
      </c>
      <c r="L1980" s="73">
        <v>328000</v>
      </c>
      <c r="M1980" s="73">
        <f>2*M1975</f>
        <v>352965.4</v>
      </c>
      <c r="N1980" s="84">
        <f>2*N1975</f>
        <v>109842</v>
      </c>
    </row>
    <row r="1981" spans="1:27" s="64" customFormat="1">
      <c r="A1981" s="412"/>
      <c r="B1981" s="66" t="s">
        <v>8</v>
      </c>
      <c r="C1981" s="98">
        <f>SUM(C1978-436)</f>
        <v>4570</v>
      </c>
      <c r="D1981" s="98">
        <f>SUM(D1978-721)</f>
        <v>2479</v>
      </c>
      <c r="E1981" s="98">
        <f>SUM(E1978-691)</f>
        <v>2509</v>
      </c>
      <c r="F1981" s="98">
        <f>SUM(F1978-1236)</f>
        <v>8267</v>
      </c>
      <c r="G1981" s="98">
        <f>SUM(G1978-3133)</f>
        <v>67</v>
      </c>
      <c r="H1981" s="98">
        <f>SUM(H1978-1948)</f>
        <v>2852</v>
      </c>
      <c r="I1981" s="98">
        <f>SUM(I1978-2932)</f>
        <v>1068</v>
      </c>
      <c r="J1981" s="98">
        <f>SUM(J1978-1611)</f>
        <v>7892</v>
      </c>
      <c r="K1981" s="98">
        <f>SUM(K1978-1151)</f>
        <v>1749</v>
      </c>
      <c r="L1981" s="98">
        <f>SUM(L1978-1533)</f>
        <v>67</v>
      </c>
      <c r="M1981" s="98">
        <f>SUM(M1978-(3376-2210))</f>
        <v>1267</v>
      </c>
      <c r="N1981" s="103">
        <f>SUM(N1978-49)</f>
        <v>347</v>
      </c>
      <c r="P1981" s="14"/>
      <c r="Q1981" s="104"/>
      <c r="R1981" s="104"/>
      <c r="S1981" s="104"/>
      <c r="T1981" s="104"/>
      <c r="U1981" s="104"/>
      <c r="V1981" s="104"/>
      <c r="W1981" s="104"/>
      <c r="X1981" s="104"/>
    </row>
    <row r="1982" spans="1:27">
      <c r="A1982" s="412"/>
      <c r="B1982" s="29" t="s">
        <v>77</v>
      </c>
      <c r="C1982" s="75">
        <f>C1981*33.72</f>
        <v>154100.4</v>
      </c>
      <c r="D1982" s="75">
        <f>D1981*33.72</f>
        <v>83591.87999999999</v>
      </c>
      <c r="E1982" s="75">
        <f>E1981*33.72</f>
        <v>84603.48</v>
      </c>
      <c r="F1982" s="75">
        <f>F1981*33.72</f>
        <v>278763.24</v>
      </c>
      <c r="G1982" s="75">
        <f>G1981*33.72*2</f>
        <v>4518.4799999999996</v>
      </c>
      <c r="H1982" s="75">
        <f>H1981*33.72</f>
        <v>96169.44</v>
      </c>
      <c r="I1982" s="75">
        <f>I1981*33.72</f>
        <v>36012.959999999999</v>
      </c>
      <c r="J1982" s="75">
        <f>J1981*33.72</f>
        <v>266118.24</v>
      </c>
      <c r="K1982" s="75">
        <f>K1981*33.72</f>
        <v>58976.28</v>
      </c>
      <c r="L1982" s="75">
        <f>L1981*33.72</f>
        <v>2259.2399999999998</v>
      </c>
      <c r="M1982" s="75">
        <f>M1981*33.72*2</f>
        <v>85446.48</v>
      </c>
      <c r="N1982" s="11">
        <f>N1981*33.72</f>
        <v>11700.84</v>
      </c>
      <c r="Q1982" s="105"/>
    </row>
    <row r="1983" spans="1:27" ht="15.75" thickBot="1">
      <c r="A1983" s="412"/>
      <c r="B1983" s="30" t="s">
        <v>10</v>
      </c>
      <c r="C1983" s="71">
        <f>C1981*33.7/C1975</f>
        <v>1.3297639029916213</v>
      </c>
      <c r="D1983" s="71">
        <f t="shared" ref="D1983:N1983" si="1326">D1981*33.7/D1975</f>
        <v>1.0446874839781064</v>
      </c>
      <c r="E1983" s="78">
        <f t="shared" si="1326"/>
        <v>1.0573299303352437</v>
      </c>
      <c r="F1983" s="78">
        <f t="shared" si="1326"/>
        <v>1.80412880514744</v>
      </c>
      <c r="G1983" s="78">
        <f t="shared" si="1326"/>
        <v>1.8609301106552446E-2</v>
      </c>
      <c r="H1983" s="78">
        <f t="shared" si="1326"/>
        <v>0.87317834978772979</v>
      </c>
      <c r="I1983" s="78">
        <f t="shared" si="1326"/>
        <v>0.2966378146537017</v>
      </c>
      <c r="J1983" s="78">
        <f t="shared" si="1326"/>
        <v>1.5556187254193192</v>
      </c>
      <c r="K1983" s="78">
        <f t="shared" si="1326"/>
        <v>1.0732015076200361</v>
      </c>
      <c r="L1983" s="78">
        <f t="shared" si="1326"/>
        <v>3.7218602213104891E-2</v>
      </c>
      <c r="M1983" s="79">
        <f t="shared" si="1326"/>
        <v>0.24193816164417248</v>
      </c>
      <c r="N1983" s="26">
        <f t="shared" si="1326"/>
        <v>0.21292219733799461</v>
      </c>
      <c r="Q1983" s="105"/>
    </row>
    <row r="1984" spans="1:27" ht="15.75" customHeight="1" thickBot="1">
      <c r="A1984" s="424" t="s">
        <v>83</v>
      </c>
      <c r="B1984" s="425"/>
      <c r="C1984" s="76">
        <f>MIN(2*C1975,C1980)-C1982</f>
        <v>9899.6000000000058</v>
      </c>
      <c r="D1984" s="76">
        <f t="shared" ref="D1984:N1984" si="1327">MIN(2*D1975,D1980)-D1982</f>
        <v>26288.12000000001</v>
      </c>
      <c r="E1984" s="76">
        <f t="shared" si="1327"/>
        <v>25276.520000000004</v>
      </c>
      <c r="F1984" s="76">
        <f t="shared" si="1327"/>
        <v>30081.559999999998</v>
      </c>
      <c r="G1984" s="76">
        <f t="shared" si="1327"/>
        <v>238145.12</v>
      </c>
      <c r="H1984" s="76">
        <f t="shared" si="1327"/>
        <v>123974.35999999999</v>
      </c>
      <c r="I1984" s="76">
        <f t="shared" si="1327"/>
        <v>206650.64</v>
      </c>
      <c r="J1984" s="76">
        <f t="shared" si="1327"/>
        <v>61881.760000000009</v>
      </c>
      <c r="K1984" s="76">
        <f t="shared" si="1327"/>
        <v>50865.72</v>
      </c>
      <c r="L1984" s="76">
        <f t="shared" si="1327"/>
        <v>119072.56</v>
      </c>
      <c r="M1984" s="76">
        <f t="shared" si="1327"/>
        <v>267518.92000000004</v>
      </c>
      <c r="N1984" s="22">
        <f t="shared" si="1327"/>
        <v>98141.16</v>
      </c>
      <c r="Q1984" s="105"/>
    </row>
    <row r="1985" spans="1:27" ht="15.75" thickBot="1">
      <c r="A1985" s="368">
        <v>40948</v>
      </c>
      <c r="B1985" s="368"/>
      <c r="C1985" s="368"/>
      <c r="N1985" s="15"/>
    </row>
    <row r="1986" spans="1:27">
      <c r="A1986" s="407" t="s">
        <v>1</v>
      </c>
      <c r="B1986" s="420"/>
      <c r="C1986" s="68" t="s">
        <v>12</v>
      </c>
      <c r="D1986" s="68" t="s">
        <v>12</v>
      </c>
      <c r="E1986" s="68" t="s">
        <v>13</v>
      </c>
      <c r="F1986" s="68" t="s">
        <v>13</v>
      </c>
      <c r="G1986" s="68" t="s">
        <v>13</v>
      </c>
      <c r="H1986" s="68" t="s">
        <v>13</v>
      </c>
      <c r="I1986" s="68" t="s">
        <v>13</v>
      </c>
      <c r="J1986" s="68" t="s">
        <v>2</v>
      </c>
      <c r="K1986" s="68" t="s">
        <v>2</v>
      </c>
      <c r="L1986" s="68" t="s">
        <v>2</v>
      </c>
      <c r="M1986" s="68" t="s">
        <v>2</v>
      </c>
      <c r="N1986" s="4" t="s">
        <v>84</v>
      </c>
      <c r="Y1986" s="104"/>
      <c r="Z1986" s="104"/>
      <c r="AA1986" s="133"/>
    </row>
    <row r="1987" spans="1:27" ht="15.75" thickBot="1">
      <c r="A1987" s="409" t="s">
        <v>0</v>
      </c>
      <c r="B1987" s="414"/>
      <c r="C1987" s="99" t="s">
        <v>102</v>
      </c>
      <c r="D1987" s="99" t="s">
        <v>103</v>
      </c>
      <c r="E1987" s="99" t="s">
        <v>104</v>
      </c>
      <c r="F1987" s="99" t="s">
        <v>105</v>
      </c>
      <c r="G1987" s="99" t="s">
        <v>100</v>
      </c>
      <c r="H1987" s="99" t="s">
        <v>107</v>
      </c>
      <c r="I1987" s="99" t="s">
        <v>106</v>
      </c>
      <c r="J1987" s="99" t="s">
        <v>108</v>
      </c>
      <c r="K1987" s="99" t="s">
        <v>110</v>
      </c>
      <c r="L1987" s="99" t="s">
        <v>101</v>
      </c>
      <c r="M1987" s="99" t="s">
        <v>109</v>
      </c>
      <c r="N1987" s="101" t="s">
        <v>111</v>
      </c>
      <c r="P1987" s="172"/>
      <c r="Q1987" s="105"/>
      <c r="R1987" s="105"/>
      <c r="S1987" s="105"/>
      <c r="T1987" s="105"/>
      <c r="U1987" s="105"/>
      <c r="V1987" s="105"/>
      <c r="W1987" s="105"/>
      <c r="X1987" s="105"/>
      <c r="Y1987" s="105"/>
      <c r="Z1987" s="105"/>
      <c r="AA1987" s="38"/>
    </row>
    <row r="1988" spans="1:27" ht="15" customHeight="1">
      <c r="A1988" s="421" t="s">
        <v>9</v>
      </c>
      <c r="B1988" s="2" t="s">
        <v>4</v>
      </c>
      <c r="C1988" s="96">
        <v>115816.8</v>
      </c>
      <c r="D1988" s="96">
        <v>79968.7</v>
      </c>
      <c r="E1988" s="96">
        <v>79968.7</v>
      </c>
      <c r="F1988" s="96">
        <v>154422.39999999999</v>
      </c>
      <c r="G1988" s="96">
        <v>121331.8</v>
      </c>
      <c r="H1988" s="96">
        <v>110071.9</v>
      </c>
      <c r="I1988" s="96">
        <v>121331.8</v>
      </c>
      <c r="J1988" s="96">
        <v>170967.6</v>
      </c>
      <c r="K1988" s="96">
        <v>54921</v>
      </c>
      <c r="L1988" s="96">
        <v>60665.9</v>
      </c>
      <c r="M1988" s="96">
        <v>176482.7</v>
      </c>
      <c r="N1988" s="100">
        <v>54921</v>
      </c>
      <c r="Y1988" s="104"/>
      <c r="Z1988" s="104"/>
      <c r="AA1988" s="133"/>
    </row>
    <row r="1989" spans="1:27" s="64" customFormat="1">
      <c r="A1989" s="422"/>
      <c r="B1989" s="63" t="s">
        <v>5</v>
      </c>
      <c r="C1989" s="97">
        <v>92218.9</v>
      </c>
      <c r="D1989" s="97">
        <v>66009.5</v>
      </c>
      <c r="E1989" s="97">
        <v>67387.199999999997</v>
      </c>
      <c r="F1989" s="97">
        <v>128149.8</v>
      </c>
      <c r="G1989" s="97">
        <v>94.3</v>
      </c>
      <c r="H1989" s="97">
        <v>24044.2</v>
      </c>
      <c r="I1989" s="97">
        <v>19548.099999999999</v>
      </c>
      <c r="J1989" s="97">
        <v>115078.9</v>
      </c>
      <c r="K1989" s="97">
        <v>28896.400000000001</v>
      </c>
      <c r="L1989" s="97">
        <v>62.2</v>
      </c>
      <c r="M1989" s="97">
        <v>77978.5</v>
      </c>
      <c r="N1989" s="102">
        <v>22919.3</v>
      </c>
      <c r="P1989" s="14"/>
      <c r="Q1989" s="104"/>
      <c r="R1989" s="104"/>
      <c r="S1989" s="104"/>
      <c r="T1989" s="104"/>
      <c r="U1989" s="104"/>
      <c r="V1989" s="104"/>
      <c r="W1989" s="104"/>
      <c r="X1989" s="104"/>
      <c r="Y1989" s="104"/>
      <c r="Z1989" s="104"/>
      <c r="AA1989" s="65"/>
    </row>
    <row r="1990" spans="1:27" ht="15.75" thickBot="1">
      <c r="A1990" s="423"/>
      <c r="B1990" s="3" t="s">
        <v>3</v>
      </c>
      <c r="C1990" s="71">
        <f>C1989/C1988</f>
        <v>0.79624804000801264</v>
      </c>
      <c r="D1990" s="72">
        <f t="shared" ref="D1990:N1990" si="1328">D1989/D1988</f>
        <v>0.82544170406671613</v>
      </c>
      <c r="E1990" s="72">
        <f t="shared" si="1328"/>
        <v>0.84266969451798013</v>
      </c>
      <c r="F1990" s="72">
        <f t="shared" si="1328"/>
        <v>0.82986535632136271</v>
      </c>
      <c r="G1990" s="72">
        <f t="shared" si="1328"/>
        <v>7.7720762405239182E-4</v>
      </c>
      <c r="H1990" s="72">
        <f t="shared" si="1328"/>
        <v>0.21844085547719266</v>
      </c>
      <c r="I1990" s="72">
        <f t="shared" si="1328"/>
        <v>0.16111275032596564</v>
      </c>
      <c r="J1990" s="72">
        <f t="shared" si="1328"/>
        <v>0.67310355880295447</v>
      </c>
      <c r="K1990" s="72">
        <f t="shared" si="1328"/>
        <v>0.52614482620491254</v>
      </c>
      <c r="L1990" s="72">
        <f t="shared" si="1328"/>
        <v>1.0252876822069729E-3</v>
      </c>
      <c r="M1990" s="72">
        <f t="shared" si="1328"/>
        <v>0.44184784117650056</v>
      </c>
      <c r="N1990" s="83">
        <f t="shared" si="1328"/>
        <v>0.41731396005171062</v>
      </c>
      <c r="Y1990" s="104"/>
      <c r="Z1990" s="104"/>
      <c r="AA1990" s="133"/>
    </row>
    <row r="1991" spans="1:27" ht="15" customHeight="1">
      <c r="A1991" s="411" t="s">
        <v>6</v>
      </c>
      <c r="B1991" s="27" t="s">
        <v>7</v>
      </c>
      <c r="C1991" s="68">
        <v>5006</v>
      </c>
      <c r="D1991" s="68">
        <v>3200</v>
      </c>
      <c r="E1991" s="68">
        <v>3200</v>
      </c>
      <c r="F1991" s="68">
        <v>9503</v>
      </c>
      <c r="G1991" s="68">
        <v>3200</v>
      </c>
      <c r="H1991" s="68">
        <v>4800</v>
      </c>
      <c r="I1991" s="68">
        <v>4000</v>
      </c>
      <c r="J1991" s="68">
        <v>9503</v>
      </c>
      <c r="K1991" s="68">
        <v>2900</v>
      </c>
      <c r="L1991" s="68">
        <v>1600</v>
      </c>
      <c r="M1991" s="68">
        <f>4643-2210</f>
        <v>2433</v>
      </c>
      <c r="N1991" s="80">
        <v>396</v>
      </c>
      <c r="Y1991" s="104"/>
      <c r="Z1991" s="104"/>
      <c r="AA1991" s="133"/>
    </row>
    <row r="1992" spans="1:27">
      <c r="A1992" s="412"/>
      <c r="B1992" s="28" t="s">
        <v>11</v>
      </c>
      <c r="C1992" s="73">
        <f t="shared" ref="C1992:N1992" si="1329">C1991*33.79</f>
        <v>169152.74</v>
      </c>
      <c r="D1992" s="73">
        <f t="shared" si="1329"/>
        <v>108128</v>
      </c>
      <c r="E1992" s="73">
        <f t="shared" si="1329"/>
        <v>108128</v>
      </c>
      <c r="F1992" s="73">
        <f t="shared" si="1329"/>
        <v>321106.37</v>
      </c>
      <c r="G1992" s="73">
        <f t="shared" si="1329"/>
        <v>108128</v>
      </c>
      <c r="H1992" s="73">
        <f t="shared" si="1329"/>
        <v>162192</v>
      </c>
      <c r="I1992" s="73">
        <f t="shared" si="1329"/>
        <v>135160</v>
      </c>
      <c r="J1992" s="73">
        <f t="shared" si="1329"/>
        <v>321106.37</v>
      </c>
      <c r="K1992" s="73">
        <f t="shared" si="1329"/>
        <v>97991</v>
      </c>
      <c r="L1992" s="73">
        <f t="shared" si="1329"/>
        <v>54064</v>
      </c>
      <c r="M1992" s="73">
        <f t="shared" si="1329"/>
        <v>82211.069999999992</v>
      </c>
      <c r="N1992" s="84">
        <f t="shared" si="1329"/>
        <v>13380.84</v>
      </c>
      <c r="Y1992" s="104"/>
      <c r="Z1992" s="104"/>
      <c r="AA1992" s="133"/>
    </row>
    <row r="1993" spans="1:27">
      <c r="A1993" s="412"/>
      <c r="B1993" s="28" t="s">
        <v>79</v>
      </c>
      <c r="C1993" s="73">
        <v>164000</v>
      </c>
      <c r="D1993" s="73">
        <v>109880</v>
      </c>
      <c r="E1993" s="73">
        <v>109880</v>
      </c>
      <c r="F1993" s="73">
        <v>328000</v>
      </c>
      <c r="G1993" s="73">
        <f>G1988*2</f>
        <v>242663.6</v>
      </c>
      <c r="H1993" s="73">
        <f>H1988*2</f>
        <v>220143.8</v>
      </c>
      <c r="I1993" s="73">
        <f>I1988*2</f>
        <v>242663.6</v>
      </c>
      <c r="J1993" s="73">
        <v>328000</v>
      </c>
      <c r="K1993" s="73">
        <f>K1988*2</f>
        <v>109842</v>
      </c>
      <c r="L1993" s="73">
        <v>328000</v>
      </c>
      <c r="M1993" s="73">
        <f>2*M1988</f>
        <v>352965.4</v>
      </c>
      <c r="N1993" s="84">
        <f>2*N1988</f>
        <v>109842</v>
      </c>
      <c r="Y1993" s="104"/>
      <c r="Z1993" s="104"/>
      <c r="AA1993" s="133"/>
    </row>
    <row r="1994" spans="1:27" s="64" customFormat="1">
      <c r="A1994" s="412"/>
      <c r="B1994" s="66" t="s">
        <v>8</v>
      </c>
      <c r="C1994" s="98">
        <f>SUM(C1991-436)</f>
        <v>4570</v>
      </c>
      <c r="D1994" s="98">
        <f>SUM(D1991-721)</f>
        <v>2479</v>
      </c>
      <c r="E1994" s="98">
        <f>SUM(E1991-691)</f>
        <v>2509</v>
      </c>
      <c r="F1994" s="98">
        <f>SUM(F1991-1236)</f>
        <v>8267</v>
      </c>
      <c r="G1994" s="98">
        <f>SUM(G1991-3133)</f>
        <v>67</v>
      </c>
      <c r="H1994" s="98">
        <f>SUM(H1991-1948)</f>
        <v>2852</v>
      </c>
      <c r="I1994" s="98">
        <f>SUM(I1991-2932)</f>
        <v>1068</v>
      </c>
      <c r="J1994" s="98">
        <f>SUM(J1991-1611)</f>
        <v>7892</v>
      </c>
      <c r="K1994" s="98">
        <f>SUM(K1991-1151)</f>
        <v>1749</v>
      </c>
      <c r="L1994" s="98">
        <f>SUM(L1991-1533)</f>
        <v>67</v>
      </c>
      <c r="M1994" s="98">
        <f>SUM(M1991-(3376-2210))</f>
        <v>1267</v>
      </c>
      <c r="N1994" s="103">
        <f>SUM(N1991-49)</f>
        <v>347</v>
      </c>
      <c r="P1994" s="14"/>
      <c r="Q1994" s="105"/>
      <c r="R1994" s="104"/>
      <c r="S1994" s="104"/>
      <c r="T1994" s="104"/>
      <c r="U1994" s="104"/>
      <c r="V1994" s="104"/>
      <c r="W1994" s="104"/>
      <c r="X1994" s="104"/>
      <c r="Y1994" s="67"/>
      <c r="Z1994" s="67"/>
    </row>
    <row r="1995" spans="1:27">
      <c r="A1995" s="412"/>
      <c r="B1995" s="29" t="s">
        <v>77</v>
      </c>
      <c r="C1995" s="75">
        <f>C1994*33.72</f>
        <v>154100.4</v>
      </c>
      <c r="D1995" s="75">
        <f>D1994*33.72</f>
        <v>83591.87999999999</v>
      </c>
      <c r="E1995" s="75">
        <f>E1994*33.72</f>
        <v>84603.48</v>
      </c>
      <c r="F1995" s="75">
        <f>F1994*33.72</f>
        <v>278763.24</v>
      </c>
      <c r="G1995" s="75">
        <f>G1994*33.72*2</f>
        <v>4518.4799999999996</v>
      </c>
      <c r="H1995" s="75">
        <f>H1994*33.72</f>
        <v>96169.44</v>
      </c>
      <c r="I1995" s="75">
        <f>I1994*33.72</f>
        <v>36012.959999999999</v>
      </c>
      <c r="J1995" s="75">
        <f>J1994*33.72</f>
        <v>266118.24</v>
      </c>
      <c r="K1995" s="75">
        <f>K1994*33.72</f>
        <v>58976.28</v>
      </c>
      <c r="L1995" s="75">
        <f>L1994*33.72</f>
        <v>2259.2399999999998</v>
      </c>
      <c r="M1995" s="75">
        <f>M1994*33.72*2</f>
        <v>85446.48</v>
      </c>
      <c r="N1995" s="11">
        <f>N1994*33.72</f>
        <v>11700.84</v>
      </c>
      <c r="Q1995" s="105"/>
    </row>
    <row r="1996" spans="1:27" ht="15.75" thickBot="1">
      <c r="A1996" s="412"/>
      <c r="B1996" s="30" t="s">
        <v>10</v>
      </c>
      <c r="C1996" s="71">
        <f>C1994*33.7/C1988</f>
        <v>1.3297639029916213</v>
      </c>
      <c r="D1996" s="71">
        <f t="shared" ref="D1996:N1996" si="1330">D1994*33.7/D1988</f>
        <v>1.0446874839781064</v>
      </c>
      <c r="E1996" s="78">
        <f t="shared" si="1330"/>
        <v>1.0573299303352437</v>
      </c>
      <c r="F1996" s="78">
        <f t="shared" si="1330"/>
        <v>1.80412880514744</v>
      </c>
      <c r="G1996" s="78">
        <f t="shared" si="1330"/>
        <v>1.8609301106552446E-2</v>
      </c>
      <c r="H1996" s="78">
        <f t="shared" si="1330"/>
        <v>0.87317834978772979</v>
      </c>
      <c r="I1996" s="78">
        <f t="shared" si="1330"/>
        <v>0.2966378146537017</v>
      </c>
      <c r="J1996" s="78">
        <f t="shared" si="1330"/>
        <v>1.5556187254193192</v>
      </c>
      <c r="K1996" s="78">
        <f t="shared" si="1330"/>
        <v>1.0732015076200361</v>
      </c>
      <c r="L1996" s="78">
        <f t="shared" si="1330"/>
        <v>3.7218602213104891E-2</v>
      </c>
      <c r="M1996" s="79">
        <f t="shared" si="1330"/>
        <v>0.24193816164417248</v>
      </c>
      <c r="N1996" s="26">
        <f t="shared" si="1330"/>
        <v>0.21292219733799461</v>
      </c>
      <c r="Q1996" s="105"/>
    </row>
    <row r="1997" spans="1:27" ht="15.75" customHeight="1" thickBot="1">
      <c r="A1997" s="424" t="s">
        <v>83</v>
      </c>
      <c r="B1997" s="425"/>
      <c r="C1997" s="76">
        <f>MIN(2*C1988,C1993)-C1995</f>
        <v>9899.6000000000058</v>
      </c>
      <c r="D1997" s="76">
        <f t="shared" ref="D1997:N1997" si="1331">MIN(2*D1988,D1993)-D1995</f>
        <v>26288.12000000001</v>
      </c>
      <c r="E1997" s="76">
        <f t="shared" si="1331"/>
        <v>25276.520000000004</v>
      </c>
      <c r="F1997" s="76">
        <f t="shared" si="1331"/>
        <v>30081.559999999998</v>
      </c>
      <c r="G1997" s="76">
        <f t="shared" si="1331"/>
        <v>238145.12</v>
      </c>
      <c r="H1997" s="76">
        <f t="shared" si="1331"/>
        <v>123974.35999999999</v>
      </c>
      <c r="I1997" s="76">
        <f t="shared" si="1331"/>
        <v>206650.64</v>
      </c>
      <c r="J1997" s="76">
        <f t="shared" si="1331"/>
        <v>61881.760000000009</v>
      </c>
      <c r="K1997" s="76">
        <f t="shared" si="1331"/>
        <v>50865.72</v>
      </c>
      <c r="L1997" s="76">
        <f t="shared" si="1331"/>
        <v>119072.56</v>
      </c>
      <c r="M1997" s="76">
        <f t="shared" si="1331"/>
        <v>267518.92000000004</v>
      </c>
      <c r="N1997" s="22">
        <f t="shared" si="1331"/>
        <v>98141.16</v>
      </c>
      <c r="Q1997" s="105"/>
    </row>
    <row r="1998" spans="1:27" ht="15.75" thickBot="1">
      <c r="A1998" s="368">
        <v>40947</v>
      </c>
      <c r="B1998" s="368"/>
      <c r="C1998" s="368"/>
      <c r="N1998" s="15"/>
    </row>
    <row r="1999" spans="1:27">
      <c r="A1999" s="407" t="s">
        <v>1</v>
      </c>
      <c r="B1999" s="420"/>
      <c r="C1999" s="68" t="s">
        <v>12</v>
      </c>
      <c r="D1999" s="68" t="s">
        <v>12</v>
      </c>
      <c r="E1999" s="68" t="s">
        <v>13</v>
      </c>
      <c r="F1999" s="68" t="s">
        <v>13</v>
      </c>
      <c r="G1999" s="68" t="s">
        <v>13</v>
      </c>
      <c r="H1999" s="68" t="s">
        <v>13</v>
      </c>
      <c r="I1999" s="68" t="s">
        <v>13</v>
      </c>
      <c r="J1999" s="68" t="s">
        <v>2</v>
      </c>
      <c r="K1999" s="68" t="s">
        <v>2</v>
      </c>
      <c r="L1999" s="68" t="s">
        <v>2</v>
      </c>
      <c r="M1999" s="68" t="s">
        <v>2</v>
      </c>
      <c r="N1999" s="4" t="s">
        <v>84</v>
      </c>
      <c r="Y1999" s="104"/>
      <c r="Z1999" s="104"/>
      <c r="AA1999" s="132"/>
    </row>
    <row r="2000" spans="1:27" ht="15.75" thickBot="1">
      <c r="A2000" s="409" t="s">
        <v>0</v>
      </c>
      <c r="B2000" s="414"/>
      <c r="C2000" s="99" t="s">
        <v>102</v>
      </c>
      <c r="D2000" s="99" t="s">
        <v>103</v>
      </c>
      <c r="E2000" s="99" t="s">
        <v>104</v>
      </c>
      <c r="F2000" s="99" t="s">
        <v>105</v>
      </c>
      <c r="G2000" s="99" t="s">
        <v>100</v>
      </c>
      <c r="H2000" s="99" t="s">
        <v>107</v>
      </c>
      <c r="I2000" s="99" t="s">
        <v>106</v>
      </c>
      <c r="J2000" s="99" t="s">
        <v>108</v>
      </c>
      <c r="K2000" s="99" t="s">
        <v>110</v>
      </c>
      <c r="L2000" s="99" t="s">
        <v>101</v>
      </c>
      <c r="M2000" s="99" t="s">
        <v>109</v>
      </c>
      <c r="N2000" s="101" t="s">
        <v>111</v>
      </c>
      <c r="P2000" s="172"/>
      <c r="Q2000" s="105"/>
      <c r="R2000" s="105"/>
      <c r="S2000" s="105"/>
      <c r="T2000" s="105"/>
      <c r="U2000" s="105"/>
      <c r="V2000" s="105"/>
      <c r="W2000" s="105"/>
      <c r="X2000" s="105"/>
      <c r="Y2000" s="105"/>
      <c r="Z2000" s="105"/>
      <c r="AA2000" s="38"/>
    </row>
    <row r="2001" spans="1:27" ht="15" customHeight="1">
      <c r="A2001" s="421" t="s">
        <v>9</v>
      </c>
      <c r="B2001" s="2" t="s">
        <v>4</v>
      </c>
      <c r="C2001" s="96">
        <v>115816.8</v>
      </c>
      <c r="D2001" s="96">
        <v>79968.7</v>
      </c>
      <c r="E2001" s="96">
        <v>79968.7</v>
      </c>
      <c r="F2001" s="96">
        <v>154422.39999999999</v>
      </c>
      <c r="G2001" s="96">
        <v>121331.8</v>
      </c>
      <c r="H2001" s="96">
        <v>110071.9</v>
      </c>
      <c r="I2001" s="96">
        <v>121331.8</v>
      </c>
      <c r="J2001" s="96">
        <v>170967.6</v>
      </c>
      <c r="K2001" s="96">
        <v>54921</v>
      </c>
      <c r="L2001" s="96">
        <v>60665.9</v>
      </c>
      <c r="M2001" s="96">
        <v>176482.7</v>
      </c>
      <c r="N2001" s="100">
        <v>54921</v>
      </c>
      <c r="Y2001" s="104"/>
      <c r="Z2001" s="104"/>
      <c r="AA2001" s="132"/>
    </row>
    <row r="2002" spans="1:27" s="64" customFormat="1">
      <c r="A2002" s="422"/>
      <c r="B2002" s="63" t="s">
        <v>5</v>
      </c>
      <c r="C2002" s="97">
        <v>92077.6</v>
      </c>
      <c r="D2002" s="97">
        <v>65942.3</v>
      </c>
      <c r="E2002" s="97">
        <v>67320</v>
      </c>
      <c r="F2002" s="97">
        <v>127937.1</v>
      </c>
      <c r="G2002" s="97">
        <v>92.8</v>
      </c>
      <c r="H2002" s="97">
        <v>23880</v>
      </c>
      <c r="I2002" s="97">
        <v>19547.099999999999</v>
      </c>
      <c r="J2002" s="97">
        <v>113862.7</v>
      </c>
      <c r="K2002" s="97">
        <v>28892</v>
      </c>
      <c r="L2002" s="97">
        <v>61.5</v>
      </c>
      <c r="M2002" s="97">
        <v>77976.600000000006</v>
      </c>
      <c r="N2002" s="102">
        <v>22919.1</v>
      </c>
      <c r="P2002" s="14"/>
      <c r="Q2002" s="104"/>
      <c r="R2002" s="104"/>
      <c r="S2002" s="104"/>
      <c r="T2002" s="104"/>
      <c r="U2002" s="104"/>
      <c r="V2002" s="104"/>
      <c r="W2002" s="104"/>
      <c r="X2002" s="104"/>
      <c r="Y2002" s="104"/>
      <c r="Z2002" s="104"/>
      <c r="AA2002" s="65"/>
    </row>
    <row r="2003" spans="1:27" ht="15.75" thickBot="1">
      <c r="A2003" s="423"/>
      <c r="B2003" s="3" t="s">
        <v>3</v>
      </c>
      <c r="C2003" s="71">
        <f>C2002/C2001</f>
        <v>0.79502800975333465</v>
      </c>
      <c r="D2003" s="72">
        <f t="shared" ref="D2003:N2003" si="1332">D2002/D2001</f>
        <v>0.82460137528808153</v>
      </c>
      <c r="E2003" s="72">
        <f t="shared" si="1332"/>
        <v>0.84182936573934553</v>
      </c>
      <c r="F2003" s="72">
        <f t="shared" si="1332"/>
        <v>0.82848796547651127</v>
      </c>
      <c r="G2003" s="72">
        <f t="shared" si="1332"/>
        <v>7.6484483045664864E-4</v>
      </c>
      <c r="H2003" s="72">
        <f t="shared" si="1332"/>
        <v>0.21694910326795486</v>
      </c>
      <c r="I2003" s="72">
        <f t="shared" si="1332"/>
        <v>0.16110450846356847</v>
      </c>
      <c r="J2003" s="72">
        <f t="shared" si="1332"/>
        <v>0.66598993025579112</v>
      </c>
      <c r="K2003" s="72">
        <f t="shared" si="1332"/>
        <v>0.52606471113053299</v>
      </c>
      <c r="L2003" s="72">
        <f t="shared" si="1332"/>
        <v>1.013749074850946E-3</v>
      </c>
      <c r="M2003" s="72">
        <f t="shared" si="1332"/>
        <v>0.44183707524873544</v>
      </c>
      <c r="N2003" s="83">
        <f t="shared" si="1332"/>
        <v>0.41731031845742061</v>
      </c>
      <c r="Y2003" s="104"/>
      <c r="Z2003" s="104"/>
      <c r="AA2003" s="132"/>
    </row>
    <row r="2004" spans="1:27" ht="15" customHeight="1">
      <c r="A2004" s="411" t="s">
        <v>6</v>
      </c>
      <c r="B2004" s="27" t="s">
        <v>7</v>
      </c>
      <c r="C2004" s="68">
        <v>5006</v>
      </c>
      <c r="D2004" s="68">
        <v>3200</v>
      </c>
      <c r="E2004" s="68">
        <v>3200</v>
      </c>
      <c r="F2004" s="68">
        <v>9503</v>
      </c>
      <c r="G2004" s="68">
        <v>3200</v>
      </c>
      <c r="H2004" s="68">
        <v>4800</v>
      </c>
      <c r="I2004" s="68">
        <v>4000</v>
      </c>
      <c r="J2004" s="68">
        <v>9503</v>
      </c>
      <c r="K2004" s="68">
        <v>2900</v>
      </c>
      <c r="L2004" s="68">
        <v>1600</v>
      </c>
      <c r="M2004" s="68">
        <f>4643-2210</f>
        <v>2433</v>
      </c>
      <c r="N2004" s="80">
        <v>396</v>
      </c>
      <c r="Y2004" s="104"/>
      <c r="Z2004" s="104"/>
      <c r="AA2004" s="132"/>
    </row>
    <row r="2005" spans="1:27">
      <c r="A2005" s="412"/>
      <c r="B2005" s="28" t="s">
        <v>11</v>
      </c>
      <c r="C2005" s="73">
        <f t="shared" ref="C2005:N2005" si="1333">C2004*33.79</f>
        <v>169152.74</v>
      </c>
      <c r="D2005" s="73">
        <f t="shared" si="1333"/>
        <v>108128</v>
      </c>
      <c r="E2005" s="73">
        <f t="shared" si="1333"/>
        <v>108128</v>
      </c>
      <c r="F2005" s="73">
        <f t="shared" si="1333"/>
        <v>321106.37</v>
      </c>
      <c r="G2005" s="73">
        <f t="shared" si="1333"/>
        <v>108128</v>
      </c>
      <c r="H2005" s="73">
        <f t="shared" si="1333"/>
        <v>162192</v>
      </c>
      <c r="I2005" s="73">
        <f t="shared" si="1333"/>
        <v>135160</v>
      </c>
      <c r="J2005" s="73">
        <f t="shared" si="1333"/>
        <v>321106.37</v>
      </c>
      <c r="K2005" s="73">
        <f t="shared" si="1333"/>
        <v>97991</v>
      </c>
      <c r="L2005" s="73">
        <f t="shared" si="1333"/>
        <v>54064</v>
      </c>
      <c r="M2005" s="73">
        <f t="shared" si="1333"/>
        <v>82211.069999999992</v>
      </c>
      <c r="N2005" s="84">
        <f t="shared" si="1333"/>
        <v>13380.84</v>
      </c>
      <c r="Y2005" s="104"/>
      <c r="Z2005" s="104"/>
      <c r="AA2005" s="132"/>
    </row>
    <row r="2006" spans="1:27">
      <c r="A2006" s="412"/>
      <c r="B2006" s="28" t="s">
        <v>79</v>
      </c>
      <c r="C2006" s="73">
        <v>164000</v>
      </c>
      <c r="D2006" s="73">
        <v>109880</v>
      </c>
      <c r="E2006" s="73">
        <v>109880</v>
      </c>
      <c r="F2006" s="73">
        <v>328000</v>
      </c>
      <c r="G2006" s="73">
        <f>G2001*2</f>
        <v>242663.6</v>
      </c>
      <c r="H2006" s="73">
        <f>H2001*2</f>
        <v>220143.8</v>
      </c>
      <c r="I2006" s="73">
        <f>I2001*2</f>
        <v>242663.6</v>
      </c>
      <c r="J2006" s="73">
        <v>328000</v>
      </c>
      <c r="K2006" s="73">
        <f>K2001*2</f>
        <v>109842</v>
      </c>
      <c r="L2006" s="73">
        <v>328000</v>
      </c>
      <c r="M2006" s="73">
        <f>2*M2001</f>
        <v>352965.4</v>
      </c>
      <c r="N2006" s="84">
        <f>2*N2001</f>
        <v>109842</v>
      </c>
      <c r="Y2006" s="104"/>
      <c r="Z2006" s="104"/>
      <c r="AA2006" s="132"/>
    </row>
    <row r="2007" spans="1:27" s="64" customFormat="1">
      <c r="A2007" s="412"/>
      <c r="B2007" s="66" t="s">
        <v>8</v>
      </c>
      <c r="C2007" s="98">
        <f>SUM(C2004-443)</f>
        <v>4563</v>
      </c>
      <c r="D2007" s="98">
        <f>SUM(D2004-721)</f>
        <v>2479</v>
      </c>
      <c r="E2007" s="98">
        <f>SUM(E2004-691)</f>
        <v>2509</v>
      </c>
      <c r="F2007" s="98">
        <f>SUM(F2004-1236)</f>
        <v>8267</v>
      </c>
      <c r="G2007" s="98">
        <f>SUM(G2004-3133)</f>
        <v>67</v>
      </c>
      <c r="H2007" s="98">
        <f>SUM(H2004-1956)</f>
        <v>2844</v>
      </c>
      <c r="I2007" s="98">
        <f>SUM(I2004-2952)</f>
        <v>1048</v>
      </c>
      <c r="J2007" s="98">
        <f>SUM(J2004-1611)</f>
        <v>7892</v>
      </c>
      <c r="K2007" s="98">
        <f>SUM(K2004-1151)</f>
        <v>1749</v>
      </c>
      <c r="L2007" s="98">
        <f>SUM(L2004-1533)</f>
        <v>67</v>
      </c>
      <c r="M2007" s="98">
        <f>SUM(M2004-(3396-2210))</f>
        <v>1247</v>
      </c>
      <c r="N2007" s="103">
        <f>SUM(N2004-49)</f>
        <v>347</v>
      </c>
      <c r="P2007" s="14"/>
      <c r="Q2007" s="105"/>
      <c r="R2007" s="104"/>
      <c r="S2007" s="104"/>
      <c r="T2007" s="104"/>
      <c r="U2007" s="104"/>
      <c r="V2007" s="104"/>
      <c r="W2007" s="104"/>
      <c r="X2007" s="104"/>
      <c r="Y2007" s="67"/>
      <c r="Z2007" s="67"/>
    </row>
    <row r="2008" spans="1:27">
      <c r="A2008" s="412"/>
      <c r="B2008" s="29" t="s">
        <v>77</v>
      </c>
      <c r="C2008" s="75">
        <f>C2007*33.72</f>
        <v>153864.35999999999</v>
      </c>
      <c r="D2008" s="75">
        <f>D2007*33.72</f>
        <v>83591.87999999999</v>
      </c>
      <c r="E2008" s="75">
        <f>E2007*33.72</f>
        <v>84603.48</v>
      </c>
      <c r="F2008" s="75">
        <f>F2007*33.72</f>
        <v>278763.24</v>
      </c>
      <c r="G2008" s="75">
        <f>G2007*33.72*2</f>
        <v>4518.4799999999996</v>
      </c>
      <c r="H2008" s="75">
        <f>H2007*33.72</f>
        <v>95899.68</v>
      </c>
      <c r="I2008" s="75">
        <f>I2007*33.72</f>
        <v>35338.559999999998</v>
      </c>
      <c r="J2008" s="75">
        <f>J2007*33.72</f>
        <v>266118.24</v>
      </c>
      <c r="K2008" s="75">
        <f>K2007*33.72</f>
        <v>58976.28</v>
      </c>
      <c r="L2008" s="75">
        <f>L2007*33.72</f>
        <v>2259.2399999999998</v>
      </c>
      <c r="M2008" s="75">
        <f>M2007*33.72*2</f>
        <v>84097.68</v>
      </c>
      <c r="N2008" s="11">
        <f>N2007*33.72</f>
        <v>11700.84</v>
      </c>
      <c r="Q2008" s="105"/>
    </row>
    <row r="2009" spans="1:27" ht="15.75" thickBot="1">
      <c r="A2009" s="412"/>
      <c r="B2009" s="30" t="s">
        <v>10</v>
      </c>
      <c r="C2009" s="71">
        <f>C2007*33.7/C2001</f>
        <v>1.3277270655034503</v>
      </c>
      <c r="D2009" s="71">
        <f t="shared" ref="D2009:N2009" si="1334">D2007*33.7/D2001</f>
        <v>1.0446874839781064</v>
      </c>
      <c r="E2009" s="78">
        <f t="shared" si="1334"/>
        <v>1.0573299303352437</v>
      </c>
      <c r="F2009" s="78">
        <f t="shared" si="1334"/>
        <v>1.80412880514744</v>
      </c>
      <c r="G2009" s="78">
        <f t="shared" si="1334"/>
        <v>1.8609301106552446E-2</v>
      </c>
      <c r="H2009" s="78">
        <f t="shared" si="1334"/>
        <v>0.87072904165368281</v>
      </c>
      <c r="I2009" s="78">
        <f t="shared" si="1334"/>
        <v>0.2910827993980144</v>
      </c>
      <c r="J2009" s="78">
        <f t="shared" si="1334"/>
        <v>1.5556187254193192</v>
      </c>
      <c r="K2009" s="78">
        <f t="shared" si="1334"/>
        <v>1.0732015076200361</v>
      </c>
      <c r="L2009" s="78">
        <f t="shared" si="1334"/>
        <v>3.7218602213104891E-2</v>
      </c>
      <c r="M2009" s="79">
        <f t="shared" si="1334"/>
        <v>0.23811909042642707</v>
      </c>
      <c r="N2009" s="26">
        <f t="shared" si="1334"/>
        <v>0.21292219733799461</v>
      </c>
      <c r="Q2009" s="105"/>
    </row>
    <row r="2010" spans="1:27" ht="15.75" customHeight="1" thickBot="1">
      <c r="A2010" s="424" t="s">
        <v>83</v>
      </c>
      <c r="B2010" s="425"/>
      <c r="C2010" s="76">
        <f>MIN(2*C2001,C2006)-C2008</f>
        <v>10135.640000000014</v>
      </c>
      <c r="D2010" s="76">
        <f t="shared" ref="D2010:N2010" si="1335">MIN(2*D2001,D2006)-D2008</f>
        <v>26288.12000000001</v>
      </c>
      <c r="E2010" s="76">
        <f t="shared" si="1335"/>
        <v>25276.520000000004</v>
      </c>
      <c r="F2010" s="76">
        <f t="shared" si="1335"/>
        <v>30081.559999999998</v>
      </c>
      <c r="G2010" s="76">
        <f t="shared" si="1335"/>
        <v>238145.12</v>
      </c>
      <c r="H2010" s="76">
        <f t="shared" si="1335"/>
        <v>124244.12</v>
      </c>
      <c r="I2010" s="76">
        <f t="shared" si="1335"/>
        <v>207325.04</v>
      </c>
      <c r="J2010" s="76">
        <f t="shared" si="1335"/>
        <v>61881.760000000009</v>
      </c>
      <c r="K2010" s="76">
        <f t="shared" si="1335"/>
        <v>50865.72</v>
      </c>
      <c r="L2010" s="76">
        <f t="shared" si="1335"/>
        <v>119072.56</v>
      </c>
      <c r="M2010" s="76">
        <f t="shared" si="1335"/>
        <v>268867.72000000003</v>
      </c>
      <c r="N2010" s="22">
        <f t="shared" si="1335"/>
        <v>98141.16</v>
      </c>
      <c r="Q2010" s="105"/>
    </row>
    <row r="2011" spans="1:27" ht="15.75" thickBot="1">
      <c r="A2011" s="368">
        <v>40946</v>
      </c>
      <c r="B2011" s="368"/>
      <c r="C2011" s="368"/>
      <c r="N2011" s="15"/>
    </row>
    <row r="2012" spans="1:27">
      <c r="A2012" s="407" t="s">
        <v>1</v>
      </c>
      <c r="B2012" s="420"/>
      <c r="C2012" s="68" t="s">
        <v>12</v>
      </c>
      <c r="D2012" s="68" t="s">
        <v>12</v>
      </c>
      <c r="E2012" s="68" t="s">
        <v>13</v>
      </c>
      <c r="F2012" s="68" t="s">
        <v>13</v>
      </c>
      <c r="G2012" s="68" t="s">
        <v>13</v>
      </c>
      <c r="H2012" s="68" t="s">
        <v>13</v>
      </c>
      <c r="I2012" s="68" t="s">
        <v>13</v>
      </c>
      <c r="J2012" s="68" t="s">
        <v>2</v>
      </c>
      <c r="K2012" s="68" t="s">
        <v>2</v>
      </c>
      <c r="L2012" s="68" t="s">
        <v>2</v>
      </c>
      <c r="M2012" s="68" t="s">
        <v>2</v>
      </c>
      <c r="N2012" s="4" t="s">
        <v>84</v>
      </c>
      <c r="Y2012" s="104"/>
      <c r="Z2012" s="104"/>
      <c r="AA2012" s="131"/>
    </row>
    <row r="2013" spans="1:27" ht="15.75" thickBot="1">
      <c r="A2013" s="409" t="s">
        <v>0</v>
      </c>
      <c r="B2013" s="414"/>
      <c r="C2013" s="99" t="s">
        <v>102</v>
      </c>
      <c r="D2013" s="99" t="s">
        <v>103</v>
      </c>
      <c r="E2013" s="99" t="s">
        <v>104</v>
      </c>
      <c r="F2013" s="99" t="s">
        <v>105</v>
      </c>
      <c r="G2013" s="99" t="s">
        <v>100</v>
      </c>
      <c r="H2013" s="99" t="s">
        <v>107</v>
      </c>
      <c r="I2013" s="99" t="s">
        <v>106</v>
      </c>
      <c r="J2013" s="99" t="s">
        <v>108</v>
      </c>
      <c r="K2013" s="99" t="s">
        <v>110</v>
      </c>
      <c r="L2013" s="99" t="s">
        <v>101</v>
      </c>
      <c r="M2013" s="99" t="s">
        <v>109</v>
      </c>
      <c r="N2013" s="101" t="s">
        <v>111</v>
      </c>
      <c r="P2013" s="172"/>
      <c r="Q2013" s="105"/>
      <c r="R2013" s="105"/>
      <c r="S2013" s="105"/>
      <c r="T2013" s="105"/>
      <c r="U2013" s="105"/>
      <c r="V2013" s="105"/>
      <c r="W2013" s="105"/>
      <c r="X2013" s="105"/>
      <c r="Y2013" s="105"/>
      <c r="Z2013" s="105"/>
      <c r="AA2013" s="38"/>
    </row>
    <row r="2014" spans="1:27" ht="15" customHeight="1">
      <c r="A2014" s="421" t="s">
        <v>9</v>
      </c>
      <c r="B2014" s="2" t="s">
        <v>4</v>
      </c>
      <c r="C2014" s="96">
        <v>115816.8</v>
      </c>
      <c r="D2014" s="96">
        <v>79968.7</v>
      </c>
      <c r="E2014" s="96">
        <v>79968.7</v>
      </c>
      <c r="F2014" s="96">
        <v>154422.39999999999</v>
      </c>
      <c r="G2014" s="96">
        <v>121331.8</v>
      </c>
      <c r="H2014" s="96">
        <v>110071.9</v>
      </c>
      <c r="I2014" s="96">
        <v>121331.8</v>
      </c>
      <c r="J2014" s="96">
        <v>170967.6</v>
      </c>
      <c r="K2014" s="96">
        <v>54921</v>
      </c>
      <c r="L2014" s="96">
        <v>60665.9</v>
      </c>
      <c r="M2014" s="96">
        <v>176482.7</v>
      </c>
      <c r="N2014" s="100">
        <v>54921</v>
      </c>
      <c r="Y2014" s="104"/>
      <c r="Z2014" s="104"/>
      <c r="AA2014" s="131"/>
    </row>
    <row r="2015" spans="1:27" s="64" customFormat="1">
      <c r="A2015" s="422"/>
      <c r="B2015" s="63" t="s">
        <v>5</v>
      </c>
      <c r="C2015" s="97">
        <v>92019.9</v>
      </c>
      <c r="D2015" s="97">
        <v>65940</v>
      </c>
      <c r="E2015" s="97">
        <v>67317.600000000006</v>
      </c>
      <c r="F2015" s="97">
        <v>127586.7</v>
      </c>
      <c r="G2015" s="97">
        <v>91.5</v>
      </c>
      <c r="H2015" s="97">
        <v>23670</v>
      </c>
      <c r="I2015" s="97">
        <v>19546.7</v>
      </c>
      <c r="J2015" s="97">
        <v>113738.1</v>
      </c>
      <c r="K2015" s="97">
        <v>28888.7</v>
      </c>
      <c r="L2015" s="97">
        <v>60.9</v>
      </c>
      <c r="M2015" s="97">
        <v>77971.7</v>
      </c>
      <c r="N2015" s="102">
        <v>22917.1</v>
      </c>
      <c r="P2015" s="14"/>
      <c r="Q2015" s="104"/>
      <c r="R2015" s="104"/>
      <c r="S2015" s="104"/>
      <c r="T2015" s="104"/>
      <c r="U2015" s="104"/>
      <c r="V2015" s="104"/>
      <c r="W2015" s="104"/>
      <c r="X2015" s="104"/>
      <c r="Y2015" s="104"/>
      <c r="Z2015" s="104"/>
      <c r="AA2015" s="65"/>
    </row>
    <row r="2016" spans="1:27" ht="15.75" thickBot="1">
      <c r="A2016" s="423"/>
      <c r="B2016" s="3" t="s">
        <v>3</v>
      </c>
      <c r="C2016" s="71">
        <f>C2015/C2014</f>
        <v>0.79452980914685944</v>
      </c>
      <c r="D2016" s="72">
        <f t="shared" ref="D2016:N2016" si="1336">D2015/D2014</f>
        <v>0.82457261403524129</v>
      </c>
      <c r="E2016" s="72">
        <f t="shared" si="1336"/>
        <v>0.84179935399725148</v>
      </c>
      <c r="F2016" s="72">
        <f t="shared" si="1336"/>
        <v>0.82621886462067684</v>
      </c>
      <c r="G2016" s="72">
        <f t="shared" si="1336"/>
        <v>7.5413040934033777E-4</v>
      </c>
      <c r="H2016" s="72">
        <f t="shared" si="1336"/>
        <v>0.21504125939499547</v>
      </c>
      <c r="I2016" s="72">
        <f t="shared" si="1336"/>
        <v>0.16110121171860964</v>
      </c>
      <c r="J2016" s="72">
        <f t="shared" si="1336"/>
        <v>0.66526113719792523</v>
      </c>
      <c r="K2016" s="72">
        <f t="shared" si="1336"/>
        <v>0.5260046248247483</v>
      </c>
      <c r="L2016" s="72">
        <f t="shared" si="1336"/>
        <v>1.0038588399743512E-3</v>
      </c>
      <c r="M2016" s="72">
        <f t="shared" si="1336"/>
        <v>0.44180931048765681</v>
      </c>
      <c r="N2016" s="83">
        <f t="shared" si="1336"/>
        <v>0.41727390251452084</v>
      </c>
      <c r="Y2016" s="104"/>
      <c r="Z2016" s="104"/>
      <c r="AA2016" s="131"/>
    </row>
    <row r="2017" spans="1:27" ht="15" customHeight="1">
      <c r="A2017" s="411" t="s">
        <v>6</v>
      </c>
      <c r="B2017" s="27" t="s">
        <v>7</v>
      </c>
      <c r="C2017" s="68">
        <v>5006</v>
      </c>
      <c r="D2017" s="68">
        <v>3200</v>
      </c>
      <c r="E2017" s="68">
        <v>3200</v>
      </c>
      <c r="F2017" s="68">
        <v>9503</v>
      </c>
      <c r="G2017" s="68">
        <v>3200</v>
      </c>
      <c r="H2017" s="68">
        <v>4800</v>
      </c>
      <c r="I2017" s="68">
        <v>4000</v>
      </c>
      <c r="J2017" s="68">
        <v>9503</v>
      </c>
      <c r="K2017" s="68">
        <v>2900</v>
      </c>
      <c r="L2017" s="68">
        <v>1600</v>
      </c>
      <c r="M2017" s="68">
        <f>4643-2210</f>
        <v>2433</v>
      </c>
      <c r="N2017" s="80">
        <v>396</v>
      </c>
      <c r="Y2017" s="104"/>
      <c r="Z2017" s="104"/>
      <c r="AA2017" s="131"/>
    </row>
    <row r="2018" spans="1:27">
      <c r="A2018" s="412"/>
      <c r="B2018" s="28" t="s">
        <v>11</v>
      </c>
      <c r="C2018" s="73">
        <f t="shared" ref="C2018:N2018" si="1337">C2017*33.79</f>
        <v>169152.74</v>
      </c>
      <c r="D2018" s="73">
        <f t="shared" si="1337"/>
        <v>108128</v>
      </c>
      <c r="E2018" s="73">
        <f t="shared" si="1337"/>
        <v>108128</v>
      </c>
      <c r="F2018" s="73">
        <f t="shared" si="1337"/>
        <v>321106.37</v>
      </c>
      <c r="G2018" s="73">
        <f t="shared" si="1337"/>
        <v>108128</v>
      </c>
      <c r="H2018" s="73">
        <f t="shared" si="1337"/>
        <v>162192</v>
      </c>
      <c r="I2018" s="73">
        <f t="shared" si="1337"/>
        <v>135160</v>
      </c>
      <c r="J2018" s="73">
        <f t="shared" si="1337"/>
        <v>321106.37</v>
      </c>
      <c r="K2018" s="73">
        <f t="shared" si="1337"/>
        <v>97991</v>
      </c>
      <c r="L2018" s="73">
        <f t="shared" si="1337"/>
        <v>54064</v>
      </c>
      <c r="M2018" s="73">
        <f t="shared" si="1337"/>
        <v>82211.069999999992</v>
      </c>
      <c r="N2018" s="84">
        <f t="shared" si="1337"/>
        <v>13380.84</v>
      </c>
      <c r="Y2018" s="104"/>
      <c r="Z2018" s="104"/>
      <c r="AA2018" s="131"/>
    </row>
    <row r="2019" spans="1:27">
      <c r="A2019" s="412"/>
      <c r="B2019" s="28" t="s">
        <v>79</v>
      </c>
      <c r="C2019" s="73">
        <v>164000</v>
      </c>
      <c r="D2019" s="73">
        <v>109880</v>
      </c>
      <c r="E2019" s="73">
        <v>109880</v>
      </c>
      <c r="F2019" s="73">
        <v>328000</v>
      </c>
      <c r="G2019" s="73">
        <f>G2014*2</f>
        <v>242663.6</v>
      </c>
      <c r="H2019" s="73">
        <f>H2014*2</f>
        <v>220143.8</v>
      </c>
      <c r="I2019" s="73">
        <f>I2014*2</f>
        <v>242663.6</v>
      </c>
      <c r="J2019" s="73">
        <v>328000</v>
      </c>
      <c r="K2019" s="73">
        <f>K2014*2</f>
        <v>109842</v>
      </c>
      <c r="L2019" s="73">
        <v>328000</v>
      </c>
      <c r="M2019" s="73">
        <f>2*M2014</f>
        <v>352965.4</v>
      </c>
      <c r="N2019" s="84">
        <f>2*N2014</f>
        <v>109842</v>
      </c>
      <c r="Y2019" s="104"/>
      <c r="Z2019" s="104"/>
      <c r="AA2019" s="131"/>
    </row>
    <row r="2020" spans="1:27" s="64" customFormat="1">
      <c r="A2020" s="412"/>
      <c r="B2020" s="66" t="s">
        <v>8</v>
      </c>
      <c r="C2020" s="98">
        <f>SUM(C2017-443)</f>
        <v>4563</v>
      </c>
      <c r="D2020" s="98">
        <f>SUM(D2017-721)</f>
        <v>2479</v>
      </c>
      <c r="E2020" s="98">
        <f>SUM(E2017-691)</f>
        <v>2509</v>
      </c>
      <c r="F2020" s="98">
        <f>SUM(F2017-1236)</f>
        <v>8267</v>
      </c>
      <c r="G2020" s="98">
        <f>SUM(G2017-3133)</f>
        <v>67</v>
      </c>
      <c r="H2020" s="98">
        <f>SUM(H2017-1965)</f>
        <v>2835</v>
      </c>
      <c r="I2020" s="98">
        <f>SUM(I2017-2952)</f>
        <v>1048</v>
      </c>
      <c r="J2020" s="98">
        <f>SUM(J2017-1611)</f>
        <v>7892</v>
      </c>
      <c r="K2020" s="98">
        <f>SUM(K2017-1151)</f>
        <v>1749</v>
      </c>
      <c r="L2020" s="98">
        <f>SUM(L2017-1533)</f>
        <v>67</v>
      </c>
      <c r="M2020" s="98">
        <f>SUM(M2017-(3396-2210))</f>
        <v>1247</v>
      </c>
      <c r="N2020" s="103">
        <f>SUM(N2017-49)</f>
        <v>347</v>
      </c>
      <c r="P2020" s="14"/>
      <c r="Q2020" s="105"/>
      <c r="R2020" s="104"/>
      <c r="S2020" s="104"/>
      <c r="T2020" s="104"/>
      <c r="U2020" s="104"/>
      <c r="V2020" s="104"/>
      <c r="W2020" s="104"/>
      <c r="X2020" s="104"/>
      <c r="Y2020" s="67"/>
      <c r="Z2020" s="67"/>
    </row>
    <row r="2021" spans="1:27">
      <c r="A2021" s="412"/>
      <c r="B2021" s="29" t="s">
        <v>77</v>
      </c>
      <c r="C2021" s="75">
        <f>C2020*33.72</f>
        <v>153864.35999999999</v>
      </c>
      <c r="D2021" s="75">
        <f>D2020*33.72</f>
        <v>83591.87999999999</v>
      </c>
      <c r="E2021" s="75">
        <f>E2020*33.72</f>
        <v>84603.48</v>
      </c>
      <c r="F2021" s="75">
        <f>F2020*33.72</f>
        <v>278763.24</v>
      </c>
      <c r="G2021" s="75">
        <f>G2020*33.72*2</f>
        <v>4518.4799999999996</v>
      </c>
      <c r="H2021" s="75">
        <f>H2020*33.72</f>
        <v>95596.2</v>
      </c>
      <c r="I2021" s="75">
        <f>I2020*33.72</f>
        <v>35338.559999999998</v>
      </c>
      <c r="J2021" s="75">
        <f>J2020*33.72</f>
        <v>266118.24</v>
      </c>
      <c r="K2021" s="75">
        <f>K2020*33.72</f>
        <v>58976.28</v>
      </c>
      <c r="L2021" s="75">
        <f>L2020*33.72</f>
        <v>2259.2399999999998</v>
      </c>
      <c r="M2021" s="75">
        <f>M2020*33.72*2</f>
        <v>84097.68</v>
      </c>
      <c r="N2021" s="11">
        <f>N2020*33.72</f>
        <v>11700.84</v>
      </c>
      <c r="Q2021" s="105"/>
    </row>
    <row r="2022" spans="1:27" ht="15.75" thickBot="1">
      <c r="A2022" s="412"/>
      <c r="B2022" s="30" t="s">
        <v>10</v>
      </c>
      <c r="C2022" s="71">
        <f>C2020*33.7/C2014</f>
        <v>1.3277270655034503</v>
      </c>
      <c r="D2022" s="71">
        <f t="shared" ref="D2022:N2022" si="1338">D2020*33.7/D2014</f>
        <v>1.0446874839781064</v>
      </c>
      <c r="E2022" s="78">
        <f t="shared" si="1338"/>
        <v>1.0573299303352437</v>
      </c>
      <c r="F2022" s="78">
        <f t="shared" si="1338"/>
        <v>1.80412880514744</v>
      </c>
      <c r="G2022" s="78">
        <f t="shared" si="1338"/>
        <v>1.8609301106552446E-2</v>
      </c>
      <c r="H2022" s="78">
        <f t="shared" si="1338"/>
        <v>0.86797357000288011</v>
      </c>
      <c r="I2022" s="78">
        <f t="shared" si="1338"/>
        <v>0.2910827993980144</v>
      </c>
      <c r="J2022" s="78">
        <f t="shared" si="1338"/>
        <v>1.5556187254193192</v>
      </c>
      <c r="K2022" s="78">
        <f t="shared" si="1338"/>
        <v>1.0732015076200361</v>
      </c>
      <c r="L2022" s="78">
        <f t="shared" si="1338"/>
        <v>3.7218602213104891E-2</v>
      </c>
      <c r="M2022" s="79">
        <f t="shared" si="1338"/>
        <v>0.23811909042642707</v>
      </c>
      <c r="N2022" s="26">
        <f t="shared" si="1338"/>
        <v>0.21292219733799461</v>
      </c>
      <c r="Q2022" s="105"/>
    </row>
    <row r="2023" spans="1:27" ht="15.75" customHeight="1" thickBot="1">
      <c r="A2023" s="424" t="s">
        <v>83</v>
      </c>
      <c r="B2023" s="425"/>
      <c r="C2023" s="76">
        <f>MIN(2*C2014,C2019)-C2021</f>
        <v>10135.640000000014</v>
      </c>
      <c r="D2023" s="76">
        <f t="shared" ref="D2023:N2023" si="1339">MIN(2*D2014,D2019)-D2021</f>
        <v>26288.12000000001</v>
      </c>
      <c r="E2023" s="76">
        <f t="shared" si="1339"/>
        <v>25276.520000000004</v>
      </c>
      <c r="F2023" s="76">
        <f t="shared" si="1339"/>
        <v>30081.559999999998</v>
      </c>
      <c r="G2023" s="76">
        <f t="shared" si="1339"/>
        <v>238145.12</v>
      </c>
      <c r="H2023" s="76">
        <f t="shared" si="1339"/>
        <v>124547.59999999999</v>
      </c>
      <c r="I2023" s="76">
        <f t="shared" si="1339"/>
        <v>207325.04</v>
      </c>
      <c r="J2023" s="76">
        <f t="shared" si="1339"/>
        <v>61881.760000000009</v>
      </c>
      <c r="K2023" s="76">
        <f t="shared" si="1339"/>
        <v>50865.72</v>
      </c>
      <c r="L2023" s="76">
        <f t="shared" si="1339"/>
        <v>119072.56</v>
      </c>
      <c r="M2023" s="76">
        <f t="shared" si="1339"/>
        <v>268867.72000000003</v>
      </c>
      <c r="N2023" s="22">
        <f t="shared" si="1339"/>
        <v>98141.16</v>
      </c>
      <c r="Q2023" s="105"/>
    </row>
    <row r="2024" spans="1:27" ht="15.75" thickBot="1">
      <c r="A2024" s="368">
        <v>40945</v>
      </c>
      <c r="B2024" s="368"/>
      <c r="C2024" s="368"/>
      <c r="N2024" s="15"/>
    </row>
    <row r="2025" spans="1:27">
      <c r="A2025" s="407" t="s">
        <v>1</v>
      </c>
      <c r="B2025" s="420"/>
      <c r="C2025" s="68" t="s">
        <v>12</v>
      </c>
      <c r="D2025" s="68" t="s">
        <v>12</v>
      </c>
      <c r="E2025" s="68" t="s">
        <v>13</v>
      </c>
      <c r="F2025" s="68" t="s">
        <v>13</v>
      </c>
      <c r="G2025" s="68" t="s">
        <v>13</v>
      </c>
      <c r="H2025" s="68" t="s">
        <v>13</v>
      </c>
      <c r="I2025" s="68" t="s">
        <v>13</v>
      </c>
      <c r="J2025" s="68" t="s">
        <v>2</v>
      </c>
      <c r="K2025" s="68" t="s">
        <v>2</v>
      </c>
      <c r="L2025" s="68" t="s">
        <v>2</v>
      </c>
      <c r="M2025" s="68" t="s">
        <v>2</v>
      </c>
      <c r="N2025" s="4" t="s">
        <v>84</v>
      </c>
      <c r="Y2025" s="104"/>
      <c r="Z2025" s="104"/>
      <c r="AA2025" s="130"/>
    </row>
    <row r="2026" spans="1:27" ht="15.75" thickBot="1">
      <c r="A2026" s="409" t="s">
        <v>0</v>
      </c>
      <c r="B2026" s="414"/>
      <c r="C2026" s="99" t="s">
        <v>102</v>
      </c>
      <c r="D2026" s="99" t="s">
        <v>103</v>
      </c>
      <c r="E2026" s="99" t="s">
        <v>104</v>
      </c>
      <c r="F2026" s="99" t="s">
        <v>105</v>
      </c>
      <c r="G2026" s="99" t="s">
        <v>100</v>
      </c>
      <c r="H2026" s="99" t="s">
        <v>107</v>
      </c>
      <c r="I2026" s="99" t="s">
        <v>106</v>
      </c>
      <c r="J2026" s="99" t="s">
        <v>108</v>
      </c>
      <c r="K2026" s="99" t="s">
        <v>110</v>
      </c>
      <c r="L2026" s="99" t="s">
        <v>101</v>
      </c>
      <c r="M2026" s="99" t="s">
        <v>109</v>
      </c>
      <c r="N2026" s="101" t="s">
        <v>111</v>
      </c>
      <c r="P2026" s="172"/>
      <c r="Q2026" s="105"/>
      <c r="R2026" s="105"/>
      <c r="S2026" s="105"/>
      <c r="T2026" s="105"/>
      <c r="U2026" s="105"/>
      <c r="V2026" s="105"/>
      <c r="W2026" s="105"/>
      <c r="X2026" s="105"/>
      <c r="Y2026" s="105"/>
      <c r="Z2026" s="105"/>
      <c r="AA2026" s="38"/>
    </row>
    <row r="2027" spans="1:27" ht="15" customHeight="1">
      <c r="A2027" s="421" t="s">
        <v>9</v>
      </c>
      <c r="B2027" s="2" t="s">
        <v>4</v>
      </c>
      <c r="C2027" s="96">
        <v>115816.8</v>
      </c>
      <c r="D2027" s="96">
        <v>79968.7</v>
      </c>
      <c r="E2027" s="96">
        <v>79968.7</v>
      </c>
      <c r="F2027" s="96">
        <v>154422.39999999999</v>
      </c>
      <c r="G2027" s="96">
        <v>121331.8</v>
      </c>
      <c r="H2027" s="96">
        <v>110071.9</v>
      </c>
      <c r="I2027" s="96">
        <v>121331.8</v>
      </c>
      <c r="J2027" s="96">
        <v>170967.6</v>
      </c>
      <c r="K2027" s="96">
        <v>54921</v>
      </c>
      <c r="L2027" s="96">
        <v>60665.9</v>
      </c>
      <c r="M2027" s="96">
        <v>176482.7</v>
      </c>
      <c r="N2027" s="100">
        <v>54921</v>
      </c>
      <c r="Y2027" s="104"/>
      <c r="Z2027" s="104"/>
      <c r="AA2027" s="130"/>
    </row>
    <row r="2028" spans="1:27" s="64" customFormat="1">
      <c r="A2028" s="422"/>
      <c r="B2028" s="63" t="s">
        <v>5</v>
      </c>
      <c r="C2028" s="97">
        <v>92017.2</v>
      </c>
      <c r="D2028" s="97">
        <v>65937</v>
      </c>
      <c r="E2028" s="97">
        <v>67314.7</v>
      </c>
      <c r="F2028" s="97">
        <v>127391.4</v>
      </c>
      <c r="G2028" s="97">
        <v>90.2</v>
      </c>
      <c r="H2028" s="97">
        <v>23353.200000000001</v>
      </c>
      <c r="I2028" s="97">
        <v>19544.5</v>
      </c>
      <c r="J2028" s="97">
        <v>112754.7</v>
      </c>
      <c r="K2028" s="97">
        <v>28874.799999999999</v>
      </c>
      <c r="L2028" s="97">
        <v>60.3</v>
      </c>
      <c r="M2028" s="97">
        <v>77967.399999999994</v>
      </c>
      <c r="N2028" s="102">
        <v>22917.1</v>
      </c>
      <c r="P2028" s="14"/>
      <c r="Q2028" s="104"/>
      <c r="R2028" s="104"/>
      <c r="S2028" s="104"/>
      <c r="T2028" s="104"/>
      <c r="U2028" s="104"/>
      <c r="V2028" s="104"/>
      <c r="W2028" s="104"/>
      <c r="X2028" s="104"/>
      <c r="Y2028" s="104"/>
      <c r="Z2028" s="104"/>
      <c r="AA2028" s="65"/>
    </row>
    <row r="2029" spans="1:27" ht="15.75" thickBot="1">
      <c r="A2029" s="423"/>
      <c r="B2029" s="3" t="s">
        <v>3</v>
      </c>
      <c r="C2029" s="71">
        <f>C2028/C2027</f>
        <v>0.7945064964668338</v>
      </c>
      <c r="D2029" s="72">
        <f t="shared" ref="D2029:N2029" si="1340">D2028/D2027</f>
        <v>0.8245350993576237</v>
      </c>
      <c r="E2029" s="72">
        <f t="shared" si="1340"/>
        <v>0.8417630898088877</v>
      </c>
      <c r="F2029" s="72">
        <f t="shared" si="1340"/>
        <v>0.82495415172928277</v>
      </c>
      <c r="G2029" s="72">
        <f t="shared" si="1340"/>
        <v>7.4341598822402701E-4</v>
      </c>
      <c r="H2029" s="72">
        <f t="shared" si="1340"/>
        <v>0.21216314063807387</v>
      </c>
      <c r="I2029" s="72">
        <f t="shared" si="1340"/>
        <v>0.16108307962133586</v>
      </c>
      <c r="J2029" s="72">
        <f t="shared" si="1340"/>
        <v>0.65950917015855637</v>
      </c>
      <c r="K2029" s="72">
        <f t="shared" si="1340"/>
        <v>0.52575153402159469</v>
      </c>
      <c r="L2029" s="72">
        <f t="shared" si="1340"/>
        <v>9.9396860509775664E-4</v>
      </c>
      <c r="M2029" s="72">
        <f t="shared" si="1340"/>
        <v>0.44178494549324093</v>
      </c>
      <c r="N2029" s="83">
        <f t="shared" si="1340"/>
        <v>0.41727390251452084</v>
      </c>
      <c r="Y2029" s="104"/>
      <c r="Z2029" s="104"/>
      <c r="AA2029" s="130"/>
    </row>
    <row r="2030" spans="1:27" ht="15" customHeight="1">
      <c r="A2030" s="411" t="s">
        <v>6</v>
      </c>
      <c r="B2030" s="27" t="s">
        <v>7</v>
      </c>
      <c r="C2030" s="68">
        <v>5006</v>
      </c>
      <c r="D2030" s="68">
        <v>3200</v>
      </c>
      <c r="E2030" s="68">
        <v>3200</v>
      </c>
      <c r="F2030" s="68">
        <v>9503</v>
      </c>
      <c r="G2030" s="68">
        <v>3200</v>
      </c>
      <c r="H2030" s="68">
        <v>4800</v>
      </c>
      <c r="I2030" s="68">
        <v>4000</v>
      </c>
      <c r="J2030" s="68">
        <v>9503</v>
      </c>
      <c r="K2030" s="68">
        <v>2900</v>
      </c>
      <c r="L2030" s="68">
        <v>1600</v>
      </c>
      <c r="M2030" s="68">
        <f>4643-2210</f>
        <v>2433</v>
      </c>
      <c r="N2030" s="80">
        <v>396</v>
      </c>
      <c r="Y2030" s="104"/>
      <c r="Z2030" s="104"/>
      <c r="AA2030" s="130"/>
    </row>
    <row r="2031" spans="1:27">
      <c r="A2031" s="412"/>
      <c r="B2031" s="28" t="s">
        <v>11</v>
      </c>
      <c r="C2031" s="73">
        <f t="shared" ref="C2031:N2031" si="1341">C2030*33.79</f>
        <v>169152.74</v>
      </c>
      <c r="D2031" s="73">
        <f t="shared" si="1341"/>
        <v>108128</v>
      </c>
      <c r="E2031" s="73">
        <f t="shared" si="1341"/>
        <v>108128</v>
      </c>
      <c r="F2031" s="73">
        <f t="shared" si="1341"/>
        <v>321106.37</v>
      </c>
      <c r="G2031" s="73">
        <f t="shared" si="1341"/>
        <v>108128</v>
      </c>
      <c r="H2031" s="73">
        <f t="shared" si="1341"/>
        <v>162192</v>
      </c>
      <c r="I2031" s="73">
        <f t="shared" si="1341"/>
        <v>135160</v>
      </c>
      <c r="J2031" s="73">
        <f t="shared" si="1341"/>
        <v>321106.37</v>
      </c>
      <c r="K2031" s="73">
        <f t="shared" si="1341"/>
        <v>97991</v>
      </c>
      <c r="L2031" s="73">
        <f t="shared" si="1341"/>
        <v>54064</v>
      </c>
      <c r="M2031" s="73">
        <f t="shared" si="1341"/>
        <v>82211.069999999992</v>
      </c>
      <c r="N2031" s="84">
        <f t="shared" si="1341"/>
        <v>13380.84</v>
      </c>
      <c r="Y2031" s="104"/>
      <c r="Z2031" s="104"/>
      <c r="AA2031" s="130"/>
    </row>
    <row r="2032" spans="1:27">
      <c r="A2032" s="412"/>
      <c r="B2032" s="28" t="s">
        <v>79</v>
      </c>
      <c r="C2032" s="73">
        <v>164000</v>
      </c>
      <c r="D2032" s="73">
        <v>109880</v>
      </c>
      <c r="E2032" s="73">
        <v>109880</v>
      </c>
      <c r="F2032" s="73">
        <v>328000</v>
      </c>
      <c r="G2032" s="73">
        <f>G2027*2</f>
        <v>242663.6</v>
      </c>
      <c r="H2032" s="73">
        <f>H2027*2</f>
        <v>220143.8</v>
      </c>
      <c r="I2032" s="73">
        <f>I2027*2</f>
        <v>242663.6</v>
      </c>
      <c r="J2032" s="73">
        <v>328000</v>
      </c>
      <c r="K2032" s="73">
        <f>K2027*2</f>
        <v>109842</v>
      </c>
      <c r="L2032" s="73">
        <v>328000</v>
      </c>
      <c r="M2032" s="73">
        <f>2*M2027</f>
        <v>352965.4</v>
      </c>
      <c r="N2032" s="84">
        <f>2*N2027</f>
        <v>109842</v>
      </c>
      <c r="Y2032" s="104"/>
      <c r="Z2032" s="104"/>
      <c r="AA2032" s="130"/>
    </row>
    <row r="2033" spans="1:27" s="64" customFormat="1">
      <c r="A2033" s="412"/>
      <c r="B2033" s="66" t="s">
        <v>8</v>
      </c>
      <c r="C2033" s="98">
        <f>SUM(C2030-443)</f>
        <v>4563</v>
      </c>
      <c r="D2033" s="98">
        <f>SUM(D2030-721)</f>
        <v>2479</v>
      </c>
      <c r="E2033" s="98">
        <f>SUM(E2030-691)</f>
        <v>2509</v>
      </c>
      <c r="F2033" s="98">
        <f>SUM(F2030-1236)</f>
        <v>8267</v>
      </c>
      <c r="G2033" s="98">
        <f>SUM(G2030-3133)</f>
        <v>67</v>
      </c>
      <c r="H2033" s="98">
        <f>SUM(H2030-2049)</f>
        <v>2751</v>
      </c>
      <c r="I2033" s="98">
        <f>SUM(I2030-2952)</f>
        <v>1048</v>
      </c>
      <c r="J2033" s="98">
        <f>SUM(J2030-1611)</f>
        <v>7892</v>
      </c>
      <c r="K2033" s="98">
        <f>SUM(K2030-1151)</f>
        <v>1749</v>
      </c>
      <c r="L2033" s="98">
        <f>SUM(L2030-1533)</f>
        <v>67</v>
      </c>
      <c r="M2033" s="98">
        <f>SUM(M2030-(3396-2210))</f>
        <v>1247</v>
      </c>
      <c r="N2033" s="103">
        <f>SUM(N2030-49)</f>
        <v>347</v>
      </c>
      <c r="P2033" s="14"/>
      <c r="Q2033" s="105"/>
      <c r="R2033" s="104"/>
      <c r="S2033" s="104"/>
      <c r="T2033" s="104"/>
      <c r="U2033" s="104"/>
      <c r="V2033" s="104"/>
      <c r="W2033" s="104"/>
      <c r="X2033" s="104"/>
      <c r="Y2033" s="67"/>
      <c r="Z2033" s="67"/>
    </row>
    <row r="2034" spans="1:27">
      <c r="A2034" s="412"/>
      <c r="B2034" s="29" t="s">
        <v>77</v>
      </c>
      <c r="C2034" s="75">
        <f>C2033*33.72</f>
        <v>153864.35999999999</v>
      </c>
      <c r="D2034" s="75">
        <f>D2033*33.72</f>
        <v>83591.87999999999</v>
      </c>
      <c r="E2034" s="75">
        <f>E2033*33.72</f>
        <v>84603.48</v>
      </c>
      <c r="F2034" s="75">
        <f>F2033*33.72</f>
        <v>278763.24</v>
      </c>
      <c r="G2034" s="75">
        <f>G2033*33.72*2</f>
        <v>4518.4799999999996</v>
      </c>
      <c r="H2034" s="75">
        <f>H2033*33.72</f>
        <v>92763.72</v>
      </c>
      <c r="I2034" s="75">
        <f>I2033*33.72</f>
        <v>35338.559999999998</v>
      </c>
      <c r="J2034" s="75">
        <f>J2033*33.72</f>
        <v>266118.24</v>
      </c>
      <c r="K2034" s="75">
        <f>K2033*33.72</f>
        <v>58976.28</v>
      </c>
      <c r="L2034" s="75">
        <f>L2033*33.72</f>
        <v>2259.2399999999998</v>
      </c>
      <c r="M2034" s="75">
        <f>M2033*33.72*2</f>
        <v>84097.68</v>
      </c>
      <c r="N2034" s="11">
        <f>N2033*33.72</f>
        <v>11700.84</v>
      </c>
      <c r="Q2034" s="105"/>
    </row>
    <row r="2035" spans="1:27" ht="15.75" thickBot="1">
      <c r="A2035" s="412"/>
      <c r="B2035" s="30" t="s">
        <v>10</v>
      </c>
      <c r="C2035" s="71">
        <f>C2033*33.7/C2027</f>
        <v>1.3277270655034503</v>
      </c>
      <c r="D2035" s="71">
        <f t="shared" ref="D2035:N2035" si="1342">D2033*33.7/D2027</f>
        <v>1.0446874839781064</v>
      </c>
      <c r="E2035" s="78">
        <f t="shared" si="1342"/>
        <v>1.0573299303352437</v>
      </c>
      <c r="F2035" s="78">
        <f t="shared" si="1342"/>
        <v>1.80412880514744</v>
      </c>
      <c r="G2035" s="78">
        <f t="shared" si="1342"/>
        <v>1.8609301106552446E-2</v>
      </c>
      <c r="H2035" s="78">
        <f t="shared" si="1342"/>
        <v>0.84225583459538733</v>
      </c>
      <c r="I2035" s="78">
        <f t="shared" si="1342"/>
        <v>0.2910827993980144</v>
      </c>
      <c r="J2035" s="78">
        <f t="shared" si="1342"/>
        <v>1.5556187254193192</v>
      </c>
      <c r="K2035" s="78">
        <f t="shared" si="1342"/>
        <v>1.0732015076200361</v>
      </c>
      <c r="L2035" s="78">
        <f t="shared" si="1342"/>
        <v>3.7218602213104891E-2</v>
      </c>
      <c r="M2035" s="79">
        <f t="shared" si="1342"/>
        <v>0.23811909042642707</v>
      </c>
      <c r="N2035" s="26">
        <f t="shared" si="1342"/>
        <v>0.21292219733799461</v>
      </c>
      <c r="Q2035" s="105"/>
    </row>
    <row r="2036" spans="1:27" ht="15.75" customHeight="1" thickBot="1">
      <c r="A2036" s="424" t="s">
        <v>83</v>
      </c>
      <c r="B2036" s="425"/>
      <c r="C2036" s="76">
        <f>MIN(2*C2027,C2032)-C2034</f>
        <v>10135.640000000014</v>
      </c>
      <c r="D2036" s="76">
        <f t="shared" ref="D2036:N2036" si="1343">MIN(2*D2027,D2032)-D2034</f>
        <v>26288.12000000001</v>
      </c>
      <c r="E2036" s="76">
        <f t="shared" si="1343"/>
        <v>25276.520000000004</v>
      </c>
      <c r="F2036" s="76">
        <f t="shared" si="1343"/>
        <v>30081.559999999998</v>
      </c>
      <c r="G2036" s="76">
        <f t="shared" si="1343"/>
        <v>238145.12</v>
      </c>
      <c r="H2036" s="76">
        <f t="shared" si="1343"/>
        <v>127380.07999999999</v>
      </c>
      <c r="I2036" s="76">
        <f t="shared" si="1343"/>
        <v>207325.04</v>
      </c>
      <c r="J2036" s="76">
        <f t="shared" si="1343"/>
        <v>61881.760000000009</v>
      </c>
      <c r="K2036" s="76">
        <f t="shared" si="1343"/>
        <v>50865.72</v>
      </c>
      <c r="L2036" s="76">
        <f t="shared" si="1343"/>
        <v>119072.56</v>
      </c>
      <c r="M2036" s="76">
        <f t="shared" si="1343"/>
        <v>268867.72000000003</v>
      </c>
      <c r="N2036" s="22">
        <f t="shared" si="1343"/>
        <v>98141.16</v>
      </c>
      <c r="Q2036" s="105"/>
    </row>
    <row r="2037" spans="1:27" ht="15.75" thickBot="1">
      <c r="A2037" s="368">
        <v>40941</v>
      </c>
      <c r="B2037" s="368"/>
      <c r="C2037" s="368"/>
      <c r="N2037" s="15"/>
    </row>
    <row r="2038" spans="1:27">
      <c r="A2038" s="407" t="s">
        <v>1</v>
      </c>
      <c r="B2038" s="420"/>
      <c r="C2038" s="68" t="s">
        <v>12</v>
      </c>
      <c r="D2038" s="68" t="s">
        <v>12</v>
      </c>
      <c r="E2038" s="68" t="s">
        <v>13</v>
      </c>
      <c r="F2038" s="68" t="s">
        <v>13</v>
      </c>
      <c r="G2038" s="68" t="s">
        <v>13</v>
      </c>
      <c r="H2038" s="68" t="s">
        <v>13</v>
      </c>
      <c r="I2038" s="68" t="s">
        <v>13</v>
      </c>
      <c r="J2038" s="68" t="s">
        <v>2</v>
      </c>
      <c r="K2038" s="68" t="s">
        <v>2</v>
      </c>
      <c r="L2038" s="68" t="s">
        <v>2</v>
      </c>
      <c r="M2038" s="68" t="s">
        <v>2</v>
      </c>
      <c r="N2038" s="4" t="s">
        <v>84</v>
      </c>
      <c r="Y2038" s="104"/>
      <c r="Z2038" s="104"/>
      <c r="AA2038" s="129"/>
    </row>
    <row r="2039" spans="1:27" ht="15.75" thickBot="1">
      <c r="A2039" s="409" t="s">
        <v>0</v>
      </c>
      <c r="B2039" s="414"/>
      <c r="C2039" s="99" t="s">
        <v>102</v>
      </c>
      <c r="D2039" s="99" t="s">
        <v>103</v>
      </c>
      <c r="E2039" s="99" t="s">
        <v>104</v>
      </c>
      <c r="F2039" s="99" t="s">
        <v>105</v>
      </c>
      <c r="G2039" s="99" t="s">
        <v>100</v>
      </c>
      <c r="H2039" s="99" t="s">
        <v>107</v>
      </c>
      <c r="I2039" s="99" t="s">
        <v>106</v>
      </c>
      <c r="J2039" s="99" t="s">
        <v>108</v>
      </c>
      <c r="K2039" s="99" t="s">
        <v>110</v>
      </c>
      <c r="L2039" s="99" t="s">
        <v>101</v>
      </c>
      <c r="M2039" s="99" t="s">
        <v>109</v>
      </c>
      <c r="N2039" s="101" t="s">
        <v>111</v>
      </c>
      <c r="P2039" s="172"/>
      <c r="Q2039" s="105"/>
      <c r="R2039" s="105"/>
      <c r="S2039" s="105"/>
      <c r="T2039" s="105"/>
      <c r="U2039" s="105"/>
      <c r="V2039" s="105"/>
      <c r="W2039" s="105"/>
      <c r="X2039" s="105"/>
      <c r="Y2039" s="105"/>
      <c r="Z2039" s="105"/>
      <c r="AA2039" s="38"/>
    </row>
    <row r="2040" spans="1:27" ht="15" customHeight="1">
      <c r="A2040" s="421" t="s">
        <v>9</v>
      </c>
      <c r="B2040" s="2" t="s">
        <v>4</v>
      </c>
      <c r="C2040" s="96">
        <v>115816.8</v>
      </c>
      <c r="D2040" s="96">
        <v>79968.7</v>
      </c>
      <c r="E2040" s="96">
        <v>79968.7</v>
      </c>
      <c r="F2040" s="96">
        <v>154422.39999999999</v>
      </c>
      <c r="G2040" s="96">
        <v>121331.8</v>
      </c>
      <c r="H2040" s="96">
        <v>110071.9</v>
      </c>
      <c r="I2040" s="96">
        <v>121331.8</v>
      </c>
      <c r="J2040" s="96">
        <v>170967.6</v>
      </c>
      <c r="K2040" s="96">
        <v>54921</v>
      </c>
      <c r="L2040" s="96">
        <v>60665.9</v>
      </c>
      <c r="M2040" s="96">
        <v>176482.7</v>
      </c>
      <c r="N2040" s="100">
        <v>54921</v>
      </c>
      <c r="Y2040" s="104"/>
      <c r="Z2040" s="104"/>
      <c r="AA2040" s="129"/>
    </row>
    <row r="2041" spans="1:27" s="64" customFormat="1">
      <c r="A2041" s="422"/>
      <c r="B2041" s="63" t="s">
        <v>5</v>
      </c>
      <c r="C2041" s="97">
        <v>91286.1</v>
      </c>
      <c r="D2041" s="97">
        <v>65905.100000000006</v>
      </c>
      <c r="E2041" s="97">
        <v>67282.899999999994</v>
      </c>
      <c r="F2041" s="97">
        <v>126695.1</v>
      </c>
      <c r="G2041" s="97">
        <v>87.9</v>
      </c>
      <c r="H2041" s="97">
        <v>23091.599999999999</v>
      </c>
      <c r="I2041" s="97">
        <v>19537.599999999999</v>
      </c>
      <c r="J2041" s="97">
        <v>112037.9</v>
      </c>
      <c r="K2041" s="97">
        <v>28631.5</v>
      </c>
      <c r="L2041" s="97">
        <v>59.1</v>
      </c>
      <c r="M2041" s="97">
        <v>77953.5</v>
      </c>
      <c r="N2041" s="102">
        <v>22916.9</v>
      </c>
      <c r="P2041" s="14"/>
      <c r="Q2041" s="104"/>
      <c r="R2041" s="104"/>
      <c r="S2041" s="104"/>
      <c r="T2041" s="104"/>
      <c r="U2041" s="104"/>
      <c r="V2041" s="104"/>
      <c r="W2041" s="104"/>
      <c r="X2041" s="104"/>
      <c r="Y2041" s="104"/>
      <c r="Z2041" s="104"/>
      <c r="AA2041" s="65"/>
    </row>
    <row r="2042" spans="1:27" ht="15.75" thickBot="1">
      <c r="A2042" s="423"/>
      <c r="B2042" s="3" t="s">
        <v>3</v>
      </c>
      <c r="C2042" s="71">
        <f>C2041/C2040</f>
        <v>0.78819394077543159</v>
      </c>
      <c r="D2042" s="72">
        <f t="shared" ref="D2042:N2042" si="1344">D2041/D2040</f>
        <v>0.82413619328562315</v>
      </c>
      <c r="E2042" s="72">
        <f t="shared" si="1344"/>
        <v>0.84136543422614096</v>
      </c>
      <c r="F2042" s="72">
        <f t="shared" si="1344"/>
        <v>0.82044509086764617</v>
      </c>
      <c r="G2042" s="72">
        <f t="shared" si="1344"/>
        <v>7.2445970471055401E-4</v>
      </c>
      <c r="H2042" s="72">
        <f t="shared" si="1344"/>
        <v>0.20978651227061584</v>
      </c>
      <c r="I2042" s="72">
        <f t="shared" si="1344"/>
        <v>0.16102621077079543</v>
      </c>
      <c r="J2042" s="72">
        <f t="shared" si="1344"/>
        <v>0.65531656290431628</v>
      </c>
      <c r="K2042" s="72">
        <f t="shared" si="1344"/>
        <v>0.52132153456783381</v>
      </c>
      <c r="L2042" s="72">
        <f t="shared" si="1344"/>
        <v>9.7418813534456755E-4</v>
      </c>
      <c r="M2042" s="72">
        <f t="shared" si="1344"/>
        <v>0.44170618423222219</v>
      </c>
      <c r="N2042" s="83">
        <f t="shared" si="1344"/>
        <v>0.4172702609202309</v>
      </c>
      <c r="Y2042" s="104"/>
      <c r="Z2042" s="104"/>
      <c r="AA2042" s="129"/>
    </row>
    <row r="2043" spans="1:27" ht="15" customHeight="1">
      <c r="A2043" s="411" t="s">
        <v>6</v>
      </c>
      <c r="B2043" s="27" t="s">
        <v>7</v>
      </c>
      <c r="C2043" s="68">
        <v>5006</v>
      </c>
      <c r="D2043" s="68">
        <v>3200</v>
      </c>
      <c r="E2043" s="68">
        <v>3200</v>
      </c>
      <c r="F2043" s="68">
        <v>9503</v>
      </c>
      <c r="G2043" s="68">
        <v>3200</v>
      </c>
      <c r="H2043" s="68">
        <v>4800</v>
      </c>
      <c r="I2043" s="68">
        <v>4000</v>
      </c>
      <c r="J2043" s="68">
        <v>9503</v>
      </c>
      <c r="K2043" s="68">
        <v>2900</v>
      </c>
      <c r="L2043" s="68">
        <v>1600</v>
      </c>
      <c r="M2043" s="68">
        <f>4643-2210</f>
        <v>2433</v>
      </c>
      <c r="N2043" s="80">
        <v>396</v>
      </c>
      <c r="Y2043" s="104"/>
      <c r="Z2043" s="104"/>
      <c r="AA2043" s="129"/>
    </row>
    <row r="2044" spans="1:27">
      <c r="A2044" s="412"/>
      <c r="B2044" s="28" t="s">
        <v>11</v>
      </c>
      <c r="C2044" s="73">
        <f t="shared" ref="C2044:N2044" si="1345">C2043*33.79</f>
        <v>169152.74</v>
      </c>
      <c r="D2044" s="73">
        <f t="shared" si="1345"/>
        <v>108128</v>
      </c>
      <c r="E2044" s="73">
        <f t="shared" si="1345"/>
        <v>108128</v>
      </c>
      <c r="F2044" s="73">
        <f t="shared" si="1345"/>
        <v>321106.37</v>
      </c>
      <c r="G2044" s="73">
        <f t="shared" si="1345"/>
        <v>108128</v>
      </c>
      <c r="H2044" s="73">
        <f t="shared" si="1345"/>
        <v>162192</v>
      </c>
      <c r="I2044" s="73">
        <f t="shared" si="1345"/>
        <v>135160</v>
      </c>
      <c r="J2044" s="73">
        <f t="shared" si="1345"/>
        <v>321106.37</v>
      </c>
      <c r="K2044" s="73">
        <f t="shared" si="1345"/>
        <v>97991</v>
      </c>
      <c r="L2044" s="73">
        <f t="shared" si="1345"/>
        <v>54064</v>
      </c>
      <c r="M2044" s="73">
        <f t="shared" si="1345"/>
        <v>82211.069999999992</v>
      </c>
      <c r="N2044" s="84">
        <f t="shared" si="1345"/>
        <v>13380.84</v>
      </c>
      <c r="Y2044" s="104"/>
      <c r="Z2044" s="104"/>
      <c r="AA2044" s="129"/>
    </row>
    <row r="2045" spans="1:27">
      <c r="A2045" s="412"/>
      <c r="B2045" s="28" t="s">
        <v>79</v>
      </c>
      <c r="C2045" s="73">
        <v>164000</v>
      </c>
      <c r="D2045" s="73">
        <v>109880</v>
      </c>
      <c r="E2045" s="73">
        <v>109880</v>
      </c>
      <c r="F2045" s="73">
        <v>328000</v>
      </c>
      <c r="G2045" s="73">
        <f>G2040*2</f>
        <v>242663.6</v>
      </c>
      <c r="H2045" s="73">
        <f>H2040*2</f>
        <v>220143.8</v>
      </c>
      <c r="I2045" s="73">
        <f>I2040*2</f>
        <v>242663.6</v>
      </c>
      <c r="J2045" s="73">
        <v>328000</v>
      </c>
      <c r="K2045" s="73">
        <f>K2040*2</f>
        <v>109842</v>
      </c>
      <c r="L2045" s="73">
        <v>328000</v>
      </c>
      <c r="M2045" s="73">
        <f>2*M2040</f>
        <v>352965.4</v>
      </c>
      <c r="N2045" s="84">
        <f>2*N2040</f>
        <v>109842</v>
      </c>
      <c r="Y2045" s="104"/>
      <c r="Z2045" s="104"/>
      <c r="AA2045" s="129"/>
    </row>
    <row r="2046" spans="1:27" s="64" customFormat="1">
      <c r="A2046" s="412"/>
      <c r="B2046" s="66" t="s">
        <v>8</v>
      </c>
      <c r="C2046" s="98">
        <f>SUM(C2043-459)</f>
        <v>4547</v>
      </c>
      <c r="D2046" s="98">
        <f>SUM(D2043-691)</f>
        <v>2509</v>
      </c>
      <c r="E2046" s="98">
        <f>SUM(E2043-661)</f>
        <v>2539</v>
      </c>
      <c r="F2046" s="98">
        <f>SUM(F2043-1230)</f>
        <v>8273</v>
      </c>
      <c r="G2046" s="98">
        <f>SUM(G2043-3133)</f>
        <v>67</v>
      </c>
      <c r="H2046" s="98">
        <f>SUM(H2043-2098)</f>
        <v>2702</v>
      </c>
      <c r="I2046" s="98">
        <f>SUM(I2043-2952)</f>
        <v>1048</v>
      </c>
      <c r="J2046" s="98">
        <f>SUM(J2043-1611)</f>
        <v>7892</v>
      </c>
      <c r="K2046" s="98">
        <f>SUM(K2043-1151)</f>
        <v>1749</v>
      </c>
      <c r="L2046" s="98">
        <f>SUM(L2043-1534)</f>
        <v>66</v>
      </c>
      <c r="M2046" s="98">
        <f>SUM(M2043-(3396-2210))</f>
        <v>1247</v>
      </c>
      <c r="N2046" s="103">
        <f>SUM(N2043-49)</f>
        <v>347</v>
      </c>
      <c r="P2046" s="14"/>
      <c r="Q2046" s="105"/>
      <c r="R2046" s="104"/>
      <c r="S2046" s="104"/>
      <c r="T2046" s="104"/>
      <c r="U2046" s="104"/>
      <c r="V2046" s="104"/>
      <c r="W2046" s="104"/>
      <c r="X2046" s="104"/>
      <c r="Y2046" s="67"/>
      <c r="Z2046" s="67"/>
    </row>
    <row r="2047" spans="1:27">
      <c r="A2047" s="412"/>
      <c r="B2047" s="29" t="s">
        <v>77</v>
      </c>
      <c r="C2047" s="75">
        <f>C2046*33.72</f>
        <v>153324.84</v>
      </c>
      <c r="D2047" s="75">
        <f>D2046*33.72</f>
        <v>84603.48</v>
      </c>
      <c r="E2047" s="75">
        <f>E2046*33.72</f>
        <v>85615.08</v>
      </c>
      <c r="F2047" s="75">
        <f>F2046*33.72</f>
        <v>278965.56</v>
      </c>
      <c r="G2047" s="75">
        <f>G2046*33.72*2</f>
        <v>4518.4799999999996</v>
      </c>
      <c r="H2047" s="75">
        <f>H2046*33.72</f>
        <v>91111.44</v>
      </c>
      <c r="I2047" s="75">
        <f>I2046*33.72</f>
        <v>35338.559999999998</v>
      </c>
      <c r="J2047" s="75">
        <f>J2046*33.72</f>
        <v>266118.24</v>
      </c>
      <c r="K2047" s="75">
        <f>K2046*33.72</f>
        <v>58976.28</v>
      </c>
      <c r="L2047" s="75">
        <f>L2046*33.72</f>
        <v>2225.52</v>
      </c>
      <c r="M2047" s="75">
        <f>M2046*33.72*2</f>
        <v>84097.68</v>
      </c>
      <c r="N2047" s="11">
        <f>N2046*33.72</f>
        <v>11700.84</v>
      </c>
      <c r="Q2047" s="105"/>
    </row>
    <row r="2048" spans="1:27" ht="15.75" thickBot="1">
      <c r="A2048" s="412"/>
      <c r="B2048" s="30" t="s">
        <v>10</v>
      </c>
      <c r="C2048" s="71">
        <f>C2046*33.7/C2040</f>
        <v>1.3230714369590597</v>
      </c>
      <c r="D2048" s="71">
        <f t="shared" ref="D2048:N2048" si="1346">D2046*33.7/D2040</f>
        <v>1.0573299303352437</v>
      </c>
      <c r="E2048" s="78">
        <f t="shared" si="1346"/>
        <v>1.069972376692381</v>
      </c>
      <c r="F2048" s="78">
        <f t="shared" si="1346"/>
        <v>1.8054382006755501</v>
      </c>
      <c r="G2048" s="78">
        <f t="shared" si="1346"/>
        <v>1.8609301106552446E-2</v>
      </c>
      <c r="H2048" s="78">
        <f t="shared" si="1346"/>
        <v>0.82725382227434985</v>
      </c>
      <c r="I2048" s="78">
        <f t="shared" si="1346"/>
        <v>0.2910827993980144</v>
      </c>
      <c r="J2048" s="78">
        <f t="shared" si="1346"/>
        <v>1.5556187254193192</v>
      </c>
      <c r="K2048" s="78">
        <f t="shared" si="1346"/>
        <v>1.0732015076200361</v>
      </c>
      <c r="L2048" s="78">
        <f t="shared" si="1346"/>
        <v>3.6663100687536164E-2</v>
      </c>
      <c r="M2048" s="79">
        <f t="shared" si="1346"/>
        <v>0.23811909042642707</v>
      </c>
      <c r="N2048" s="26">
        <f t="shared" si="1346"/>
        <v>0.21292219733799461</v>
      </c>
      <c r="Q2048" s="105"/>
    </row>
    <row r="2049" spans="1:27" ht="15.75" customHeight="1" thickBot="1">
      <c r="A2049" s="424" t="s">
        <v>83</v>
      </c>
      <c r="B2049" s="425"/>
      <c r="C2049" s="76">
        <f>MIN(2*C2040,C2045)-C2047</f>
        <v>10675.160000000003</v>
      </c>
      <c r="D2049" s="76">
        <f t="shared" ref="D2049:N2049" si="1347">MIN(2*D2040,D2045)-D2047</f>
        <v>25276.520000000004</v>
      </c>
      <c r="E2049" s="76">
        <f t="shared" si="1347"/>
        <v>24264.92</v>
      </c>
      <c r="F2049" s="76">
        <f t="shared" si="1347"/>
        <v>29879.239999999991</v>
      </c>
      <c r="G2049" s="76">
        <f t="shared" si="1347"/>
        <v>238145.12</v>
      </c>
      <c r="H2049" s="76">
        <f t="shared" si="1347"/>
        <v>129032.35999999999</v>
      </c>
      <c r="I2049" s="76">
        <f t="shared" si="1347"/>
        <v>207325.04</v>
      </c>
      <c r="J2049" s="76">
        <f t="shared" si="1347"/>
        <v>61881.760000000009</v>
      </c>
      <c r="K2049" s="76">
        <f t="shared" si="1347"/>
        <v>50865.72</v>
      </c>
      <c r="L2049" s="76">
        <f t="shared" si="1347"/>
        <v>119106.28</v>
      </c>
      <c r="M2049" s="76">
        <f t="shared" si="1347"/>
        <v>268867.72000000003</v>
      </c>
      <c r="N2049" s="22">
        <f t="shared" si="1347"/>
        <v>98141.16</v>
      </c>
      <c r="Q2049" s="105"/>
    </row>
    <row r="2050" spans="1:27" ht="15.75" thickBot="1">
      <c r="A2050" s="368">
        <v>40940</v>
      </c>
      <c r="B2050" s="368"/>
      <c r="C2050" s="368"/>
      <c r="N2050" s="15"/>
    </row>
    <row r="2051" spans="1:27">
      <c r="A2051" s="407" t="s">
        <v>1</v>
      </c>
      <c r="B2051" s="420"/>
      <c r="C2051" s="68" t="s">
        <v>12</v>
      </c>
      <c r="D2051" s="68" t="s">
        <v>12</v>
      </c>
      <c r="E2051" s="68" t="s">
        <v>13</v>
      </c>
      <c r="F2051" s="68" t="s">
        <v>13</v>
      </c>
      <c r="G2051" s="68" t="s">
        <v>13</v>
      </c>
      <c r="H2051" s="68" t="s">
        <v>13</v>
      </c>
      <c r="I2051" s="68" t="s">
        <v>13</v>
      </c>
      <c r="J2051" s="68" t="s">
        <v>2</v>
      </c>
      <c r="K2051" s="68" t="s">
        <v>2</v>
      </c>
      <c r="L2051" s="68" t="s">
        <v>2</v>
      </c>
      <c r="M2051" s="68" t="s">
        <v>2</v>
      </c>
      <c r="N2051" s="4" t="s">
        <v>84</v>
      </c>
      <c r="Y2051" s="104"/>
      <c r="Z2051" s="104"/>
      <c r="AA2051" s="128"/>
    </row>
    <row r="2052" spans="1:27" ht="15.75" thickBot="1">
      <c r="A2052" s="409" t="s">
        <v>0</v>
      </c>
      <c r="B2052" s="414"/>
      <c r="C2052" s="99" t="s">
        <v>102</v>
      </c>
      <c r="D2052" s="99" t="s">
        <v>103</v>
      </c>
      <c r="E2052" s="99" t="s">
        <v>104</v>
      </c>
      <c r="F2052" s="99" t="s">
        <v>105</v>
      </c>
      <c r="G2052" s="99" t="s">
        <v>100</v>
      </c>
      <c r="H2052" s="99" t="s">
        <v>107</v>
      </c>
      <c r="I2052" s="99" t="s">
        <v>106</v>
      </c>
      <c r="J2052" s="99" t="s">
        <v>108</v>
      </c>
      <c r="K2052" s="99" t="s">
        <v>110</v>
      </c>
      <c r="L2052" s="99" t="s">
        <v>101</v>
      </c>
      <c r="M2052" s="99" t="s">
        <v>109</v>
      </c>
      <c r="N2052" s="101" t="s">
        <v>111</v>
      </c>
      <c r="P2052" s="172"/>
      <c r="Q2052" s="105"/>
      <c r="R2052" s="105"/>
      <c r="S2052" s="105"/>
      <c r="T2052" s="105"/>
      <c r="U2052" s="105"/>
      <c r="V2052" s="105"/>
      <c r="W2052" s="105"/>
      <c r="X2052" s="105"/>
      <c r="Y2052" s="105"/>
      <c r="Z2052" s="105"/>
      <c r="AA2052" s="38"/>
    </row>
    <row r="2053" spans="1:27" ht="15" customHeight="1">
      <c r="A2053" s="421" t="s">
        <v>9</v>
      </c>
      <c r="B2053" s="2" t="s">
        <v>4</v>
      </c>
      <c r="C2053" s="96">
        <v>115816.8</v>
      </c>
      <c r="D2053" s="96">
        <v>79968.7</v>
      </c>
      <c r="E2053" s="96">
        <v>79968.7</v>
      </c>
      <c r="F2053" s="96">
        <v>154422.39999999999</v>
      </c>
      <c r="G2053" s="96">
        <v>121331.8</v>
      </c>
      <c r="H2053" s="96">
        <v>110071.9</v>
      </c>
      <c r="I2053" s="96">
        <v>121331.8</v>
      </c>
      <c r="J2053" s="96">
        <v>170967.6</v>
      </c>
      <c r="K2053" s="96">
        <v>54921</v>
      </c>
      <c r="L2053" s="96">
        <v>60665.9</v>
      </c>
      <c r="M2053" s="96">
        <v>176482.7</v>
      </c>
      <c r="N2053" s="100">
        <v>54921</v>
      </c>
      <c r="Y2053" s="104"/>
      <c r="Z2053" s="104"/>
      <c r="AA2053" s="128"/>
    </row>
    <row r="2054" spans="1:27" s="64" customFormat="1">
      <c r="A2054" s="422"/>
      <c r="B2054" s="63" t="s">
        <v>5</v>
      </c>
      <c r="C2054" s="97">
        <v>91042.9</v>
      </c>
      <c r="D2054" s="97">
        <v>65815.5</v>
      </c>
      <c r="E2054" s="97">
        <v>67195.8</v>
      </c>
      <c r="F2054" s="97">
        <v>126506.1</v>
      </c>
      <c r="G2054" s="97">
        <v>87.9</v>
      </c>
      <c r="H2054" s="97">
        <v>23083.9</v>
      </c>
      <c r="I2054" s="97">
        <v>19536.599999999999</v>
      </c>
      <c r="J2054" s="97">
        <v>111876.1</v>
      </c>
      <c r="K2054" s="97">
        <v>28630.2</v>
      </c>
      <c r="L2054" s="97">
        <v>59.1</v>
      </c>
      <c r="M2054" s="97">
        <v>77940.7</v>
      </c>
      <c r="N2054" s="102">
        <v>22911.5</v>
      </c>
      <c r="P2054" s="14"/>
      <c r="Q2054" s="104"/>
      <c r="R2054" s="104"/>
      <c r="S2054" s="104"/>
      <c r="T2054" s="104"/>
      <c r="U2054" s="104"/>
      <c r="V2054" s="104"/>
      <c r="W2054" s="104"/>
      <c r="X2054" s="104"/>
      <c r="Y2054" s="104"/>
      <c r="Z2054" s="104"/>
      <c r="AA2054" s="65"/>
    </row>
    <row r="2055" spans="1:27" ht="15.75" thickBot="1">
      <c r="A2055" s="423"/>
      <c r="B2055" s="3" t="s">
        <v>3</v>
      </c>
      <c r="C2055" s="71">
        <f>C2054/C2053</f>
        <v>0.78609407270793175</v>
      </c>
      <c r="D2055" s="72">
        <f t="shared" ref="D2055:N2055" si="1348">D2054/D2053</f>
        <v>0.82301575491411016</v>
      </c>
      <c r="E2055" s="72">
        <f t="shared" si="1348"/>
        <v>0.84027625808597617</v>
      </c>
      <c r="F2055" s="72">
        <f t="shared" si="1348"/>
        <v>0.81922117516629722</v>
      </c>
      <c r="G2055" s="72">
        <f t="shared" si="1348"/>
        <v>7.2445970471055401E-4</v>
      </c>
      <c r="H2055" s="72">
        <f t="shared" si="1348"/>
        <v>0.20971655799527403</v>
      </c>
      <c r="I2055" s="72">
        <f t="shared" si="1348"/>
        <v>0.16101796890839828</v>
      </c>
      <c r="J2055" s="72">
        <f t="shared" si="1348"/>
        <v>0.65437018476015341</v>
      </c>
      <c r="K2055" s="72">
        <f t="shared" si="1348"/>
        <v>0.52129786420494895</v>
      </c>
      <c r="L2055" s="72">
        <f t="shared" si="1348"/>
        <v>9.7418813534456755E-4</v>
      </c>
      <c r="M2055" s="72">
        <f t="shared" si="1348"/>
        <v>0.44163365587675163</v>
      </c>
      <c r="N2055" s="83">
        <f t="shared" si="1348"/>
        <v>0.41717193787440143</v>
      </c>
      <c r="Y2055" s="104"/>
      <c r="Z2055" s="104"/>
      <c r="AA2055" s="128"/>
    </row>
    <row r="2056" spans="1:27" ht="15" customHeight="1">
      <c r="A2056" s="411" t="s">
        <v>6</v>
      </c>
      <c r="B2056" s="27" t="s">
        <v>7</v>
      </c>
      <c r="C2056" s="68">
        <v>5006</v>
      </c>
      <c r="D2056" s="68">
        <v>3200</v>
      </c>
      <c r="E2056" s="68">
        <v>3200</v>
      </c>
      <c r="F2056" s="68">
        <v>9503</v>
      </c>
      <c r="G2056" s="68">
        <v>3200</v>
      </c>
      <c r="H2056" s="68">
        <v>4800</v>
      </c>
      <c r="I2056" s="68">
        <v>4000</v>
      </c>
      <c r="J2056" s="68">
        <v>9503</v>
      </c>
      <c r="K2056" s="68">
        <v>2900</v>
      </c>
      <c r="L2056" s="68">
        <v>1600</v>
      </c>
      <c r="M2056" s="68">
        <f>4643-2210</f>
        <v>2433</v>
      </c>
      <c r="N2056" s="80">
        <v>396</v>
      </c>
      <c r="Y2056" s="104"/>
      <c r="Z2056" s="104"/>
      <c r="AA2056" s="128"/>
    </row>
    <row r="2057" spans="1:27">
      <c r="A2057" s="412"/>
      <c r="B2057" s="28" t="s">
        <v>11</v>
      </c>
      <c r="C2057" s="73">
        <f t="shared" ref="C2057:N2057" si="1349">C2056*33.79</f>
        <v>169152.74</v>
      </c>
      <c r="D2057" s="73">
        <f t="shared" si="1349"/>
        <v>108128</v>
      </c>
      <c r="E2057" s="73">
        <f t="shared" si="1349"/>
        <v>108128</v>
      </c>
      <c r="F2057" s="73">
        <f t="shared" si="1349"/>
        <v>321106.37</v>
      </c>
      <c r="G2057" s="73">
        <f t="shared" si="1349"/>
        <v>108128</v>
      </c>
      <c r="H2057" s="73">
        <f t="shared" si="1349"/>
        <v>162192</v>
      </c>
      <c r="I2057" s="73">
        <f t="shared" si="1349"/>
        <v>135160</v>
      </c>
      <c r="J2057" s="73">
        <f t="shared" si="1349"/>
        <v>321106.37</v>
      </c>
      <c r="K2057" s="73">
        <f t="shared" si="1349"/>
        <v>97991</v>
      </c>
      <c r="L2057" s="73">
        <f t="shared" si="1349"/>
        <v>54064</v>
      </c>
      <c r="M2057" s="73">
        <f t="shared" si="1349"/>
        <v>82211.069999999992</v>
      </c>
      <c r="N2057" s="84">
        <f t="shared" si="1349"/>
        <v>13380.84</v>
      </c>
      <c r="Y2057" s="104"/>
      <c r="Z2057" s="104"/>
      <c r="AA2057" s="128"/>
    </row>
    <row r="2058" spans="1:27">
      <c r="A2058" s="412"/>
      <c r="B2058" s="28" t="s">
        <v>79</v>
      </c>
      <c r="C2058" s="73">
        <v>164000</v>
      </c>
      <c r="D2058" s="73">
        <v>109880</v>
      </c>
      <c r="E2058" s="73">
        <v>109880</v>
      </c>
      <c r="F2058" s="73">
        <v>328000</v>
      </c>
      <c r="G2058" s="73">
        <f>G2053*2</f>
        <v>242663.6</v>
      </c>
      <c r="H2058" s="73">
        <f>H2053*2</f>
        <v>220143.8</v>
      </c>
      <c r="I2058" s="73">
        <f>I2053*2</f>
        <v>242663.6</v>
      </c>
      <c r="J2058" s="73">
        <v>328000</v>
      </c>
      <c r="K2058" s="73">
        <f>K2053*2</f>
        <v>109842</v>
      </c>
      <c r="L2058" s="73">
        <v>328000</v>
      </c>
      <c r="M2058" s="73">
        <f>2*M2053</f>
        <v>352965.4</v>
      </c>
      <c r="N2058" s="84">
        <f>2*N2053</f>
        <v>109842</v>
      </c>
      <c r="Y2058" s="104"/>
      <c r="Z2058" s="104"/>
      <c r="AA2058" s="128"/>
    </row>
    <row r="2059" spans="1:27" s="64" customFormat="1">
      <c r="A2059" s="412"/>
      <c r="B2059" s="66" t="s">
        <v>8</v>
      </c>
      <c r="C2059" s="98">
        <f>SUM(C2056-459)</f>
        <v>4547</v>
      </c>
      <c r="D2059" s="98">
        <f>SUM(D2056-691)</f>
        <v>2509</v>
      </c>
      <c r="E2059" s="98">
        <f>SUM(E2056-661)</f>
        <v>2539</v>
      </c>
      <c r="F2059" s="98">
        <f>SUM(F2056-1230)</f>
        <v>8273</v>
      </c>
      <c r="G2059" s="98">
        <f>SUM(G2056-3134)</f>
        <v>66</v>
      </c>
      <c r="H2059" s="98">
        <f>SUM(H2056-2143)</f>
        <v>2657</v>
      </c>
      <c r="I2059" s="98">
        <f>SUM(I2056-2952)</f>
        <v>1048</v>
      </c>
      <c r="J2059" s="98">
        <f>SUM(J2056-1611)</f>
        <v>7892</v>
      </c>
      <c r="K2059" s="98">
        <f>SUM(K2056-1169)</f>
        <v>1731</v>
      </c>
      <c r="L2059" s="98">
        <f>SUM(L2056-1534)</f>
        <v>66</v>
      </c>
      <c r="M2059" s="98">
        <f>SUM(M2056-(3396-2210))</f>
        <v>1247</v>
      </c>
      <c r="N2059" s="103">
        <f>SUM(N2056-49)</f>
        <v>347</v>
      </c>
      <c r="P2059" s="14"/>
      <c r="Q2059" s="105"/>
      <c r="R2059" s="104"/>
      <c r="S2059" s="104"/>
      <c r="T2059" s="104"/>
      <c r="U2059" s="104"/>
      <c r="V2059" s="104"/>
      <c r="W2059" s="104"/>
      <c r="X2059" s="104"/>
      <c r="Y2059" s="67"/>
      <c r="Z2059" s="67"/>
    </row>
    <row r="2060" spans="1:27">
      <c r="A2060" s="412"/>
      <c r="B2060" s="29" t="s">
        <v>77</v>
      </c>
      <c r="C2060" s="75">
        <f>C2059*33.72</f>
        <v>153324.84</v>
      </c>
      <c r="D2060" s="75">
        <f>D2059*33.72</f>
        <v>84603.48</v>
      </c>
      <c r="E2060" s="75">
        <f>E2059*33.72</f>
        <v>85615.08</v>
      </c>
      <c r="F2060" s="75">
        <f>F2059*33.72</f>
        <v>278965.56</v>
      </c>
      <c r="G2060" s="75">
        <f>G2059*33.72*2</f>
        <v>4451.04</v>
      </c>
      <c r="H2060" s="75">
        <f>H2059*33.72</f>
        <v>89594.04</v>
      </c>
      <c r="I2060" s="75">
        <f>I2059*33.72</f>
        <v>35338.559999999998</v>
      </c>
      <c r="J2060" s="75">
        <f>J2059*33.72</f>
        <v>266118.24</v>
      </c>
      <c r="K2060" s="75">
        <f>K2059*33.72</f>
        <v>58369.32</v>
      </c>
      <c r="L2060" s="75">
        <f>L2059*33.72</f>
        <v>2225.52</v>
      </c>
      <c r="M2060" s="75">
        <f>M2059*33.72*2</f>
        <v>84097.68</v>
      </c>
      <c r="N2060" s="11">
        <f>N2059*33.72</f>
        <v>11700.84</v>
      </c>
      <c r="Q2060" s="105"/>
    </row>
    <row r="2061" spans="1:27" ht="15.75" thickBot="1">
      <c r="A2061" s="412"/>
      <c r="B2061" s="30" t="s">
        <v>10</v>
      </c>
      <c r="C2061" s="71">
        <f>C2059*33.7/C2053</f>
        <v>1.3230714369590597</v>
      </c>
      <c r="D2061" s="71">
        <f t="shared" ref="D2061:N2061" si="1350">D2059*33.7/D2053</f>
        <v>1.0573299303352437</v>
      </c>
      <c r="E2061" s="78">
        <f t="shared" si="1350"/>
        <v>1.069972376692381</v>
      </c>
      <c r="F2061" s="78">
        <f t="shared" si="1350"/>
        <v>1.8054382006755501</v>
      </c>
      <c r="G2061" s="78">
        <f t="shared" si="1350"/>
        <v>1.8331550343768082E-2</v>
      </c>
      <c r="H2061" s="78">
        <f t="shared" si="1350"/>
        <v>0.81347646402033591</v>
      </c>
      <c r="I2061" s="78">
        <f t="shared" si="1350"/>
        <v>0.2910827993980144</v>
      </c>
      <c r="J2061" s="78">
        <f t="shared" si="1350"/>
        <v>1.5556187254193192</v>
      </c>
      <c r="K2061" s="78">
        <f t="shared" si="1350"/>
        <v>1.0621565521385263</v>
      </c>
      <c r="L2061" s="78">
        <f t="shared" si="1350"/>
        <v>3.6663100687536164E-2</v>
      </c>
      <c r="M2061" s="79">
        <f t="shared" si="1350"/>
        <v>0.23811909042642707</v>
      </c>
      <c r="N2061" s="26">
        <f t="shared" si="1350"/>
        <v>0.21292219733799461</v>
      </c>
      <c r="Q2061" s="105"/>
    </row>
    <row r="2062" spans="1:27" ht="15.75" customHeight="1" thickBot="1">
      <c r="A2062" s="424" t="s">
        <v>83</v>
      </c>
      <c r="B2062" s="425"/>
      <c r="C2062" s="76">
        <f>MIN(2*C2053,C2058)-C2060</f>
        <v>10675.160000000003</v>
      </c>
      <c r="D2062" s="76">
        <f t="shared" ref="D2062:N2062" si="1351">MIN(2*D2053,D2058)-D2060</f>
        <v>25276.520000000004</v>
      </c>
      <c r="E2062" s="76">
        <f t="shared" si="1351"/>
        <v>24264.92</v>
      </c>
      <c r="F2062" s="76">
        <f t="shared" si="1351"/>
        <v>29879.239999999991</v>
      </c>
      <c r="G2062" s="76">
        <f t="shared" si="1351"/>
        <v>238212.56</v>
      </c>
      <c r="H2062" s="76">
        <f t="shared" si="1351"/>
        <v>130549.75999999999</v>
      </c>
      <c r="I2062" s="76">
        <f t="shared" si="1351"/>
        <v>207325.04</v>
      </c>
      <c r="J2062" s="76">
        <f t="shared" si="1351"/>
        <v>61881.760000000009</v>
      </c>
      <c r="K2062" s="76">
        <f t="shared" si="1351"/>
        <v>51472.68</v>
      </c>
      <c r="L2062" s="76">
        <f t="shared" si="1351"/>
        <v>119106.28</v>
      </c>
      <c r="M2062" s="76">
        <f t="shared" si="1351"/>
        <v>268867.72000000003</v>
      </c>
      <c r="N2062" s="22">
        <f t="shared" si="1351"/>
        <v>98141.16</v>
      </c>
      <c r="Q2062" s="105"/>
    </row>
    <row r="2063" spans="1:27" ht="15.75" thickBot="1">
      <c r="A2063" s="368">
        <v>40939</v>
      </c>
      <c r="B2063" s="368"/>
      <c r="C2063" s="368"/>
      <c r="N2063" s="15"/>
    </row>
    <row r="2064" spans="1:27">
      <c r="A2064" s="407" t="s">
        <v>1</v>
      </c>
      <c r="B2064" s="420"/>
      <c r="C2064" s="68" t="s">
        <v>12</v>
      </c>
      <c r="D2064" s="68" t="s">
        <v>12</v>
      </c>
      <c r="E2064" s="68" t="s">
        <v>13</v>
      </c>
      <c r="F2064" s="68" t="s">
        <v>13</v>
      </c>
      <c r="G2064" s="68" t="s">
        <v>13</v>
      </c>
      <c r="H2064" s="68" t="s">
        <v>13</v>
      </c>
      <c r="I2064" s="68" t="s">
        <v>13</v>
      </c>
      <c r="J2064" s="68" t="s">
        <v>2</v>
      </c>
      <c r="K2064" s="68" t="s">
        <v>2</v>
      </c>
      <c r="L2064" s="68" t="s">
        <v>2</v>
      </c>
      <c r="M2064" s="68" t="s">
        <v>2</v>
      </c>
      <c r="N2064" s="4" t="s">
        <v>84</v>
      </c>
      <c r="Y2064" s="104"/>
      <c r="Z2064" s="104"/>
      <c r="AA2064" s="127"/>
    </row>
    <row r="2065" spans="1:27" ht="15.75" thickBot="1">
      <c r="A2065" s="409" t="s">
        <v>0</v>
      </c>
      <c r="B2065" s="414"/>
      <c r="C2065" s="99" t="s">
        <v>102</v>
      </c>
      <c r="D2065" s="99" t="s">
        <v>103</v>
      </c>
      <c r="E2065" s="99" t="s">
        <v>104</v>
      </c>
      <c r="F2065" s="99" t="s">
        <v>105</v>
      </c>
      <c r="G2065" s="99" t="s">
        <v>100</v>
      </c>
      <c r="H2065" s="99" t="s">
        <v>107</v>
      </c>
      <c r="I2065" s="99" t="s">
        <v>106</v>
      </c>
      <c r="J2065" s="99" t="s">
        <v>108</v>
      </c>
      <c r="K2065" s="99" t="s">
        <v>110</v>
      </c>
      <c r="L2065" s="99" t="s">
        <v>101</v>
      </c>
      <c r="M2065" s="99" t="s">
        <v>109</v>
      </c>
      <c r="N2065" s="101" t="s">
        <v>111</v>
      </c>
      <c r="P2065" s="172"/>
      <c r="Q2065" s="105"/>
      <c r="R2065" s="105"/>
      <c r="S2065" s="105"/>
      <c r="T2065" s="105"/>
      <c r="U2065" s="105"/>
      <c r="V2065" s="105"/>
      <c r="W2065" s="105"/>
      <c r="X2065" s="105"/>
      <c r="Y2065" s="105"/>
      <c r="Z2065" s="105"/>
      <c r="AA2065" s="38"/>
    </row>
    <row r="2066" spans="1:27" ht="15" customHeight="1">
      <c r="A2066" s="421" t="s">
        <v>9</v>
      </c>
      <c r="B2066" s="2" t="s">
        <v>4</v>
      </c>
      <c r="C2066" s="96">
        <v>115816.8</v>
      </c>
      <c r="D2066" s="96">
        <v>79968.7</v>
      </c>
      <c r="E2066" s="96">
        <v>79968.7</v>
      </c>
      <c r="F2066" s="96">
        <v>154422.39999999999</v>
      </c>
      <c r="G2066" s="96">
        <v>121331.8</v>
      </c>
      <c r="H2066" s="96">
        <v>110071.9</v>
      </c>
      <c r="I2066" s="96">
        <v>121331.8</v>
      </c>
      <c r="J2066" s="96">
        <v>170967.6</v>
      </c>
      <c r="K2066" s="96">
        <v>54921</v>
      </c>
      <c r="L2066" s="96">
        <v>60665.9</v>
      </c>
      <c r="M2066" s="96">
        <v>176482.7</v>
      </c>
      <c r="N2066" s="100">
        <v>54921</v>
      </c>
      <c r="Y2066" s="104"/>
      <c r="Z2066" s="104"/>
      <c r="AA2066" s="127"/>
    </row>
    <row r="2067" spans="1:27" s="64" customFormat="1">
      <c r="A2067" s="422"/>
      <c r="B2067" s="63" t="s">
        <v>5</v>
      </c>
      <c r="C2067" s="97">
        <v>91010.5</v>
      </c>
      <c r="D2067" s="97">
        <v>65693.600000000006</v>
      </c>
      <c r="E2067" s="97">
        <v>67071.399999999994</v>
      </c>
      <c r="F2067" s="97">
        <v>126302</v>
      </c>
      <c r="G2067" s="97">
        <v>87.9</v>
      </c>
      <c r="H2067" s="97">
        <v>22659.599999999999</v>
      </c>
      <c r="I2067" s="97">
        <v>19536.2</v>
      </c>
      <c r="J2067" s="97">
        <v>111220.7</v>
      </c>
      <c r="K2067" s="97">
        <v>28627.8</v>
      </c>
      <c r="L2067" s="97">
        <v>59.1</v>
      </c>
      <c r="M2067" s="97">
        <v>77939.8</v>
      </c>
      <c r="N2067" s="102">
        <v>22911.4</v>
      </c>
      <c r="P2067" s="14"/>
      <c r="Q2067" s="104"/>
      <c r="R2067" s="104"/>
      <c r="S2067" s="104"/>
      <c r="T2067" s="104"/>
      <c r="U2067" s="104"/>
      <c r="V2067" s="104"/>
      <c r="W2067" s="104"/>
      <c r="X2067" s="104"/>
      <c r="Y2067" s="104"/>
      <c r="Z2067" s="104"/>
      <c r="AA2067" s="65"/>
    </row>
    <row r="2068" spans="1:27" ht="15.75" thickBot="1">
      <c r="A2068" s="423"/>
      <c r="B2068" s="3" t="s">
        <v>3</v>
      </c>
      <c r="C2068" s="71">
        <f>C2067/C2066</f>
        <v>0.78581432054762346</v>
      </c>
      <c r="D2068" s="72">
        <f t="shared" ref="D2068:N2068" si="1352">D2067/D2066</f>
        <v>0.82149140851358105</v>
      </c>
      <c r="E2068" s="72">
        <f t="shared" si="1352"/>
        <v>0.83872064945409885</v>
      </c>
      <c r="F2068" s="72">
        <f t="shared" si="1352"/>
        <v>0.81789947572372923</v>
      </c>
      <c r="G2068" s="72">
        <f t="shared" si="1352"/>
        <v>7.2445970471055401E-4</v>
      </c>
      <c r="H2068" s="72">
        <f t="shared" si="1352"/>
        <v>0.20586180487481365</v>
      </c>
      <c r="I2068" s="72">
        <f t="shared" si="1352"/>
        <v>0.16101467216343943</v>
      </c>
      <c r="J2068" s="72">
        <f t="shared" si="1352"/>
        <v>0.65053670987953272</v>
      </c>
      <c r="K2068" s="72">
        <f t="shared" si="1352"/>
        <v>0.52125416507346911</v>
      </c>
      <c r="L2068" s="72">
        <f t="shared" si="1352"/>
        <v>9.7418813534456755E-4</v>
      </c>
      <c r="M2068" s="72">
        <f t="shared" si="1352"/>
        <v>0.44162855622675762</v>
      </c>
      <c r="N2068" s="83">
        <f t="shared" si="1352"/>
        <v>0.41717011707725643</v>
      </c>
      <c r="Y2068" s="104"/>
      <c r="Z2068" s="104"/>
      <c r="AA2068" s="127"/>
    </row>
    <row r="2069" spans="1:27" ht="15" customHeight="1">
      <c r="A2069" s="411" t="s">
        <v>6</v>
      </c>
      <c r="B2069" s="27" t="s">
        <v>7</v>
      </c>
      <c r="C2069" s="68">
        <v>5006</v>
      </c>
      <c r="D2069" s="68">
        <v>3200</v>
      </c>
      <c r="E2069" s="68">
        <v>3200</v>
      </c>
      <c r="F2069" s="68">
        <v>9503</v>
      </c>
      <c r="G2069" s="68">
        <v>3200</v>
      </c>
      <c r="H2069" s="68">
        <v>4800</v>
      </c>
      <c r="I2069" s="68">
        <v>4000</v>
      </c>
      <c r="J2069" s="68">
        <v>9503</v>
      </c>
      <c r="K2069" s="68">
        <v>2900</v>
      </c>
      <c r="L2069" s="68">
        <v>1600</v>
      </c>
      <c r="M2069" s="68">
        <f>4643-2210</f>
        <v>2433</v>
      </c>
      <c r="N2069" s="80">
        <v>396</v>
      </c>
      <c r="Y2069" s="104"/>
      <c r="Z2069" s="104"/>
      <c r="AA2069" s="127"/>
    </row>
    <row r="2070" spans="1:27">
      <c r="A2070" s="412"/>
      <c r="B2070" s="28" t="s">
        <v>11</v>
      </c>
      <c r="C2070" s="73">
        <f t="shared" ref="C2070:N2070" si="1353">C2069*33.79</f>
        <v>169152.74</v>
      </c>
      <c r="D2070" s="73">
        <f t="shared" si="1353"/>
        <v>108128</v>
      </c>
      <c r="E2070" s="73">
        <f t="shared" si="1353"/>
        <v>108128</v>
      </c>
      <c r="F2070" s="73">
        <f t="shared" si="1353"/>
        <v>321106.37</v>
      </c>
      <c r="G2070" s="73">
        <f t="shared" si="1353"/>
        <v>108128</v>
      </c>
      <c r="H2070" s="73">
        <f t="shared" si="1353"/>
        <v>162192</v>
      </c>
      <c r="I2070" s="73">
        <f t="shared" si="1353"/>
        <v>135160</v>
      </c>
      <c r="J2070" s="73">
        <f t="shared" si="1353"/>
        <v>321106.37</v>
      </c>
      <c r="K2070" s="73">
        <f t="shared" si="1353"/>
        <v>97991</v>
      </c>
      <c r="L2070" s="73">
        <f t="shared" si="1353"/>
        <v>54064</v>
      </c>
      <c r="M2070" s="73">
        <f t="shared" si="1353"/>
        <v>82211.069999999992</v>
      </c>
      <c r="N2070" s="84">
        <f t="shared" si="1353"/>
        <v>13380.84</v>
      </c>
      <c r="Y2070" s="104"/>
      <c r="Z2070" s="104"/>
      <c r="AA2070" s="127"/>
    </row>
    <row r="2071" spans="1:27">
      <c r="A2071" s="412"/>
      <c r="B2071" s="28" t="s">
        <v>79</v>
      </c>
      <c r="C2071" s="73">
        <v>164000</v>
      </c>
      <c r="D2071" s="73">
        <v>109880</v>
      </c>
      <c r="E2071" s="73">
        <v>109880</v>
      </c>
      <c r="F2071" s="73">
        <v>328000</v>
      </c>
      <c r="G2071" s="73">
        <f>G2066*2</f>
        <v>242663.6</v>
      </c>
      <c r="H2071" s="73">
        <f>H2066*2</f>
        <v>220143.8</v>
      </c>
      <c r="I2071" s="73">
        <f>I2066*2</f>
        <v>242663.6</v>
      </c>
      <c r="J2071" s="73">
        <v>328000</v>
      </c>
      <c r="K2071" s="73">
        <f>K2066*2</f>
        <v>109842</v>
      </c>
      <c r="L2071" s="73">
        <v>328000</v>
      </c>
      <c r="M2071" s="73">
        <f>2*M2066</f>
        <v>352965.4</v>
      </c>
      <c r="N2071" s="84">
        <f>2*N2066</f>
        <v>109842</v>
      </c>
      <c r="Y2071" s="104"/>
      <c r="Z2071" s="104"/>
      <c r="AA2071" s="127"/>
    </row>
    <row r="2072" spans="1:27" s="64" customFormat="1">
      <c r="A2072" s="412"/>
      <c r="B2072" s="66" t="s">
        <v>8</v>
      </c>
      <c r="C2072" s="98">
        <f>SUM(C2069-489)</f>
        <v>4517</v>
      </c>
      <c r="D2072" s="98">
        <f>SUM(D2069-691)</f>
        <v>2509</v>
      </c>
      <c r="E2072" s="98">
        <f>SUM(E2069-661)</f>
        <v>2539</v>
      </c>
      <c r="F2072" s="98">
        <f>SUM(F2069-1230)</f>
        <v>8273</v>
      </c>
      <c r="G2072" s="98">
        <f>SUM(G2069-3134)</f>
        <v>66</v>
      </c>
      <c r="H2072" s="98">
        <f>SUM(H2069-2323)</f>
        <v>2477</v>
      </c>
      <c r="I2072" s="98">
        <f>SUM(I2069-2952)</f>
        <v>1048</v>
      </c>
      <c r="J2072" s="98">
        <f>SUM(J2069-1611)</f>
        <v>7892</v>
      </c>
      <c r="K2072" s="98">
        <f>SUM(K2069-1253)</f>
        <v>1647</v>
      </c>
      <c r="L2072" s="98">
        <f>SUM(L2069-1534)</f>
        <v>66</v>
      </c>
      <c r="M2072" s="98">
        <f>SUM(M2069-(3396-2210))</f>
        <v>1247</v>
      </c>
      <c r="N2072" s="103">
        <f>SUM(N2069-49)</f>
        <v>347</v>
      </c>
      <c r="P2072" s="14"/>
      <c r="Q2072" s="105"/>
      <c r="R2072" s="104"/>
      <c r="S2072" s="104"/>
      <c r="T2072" s="104"/>
      <c r="U2072" s="104"/>
      <c r="V2072" s="104"/>
      <c r="W2072" s="104"/>
      <c r="X2072" s="104"/>
      <c r="Y2072" s="67"/>
      <c r="Z2072" s="67"/>
    </row>
    <row r="2073" spans="1:27">
      <c r="A2073" s="412"/>
      <c r="B2073" s="29" t="s">
        <v>77</v>
      </c>
      <c r="C2073" s="75">
        <f>C2072*33.72</f>
        <v>152313.24</v>
      </c>
      <c r="D2073" s="75">
        <f>D2072*33.72</f>
        <v>84603.48</v>
      </c>
      <c r="E2073" s="75">
        <f>E2072*33.72</f>
        <v>85615.08</v>
      </c>
      <c r="F2073" s="75">
        <f>F2072*33.72</f>
        <v>278965.56</v>
      </c>
      <c r="G2073" s="75">
        <f>G2072*33.72*2</f>
        <v>4451.04</v>
      </c>
      <c r="H2073" s="75">
        <f>H2072*33.72</f>
        <v>83524.44</v>
      </c>
      <c r="I2073" s="75">
        <f>I2072*33.72</f>
        <v>35338.559999999998</v>
      </c>
      <c r="J2073" s="75">
        <f>J2072*33.72</f>
        <v>266118.24</v>
      </c>
      <c r="K2073" s="75">
        <f>K2072*33.72</f>
        <v>55536.84</v>
      </c>
      <c r="L2073" s="75">
        <f>L2072*33.72</f>
        <v>2225.52</v>
      </c>
      <c r="M2073" s="75">
        <f>M2072*33.72*2</f>
        <v>84097.68</v>
      </c>
      <c r="N2073" s="11">
        <f>N2072*33.72</f>
        <v>11700.84</v>
      </c>
      <c r="Q2073" s="105"/>
    </row>
    <row r="2074" spans="1:27" ht="15.75" thickBot="1">
      <c r="A2074" s="412"/>
      <c r="B2074" s="30" t="s">
        <v>10</v>
      </c>
      <c r="C2074" s="71">
        <f>C2072*33.7/C2066</f>
        <v>1.314342133438327</v>
      </c>
      <c r="D2074" s="71">
        <f t="shared" ref="D2074:N2074" si="1354">D2072*33.7/D2066</f>
        <v>1.0573299303352437</v>
      </c>
      <c r="E2074" s="78">
        <f t="shared" si="1354"/>
        <v>1.069972376692381</v>
      </c>
      <c r="F2074" s="78">
        <f t="shared" si="1354"/>
        <v>1.8054382006755501</v>
      </c>
      <c r="G2074" s="78">
        <f t="shared" si="1354"/>
        <v>1.8331550343768082E-2</v>
      </c>
      <c r="H2074" s="78">
        <f t="shared" si="1354"/>
        <v>0.75836703100428005</v>
      </c>
      <c r="I2074" s="78">
        <f t="shared" si="1354"/>
        <v>0.2910827993980144</v>
      </c>
      <c r="J2074" s="78">
        <f t="shared" si="1354"/>
        <v>1.5556187254193192</v>
      </c>
      <c r="K2074" s="78">
        <f t="shared" si="1354"/>
        <v>1.0106134265581472</v>
      </c>
      <c r="L2074" s="78">
        <f t="shared" si="1354"/>
        <v>3.6663100687536164E-2</v>
      </c>
      <c r="M2074" s="79">
        <f t="shared" si="1354"/>
        <v>0.23811909042642707</v>
      </c>
      <c r="N2074" s="26">
        <f t="shared" si="1354"/>
        <v>0.21292219733799461</v>
      </c>
      <c r="Q2074" s="105"/>
    </row>
    <row r="2075" spans="1:27" ht="15.75" customHeight="1" thickBot="1">
      <c r="A2075" s="424" t="s">
        <v>83</v>
      </c>
      <c r="B2075" s="425"/>
      <c r="C2075" s="76">
        <f>MIN(2*C2066,C2071)-C2073</f>
        <v>11686.760000000009</v>
      </c>
      <c r="D2075" s="76">
        <f t="shared" ref="D2075:N2075" si="1355">MIN(2*D2066,D2071)-D2073</f>
        <v>25276.520000000004</v>
      </c>
      <c r="E2075" s="76">
        <f t="shared" si="1355"/>
        <v>24264.92</v>
      </c>
      <c r="F2075" s="76">
        <f t="shared" si="1355"/>
        <v>29879.239999999991</v>
      </c>
      <c r="G2075" s="76">
        <f t="shared" si="1355"/>
        <v>238212.56</v>
      </c>
      <c r="H2075" s="76">
        <f t="shared" si="1355"/>
        <v>136619.35999999999</v>
      </c>
      <c r="I2075" s="76">
        <f t="shared" si="1355"/>
        <v>207325.04</v>
      </c>
      <c r="J2075" s="76">
        <f t="shared" si="1355"/>
        <v>61881.760000000009</v>
      </c>
      <c r="K2075" s="76">
        <f t="shared" si="1355"/>
        <v>54305.16</v>
      </c>
      <c r="L2075" s="76">
        <f t="shared" si="1355"/>
        <v>119106.28</v>
      </c>
      <c r="M2075" s="76">
        <f t="shared" si="1355"/>
        <v>268867.72000000003</v>
      </c>
      <c r="N2075" s="22">
        <f t="shared" si="1355"/>
        <v>98141.16</v>
      </c>
      <c r="Q2075" s="105"/>
    </row>
    <row r="2076" spans="1:27" ht="15.75" thickBot="1">
      <c r="A2076" s="368">
        <v>40938</v>
      </c>
      <c r="B2076" s="368"/>
      <c r="C2076" s="368"/>
      <c r="N2076" s="15"/>
    </row>
    <row r="2077" spans="1:27">
      <c r="A2077" s="407" t="s">
        <v>1</v>
      </c>
      <c r="B2077" s="420"/>
      <c r="C2077" s="68" t="s">
        <v>12</v>
      </c>
      <c r="D2077" s="68" t="s">
        <v>12</v>
      </c>
      <c r="E2077" s="68" t="s">
        <v>13</v>
      </c>
      <c r="F2077" s="68" t="s">
        <v>13</v>
      </c>
      <c r="G2077" s="68" t="s">
        <v>13</v>
      </c>
      <c r="H2077" s="68" t="s">
        <v>13</v>
      </c>
      <c r="I2077" s="68" t="s">
        <v>13</v>
      </c>
      <c r="J2077" s="68" t="s">
        <v>2</v>
      </c>
      <c r="K2077" s="68" t="s">
        <v>2</v>
      </c>
      <c r="L2077" s="68" t="s">
        <v>2</v>
      </c>
      <c r="M2077" s="68" t="s">
        <v>2</v>
      </c>
      <c r="N2077" s="4" t="s">
        <v>84</v>
      </c>
      <c r="Y2077" s="104"/>
      <c r="Z2077" s="104"/>
      <c r="AA2077" s="126"/>
    </row>
    <row r="2078" spans="1:27" ht="15.75" thickBot="1">
      <c r="A2078" s="409" t="s">
        <v>0</v>
      </c>
      <c r="B2078" s="414"/>
      <c r="C2078" s="99" t="s">
        <v>102</v>
      </c>
      <c r="D2078" s="99" t="s">
        <v>103</v>
      </c>
      <c r="E2078" s="99" t="s">
        <v>104</v>
      </c>
      <c r="F2078" s="99" t="s">
        <v>105</v>
      </c>
      <c r="G2078" s="99" t="s">
        <v>100</v>
      </c>
      <c r="H2078" s="99" t="s">
        <v>107</v>
      </c>
      <c r="I2078" s="99" t="s">
        <v>106</v>
      </c>
      <c r="J2078" s="99" t="s">
        <v>108</v>
      </c>
      <c r="K2078" s="99" t="s">
        <v>110</v>
      </c>
      <c r="L2078" s="99" t="s">
        <v>101</v>
      </c>
      <c r="M2078" s="99" t="s">
        <v>109</v>
      </c>
      <c r="N2078" s="101" t="s">
        <v>111</v>
      </c>
      <c r="P2078" s="172"/>
      <c r="Q2078" s="105"/>
      <c r="R2078" s="105"/>
      <c r="S2078" s="105"/>
      <c r="T2078" s="105"/>
      <c r="U2078" s="105"/>
      <c r="V2078" s="105"/>
      <c r="W2078" s="105"/>
      <c r="X2078" s="105"/>
      <c r="Y2078" s="105"/>
      <c r="Z2078" s="105"/>
      <c r="AA2078" s="38"/>
    </row>
    <row r="2079" spans="1:27" ht="15" customHeight="1">
      <c r="A2079" s="421" t="s">
        <v>9</v>
      </c>
      <c r="B2079" s="2" t="s">
        <v>4</v>
      </c>
      <c r="C2079" s="96">
        <v>115816.8</v>
      </c>
      <c r="D2079" s="96">
        <v>79968.7</v>
      </c>
      <c r="E2079" s="96">
        <v>79968.7</v>
      </c>
      <c r="F2079" s="96">
        <v>154422.39999999999</v>
      </c>
      <c r="G2079" s="96">
        <v>121331.8</v>
      </c>
      <c r="H2079" s="96">
        <v>110071.9</v>
      </c>
      <c r="I2079" s="96">
        <v>121331.8</v>
      </c>
      <c r="J2079" s="96">
        <v>170967.6</v>
      </c>
      <c r="K2079" s="96">
        <v>54921</v>
      </c>
      <c r="L2079" s="96">
        <v>60665.9</v>
      </c>
      <c r="M2079" s="96">
        <v>176482.7</v>
      </c>
      <c r="N2079" s="100">
        <v>54921</v>
      </c>
      <c r="Y2079" s="104"/>
      <c r="Z2079" s="104"/>
      <c r="AA2079" s="126"/>
    </row>
    <row r="2080" spans="1:27" s="64" customFormat="1">
      <c r="A2080" s="422"/>
      <c r="B2080" s="63" t="s">
        <v>5</v>
      </c>
      <c r="C2080" s="97">
        <v>90999.1</v>
      </c>
      <c r="D2080" s="97">
        <v>65675.8</v>
      </c>
      <c r="E2080" s="97">
        <v>67053.600000000006</v>
      </c>
      <c r="F2080" s="97">
        <v>126095.8</v>
      </c>
      <c r="G2080" s="97">
        <v>87.9</v>
      </c>
      <c r="H2080" s="97">
        <v>20191.3</v>
      </c>
      <c r="I2080" s="97">
        <v>19536</v>
      </c>
      <c r="J2080" s="97">
        <v>110913.1</v>
      </c>
      <c r="K2080" s="97">
        <v>26402.2</v>
      </c>
      <c r="L2080" s="97">
        <v>59.1</v>
      </c>
      <c r="M2080" s="97">
        <v>77934.3</v>
      </c>
      <c r="N2080" s="102">
        <v>22908.9</v>
      </c>
      <c r="P2080" s="14"/>
      <c r="Q2080" s="104"/>
      <c r="R2080" s="104"/>
      <c r="S2080" s="104"/>
      <c r="T2080" s="104"/>
      <c r="U2080" s="104"/>
      <c r="V2080" s="104"/>
      <c r="W2080" s="104"/>
      <c r="X2080" s="104"/>
      <c r="Y2080" s="104"/>
      <c r="Z2080" s="104"/>
      <c r="AA2080" s="65"/>
    </row>
    <row r="2081" spans="1:27" ht="15.75" thickBot="1">
      <c r="A2081" s="423"/>
      <c r="B2081" s="3" t="s">
        <v>3</v>
      </c>
      <c r="C2081" s="71">
        <f>C2080/C2079</f>
        <v>0.78571588923195945</v>
      </c>
      <c r="D2081" s="72">
        <f t="shared" ref="D2081:N2081" si="1356">D2080/D2079</f>
        <v>0.82126882142638313</v>
      </c>
      <c r="E2081" s="72">
        <f t="shared" si="1356"/>
        <v>0.83849806236690116</v>
      </c>
      <c r="F2081" s="72">
        <f t="shared" si="1356"/>
        <v>0.81656417721781305</v>
      </c>
      <c r="G2081" s="72">
        <f t="shared" si="1356"/>
        <v>7.2445970471055401E-4</v>
      </c>
      <c r="H2081" s="72">
        <f t="shared" si="1356"/>
        <v>0.18343737139088179</v>
      </c>
      <c r="I2081" s="72">
        <f t="shared" si="1356"/>
        <v>0.16101302379096</v>
      </c>
      <c r="J2081" s="72">
        <f t="shared" si="1356"/>
        <v>0.64873753857456029</v>
      </c>
      <c r="K2081" s="72">
        <f t="shared" si="1356"/>
        <v>0.48073050381457005</v>
      </c>
      <c r="L2081" s="72">
        <f t="shared" si="1356"/>
        <v>9.7418813534456755E-4</v>
      </c>
      <c r="M2081" s="72">
        <f t="shared" si="1356"/>
        <v>0.44159739169901635</v>
      </c>
      <c r="N2081" s="83">
        <f t="shared" si="1356"/>
        <v>0.4171245971486317</v>
      </c>
      <c r="Y2081" s="104"/>
      <c r="Z2081" s="104"/>
      <c r="AA2081" s="126"/>
    </row>
    <row r="2082" spans="1:27" ht="15" customHeight="1">
      <c r="A2082" s="411" t="s">
        <v>6</v>
      </c>
      <c r="B2082" s="27" t="s">
        <v>7</v>
      </c>
      <c r="C2082" s="68">
        <v>5006</v>
      </c>
      <c r="D2082" s="68">
        <v>3200</v>
      </c>
      <c r="E2082" s="68">
        <v>3200</v>
      </c>
      <c r="F2082" s="68">
        <v>9503</v>
      </c>
      <c r="G2082" s="68">
        <v>3200</v>
      </c>
      <c r="H2082" s="68">
        <v>4800</v>
      </c>
      <c r="I2082" s="68">
        <v>4000</v>
      </c>
      <c r="J2082" s="68">
        <v>9503</v>
      </c>
      <c r="K2082" s="68">
        <v>2900</v>
      </c>
      <c r="L2082" s="68">
        <v>1600</v>
      </c>
      <c r="M2082" s="68">
        <f>4643-2210</f>
        <v>2433</v>
      </c>
      <c r="N2082" s="80">
        <v>396</v>
      </c>
      <c r="Y2082" s="104"/>
      <c r="Z2082" s="104"/>
      <c r="AA2082" s="126"/>
    </row>
    <row r="2083" spans="1:27">
      <c r="A2083" s="412"/>
      <c r="B2083" s="28" t="s">
        <v>11</v>
      </c>
      <c r="C2083" s="73">
        <f t="shared" ref="C2083:N2083" si="1357">C2082*33.79</f>
        <v>169152.74</v>
      </c>
      <c r="D2083" s="73">
        <f t="shared" si="1357"/>
        <v>108128</v>
      </c>
      <c r="E2083" s="73">
        <f t="shared" si="1357"/>
        <v>108128</v>
      </c>
      <c r="F2083" s="73">
        <f t="shared" si="1357"/>
        <v>321106.37</v>
      </c>
      <c r="G2083" s="73">
        <f t="shared" si="1357"/>
        <v>108128</v>
      </c>
      <c r="H2083" s="73">
        <f t="shared" si="1357"/>
        <v>162192</v>
      </c>
      <c r="I2083" s="73">
        <f t="shared" si="1357"/>
        <v>135160</v>
      </c>
      <c r="J2083" s="73">
        <f t="shared" si="1357"/>
        <v>321106.37</v>
      </c>
      <c r="K2083" s="73">
        <f t="shared" si="1357"/>
        <v>97991</v>
      </c>
      <c r="L2083" s="73">
        <f t="shared" si="1357"/>
        <v>54064</v>
      </c>
      <c r="M2083" s="73">
        <f t="shared" si="1357"/>
        <v>82211.069999999992</v>
      </c>
      <c r="N2083" s="84">
        <f t="shared" si="1357"/>
        <v>13380.84</v>
      </c>
      <c r="Y2083" s="104"/>
      <c r="Z2083" s="104"/>
      <c r="AA2083" s="126"/>
    </row>
    <row r="2084" spans="1:27">
      <c r="A2084" s="412"/>
      <c r="B2084" s="28" t="s">
        <v>79</v>
      </c>
      <c r="C2084" s="73">
        <v>164000</v>
      </c>
      <c r="D2084" s="73">
        <v>109880</v>
      </c>
      <c r="E2084" s="73">
        <v>109880</v>
      </c>
      <c r="F2084" s="73">
        <v>328000</v>
      </c>
      <c r="G2084" s="73">
        <f>G2079*2</f>
        <v>242663.6</v>
      </c>
      <c r="H2084" s="73">
        <f>H2079*2</f>
        <v>220143.8</v>
      </c>
      <c r="I2084" s="73">
        <f>I2079*2</f>
        <v>242663.6</v>
      </c>
      <c r="J2084" s="73">
        <v>328000</v>
      </c>
      <c r="K2084" s="73">
        <f>K2079*2</f>
        <v>109842</v>
      </c>
      <c r="L2084" s="73">
        <v>328000</v>
      </c>
      <c r="M2084" s="73">
        <f>2*M2079</f>
        <v>352965.4</v>
      </c>
      <c r="N2084" s="84">
        <f>2*N2079</f>
        <v>109842</v>
      </c>
      <c r="Y2084" s="104"/>
      <c r="Z2084" s="104"/>
      <c r="AA2084" s="126"/>
    </row>
    <row r="2085" spans="1:27" s="64" customFormat="1">
      <c r="A2085" s="412"/>
      <c r="B2085" s="66" t="s">
        <v>8</v>
      </c>
      <c r="C2085" s="98">
        <f>SUM(C2082-489)</f>
        <v>4517</v>
      </c>
      <c r="D2085" s="98">
        <f>SUM(D2082-691)</f>
        <v>2509</v>
      </c>
      <c r="E2085" s="98">
        <f>SUM(E2082-661)</f>
        <v>2539</v>
      </c>
      <c r="F2085" s="98">
        <f>SUM(F2082-1230)</f>
        <v>8273</v>
      </c>
      <c r="G2085" s="98">
        <f>SUM(G2082-3134)</f>
        <v>66</v>
      </c>
      <c r="H2085" s="98">
        <f>SUM(H2082-2437)</f>
        <v>2363</v>
      </c>
      <c r="I2085" s="98">
        <f>SUM(I2082-2952)</f>
        <v>1048</v>
      </c>
      <c r="J2085" s="98">
        <f>SUM(J2082-1611)</f>
        <v>7892</v>
      </c>
      <c r="K2085" s="98">
        <f>SUM(K2082-1331)</f>
        <v>1569</v>
      </c>
      <c r="L2085" s="98">
        <f>SUM(L2082-1534)</f>
        <v>66</v>
      </c>
      <c r="M2085" s="98">
        <f>SUM(M2082-(3396-2210))</f>
        <v>1247</v>
      </c>
      <c r="N2085" s="103">
        <f>SUM(N2082-49)</f>
        <v>347</v>
      </c>
      <c r="P2085" s="14"/>
      <c r="Q2085" s="105"/>
      <c r="R2085" s="104"/>
      <c r="S2085" s="104"/>
      <c r="T2085" s="104"/>
      <c r="U2085" s="104"/>
      <c r="V2085" s="104"/>
      <c r="W2085" s="104"/>
      <c r="X2085" s="104"/>
      <c r="Y2085" s="67"/>
      <c r="Z2085" s="67"/>
    </row>
    <row r="2086" spans="1:27">
      <c r="A2086" s="412"/>
      <c r="B2086" s="29" t="s">
        <v>77</v>
      </c>
      <c r="C2086" s="75">
        <f>C2085*33.72</f>
        <v>152313.24</v>
      </c>
      <c r="D2086" s="75">
        <f>D2085*33.72</f>
        <v>84603.48</v>
      </c>
      <c r="E2086" s="75">
        <f>E2085*33.72</f>
        <v>85615.08</v>
      </c>
      <c r="F2086" s="75">
        <f>F2085*33.72</f>
        <v>278965.56</v>
      </c>
      <c r="G2086" s="75">
        <f>G2085*33.72*2</f>
        <v>4451.04</v>
      </c>
      <c r="H2086" s="75">
        <f>H2085*33.72</f>
        <v>79680.36</v>
      </c>
      <c r="I2086" s="75">
        <f>I2085*33.72</f>
        <v>35338.559999999998</v>
      </c>
      <c r="J2086" s="75">
        <f>J2085*33.72</f>
        <v>266118.24</v>
      </c>
      <c r="K2086" s="75">
        <f>K2085*33.72</f>
        <v>52906.68</v>
      </c>
      <c r="L2086" s="75">
        <f>L2085*33.72</f>
        <v>2225.52</v>
      </c>
      <c r="M2086" s="75">
        <f>M2085*33.72*2</f>
        <v>84097.68</v>
      </c>
      <c r="N2086" s="11">
        <f>N2085*33.72</f>
        <v>11700.84</v>
      </c>
      <c r="Q2086" s="105"/>
    </row>
    <row r="2087" spans="1:27" ht="15.75" thickBot="1">
      <c r="A2087" s="412"/>
      <c r="B2087" s="30" t="s">
        <v>10</v>
      </c>
      <c r="C2087" s="71">
        <f>C2085*33.7/C2079</f>
        <v>1.314342133438327</v>
      </c>
      <c r="D2087" s="71">
        <f t="shared" ref="D2087:N2087" si="1358">D2085*33.7/D2079</f>
        <v>1.0573299303352437</v>
      </c>
      <c r="E2087" s="78">
        <f t="shared" si="1358"/>
        <v>1.069972376692381</v>
      </c>
      <c r="F2087" s="78">
        <f t="shared" si="1358"/>
        <v>1.8054382006755501</v>
      </c>
      <c r="G2087" s="78">
        <f t="shared" si="1358"/>
        <v>1.8331550343768082E-2</v>
      </c>
      <c r="H2087" s="78">
        <f t="shared" si="1358"/>
        <v>0.72346439009411134</v>
      </c>
      <c r="I2087" s="78">
        <f t="shared" si="1358"/>
        <v>0.2910827993980144</v>
      </c>
      <c r="J2087" s="78">
        <f t="shared" si="1358"/>
        <v>1.5556187254193192</v>
      </c>
      <c r="K2087" s="78">
        <f t="shared" si="1358"/>
        <v>0.96275195280493808</v>
      </c>
      <c r="L2087" s="78">
        <f t="shared" si="1358"/>
        <v>3.6663100687536164E-2</v>
      </c>
      <c r="M2087" s="79">
        <f t="shared" si="1358"/>
        <v>0.23811909042642707</v>
      </c>
      <c r="N2087" s="26">
        <f t="shared" si="1358"/>
        <v>0.21292219733799461</v>
      </c>
      <c r="Q2087" s="105"/>
    </row>
    <row r="2088" spans="1:27" ht="15.75" customHeight="1" thickBot="1">
      <c r="A2088" s="424" t="s">
        <v>83</v>
      </c>
      <c r="B2088" s="425"/>
      <c r="C2088" s="76">
        <f>MIN(2*C2079,C2084)-C2086</f>
        <v>11686.760000000009</v>
      </c>
      <c r="D2088" s="76">
        <f t="shared" ref="D2088:N2088" si="1359">MIN(2*D2079,D2084)-D2086</f>
        <v>25276.520000000004</v>
      </c>
      <c r="E2088" s="76">
        <f t="shared" si="1359"/>
        <v>24264.92</v>
      </c>
      <c r="F2088" s="76">
        <f t="shared" si="1359"/>
        <v>29879.239999999991</v>
      </c>
      <c r="G2088" s="76">
        <f t="shared" si="1359"/>
        <v>238212.56</v>
      </c>
      <c r="H2088" s="76">
        <f t="shared" si="1359"/>
        <v>140463.44</v>
      </c>
      <c r="I2088" s="76">
        <f t="shared" si="1359"/>
        <v>207325.04</v>
      </c>
      <c r="J2088" s="76">
        <f t="shared" si="1359"/>
        <v>61881.760000000009</v>
      </c>
      <c r="K2088" s="76">
        <f t="shared" si="1359"/>
        <v>56935.32</v>
      </c>
      <c r="L2088" s="76">
        <f t="shared" si="1359"/>
        <v>119106.28</v>
      </c>
      <c r="M2088" s="76">
        <f t="shared" si="1359"/>
        <v>268867.72000000003</v>
      </c>
      <c r="N2088" s="22">
        <f t="shared" si="1359"/>
        <v>98141.16</v>
      </c>
      <c r="Q2088" s="105"/>
    </row>
    <row r="2089" spans="1:27" ht="15.75" thickBot="1">
      <c r="A2089" s="368">
        <v>40934</v>
      </c>
      <c r="B2089" s="368"/>
      <c r="C2089" s="368"/>
      <c r="N2089" s="15"/>
    </row>
    <row r="2090" spans="1:27">
      <c r="A2090" s="407" t="s">
        <v>1</v>
      </c>
      <c r="B2090" s="420"/>
      <c r="C2090" s="68" t="s">
        <v>12</v>
      </c>
      <c r="D2090" s="68" t="s">
        <v>12</v>
      </c>
      <c r="E2090" s="68" t="s">
        <v>13</v>
      </c>
      <c r="F2090" s="68" t="s">
        <v>13</v>
      </c>
      <c r="G2090" s="68" t="s">
        <v>13</v>
      </c>
      <c r="H2090" s="68" t="s">
        <v>13</v>
      </c>
      <c r="I2090" s="68" t="s">
        <v>13</v>
      </c>
      <c r="J2090" s="68" t="s">
        <v>2</v>
      </c>
      <c r="K2090" s="68" t="s">
        <v>2</v>
      </c>
      <c r="L2090" s="68" t="s">
        <v>2</v>
      </c>
      <c r="M2090" s="68" t="s">
        <v>2</v>
      </c>
      <c r="N2090" s="4" t="s">
        <v>84</v>
      </c>
      <c r="Y2090" s="104"/>
      <c r="Z2090" s="104"/>
      <c r="AA2090" s="125"/>
    </row>
    <row r="2091" spans="1:27" ht="15.75" thickBot="1">
      <c r="A2091" s="409" t="s">
        <v>0</v>
      </c>
      <c r="B2091" s="414"/>
      <c r="C2091" s="99" t="s">
        <v>102</v>
      </c>
      <c r="D2091" s="99" t="s">
        <v>103</v>
      </c>
      <c r="E2091" s="99" t="s">
        <v>104</v>
      </c>
      <c r="F2091" s="99" t="s">
        <v>105</v>
      </c>
      <c r="G2091" s="99" t="s">
        <v>100</v>
      </c>
      <c r="H2091" s="99" t="s">
        <v>107</v>
      </c>
      <c r="I2091" s="99" t="s">
        <v>106</v>
      </c>
      <c r="J2091" s="99" t="s">
        <v>108</v>
      </c>
      <c r="K2091" s="99" t="s">
        <v>110</v>
      </c>
      <c r="L2091" s="99" t="s">
        <v>101</v>
      </c>
      <c r="M2091" s="99" t="s">
        <v>109</v>
      </c>
      <c r="N2091" s="101" t="s">
        <v>111</v>
      </c>
      <c r="P2091" s="172"/>
      <c r="Q2091" s="105"/>
      <c r="R2091" s="105"/>
      <c r="S2091" s="105"/>
      <c r="T2091" s="105"/>
      <c r="U2091" s="105"/>
      <c r="V2091" s="105"/>
      <c r="W2091" s="105"/>
      <c r="X2091" s="105"/>
      <c r="Y2091" s="105"/>
      <c r="Z2091" s="105"/>
      <c r="AA2091" s="38"/>
    </row>
    <row r="2092" spans="1:27" ht="15" customHeight="1">
      <c r="A2092" s="421" t="s">
        <v>9</v>
      </c>
      <c r="B2092" s="2" t="s">
        <v>4</v>
      </c>
      <c r="C2092" s="96">
        <v>115816.8</v>
      </c>
      <c r="D2092" s="96">
        <v>79968.7</v>
      </c>
      <c r="E2092" s="96">
        <v>79968.7</v>
      </c>
      <c r="F2092" s="96">
        <v>154422.39999999999</v>
      </c>
      <c r="G2092" s="96">
        <v>121331.8</v>
      </c>
      <c r="H2092" s="96">
        <v>110071.9</v>
      </c>
      <c r="I2092" s="96">
        <v>121331.8</v>
      </c>
      <c r="J2092" s="96">
        <v>170967.6</v>
      </c>
      <c r="K2092" s="96">
        <v>54921</v>
      </c>
      <c r="L2092" s="96">
        <v>60665.9</v>
      </c>
      <c r="M2092" s="96">
        <v>176482.7</v>
      </c>
      <c r="N2092" s="100">
        <v>54921</v>
      </c>
      <c r="Y2092" s="104"/>
      <c r="Z2092" s="104"/>
      <c r="AA2092" s="125"/>
    </row>
    <row r="2093" spans="1:27" s="64" customFormat="1">
      <c r="A2093" s="422"/>
      <c r="B2093" s="63" t="s">
        <v>5</v>
      </c>
      <c r="C2093" s="97">
        <v>90543.1</v>
      </c>
      <c r="D2093" s="97">
        <v>65654.600000000006</v>
      </c>
      <c r="E2093" s="97">
        <v>67032.399999999994</v>
      </c>
      <c r="F2093" s="97">
        <v>125509.6</v>
      </c>
      <c r="G2093" s="97">
        <v>87.9</v>
      </c>
      <c r="H2093" s="97">
        <v>14710.9</v>
      </c>
      <c r="I2093" s="97">
        <v>19535.099999999999</v>
      </c>
      <c r="J2093" s="97">
        <v>110696</v>
      </c>
      <c r="K2093" s="97">
        <v>26390.6</v>
      </c>
      <c r="L2093" s="97">
        <v>59.1</v>
      </c>
      <c r="M2093" s="97">
        <v>77931.899999999994</v>
      </c>
      <c r="N2093" s="102">
        <v>22908.6</v>
      </c>
      <c r="P2093" s="14"/>
      <c r="Q2093" s="104"/>
      <c r="R2093" s="104"/>
      <c r="S2093" s="104"/>
      <c r="T2093" s="104"/>
      <c r="U2093" s="104"/>
      <c r="V2093" s="104"/>
      <c r="W2093" s="104"/>
      <c r="X2093" s="104"/>
      <c r="Y2093" s="104"/>
      <c r="Z2093" s="104"/>
      <c r="AA2093" s="65"/>
    </row>
    <row r="2094" spans="1:27" ht="15.75" thickBot="1">
      <c r="A2094" s="423"/>
      <c r="B2094" s="3" t="s">
        <v>3</v>
      </c>
      <c r="C2094" s="71">
        <f>C2093/C2092</f>
        <v>0.78177863660539748</v>
      </c>
      <c r="D2094" s="72">
        <f t="shared" ref="D2094:N2094" si="1360">D2093/D2092</f>
        <v>0.82100371770455205</v>
      </c>
      <c r="E2094" s="72">
        <f t="shared" si="1360"/>
        <v>0.83823295864506986</v>
      </c>
      <c r="F2094" s="72">
        <f t="shared" si="1360"/>
        <v>0.81276809582029552</v>
      </c>
      <c r="G2094" s="72">
        <f t="shared" si="1360"/>
        <v>7.2445970471055401E-4</v>
      </c>
      <c r="H2094" s="72">
        <f t="shared" si="1360"/>
        <v>0.13364809728913557</v>
      </c>
      <c r="I2094" s="72">
        <f t="shared" si="1360"/>
        <v>0.16100560611480252</v>
      </c>
      <c r="J2094" s="72">
        <f t="shared" si="1360"/>
        <v>0.64746770733168157</v>
      </c>
      <c r="K2094" s="72">
        <f t="shared" si="1360"/>
        <v>0.48051929134575116</v>
      </c>
      <c r="L2094" s="72">
        <f t="shared" si="1360"/>
        <v>9.7418813534456755E-4</v>
      </c>
      <c r="M2094" s="72">
        <f t="shared" si="1360"/>
        <v>0.44158379263236558</v>
      </c>
      <c r="N2094" s="83">
        <f t="shared" si="1360"/>
        <v>0.4171191347571967</v>
      </c>
      <c r="Y2094" s="104"/>
      <c r="Z2094" s="104"/>
      <c r="AA2094" s="125"/>
    </row>
    <row r="2095" spans="1:27" ht="15" customHeight="1">
      <c r="A2095" s="411" t="s">
        <v>6</v>
      </c>
      <c r="B2095" s="27" t="s">
        <v>7</v>
      </c>
      <c r="C2095" s="68">
        <v>5006</v>
      </c>
      <c r="D2095" s="68">
        <v>3200</v>
      </c>
      <c r="E2095" s="68">
        <v>3200</v>
      </c>
      <c r="F2095" s="68">
        <v>9503</v>
      </c>
      <c r="G2095" s="68">
        <v>3200</v>
      </c>
      <c r="H2095" s="68">
        <v>4800</v>
      </c>
      <c r="I2095" s="68">
        <v>4000</v>
      </c>
      <c r="J2095" s="68">
        <v>9503</v>
      </c>
      <c r="K2095" s="68">
        <v>2700</v>
      </c>
      <c r="L2095" s="68">
        <v>1600</v>
      </c>
      <c r="M2095" s="68">
        <f>4643-2210</f>
        <v>2433</v>
      </c>
      <c r="N2095" s="80">
        <v>396</v>
      </c>
      <c r="Y2095" s="104"/>
      <c r="Z2095" s="104"/>
      <c r="AA2095" s="125"/>
    </row>
    <row r="2096" spans="1:27">
      <c r="A2096" s="412"/>
      <c r="B2096" s="28" t="s">
        <v>11</v>
      </c>
      <c r="C2096" s="73">
        <f t="shared" ref="C2096:N2096" si="1361">C2095*33.79</f>
        <v>169152.74</v>
      </c>
      <c r="D2096" s="73">
        <f t="shared" si="1361"/>
        <v>108128</v>
      </c>
      <c r="E2096" s="73">
        <f t="shared" si="1361"/>
        <v>108128</v>
      </c>
      <c r="F2096" s="73">
        <f t="shared" si="1361"/>
        <v>321106.37</v>
      </c>
      <c r="G2096" s="73">
        <f t="shared" si="1361"/>
        <v>108128</v>
      </c>
      <c r="H2096" s="73">
        <f t="shared" si="1361"/>
        <v>162192</v>
      </c>
      <c r="I2096" s="73">
        <f t="shared" si="1361"/>
        <v>135160</v>
      </c>
      <c r="J2096" s="73">
        <f t="shared" si="1361"/>
        <v>321106.37</v>
      </c>
      <c r="K2096" s="73">
        <f t="shared" si="1361"/>
        <v>91233</v>
      </c>
      <c r="L2096" s="73">
        <f t="shared" si="1361"/>
        <v>54064</v>
      </c>
      <c r="M2096" s="73">
        <f t="shared" si="1361"/>
        <v>82211.069999999992</v>
      </c>
      <c r="N2096" s="84">
        <f t="shared" si="1361"/>
        <v>13380.84</v>
      </c>
      <c r="Y2096" s="104"/>
      <c r="Z2096" s="104"/>
      <c r="AA2096" s="125"/>
    </row>
    <row r="2097" spans="1:27">
      <c r="A2097" s="412"/>
      <c r="B2097" s="28" t="s">
        <v>79</v>
      </c>
      <c r="C2097" s="73">
        <v>164000</v>
      </c>
      <c r="D2097" s="73">
        <v>109880</v>
      </c>
      <c r="E2097" s="73">
        <v>109880</v>
      </c>
      <c r="F2097" s="73">
        <v>328000</v>
      </c>
      <c r="G2097" s="73">
        <f>G2092*2</f>
        <v>242663.6</v>
      </c>
      <c r="H2097" s="73">
        <f>H2092*2</f>
        <v>220143.8</v>
      </c>
      <c r="I2097" s="73">
        <f>I2092*2</f>
        <v>242663.6</v>
      </c>
      <c r="J2097" s="73">
        <v>328000</v>
      </c>
      <c r="K2097" s="73">
        <f>K2092*2</f>
        <v>109842</v>
      </c>
      <c r="L2097" s="73">
        <v>328000</v>
      </c>
      <c r="M2097" s="73">
        <f>2*M2092</f>
        <v>352965.4</v>
      </c>
      <c r="N2097" s="84">
        <f>2*N2092</f>
        <v>109842</v>
      </c>
      <c r="Y2097" s="104"/>
      <c r="Z2097" s="104"/>
      <c r="AA2097" s="125"/>
    </row>
    <row r="2098" spans="1:27" s="64" customFormat="1">
      <c r="A2098" s="412"/>
      <c r="B2098" s="66" t="s">
        <v>8</v>
      </c>
      <c r="C2098" s="98">
        <f>SUM(C2095-489)</f>
        <v>4517</v>
      </c>
      <c r="D2098" s="98">
        <f>SUM(D2095-677)</f>
        <v>2523</v>
      </c>
      <c r="E2098" s="98">
        <f>SUM(E2095-661)</f>
        <v>2539</v>
      </c>
      <c r="F2098" s="98">
        <f>SUM(F2095-1230)</f>
        <v>8273</v>
      </c>
      <c r="G2098" s="98">
        <f>SUM(G2095-3164)</f>
        <v>36</v>
      </c>
      <c r="H2098" s="98">
        <f>SUM(H2095-3028)</f>
        <v>1772</v>
      </c>
      <c r="I2098" s="98">
        <f>SUM(I2095-2952)</f>
        <v>1048</v>
      </c>
      <c r="J2098" s="98">
        <f>SUM(J2095-1576)</f>
        <v>7927</v>
      </c>
      <c r="K2098" s="98">
        <f>SUM(K2095-1215)</f>
        <v>1485</v>
      </c>
      <c r="L2098" s="98">
        <f>SUM(L2095-1534)</f>
        <v>66</v>
      </c>
      <c r="M2098" s="98">
        <f>SUM(M2095-(3396-2210))</f>
        <v>1247</v>
      </c>
      <c r="N2098" s="103">
        <f>SUM(N2095-49)</f>
        <v>347</v>
      </c>
      <c r="P2098" s="14"/>
      <c r="Q2098" s="105"/>
      <c r="R2098" s="104"/>
      <c r="S2098" s="104"/>
      <c r="T2098" s="104"/>
      <c r="U2098" s="104"/>
      <c r="V2098" s="104"/>
      <c r="W2098" s="104"/>
      <c r="X2098" s="104"/>
      <c r="Y2098" s="67"/>
      <c r="Z2098" s="67"/>
    </row>
    <row r="2099" spans="1:27">
      <c r="A2099" s="412"/>
      <c r="B2099" s="29" t="s">
        <v>77</v>
      </c>
      <c r="C2099" s="75">
        <f>C2098*33.72</f>
        <v>152313.24</v>
      </c>
      <c r="D2099" s="75">
        <f>D2098*33.72</f>
        <v>85075.56</v>
      </c>
      <c r="E2099" s="75">
        <f>E2098*33.72</f>
        <v>85615.08</v>
      </c>
      <c r="F2099" s="75">
        <f>F2098*33.72</f>
        <v>278965.56</v>
      </c>
      <c r="G2099" s="75">
        <f>G2098*33.72*2</f>
        <v>2427.84</v>
      </c>
      <c r="H2099" s="75">
        <f>H2098*33.72</f>
        <v>59751.839999999997</v>
      </c>
      <c r="I2099" s="75">
        <f>I2098*33.72</f>
        <v>35338.559999999998</v>
      </c>
      <c r="J2099" s="75">
        <f>J2098*33.72</f>
        <v>267298.44</v>
      </c>
      <c r="K2099" s="75">
        <f>K2098*33.72</f>
        <v>50074.2</v>
      </c>
      <c r="L2099" s="75">
        <f>L2098*33.72</f>
        <v>2225.52</v>
      </c>
      <c r="M2099" s="75">
        <f>M2098*33.72*2</f>
        <v>84097.68</v>
      </c>
      <c r="N2099" s="11">
        <f>N2098*33.72</f>
        <v>11700.84</v>
      </c>
      <c r="Q2099" s="105"/>
    </row>
    <row r="2100" spans="1:27" ht="15.75" thickBot="1">
      <c r="A2100" s="412"/>
      <c r="B2100" s="30" t="s">
        <v>10</v>
      </c>
      <c r="C2100" s="71">
        <f>C2098*33.7/C2092</f>
        <v>1.314342133438327</v>
      </c>
      <c r="D2100" s="71">
        <f t="shared" ref="D2100:N2100" si="1362">D2098*33.7/D2092</f>
        <v>1.0632297386352412</v>
      </c>
      <c r="E2100" s="78">
        <f t="shared" si="1362"/>
        <v>1.069972376692381</v>
      </c>
      <c r="F2100" s="78">
        <f t="shared" si="1362"/>
        <v>1.8054382006755501</v>
      </c>
      <c r="G2100" s="78">
        <f t="shared" si="1362"/>
        <v>9.9990274602371355E-3</v>
      </c>
      <c r="H2100" s="78">
        <f t="shared" si="1362"/>
        <v>0.54252175169139449</v>
      </c>
      <c r="I2100" s="78">
        <f t="shared" si="1362"/>
        <v>0.2910827993980144</v>
      </c>
      <c r="J2100" s="78">
        <f t="shared" si="1362"/>
        <v>1.5625176934109153</v>
      </c>
      <c r="K2100" s="78">
        <f t="shared" si="1362"/>
        <v>0.91120882722455909</v>
      </c>
      <c r="L2100" s="78">
        <f t="shared" si="1362"/>
        <v>3.6663100687536164E-2</v>
      </c>
      <c r="M2100" s="79">
        <f t="shared" si="1362"/>
        <v>0.23811909042642707</v>
      </c>
      <c r="N2100" s="26">
        <f t="shared" si="1362"/>
        <v>0.21292219733799461</v>
      </c>
      <c r="Q2100" s="105"/>
    </row>
    <row r="2101" spans="1:27" ht="15.75" customHeight="1" thickBot="1">
      <c r="A2101" s="424" t="s">
        <v>83</v>
      </c>
      <c r="B2101" s="425"/>
      <c r="C2101" s="76">
        <f>MIN(2*C2092,C2097)-C2099</f>
        <v>11686.760000000009</v>
      </c>
      <c r="D2101" s="76">
        <f t="shared" ref="D2101:N2101" si="1363">MIN(2*D2092,D2097)-D2099</f>
        <v>24804.440000000002</v>
      </c>
      <c r="E2101" s="76">
        <f t="shared" si="1363"/>
        <v>24264.92</v>
      </c>
      <c r="F2101" s="76">
        <f t="shared" si="1363"/>
        <v>29879.239999999991</v>
      </c>
      <c r="G2101" s="76">
        <f t="shared" si="1363"/>
        <v>240235.76</v>
      </c>
      <c r="H2101" s="76">
        <f t="shared" si="1363"/>
        <v>160391.96</v>
      </c>
      <c r="I2101" s="76">
        <f t="shared" si="1363"/>
        <v>207325.04</v>
      </c>
      <c r="J2101" s="76">
        <f t="shared" si="1363"/>
        <v>60701.56</v>
      </c>
      <c r="K2101" s="76">
        <f t="shared" si="1363"/>
        <v>59767.8</v>
      </c>
      <c r="L2101" s="76">
        <f t="shared" si="1363"/>
        <v>119106.28</v>
      </c>
      <c r="M2101" s="76">
        <f t="shared" si="1363"/>
        <v>268867.72000000003</v>
      </c>
      <c r="N2101" s="22">
        <f t="shared" si="1363"/>
        <v>98141.16</v>
      </c>
      <c r="Q2101" s="105"/>
    </row>
    <row r="2102" spans="1:27" ht="15.75" thickBot="1">
      <c r="A2102" s="368">
        <v>40932</v>
      </c>
      <c r="B2102" s="368"/>
      <c r="C2102" s="368"/>
      <c r="N2102" s="15"/>
    </row>
    <row r="2103" spans="1:27">
      <c r="A2103" s="407" t="s">
        <v>1</v>
      </c>
      <c r="B2103" s="420"/>
      <c r="C2103" s="68" t="s">
        <v>12</v>
      </c>
      <c r="D2103" s="68" t="s">
        <v>12</v>
      </c>
      <c r="E2103" s="68" t="s">
        <v>13</v>
      </c>
      <c r="F2103" s="68" t="s">
        <v>13</v>
      </c>
      <c r="G2103" s="68" t="s">
        <v>13</v>
      </c>
      <c r="H2103" s="68" t="s">
        <v>13</v>
      </c>
      <c r="I2103" s="68" t="s">
        <v>13</v>
      </c>
      <c r="J2103" s="68" t="s">
        <v>2</v>
      </c>
      <c r="K2103" s="68" t="s">
        <v>2</v>
      </c>
      <c r="L2103" s="68" t="s">
        <v>2</v>
      </c>
      <c r="M2103" s="68" t="s">
        <v>2</v>
      </c>
      <c r="N2103" s="4" t="s">
        <v>84</v>
      </c>
      <c r="Y2103" s="104"/>
      <c r="Z2103" s="104"/>
      <c r="AA2103" s="124"/>
    </row>
    <row r="2104" spans="1:27" ht="15.75" thickBot="1">
      <c r="A2104" s="409" t="s">
        <v>0</v>
      </c>
      <c r="B2104" s="414"/>
      <c r="C2104" s="99" t="s">
        <v>102</v>
      </c>
      <c r="D2104" s="99" t="s">
        <v>103</v>
      </c>
      <c r="E2104" s="99" t="s">
        <v>104</v>
      </c>
      <c r="F2104" s="99" t="s">
        <v>105</v>
      </c>
      <c r="G2104" s="99" t="s">
        <v>100</v>
      </c>
      <c r="H2104" s="99" t="s">
        <v>107</v>
      </c>
      <c r="I2104" s="99" t="s">
        <v>106</v>
      </c>
      <c r="J2104" s="99" t="s">
        <v>108</v>
      </c>
      <c r="K2104" s="99" t="s">
        <v>110</v>
      </c>
      <c r="L2104" s="99" t="s">
        <v>101</v>
      </c>
      <c r="M2104" s="99" t="s">
        <v>109</v>
      </c>
      <c r="N2104" s="101" t="s">
        <v>111</v>
      </c>
      <c r="P2104" s="172"/>
      <c r="Q2104" s="105"/>
      <c r="R2104" s="105"/>
      <c r="S2104" s="105"/>
      <c r="T2104" s="105"/>
      <c r="U2104" s="105"/>
      <c r="V2104" s="105"/>
      <c r="W2104" s="105"/>
      <c r="X2104" s="105"/>
      <c r="Y2104" s="105"/>
      <c r="Z2104" s="105"/>
      <c r="AA2104" s="38"/>
    </row>
    <row r="2105" spans="1:27" ht="15" customHeight="1">
      <c r="A2105" s="421" t="s">
        <v>9</v>
      </c>
      <c r="B2105" s="2" t="s">
        <v>4</v>
      </c>
      <c r="C2105" s="96">
        <v>115816.8</v>
      </c>
      <c r="D2105" s="96">
        <v>79968.7</v>
      </c>
      <c r="E2105" s="96">
        <v>79968.7</v>
      </c>
      <c r="F2105" s="96">
        <v>154422.39999999999</v>
      </c>
      <c r="G2105" s="96">
        <v>121331.8</v>
      </c>
      <c r="H2105" s="96">
        <v>110071.9</v>
      </c>
      <c r="I2105" s="96">
        <v>121331.8</v>
      </c>
      <c r="J2105" s="96">
        <v>170967.6</v>
      </c>
      <c r="K2105" s="96">
        <v>54921</v>
      </c>
      <c r="L2105" s="96">
        <v>60665.9</v>
      </c>
      <c r="M2105" s="96">
        <v>176482.7</v>
      </c>
      <c r="N2105" s="100">
        <v>54921</v>
      </c>
      <c r="Y2105" s="104"/>
      <c r="Z2105" s="104"/>
      <c r="AA2105" s="124"/>
    </row>
    <row r="2106" spans="1:27" s="64" customFormat="1">
      <c r="A2106" s="422"/>
      <c r="B2106" s="63" t="s">
        <v>5</v>
      </c>
      <c r="C2106" s="97">
        <v>90381.8</v>
      </c>
      <c r="D2106" s="97">
        <v>65648.800000000003</v>
      </c>
      <c r="E2106" s="97">
        <v>67026.8</v>
      </c>
      <c r="F2106" s="97">
        <v>125279.9</v>
      </c>
      <c r="G2106" s="97">
        <v>87.9</v>
      </c>
      <c r="H2106" s="97">
        <v>14537.2</v>
      </c>
      <c r="I2106" s="97">
        <v>19533.099999999999</v>
      </c>
      <c r="J2106" s="97">
        <v>110434.2</v>
      </c>
      <c r="K2106" s="97">
        <v>26109.3</v>
      </c>
      <c r="L2106" s="97">
        <v>59.1</v>
      </c>
      <c r="M2106" s="97">
        <v>77652.7</v>
      </c>
      <c r="N2106" s="102">
        <v>22771</v>
      </c>
      <c r="P2106" s="14"/>
      <c r="Q2106" s="104"/>
      <c r="R2106" s="104"/>
      <c r="S2106" s="104"/>
      <c r="T2106" s="104"/>
      <c r="U2106" s="104"/>
      <c r="V2106" s="104"/>
      <c r="W2106" s="104"/>
      <c r="X2106" s="104"/>
      <c r="Y2106" s="104"/>
      <c r="Z2106" s="104"/>
      <c r="AA2106" s="65"/>
    </row>
    <row r="2107" spans="1:27" ht="15.75" thickBot="1">
      <c r="A2107" s="423"/>
      <c r="B2107" s="3" t="s">
        <v>3</v>
      </c>
      <c r="C2107" s="71">
        <f>C2106/C2105</f>
        <v>0.78038591983201056</v>
      </c>
      <c r="D2107" s="72">
        <f t="shared" ref="D2107:N2107" si="1364">D2106/D2105</f>
        <v>0.82093118932782461</v>
      </c>
      <c r="E2107" s="72">
        <f t="shared" si="1364"/>
        <v>0.83816293124685037</v>
      </c>
      <c r="F2107" s="72">
        <f t="shared" si="1364"/>
        <v>0.81128061731976708</v>
      </c>
      <c r="G2107" s="72">
        <f t="shared" si="1364"/>
        <v>7.2445970471055401E-4</v>
      </c>
      <c r="H2107" s="72">
        <f t="shared" si="1364"/>
        <v>0.13207003785707344</v>
      </c>
      <c r="I2107" s="72">
        <f t="shared" si="1364"/>
        <v>0.1609891223900082</v>
      </c>
      <c r="J2107" s="72">
        <f t="shared" si="1364"/>
        <v>0.64593642304155874</v>
      </c>
      <c r="K2107" s="72">
        <f t="shared" si="1364"/>
        <v>0.4753973889768941</v>
      </c>
      <c r="L2107" s="72">
        <f t="shared" si="1364"/>
        <v>9.7418813534456755E-4</v>
      </c>
      <c r="M2107" s="72">
        <f t="shared" si="1364"/>
        <v>0.44000176787866457</v>
      </c>
      <c r="N2107" s="83">
        <f t="shared" si="1364"/>
        <v>0.41461371788569035</v>
      </c>
      <c r="Y2107" s="104"/>
      <c r="Z2107" s="104"/>
      <c r="AA2107" s="124"/>
    </row>
    <row r="2108" spans="1:27" ht="15" customHeight="1">
      <c r="A2108" s="411" t="s">
        <v>6</v>
      </c>
      <c r="B2108" s="27" t="s">
        <v>7</v>
      </c>
      <c r="C2108" s="68">
        <v>5006</v>
      </c>
      <c r="D2108" s="68">
        <v>3200</v>
      </c>
      <c r="E2108" s="68">
        <v>3200</v>
      </c>
      <c r="F2108" s="68">
        <v>9503</v>
      </c>
      <c r="G2108" s="68">
        <v>3200</v>
      </c>
      <c r="H2108" s="68">
        <v>4800</v>
      </c>
      <c r="I2108" s="68">
        <v>4000</v>
      </c>
      <c r="J2108" s="68">
        <v>9503</v>
      </c>
      <c r="K2108" s="68">
        <v>2700</v>
      </c>
      <c r="L2108" s="68">
        <v>1600</v>
      </c>
      <c r="M2108" s="68">
        <f>4643-2210</f>
        <v>2433</v>
      </c>
      <c r="N2108" s="80">
        <v>396</v>
      </c>
      <c r="Y2108" s="104"/>
      <c r="Z2108" s="104"/>
      <c r="AA2108" s="124"/>
    </row>
    <row r="2109" spans="1:27">
      <c r="A2109" s="412"/>
      <c r="B2109" s="28" t="s">
        <v>11</v>
      </c>
      <c r="C2109" s="73">
        <f t="shared" ref="C2109:N2109" si="1365">C2108*33.79</f>
        <v>169152.74</v>
      </c>
      <c r="D2109" s="73">
        <f t="shared" si="1365"/>
        <v>108128</v>
      </c>
      <c r="E2109" s="73">
        <f t="shared" si="1365"/>
        <v>108128</v>
      </c>
      <c r="F2109" s="73">
        <f t="shared" si="1365"/>
        <v>321106.37</v>
      </c>
      <c r="G2109" s="73">
        <f t="shared" si="1365"/>
        <v>108128</v>
      </c>
      <c r="H2109" s="73">
        <f t="shared" si="1365"/>
        <v>162192</v>
      </c>
      <c r="I2109" s="73">
        <f t="shared" si="1365"/>
        <v>135160</v>
      </c>
      <c r="J2109" s="73">
        <f t="shared" si="1365"/>
        <v>321106.37</v>
      </c>
      <c r="K2109" s="73">
        <f t="shared" si="1365"/>
        <v>91233</v>
      </c>
      <c r="L2109" s="73">
        <f t="shared" si="1365"/>
        <v>54064</v>
      </c>
      <c r="M2109" s="73">
        <f t="shared" si="1365"/>
        <v>82211.069999999992</v>
      </c>
      <c r="N2109" s="84">
        <f t="shared" si="1365"/>
        <v>13380.84</v>
      </c>
      <c r="Y2109" s="104"/>
      <c r="Z2109" s="104"/>
      <c r="AA2109" s="124"/>
    </row>
    <row r="2110" spans="1:27">
      <c r="A2110" s="412"/>
      <c r="B2110" s="28" t="s">
        <v>79</v>
      </c>
      <c r="C2110" s="73">
        <v>164000</v>
      </c>
      <c r="D2110" s="73">
        <v>109880</v>
      </c>
      <c r="E2110" s="73">
        <v>109880</v>
      </c>
      <c r="F2110" s="73">
        <v>328000</v>
      </c>
      <c r="G2110" s="73">
        <f>G2105*2</f>
        <v>242663.6</v>
      </c>
      <c r="H2110" s="73">
        <f>H2105*2</f>
        <v>220143.8</v>
      </c>
      <c r="I2110" s="73">
        <f>I2105*2</f>
        <v>242663.6</v>
      </c>
      <c r="J2110" s="73">
        <v>328000</v>
      </c>
      <c r="K2110" s="73">
        <f>K2105*2</f>
        <v>109842</v>
      </c>
      <c r="L2110" s="73">
        <v>328000</v>
      </c>
      <c r="M2110" s="73">
        <f>2*M2105</f>
        <v>352965.4</v>
      </c>
      <c r="N2110" s="84">
        <f>2*N2105</f>
        <v>109842</v>
      </c>
      <c r="Y2110" s="104"/>
      <c r="Z2110" s="104"/>
      <c r="AA2110" s="124"/>
    </row>
    <row r="2111" spans="1:27" s="64" customFormat="1">
      <c r="A2111" s="412"/>
      <c r="B2111" s="66" t="s">
        <v>8</v>
      </c>
      <c r="C2111" s="98">
        <f>SUM(C2108-489)</f>
        <v>4517</v>
      </c>
      <c r="D2111" s="98">
        <f>SUM(D2108-677)</f>
        <v>2523</v>
      </c>
      <c r="E2111" s="98">
        <f>SUM(E2108-661)</f>
        <v>2539</v>
      </c>
      <c r="F2111" s="98">
        <f>SUM(F2108-1230)</f>
        <v>8273</v>
      </c>
      <c r="G2111" s="98">
        <f>SUM(G2108-3164)</f>
        <v>36</v>
      </c>
      <c r="H2111" s="98">
        <f>SUM(H2108-3088)</f>
        <v>1712</v>
      </c>
      <c r="I2111" s="98">
        <f>SUM(I2108-2952)</f>
        <v>1048</v>
      </c>
      <c r="J2111" s="98">
        <f>SUM(J2108-1576)</f>
        <v>7927</v>
      </c>
      <c r="K2111" s="98">
        <f>SUM(K2108-1233)</f>
        <v>1467</v>
      </c>
      <c r="L2111" s="98">
        <f>SUM(L2108-1534)</f>
        <v>66</v>
      </c>
      <c r="M2111" s="98">
        <f>SUM(M2108-(3396-2210))</f>
        <v>1247</v>
      </c>
      <c r="N2111" s="103">
        <f>SUM(N2108-49)</f>
        <v>347</v>
      </c>
      <c r="P2111" s="14"/>
      <c r="Q2111" s="105"/>
      <c r="R2111" s="104"/>
      <c r="S2111" s="104"/>
      <c r="T2111" s="104"/>
      <c r="U2111" s="104"/>
      <c r="V2111" s="104"/>
      <c r="W2111" s="104"/>
      <c r="X2111" s="104"/>
      <c r="Y2111" s="67"/>
      <c r="Z2111" s="67"/>
    </row>
    <row r="2112" spans="1:27">
      <c r="A2112" s="412"/>
      <c r="B2112" s="29" t="s">
        <v>77</v>
      </c>
      <c r="C2112" s="75">
        <f>C2111*33.72</f>
        <v>152313.24</v>
      </c>
      <c r="D2112" s="75">
        <f>D2111*33.72</f>
        <v>85075.56</v>
      </c>
      <c r="E2112" s="75">
        <f>E2111*33.72</f>
        <v>85615.08</v>
      </c>
      <c r="F2112" s="75">
        <f>F2111*33.72</f>
        <v>278965.56</v>
      </c>
      <c r="G2112" s="75">
        <f>G2111*33.72*2</f>
        <v>2427.84</v>
      </c>
      <c r="H2112" s="75">
        <f>H2111*33.72</f>
        <v>57728.639999999999</v>
      </c>
      <c r="I2112" s="75">
        <f>I2111*33.72</f>
        <v>35338.559999999998</v>
      </c>
      <c r="J2112" s="75">
        <f>J2111*33.72</f>
        <v>267298.44</v>
      </c>
      <c r="K2112" s="75">
        <f>K2111*33.72</f>
        <v>49467.24</v>
      </c>
      <c r="L2112" s="75">
        <f>L2111*33.72</f>
        <v>2225.52</v>
      </c>
      <c r="M2112" s="75">
        <f>M2111*33.72*2</f>
        <v>84097.68</v>
      </c>
      <c r="N2112" s="11">
        <f>N2111*33.72</f>
        <v>11700.84</v>
      </c>
      <c r="Q2112" s="105"/>
    </row>
    <row r="2113" spans="1:27" ht="15.75" thickBot="1">
      <c r="A2113" s="412"/>
      <c r="B2113" s="30" t="s">
        <v>10</v>
      </c>
      <c r="C2113" s="71">
        <f>C2111*33.7/C2105</f>
        <v>1.314342133438327</v>
      </c>
      <c r="D2113" s="71">
        <f t="shared" ref="D2113:N2113" si="1366">D2111*33.7/D2105</f>
        <v>1.0632297386352412</v>
      </c>
      <c r="E2113" s="78">
        <f t="shared" si="1366"/>
        <v>1.069972376692381</v>
      </c>
      <c r="F2113" s="78">
        <f t="shared" si="1366"/>
        <v>1.8054382006755501</v>
      </c>
      <c r="G2113" s="78">
        <f t="shared" si="1366"/>
        <v>9.9990274602371355E-3</v>
      </c>
      <c r="H2113" s="78">
        <f t="shared" si="1366"/>
        <v>0.52415194068604254</v>
      </c>
      <c r="I2113" s="78">
        <f t="shared" si="1366"/>
        <v>0.2910827993980144</v>
      </c>
      <c r="J2113" s="78">
        <f t="shared" si="1366"/>
        <v>1.5625176934109153</v>
      </c>
      <c r="K2113" s="78">
        <f t="shared" si="1366"/>
        <v>0.90016387174304913</v>
      </c>
      <c r="L2113" s="78">
        <f t="shared" si="1366"/>
        <v>3.6663100687536164E-2</v>
      </c>
      <c r="M2113" s="79">
        <f t="shared" si="1366"/>
        <v>0.23811909042642707</v>
      </c>
      <c r="N2113" s="26">
        <f t="shared" si="1366"/>
        <v>0.21292219733799461</v>
      </c>
      <c r="Q2113" s="105"/>
    </row>
    <row r="2114" spans="1:27" ht="15.75" customHeight="1" thickBot="1">
      <c r="A2114" s="424" t="s">
        <v>83</v>
      </c>
      <c r="B2114" s="425"/>
      <c r="C2114" s="76">
        <f>MIN(2*C2105,C2110)-C2112</f>
        <v>11686.760000000009</v>
      </c>
      <c r="D2114" s="76">
        <f t="shared" ref="D2114:N2114" si="1367">MIN(2*D2105,D2110)-D2112</f>
        <v>24804.440000000002</v>
      </c>
      <c r="E2114" s="76">
        <f t="shared" si="1367"/>
        <v>24264.92</v>
      </c>
      <c r="F2114" s="76">
        <f t="shared" si="1367"/>
        <v>29879.239999999991</v>
      </c>
      <c r="G2114" s="76">
        <f t="shared" si="1367"/>
        <v>240235.76</v>
      </c>
      <c r="H2114" s="76">
        <f t="shared" si="1367"/>
        <v>162415.15999999997</v>
      </c>
      <c r="I2114" s="76">
        <f t="shared" si="1367"/>
        <v>207325.04</v>
      </c>
      <c r="J2114" s="76">
        <f t="shared" si="1367"/>
        <v>60701.56</v>
      </c>
      <c r="K2114" s="76">
        <f t="shared" si="1367"/>
        <v>60374.76</v>
      </c>
      <c r="L2114" s="76">
        <f t="shared" si="1367"/>
        <v>119106.28</v>
      </c>
      <c r="M2114" s="76">
        <f t="shared" si="1367"/>
        <v>268867.72000000003</v>
      </c>
      <c r="N2114" s="22">
        <f t="shared" si="1367"/>
        <v>98141.16</v>
      </c>
      <c r="Q2114" s="105"/>
    </row>
    <row r="2115" spans="1:27" ht="15.75" thickBot="1">
      <c r="A2115" s="368">
        <v>40931</v>
      </c>
      <c r="B2115" s="368"/>
      <c r="C2115" s="368"/>
      <c r="N2115" s="15"/>
    </row>
    <row r="2116" spans="1:27">
      <c r="A2116" s="407" t="s">
        <v>1</v>
      </c>
      <c r="B2116" s="420"/>
      <c r="C2116" s="68" t="s">
        <v>12</v>
      </c>
      <c r="D2116" s="68" t="s">
        <v>12</v>
      </c>
      <c r="E2116" s="68" t="s">
        <v>13</v>
      </c>
      <c r="F2116" s="68" t="s">
        <v>13</v>
      </c>
      <c r="G2116" s="68" t="s">
        <v>13</v>
      </c>
      <c r="H2116" s="68" t="s">
        <v>13</v>
      </c>
      <c r="I2116" s="68" t="s">
        <v>13</v>
      </c>
      <c r="J2116" s="68" t="s">
        <v>2</v>
      </c>
      <c r="K2116" s="68" t="s">
        <v>2</v>
      </c>
      <c r="L2116" s="68" t="s">
        <v>2</v>
      </c>
      <c r="M2116" s="68" t="s">
        <v>2</v>
      </c>
      <c r="N2116" s="4" t="s">
        <v>84</v>
      </c>
      <c r="Y2116" s="104"/>
      <c r="Z2116" s="104"/>
      <c r="AA2116" s="122"/>
    </row>
    <row r="2117" spans="1:27" ht="15.75" thickBot="1">
      <c r="A2117" s="409" t="s">
        <v>0</v>
      </c>
      <c r="B2117" s="414"/>
      <c r="C2117" s="99" t="s">
        <v>102</v>
      </c>
      <c r="D2117" s="99" t="s">
        <v>103</v>
      </c>
      <c r="E2117" s="99" t="s">
        <v>104</v>
      </c>
      <c r="F2117" s="99" t="s">
        <v>105</v>
      </c>
      <c r="G2117" s="99" t="s">
        <v>100</v>
      </c>
      <c r="H2117" s="99" t="s">
        <v>107</v>
      </c>
      <c r="I2117" s="99" t="s">
        <v>106</v>
      </c>
      <c r="J2117" s="99" t="s">
        <v>108</v>
      </c>
      <c r="K2117" s="99" t="s">
        <v>110</v>
      </c>
      <c r="L2117" s="99" t="s">
        <v>101</v>
      </c>
      <c r="M2117" s="99" t="s">
        <v>109</v>
      </c>
      <c r="N2117" s="101" t="s">
        <v>111</v>
      </c>
      <c r="P2117" s="172"/>
      <c r="Q2117" s="105"/>
      <c r="R2117" s="105"/>
      <c r="S2117" s="105"/>
      <c r="T2117" s="105"/>
      <c r="U2117" s="105"/>
      <c r="V2117" s="105"/>
      <c r="W2117" s="105"/>
      <c r="X2117" s="105"/>
      <c r="Y2117" s="105"/>
      <c r="Z2117" s="105"/>
      <c r="AA2117" s="38"/>
    </row>
    <row r="2118" spans="1:27" ht="15" customHeight="1">
      <c r="A2118" s="421" t="s">
        <v>9</v>
      </c>
      <c r="B2118" s="2" t="s">
        <v>4</v>
      </c>
      <c r="C2118" s="96">
        <v>115816.8</v>
      </c>
      <c r="D2118" s="96">
        <v>79968.7</v>
      </c>
      <c r="E2118" s="96">
        <v>79968.7</v>
      </c>
      <c r="F2118" s="96">
        <v>154422.39999999999</v>
      </c>
      <c r="G2118" s="96">
        <v>121331.8</v>
      </c>
      <c r="H2118" s="96">
        <v>110071.9</v>
      </c>
      <c r="I2118" s="96">
        <v>121331.8</v>
      </c>
      <c r="J2118" s="96">
        <v>170967.6</v>
      </c>
      <c r="K2118" s="96">
        <v>54921</v>
      </c>
      <c r="L2118" s="96">
        <v>60665.9</v>
      </c>
      <c r="M2118" s="96">
        <v>176482.7</v>
      </c>
      <c r="N2118" s="100">
        <v>54921</v>
      </c>
      <c r="Y2118" s="104"/>
      <c r="Z2118" s="104"/>
      <c r="AA2118" s="122"/>
    </row>
    <row r="2119" spans="1:27" s="64" customFormat="1">
      <c r="A2119" s="422"/>
      <c r="B2119" s="63" t="s">
        <v>5</v>
      </c>
      <c r="C2119" s="97">
        <v>90341.4</v>
      </c>
      <c r="D2119" s="97">
        <v>65646.7</v>
      </c>
      <c r="E2119" s="97">
        <v>67024.7</v>
      </c>
      <c r="F2119" s="97">
        <v>125062.5</v>
      </c>
      <c r="G2119" s="97">
        <v>87.7</v>
      </c>
      <c r="H2119" s="97">
        <v>14516.4</v>
      </c>
      <c r="I2119" s="97">
        <v>19522.2</v>
      </c>
      <c r="J2119" s="97">
        <v>110366.3</v>
      </c>
      <c r="K2119" s="97">
        <v>26055.7</v>
      </c>
      <c r="L2119" s="97">
        <v>59</v>
      </c>
      <c r="M2119" s="97">
        <v>77630.7</v>
      </c>
      <c r="N2119" s="102">
        <v>22770.9</v>
      </c>
      <c r="P2119" s="14"/>
      <c r="Q2119" s="104"/>
      <c r="R2119" s="104"/>
      <c r="S2119" s="104"/>
      <c r="T2119" s="104"/>
      <c r="U2119" s="104"/>
      <c r="V2119" s="104"/>
      <c r="W2119" s="104"/>
      <c r="X2119" s="104"/>
      <c r="Y2119" s="104"/>
      <c r="Z2119" s="104"/>
      <c r="AA2119" s="65"/>
    </row>
    <row r="2120" spans="1:27" ht="15.75" thickBot="1">
      <c r="A2120" s="423"/>
      <c r="B2120" s="3" t="s">
        <v>3</v>
      </c>
      <c r="C2120" s="71">
        <f>C2119/C2118</f>
        <v>0.78003709306421865</v>
      </c>
      <c r="D2120" s="72">
        <f t="shared" ref="D2120:N2120" si="1368">D2119/D2118</f>
        <v>0.82090492905349222</v>
      </c>
      <c r="E2120" s="72">
        <f t="shared" si="1368"/>
        <v>0.83813667097251798</v>
      </c>
      <c r="F2120" s="72">
        <f t="shared" si="1368"/>
        <v>0.80987279047599314</v>
      </c>
      <c r="G2120" s="72">
        <f t="shared" si="1368"/>
        <v>7.2281133223112159E-4</v>
      </c>
      <c r="H2120" s="72">
        <f t="shared" si="1368"/>
        <v>0.13188107046394221</v>
      </c>
      <c r="I2120" s="72">
        <f t="shared" si="1368"/>
        <v>0.16089928608987916</v>
      </c>
      <c r="J2120" s="72">
        <f t="shared" si="1368"/>
        <v>0.64553927176845205</v>
      </c>
      <c r="K2120" s="72">
        <f t="shared" si="1368"/>
        <v>0.47442144170717943</v>
      </c>
      <c r="L2120" s="72">
        <f t="shared" si="1368"/>
        <v>9.7253976286513512E-4</v>
      </c>
      <c r="M2120" s="72">
        <f t="shared" si="1368"/>
        <v>0.43987710976769956</v>
      </c>
      <c r="N2120" s="83">
        <f t="shared" si="1368"/>
        <v>0.4146118970885454</v>
      </c>
      <c r="Y2120" s="104"/>
      <c r="Z2120" s="104"/>
      <c r="AA2120" s="122"/>
    </row>
    <row r="2121" spans="1:27" ht="15" customHeight="1">
      <c r="A2121" s="411" t="s">
        <v>6</v>
      </c>
      <c r="B2121" s="27" t="s">
        <v>7</v>
      </c>
      <c r="C2121" s="68">
        <v>5006</v>
      </c>
      <c r="D2121" s="68">
        <v>3200</v>
      </c>
      <c r="E2121" s="68">
        <v>3200</v>
      </c>
      <c r="F2121" s="68">
        <v>9503</v>
      </c>
      <c r="G2121" s="68">
        <v>3200</v>
      </c>
      <c r="H2121" s="68">
        <v>4800</v>
      </c>
      <c r="I2121" s="68">
        <v>4000</v>
      </c>
      <c r="J2121" s="68">
        <v>9503</v>
      </c>
      <c r="K2121" s="68">
        <v>2400</v>
      </c>
      <c r="L2121" s="68">
        <v>1600</v>
      </c>
      <c r="M2121" s="68">
        <f>4643-2210</f>
        <v>2433</v>
      </c>
      <c r="N2121" s="80">
        <v>396</v>
      </c>
      <c r="Y2121" s="104"/>
      <c r="Z2121" s="104"/>
      <c r="AA2121" s="122"/>
    </row>
    <row r="2122" spans="1:27">
      <c r="A2122" s="412"/>
      <c r="B2122" s="28" t="s">
        <v>11</v>
      </c>
      <c r="C2122" s="73">
        <f t="shared" ref="C2122:N2122" si="1369">C2121*33.79</f>
        <v>169152.74</v>
      </c>
      <c r="D2122" s="73">
        <f t="shared" si="1369"/>
        <v>108128</v>
      </c>
      <c r="E2122" s="73">
        <f t="shared" si="1369"/>
        <v>108128</v>
      </c>
      <c r="F2122" s="73">
        <f t="shared" si="1369"/>
        <v>321106.37</v>
      </c>
      <c r="G2122" s="73">
        <f t="shared" si="1369"/>
        <v>108128</v>
      </c>
      <c r="H2122" s="73">
        <f t="shared" si="1369"/>
        <v>162192</v>
      </c>
      <c r="I2122" s="73">
        <f t="shared" si="1369"/>
        <v>135160</v>
      </c>
      <c r="J2122" s="73">
        <f t="shared" si="1369"/>
        <v>321106.37</v>
      </c>
      <c r="K2122" s="73">
        <f t="shared" si="1369"/>
        <v>81096</v>
      </c>
      <c r="L2122" s="73">
        <f t="shared" si="1369"/>
        <v>54064</v>
      </c>
      <c r="M2122" s="73">
        <f t="shared" si="1369"/>
        <v>82211.069999999992</v>
      </c>
      <c r="N2122" s="84">
        <f t="shared" si="1369"/>
        <v>13380.84</v>
      </c>
      <c r="Y2122" s="104"/>
      <c r="Z2122" s="104"/>
      <c r="AA2122" s="122"/>
    </row>
    <row r="2123" spans="1:27">
      <c r="A2123" s="412"/>
      <c r="B2123" s="28" t="s">
        <v>79</v>
      </c>
      <c r="C2123" s="73">
        <v>164000</v>
      </c>
      <c r="D2123" s="73">
        <v>109880</v>
      </c>
      <c r="E2123" s="73">
        <v>109880</v>
      </c>
      <c r="F2123" s="73">
        <v>328000</v>
      </c>
      <c r="G2123" s="73">
        <f>G2118*2</f>
        <v>242663.6</v>
      </c>
      <c r="H2123" s="73">
        <f>H2118*2</f>
        <v>220143.8</v>
      </c>
      <c r="I2123" s="73">
        <f>I2118*2</f>
        <v>242663.6</v>
      </c>
      <c r="J2123" s="73">
        <v>328000</v>
      </c>
      <c r="K2123" s="73">
        <f>K2118*2</f>
        <v>109842</v>
      </c>
      <c r="L2123" s="73">
        <v>328000</v>
      </c>
      <c r="M2123" s="73">
        <f>2*M2118</f>
        <v>352965.4</v>
      </c>
      <c r="N2123" s="84">
        <f>2*N2118</f>
        <v>109842</v>
      </c>
      <c r="Y2123" s="104"/>
      <c r="Z2123" s="104"/>
      <c r="AA2123" s="122"/>
    </row>
    <row r="2124" spans="1:27" s="64" customFormat="1">
      <c r="A2124" s="412"/>
      <c r="B2124" s="66" t="s">
        <v>8</v>
      </c>
      <c r="C2124" s="98">
        <f>SUM(C2121-489)</f>
        <v>4517</v>
      </c>
      <c r="D2124" s="98">
        <f>SUM(D2121-677)</f>
        <v>2523</v>
      </c>
      <c r="E2124" s="98">
        <f>SUM(E2121-661)</f>
        <v>2539</v>
      </c>
      <c r="F2124" s="98">
        <f>SUM(F2121-1230)</f>
        <v>8273</v>
      </c>
      <c r="G2124" s="98">
        <f>SUM(G2121-3164)</f>
        <v>36</v>
      </c>
      <c r="H2124" s="98">
        <f>SUM(H2121-3097)</f>
        <v>1703</v>
      </c>
      <c r="I2124" s="98">
        <f>SUM(I2121-2952)</f>
        <v>1048</v>
      </c>
      <c r="J2124" s="98">
        <f>SUM(J2121-1576)</f>
        <v>7927</v>
      </c>
      <c r="K2124" s="98">
        <f>SUM(K2121-933)</f>
        <v>1467</v>
      </c>
      <c r="L2124" s="98">
        <f>SUM(L2121-1534)</f>
        <v>66</v>
      </c>
      <c r="M2124" s="98">
        <f>SUM(M2121-(3396-2210))</f>
        <v>1247</v>
      </c>
      <c r="N2124" s="103">
        <f>SUM(N2121-49)</f>
        <v>347</v>
      </c>
      <c r="P2124" s="14"/>
      <c r="Q2124" s="105"/>
      <c r="R2124" s="104"/>
      <c r="S2124" s="104"/>
      <c r="T2124" s="104"/>
      <c r="U2124" s="104"/>
      <c r="V2124" s="104"/>
      <c r="W2124" s="104"/>
      <c r="X2124" s="104"/>
      <c r="Y2124" s="67"/>
      <c r="Z2124" s="67"/>
    </row>
    <row r="2125" spans="1:27">
      <c r="A2125" s="412"/>
      <c r="B2125" s="29" t="s">
        <v>77</v>
      </c>
      <c r="C2125" s="75">
        <f>C2124*33.72</f>
        <v>152313.24</v>
      </c>
      <c r="D2125" s="75">
        <f>D2124*33.72</f>
        <v>85075.56</v>
      </c>
      <c r="E2125" s="75">
        <f>E2124*33.72</f>
        <v>85615.08</v>
      </c>
      <c r="F2125" s="75">
        <f>F2124*33.72</f>
        <v>278965.56</v>
      </c>
      <c r="G2125" s="75">
        <f>G2124*33.72*2</f>
        <v>2427.84</v>
      </c>
      <c r="H2125" s="75">
        <f>H2124*33.72</f>
        <v>57425.159999999996</v>
      </c>
      <c r="I2125" s="75">
        <f>I2124*33.72</f>
        <v>35338.559999999998</v>
      </c>
      <c r="J2125" s="75">
        <f>J2124*33.72</f>
        <v>267298.44</v>
      </c>
      <c r="K2125" s="75">
        <f>K2124*33.72</f>
        <v>49467.24</v>
      </c>
      <c r="L2125" s="75">
        <f>L2124*33.72</f>
        <v>2225.52</v>
      </c>
      <c r="M2125" s="75">
        <f>M2124*33.72*2</f>
        <v>84097.68</v>
      </c>
      <c r="N2125" s="11">
        <f>N2124*33.72</f>
        <v>11700.84</v>
      </c>
      <c r="Q2125" s="105"/>
    </row>
    <row r="2126" spans="1:27" ht="15.75" thickBot="1">
      <c r="A2126" s="412"/>
      <c r="B2126" s="30" t="s">
        <v>10</v>
      </c>
      <c r="C2126" s="71">
        <f>C2124*33.7/C2118</f>
        <v>1.314342133438327</v>
      </c>
      <c r="D2126" s="71">
        <f t="shared" ref="D2126:N2126" si="1370">D2124*33.7/D2118</f>
        <v>1.0632297386352412</v>
      </c>
      <c r="E2126" s="78">
        <f t="shared" si="1370"/>
        <v>1.069972376692381</v>
      </c>
      <c r="F2126" s="78">
        <f t="shared" si="1370"/>
        <v>1.8054382006755501</v>
      </c>
      <c r="G2126" s="78">
        <f t="shared" si="1370"/>
        <v>9.9990274602371355E-3</v>
      </c>
      <c r="H2126" s="78">
        <f t="shared" si="1370"/>
        <v>0.52139646903523973</v>
      </c>
      <c r="I2126" s="78">
        <f t="shared" si="1370"/>
        <v>0.2910827993980144</v>
      </c>
      <c r="J2126" s="78">
        <f t="shared" si="1370"/>
        <v>1.5625176934109153</v>
      </c>
      <c r="K2126" s="78">
        <f t="shared" si="1370"/>
        <v>0.90016387174304913</v>
      </c>
      <c r="L2126" s="78">
        <f t="shared" si="1370"/>
        <v>3.6663100687536164E-2</v>
      </c>
      <c r="M2126" s="79">
        <f t="shared" si="1370"/>
        <v>0.23811909042642707</v>
      </c>
      <c r="N2126" s="26">
        <f t="shared" si="1370"/>
        <v>0.21292219733799461</v>
      </c>
      <c r="Q2126" s="105"/>
    </row>
    <row r="2127" spans="1:27" ht="15.75" customHeight="1" thickBot="1">
      <c r="A2127" s="424" t="s">
        <v>83</v>
      </c>
      <c r="B2127" s="425"/>
      <c r="C2127" s="76">
        <f>MIN(2*C2118,C2123)-C2125</f>
        <v>11686.760000000009</v>
      </c>
      <c r="D2127" s="76">
        <f t="shared" ref="D2127:N2127" si="1371">MIN(2*D2118,D2123)-D2125</f>
        <v>24804.440000000002</v>
      </c>
      <c r="E2127" s="76">
        <f t="shared" si="1371"/>
        <v>24264.92</v>
      </c>
      <c r="F2127" s="76">
        <f t="shared" si="1371"/>
        <v>29879.239999999991</v>
      </c>
      <c r="G2127" s="76">
        <f t="shared" si="1371"/>
        <v>240235.76</v>
      </c>
      <c r="H2127" s="76">
        <f t="shared" si="1371"/>
        <v>162718.63999999998</v>
      </c>
      <c r="I2127" s="76">
        <f t="shared" si="1371"/>
        <v>207325.04</v>
      </c>
      <c r="J2127" s="76">
        <f t="shared" si="1371"/>
        <v>60701.56</v>
      </c>
      <c r="K2127" s="76">
        <f t="shared" si="1371"/>
        <v>60374.76</v>
      </c>
      <c r="L2127" s="76">
        <f t="shared" si="1371"/>
        <v>119106.28</v>
      </c>
      <c r="M2127" s="76">
        <f t="shared" si="1371"/>
        <v>268867.72000000003</v>
      </c>
      <c r="N2127" s="22">
        <f t="shared" si="1371"/>
        <v>98141.16</v>
      </c>
      <c r="Q2127" s="105"/>
    </row>
    <row r="2128" spans="1:27" ht="15.75" thickBot="1">
      <c r="A2128" s="368">
        <v>40928</v>
      </c>
      <c r="B2128" s="368"/>
      <c r="C2128" s="368"/>
      <c r="N2128" s="15"/>
    </row>
    <row r="2129" spans="1:27">
      <c r="A2129" s="407" t="s">
        <v>1</v>
      </c>
      <c r="B2129" s="420"/>
      <c r="C2129" s="68" t="s">
        <v>12</v>
      </c>
      <c r="D2129" s="68" t="s">
        <v>12</v>
      </c>
      <c r="E2129" s="68" t="s">
        <v>13</v>
      </c>
      <c r="F2129" s="68" t="s">
        <v>13</v>
      </c>
      <c r="G2129" s="68" t="s">
        <v>13</v>
      </c>
      <c r="H2129" s="68" t="s">
        <v>13</v>
      </c>
      <c r="I2129" s="68" t="s">
        <v>13</v>
      </c>
      <c r="J2129" s="68" t="s">
        <v>2</v>
      </c>
      <c r="K2129" s="68" t="s">
        <v>2</v>
      </c>
      <c r="L2129" s="68" t="s">
        <v>2</v>
      </c>
      <c r="M2129" s="68" t="s">
        <v>2</v>
      </c>
      <c r="N2129" s="4" t="s">
        <v>84</v>
      </c>
      <c r="Y2129" s="104"/>
      <c r="Z2129" s="104"/>
      <c r="AA2129" s="121"/>
    </row>
    <row r="2130" spans="1:27" ht="15.75" thickBot="1">
      <c r="A2130" s="409" t="s">
        <v>0</v>
      </c>
      <c r="B2130" s="414"/>
      <c r="C2130" s="99" t="s">
        <v>102</v>
      </c>
      <c r="D2130" s="99" t="s">
        <v>103</v>
      </c>
      <c r="E2130" s="99" t="s">
        <v>104</v>
      </c>
      <c r="F2130" s="99" t="s">
        <v>105</v>
      </c>
      <c r="G2130" s="99" t="s">
        <v>100</v>
      </c>
      <c r="H2130" s="99" t="s">
        <v>107</v>
      </c>
      <c r="I2130" s="99" t="s">
        <v>106</v>
      </c>
      <c r="J2130" s="99" t="s">
        <v>108</v>
      </c>
      <c r="K2130" s="99" t="s">
        <v>110</v>
      </c>
      <c r="L2130" s="99" t="s">
        <v>101</v>
      </c>
      <c r="M2130" s="99" t="s">
        <v>109</v>
      </c>
      <c r="N2130" s="101" t="s">
        <v>111</v>
      </c>
      <c r="P2130" s="172"/>
      <c r="Q2130" s="105"/>
      <c r="R2130" s="105"/>
      <c r="S2130" s="105"/>
      <c r="T2130" s="105"/>
      <c r="U2130" s="105"/>
      <c r="V2130" s="105"/>
      <c r="W2130" s="105"/>
      <c r="X2130" s="105"/>
      <c r="Y2130" s="105"/>
      <c r="Z2130" s="105"/>
      <c r="AA2130" s="38"/>
    </row>
    <row r="2131" spans="1:27" ht="15" customHeight="1">
      <c r="A2131" s="421" t="s">
        <v>9</v>
      </c>
      <c r="B2131" s="2" t="s">
        <v>4</v>
      </c>
      <c r="C2131" s="96">
        <v>115816.8</v>
      </c>
      <c r="D2131" s="96">
        <v>79968.7</v>
      </c>
      <c r="E2131" s="96">
        <v>79968.7</v>
      </c>
      <c r="F2131" s="96">
        <v>154422.39999999999</v>
      </c>
      <c r="G2131" s="96">
        <v>121331.8</v>
      </c>
      <c r="H2131" s="96">
        <v>110071.9</v>
      </c>
      <c r="I2131" s="96">
        <v>121331.8</v>
      </c>
      <c r="J2131" s="96">
        <v>170967.6</v>
      </c>
      <c r="K2131" s="96">
        <v>54921</v>
      </c>
      <c r="L2131" s="96">
        <v>60665.9</v>
      </c>
      <c r="M2131" s="96">
        <v>176482.7</v>
      </c>
      <c r="N2131" s="100">
        <v>54921</v>
      </c>
      <c r="Y2131" s="104"/>
      <c r="Z2131" s="104"/>
      <c r="AA2131" s="121"/>
    </row>
    <row r="2132" spans="1:27" s="64" customFormat="1">
      <c r="A2132" s="422"/>
      <c r="B2132" s="63" t="s">
        <v>5</v>
      </c>
      <c r="C2132" s="97">
        <v>90139.6</v>
      </c>
      <c r="D2132" s="97">
        <v>65493.7</v>
      </c>
      <c r="E2132" s="97">
        <v>66871.899999999994</v>
      </c>
      <c r="F2132" s="97">
        <v>124516.2</v>
      </c>
      <c r="G2132" s="97">
        <v>86.7</v>
      </c>
      <c r="H2132" s="97">
        <v>14350.6</v>
      </c>
      <c r="I2132" s="97">
        <v>19376.5</v>
      </c>
      <c r="J2132" s="97">
        <v>109870.5</v>
      </c>
      <c r="K2132" s="97">
        <v>25994.9</v>
      </c>
      <c r="L2132" s="97">
        <v>58.5</v>
      </c>
      <c r="M2132" s="97">
        <v>76870</v>
      </c>
      <c r="N2132" s="102">
        <v>22770.5</v>
      </c>
      <c r="P2132" s="14"/>
      <c r="Q2132" s="104"/>
      <c r="R2132" s="104"/>
      <c r="S2132" s="104"/>
      <c r="T2132" s="104"/>
      <c r="U2132" s="104"/>
      <c r="V2132" s="104"/>
      <c r="W2132" s="104"/>
      <c r="X2132" s="104"/>
      <c r="Y2132" s="104"/>
      <c r="Z2132" s="104"/>
      <c r="AA2132" s="65"/>
    </row>
    <row r="2133" spans="1:27" ht="15.75" thickBot="1">
      <c r="A2133" s="423"/>
      <c r="B2133" s="3" t="s">
        <v>3</v>
      </c>
      <c r="C2133" s="71">
        <f>C2132/C2131</f>
        <v>0.77829468609044627</v>
      </c>
      <c r="D2133" s="72">
        <f t="shared" ref="D2133:N2133" si="1372">D2132/D2131</f>
        <v>0.81899168049499371</v>
      </c>
      <c r="E2133" s="72">
        <f t="shared" si="1372"/>
        <v>0.83622592339252733</v>
      </c>
      <c r="F2133" s="72">
        <f t="shared" si="1372"/>
        <v>0.8063350912820938</v>
      </c>
      <c r="G2133" s="72">
        <f t="shared" si="1372"/>
        <v>7.1456946983395947E-4</v>
      </c>
      <c r="H2133" s="72">
        <f t="shared" si="1372"/>
        <v>0.13037478230138666</v>
      </c>
      <c r="I2133" s="72">
        <f t="shared" si="1372"/>
        <v>0.15969844673861264</v>
      </c>
      <c r="J2133" s="72">
        <f t="shared" si="1372"/>
        <v>0.64263930709678319</v>
      </c>
      <c r="K2133" s="72">
        <f t="shared" si="1372"/>
        <v>0.47331439704302547</v>
      </c>
      <c r="L2133" s="72">
        <f t="shared" si="1372"/>
        <v>9.6429790046797289E-4</v>
      </c>
      <c r="M2133" s="72">
        <f t="shared" si="1372"/>
        <v>0.4355667722671967</v>
      </c>
      <c r="N2133" s="83">
        <f t="shared" si="1372"/>
        <v>0.41460461389996539</v>
      </c>
      <c r="Y2133" s="104"/>
      <c r="Z2133" s="104"/>
      <c r="AA2133" s="121"/>
    </row>
    <row r="2134" spans="1:27" ht="15" customHeight="1">
      <c r="A2134" s="411" t="s">
        <v>6</v>
      </c>
      <c r="B2134" s="27" t="s">
        <v>7</v>
      </c>
      <c r="C2134" s="68">
        <v>5006</v>
      </c>
      <c r="D2134" s="68">
        <v>3200</v>
      </c>
      <c r="E2134" s="68">
        <v>3200</v>
      </c>
      <c r="F2134" s="68">
        <v>9503</v>
      </c>
      <c r="G2134" s="68">
        <v>3200</v>
      </c>
      <c r="H2134" s="68">
        <v>4800</v>
      </c>
      <c r="I2134" s="68">
        <v>4000</v>
      </c>
      <c r="J2134" s="68">
        <v>9503</v>
      </c>
      <c r="K2134" s="68">
        <v>2400</v>
      </c>
      <c r="L2134" s="68">
        <v>1600</v>
      </c>
      <c r="M2134" s="68">
        <f>4643-2210</f>
        <v>2433</v>
      </c>
      <c r="N2134" s="80">
        <v>396</v>
      </c>
      <c r="Y2134" s="104"/>
      <c r="Z2134" s="104"/>
      <c r="AA2134" s="121"/>
    </row>
    <row r="2135" spans="1:27">
      <c r="A2135" s="412"/>
      <c r="B2135" s="28" t="s">
        <v>11</v>
      </c>
      <c r="C2135" s="73">
        <f t="shared" ref="C2135:N2135" si="1373">C2134*33.79</f>
        <v>169152.74</v>
      </c>
      <c r="D2135" s="73">
        <f t="shared" si="1373"/>
        <v>108128</v>
      </c>
      <c r="E2135" s="73">
        <f t="shared" si="1373"/>
        <v>108128</v>
      </c>
      <c r="F2135" s="73">
        <f t="shared" si="1373"/>
        <v>321106.37</v>
      </c>
      <c r="G2135" s="73">
        <f t="shared" si="1373"/>
        <v>108128</v>
      </c>
      <c r="H2135" s="73">
        <f t="shared" si="1373"/>
        <v>162192</v>
      </c>
      <c r="I2135" s="73">
        <f t="shared" si="1373"/>
        <v>135160</v>
      </c>
      <c r="J2135" s="73">
        <f t="shared" si="1373"/>
        <v>321106.37</v>
      </c>
      <c r="K2135" s="73">
        <f t="shared" si="1373"/>
        <v>81096</v>
      </c>
      <c r="L2135" s="73">
        <f t="shared" si="1373"/>
        <v>54064</v>
      </c>
      <c r="M2135" s="73">
        <f t="shared" si="1373"/>
        <v>82211.069999999992</v>
      </c>
      <c r="N2135" s="84">
        <f t="shared" si="1373"/>
        <v>13380.84</v>
      </c>
      <c r="Y2135" s="104"/>
      <c r="Z2135" s="104"/>
      <c r="AA2135" s="121"/>
    </row>
    <row r="2136" spans="1:27">
      <c r="A2136" s="412"/>
      <c r="B2136" s="28" t="s">
        <v>79</v>
      </c>
      <c r="C2136" s="73">
        <v>164000</v>
      </c>
      <c r="D2136" s="73">
        <v>109880</v>
      </c>
      <c r="E2136" s="73">
        <v>109880</v>
      </c>
      <c r="F2136" s="73">
        <v>328000</v>
      </c>
      <c r="G2136" s="73">
        <f>G2131*2</f>
        <v>242663.6</v>
      </c>
      <c r="H2136" s="73">
        <f>H2131*2</f>
        <v>220143.8</v>
      </c>
      <c r="I2136" s="73">
        <f>I2131*2</f>
        <v>242663.6</v>
      </c>
      <c r="J2136" s="73">
        <v>328000</v>
      </c>
      <c r="K2136" s="73">
        <f>K2131*2</f>
        <v>109842</v>
      </c>
      <c r="L2136" s="73">
        <v>328000</v>
      </c>
      <c r="M2136" s="73">
        <f>2*M2131</f>
        <v>352965.4</v>
      </c>
      <c r="N2136" s="84">
        <f>2*N2131</f>
        <v>109842</v>
      </c>
      <c r="Y2136" s="104"/>
      <c r="Z2136" s="104"/>
      <c r="AA2136" s="121"/>
    </row>
    <row r="2137" spans="1:27" s="64" customFormat="1">
      <c r="A2137" s="412"/>
      <c r="B2137" s="66" t="s">
        <v>8</v>
      </c>
      <c r="C2137" s="98">
        <f>SUM(C2134-489)</f>
        <v>4517</v>
      </c>
      <c r="D2137" s="98">
        <f>SUM(D2134-677)</f>
        <v>2523</v>
      </c>
      <c r="E2137" s="98">
        <f>SUM(E2134-661)</f>
        <v>2539</v>
      </c>
      <c r="F2137" s="98">
        <f>SUM(F2134-1230)</f>
        <v>8273</v>
      </c>
      <c r="G2137" s="98">
        <f>SUM(G2134-3164)</f>
        <v>36</v>
      </c>
      <c r="H2137" s="98">
        <f>SUM(H2134-3097)</f>
        <v>1703</v>
      </c>
      <c r="I2137" s="98">
        <f>SUM(I2134-2952)</f>
        <v>1048</v>
      </c>
      <c r="J2137" s="98">
        <f>SUM(J2134-1582)</f>
        <v>7921</v>
      </c>
      <c r="K2137" s="98">
        <f>SUM(K2134-933)</f>
        <v>1467</v>
      </c>
      <c r="L2137" s="98">
        <f>SUM(L2134-1534)</f>
        <v>66</v>
      </c>
      <c r="M2137" s="98">
        <f>SUM(M2134-(3396-2210))</f>
        <v>1247</v>
      </c>
      <c r="N2137" s="103">
        <f>SUM(N2134-49)</f>
        <v>347</v>
      </c>
      <c r="P2137" s="14"/>
      <c r="Q2137" s="105"/>
      <c r="R2137" s="104"/>
      <c r="S2137" s="104"/>
      <c r="T2137" s="104"/>
      <c r="U2137" s="104"/>
      <c r="V2137" s="104"/>
      <c r="W2137" s="104"/>
      <c r="X2137" s="104"/>
      <c r="Y2137" s="67"/>
      <c r="Z2137" s="67"/>
    </row>
    <row r="2138" spans="1:27">
      <c r="A2138" s="412"/>
      <c r="B2138" s="29" t="s">
        <v>77</v>
      </c>
      <c r="C2138" s="75">
        <f>C2137*33.72</f>
        <v>152313.24</v>
      </c>
      <c r="D2138" s="75">
        <f>D2137*33.72</f>
        <v>85075.56</v>
      </c>
      <c r="E2138" s="75">
        <f>E2137*33.72</f>
        <v>85615.08</v>
      </c>
      <c r="F2138" s="75">
        <f>F2137*33.72</f>
        <v>278965.56</v>
      </c>
      <c r="G2138" s="75">
        <f>G2137*33.72*2</f>
        <v>2427.84</v>
      </c>
      <c r="H2138" s="75">
        <f>H2137*33.72</f>
        <v>57425.159999999996</v>
      </c>
      <c r="I2138" s="75">
        <f>I2137*33.72</f>
        <v>35338.559999999998</v>
      </c>
      <c r="J2138" s="75">
        <f>J2137*33.72</f>
        <v>267096.12</v>
      </c>
      <c r="K2138" s="75">
        <f>K2137*33.72</f>
        <v>49467.24</v>
      </c>
      <c r="L2138" s="75">
        <f>L2137*33.72</f>
        <v>2225.52</v>
      </c>
      <c r="M2138" s="75">
        <f>M2137*33.72*2</f>
        <v>84097.68</v>
      </c>
      <c r="N2138" s="11">
        <f>N2137*33.72</f>
        <v>11700.84</v>
      </c>
      <c r="Q2138" s="105"/>
    </row>
    <row r="2139" spans="1:27" ht="15.75" thickBot="1">
      <c r="A2139" s="412"/>
      <c r="B2139" s="30" t="s">
        <v>10</v>
      </c>
      <c r="C2139" s="71">
        <f>C2137*33.7/C2131</f>
        <v>1.314342133438327</v>
      </c>
      <c r="D2139" s="71">
        <f t="shared" ref="D2139:N2139" si="1374">D2137*33.7/D2131</f>
        <v>1.0632297386352412</v>
      </c>
      <c r="E2139" s="78">
        <f t="shared" si="1374"/>
        <v>1.069972376692381</v>
      </c>
      <c r="F2139" s="78">
        <f t="shared" si="1374"/>
        <v>1.8054382006755501</v>
      </c>
      <c r="G2139" s="78">
        <f t="shared" si="1374"/>
        <v>9.9990274602371355E-3</v>
      </c>
      <c r="H2139" s="78">
        <f t="shared" si="1374"/>
        <v>0.52139646903523973</v>
      </c>
      <c r="I2139" s="78">
        <f t="shared" si="1374"/>
        <v>0.2910827993980144</v>
      </c>
      <c r="J2139" s="78">
        <f t="shared" si="1374"/>
        <v>1.5613350131837846</v>
      </c>
      <c r="K2139" s="78">
        <f t="shared" si="1374"/>
        <v>0.90016387174304913</v>
      </c>
      <c r="L2139" s="78">
        <f t="shared" si="1374"/>
        <v>3.6663100687536164E-2</v>
      </c>
      <c r="M2139" s="79">
        <f t="shared" si="1374"/>
        <v>0.23811909042642707</v>
      </c>
      <c r="N2139" s="26">
        <f t="shared" si="1374"/>
        <v>0.21292219733799461</v>
      </c>
      <c r="Q2139" s="105"/>
    </row>
    <row r="2140" spans="1:27" ht="15.75" customHeight="1" thickBot="1">
      <c r="A2140" s="424" t="s">
        <v>83</v>
      </c>
      <c r="B2140" s="425"/>
      <c r="C2140" s="76">
        <f>MIN(2*C2131,C2136)-C2138</f>
        <v>11686.760000000009</v>
      </c>
      <c r="D2140" s="76">
        <f t="shared" ref="D2140:N2140" si="1375">MIN(2*D2131,D2136)-D2138</f>
        <v>24804.440000000002</v>
      </c>
      <c r="E2140" s="76">
        <f t="shared" si="1375"/>
        <v>24264.92</v>
      </c>
      <c r="F2140" s="76">
        <f t="shared" si="1375"/>
        <v>29879.239999999991</v>
      </c>
      <c r="G2140" s="76">
        <f t="shared" si="1375"/>
        <v>240235.76</v>
      </c>
      <c r="H2140" s="76">
        <f t="shared" si="1375"/>
        <v>162718.63999999998</v>
      </c>
      <c r="I2140" s="76">
        <f t="shared" si="1375"/>
        <v>207325.04</v>
      </c>
      <c r="J2140" s="76">
        <f t="shared" si="1375"/>
        <v>60903.880000000005</v>
      </c>
      <c r="K2140" s="76">
        <f t="shared" si="1375"/>
        <v>60374.76</v>
      </c>
      <c r="L2140" s="76">
        <f t="shared" si="1375"/>
        <v>119106.28</v>
      </c>
      <c r="M2140" s="76">
        <f t="shared" si="1375"/>
        <v>268867.72000000003</v>
      </c>
      <c r="N2140" s="22">
        <f t="shared" si="1375"/>
        <v>98141.16</v>
      </c>
      <c r="Q2140" s="105"/>
    </row>
    <row r="2141" spans="1:27" ht="15.75" thickBot="1">
      <c r="A2141" s="368">
        <v>40927</v>
      </c>
      <c r="B2141" s="368"/>
      <c r="C2141" s="368"/>
      <c r="N2141" s="15"/>
    </row>
    <row r="2142" spans="1:27">
      <c r="A2142" s="407" t="s">
        <v>1</v>
      </c>
      <c r="B2142" s="420"/>
      <c r="C2142" s="68" t="s">
        <v>12</v>
      </c>
      <c r="D2142" s="68" t="s">
        <v>12</v>
      </c>
      <c r="E2142" s="68" t="s">
        <v>13</v>
      </c>
      <c r="F2142" s="68" t="s">
        <v>13</v>
      </c>
      <c r="G2142" s="68" t="s">
        <v>13</v>
      </c>
      <c r="H2142" s="68" t="s">
        <v>13</v>
      </c>
      <c r="I2142" s="68" t="s">
        <v>13</v>
      </c>
      <c r="J2142" s="68" t="s">
        <v>2</v>
      </c>
      <c r="K2142" s="68" t="s">
        <v>2</v>
      </c>
      <c r="L2142" s="68" t="s">
        <v>2</v>
      </c>
      <c r="M2142" s="68" t="s">
        <v>2</v>
      </c>
      <c r="N2142" s="4" t="s">
        <v>84</v>
      </c>
      <c r="Y2142" s="104"/>
      <c r="Z2142" s="104"/>
      <c r="AA2142" s="120"/>
    </row>
    <row r="2143" spans="1:27" ht="15.75" thickBot="1">
      <c r="A2143" s="409" t="s">
        <v>0</v>
      </c>
      <c r="B2143" s="414"/>
      <c r="C2143" s="99" t="s">
        <v>102</v>
      </c>
      <c r="D2143" s="99" t="s">
        <v>103</v>
      </c>
      <c r="E2143" s="99" t="s">
        <v>104</v>
      </c>
      <c r="F2143" s="99" t="s">
        <v>105</v>
      </c>
      <c r="G2143" s="99" t="s">
        <v>100</v>
      </c>
      <c r="H2143" s="99" t="s">
        <v>107</v>
      </c>
      <c r="I2143" s="99" t="s">
        <v>106</v>
      </c>
      <c r="J2143" s="99" t="s">
        <v>108</v>
      </c>
      <c r="K2143" s="99" t="s">
        <v>110</v>
      </c>
      <c r="L2143" s="99" t="s">
        <v>101</v>
      </c>
      <c r="M2143" s="99" t="s">
        <v>109</v>
      </c>
      <c r="N2143" s="101" t="s">
        <v>111</v>
      </c>
      <c r="P2143" s="172"/>
      <c r="Q2143" s="105"/>
      <c r="R2143" s="105"/>
      <c r="S2143" s="105"/>
      <c r="T2143" s="105"/>
      <c r="U2143" s="105"/>
      <c r="V2143" s="105"/>
      <c r="W2143" s="105"/>
      <c r="X2143" s="105"/>
      <c r="Y2143" s="105"/>
      <c r="Z2143" s="105"/>
      <c r="AA2143" s="38"/>
    </row>
    <row r="2144" spans="1:27" ht="15" customHeight="1">
      <c r="A2144" s="421" t="s">
        <v>9</v>
      </c>
      <c r="B2144" s="2" t="s">
        <v>4</v>
      </c>
      <c r="C2144" s="96">
        <v>115816.8</v>
      </c>
      <c r="D2144" s="96">
        <v>79968.7</v>
      </c>
      <c r="E2144" s="96">
        <v>79968.7</v>
      </c>
      <c r="F2144" s="96">
        <v>154422.39999999999</v>
      </c>
      <c r="G2144" s="96">
        <v>121331.8</v>
      </c>
      <c r="H2144" s="96">
        <v>110071.9</v>
      </c>
      <c r="I2144" s="96">
        <v>121331.8</v>
      </c>
      <c r="J2144" s="96">
        <v>170967.6</v>
      </c>
      <c r="K2144" s="96">
        <v>54921</v>
      </c>
      <c r="L2144" s="96">
        <v>60665.9</v>
      </c>
      <c r="M2144" s="96">
        <v>176482.7</v>
      </c>
      <c r="N2144" s="100">
        <v>54921</v>
      </c>
      <c r="Y2144" s="104"/>
      <c r="Z2144" s="104"/>
      <c r="AA2144" s="120"/>
    </row>
    <row r="2145" spans="1:27" s="64" customFormat="1">
      <c r="A2145" s="422"/>
      <c r="B2145" s="63" t="s">
        <v>5</v>
      </c>
      <c r="C2145" s="97">
        <v>90138.2</v>
      </c>
      <c r="D2145" s="97">
        <v>65478.6</v>
      </c>
      <c r="E2145" s="97">
        <v>66856.3</v>
      </c>
      <c r="F2145" s="97">
        <v>124320.3</v>
      </c>
      <c r="G2145" s="97">
        <v>86.6</v>
      </c>
      <c r="H2145" s="97">
        <v>13909</v>
      </c>
      <c r="I2145" s="97">
        <v>19376.2</v>
      </c>
      <c r="J2145" s="97">
        <v>109870.5</v>
      </c>
      <c r="K2145" s="97">
        <v>25994.9</v>
      </c>
      <c r="L2145" s="97">
        <v>58.5</v>
      </c>
      <c r="M2145" s="97">
        <v>76870</v>
      </c>
      <c r="N2145" s="102">
        <v>22770.5</v>
      </c>
      <c r="P2145" s="14"/>
      <c r="Q2145" s="104"/>
      <c r="R2145" s="104"/>
      <c r="S2145" s="104"/>
      <c r="T2145" s="104"/>
      <c r="U2145" s="104"/>
      <c r="V2145" s="104"/>
      <c r="W2145" s="104"/>
      <c r="X2145" s="104"/>
      <c r="Y2145" s="104"/>
      <c r="Z2145" s="104"/>
      <c r="AA2145" s="65"/>
    </row>
    <row r="2146" spans="1:27" ht="15.75" thickBot="1">
      <c r="A2146" s="423"/>
      <c r="B2146" s="3" t="s">
        <v>3</v>
      </c>
      <c r="C2146" s="71">
        <f>C2145/C2144</f>
        <v>0.77828259803413657</v>
      </c>
      <c r="D2146" s="72">
        <f t="shared" ref="D2146:N2146" si="1376">D2145/D2144</f>
        <v>0.81880285661765162</v>
      </c>
      <c r="E2146" s="72">
        <f t="shared" si="1376"/>
        <v>0.83603084706891573</v>
      </c>
      <c r="F2146" s="72">
        <f t="shared" si="1376"/>
        <v>0.80506649294402888</v>
      </c>
      <c r="G2146" s="72">
        <f t="shared" si="1376"/>
        <v>7.1374528359424315E-4</v>
      </c>
      <c r="H2146" s="72">
        <f t="shared" si="1376"/>
        <v>0.12636285918567774</v>
      </c>
      <c r="I2146" s="72">
        <f t="shared" si="1376"/>
        <v>0.15969597417989348</v>
      </c>
      <c r="J2146" s="72">
        <f t="shared" si="1376"/>
        <v>0.64263930709678319</v>
      </c>
      <c r="K2146" s="72">
        <f t="shared" si="1376"/>
        <v>0.47331439704302547</v>
      </c>
      <c r="L2146" s="72">
        <f t="shared" si="1376"/>
        <v>9.6429790046797289E-4</v>
      </c>
      <c r="M2146" s="72">
        <f t="shared" si="1376"/>
        <v>0.4355667722671967</v>
      </c>
      <c r="N2146" s="83">
        <f t="shared" si="1376"/>
        <v>0.41460461389996539</v>
      </c>
      <c r="Y2146" s="104"/>
      <c r="Z2146" s="104"/>
      <c r="AA2146" s="120"/>
    </row>
    <row r="2147" spans="1:27" ht="15" customHeight="1">
      <c r="A2147" s="411" t="s">
        <v>6</v>
      </c>
      <c r="B2147" s="27" t="s">
        <v>7</v>
      </c>
      <c r="C2147" s="68">
        <v>5006</v>
      </c>
      <c r="D2147" s="68">
        <v>3200</v>
      </c>
      <c r="E2147" s="68">
        <v>3200</v>
      </c>
      <c r="F2147" s="68">
        <v>9503</v>
      </c>
      <c r="G2147" s="68">
        <v>3200</v>
      </c>
      <c r="H2147" s="68">
        <v>4800</v>
      </c>
      <c r="I2147" s="68">
        <v>4000</v>
      </c>
      <c r="J2147" s="68">
        <v>9503</v>
      </c>
      <c r="K2147" s="68">
        <v>2400</v>
      </c>
      <c r="L2147" s="68">
        <v>1600</v>
      </c>
      <c r="M2147" s="68">
        <f>4643-2210</f>
        <v>2433</v>
      </c>
      <c r="N2147" s="80">
        <v>396</v>
      </c>
      <c r="Y2147" s="104"/>
      <c r="Z2147" s="104"/>
      <c r="AA2147" s="120"/>
    </row>
    <row r="2148" spans="1:27">
      <c r="A2148" s="412"/>
      <c r="B2148" s="28" t="s">
        <v>11</v>
      </c>
      <c r="C2148" s="73">
        <f t="shared" ref="C2148:N2148" si="1377">C2147*33.79</f>
        <v>169152.74</v>
      </c>
      <c r="D2148" s="73">
        <f t="shared" si="1377"/>
        <v>108128</v>
      </c>
      <c r="E2148" s="73">
        <f t="shared" si="1377"/>
        <v>108128</v>
      </c>
      <c r="F2148" s="73">
        <f t="shared" si="1377"/>
        <v>321106.37</v>
      </c>
      <c r="G2148" s="73">
        <f t="shared" si="1377"/>
        <v>108128</v>
      </c>
      <c r="H2148" s="73">
        <f t="shared" si="1377"/>
        <v>162192</v>
      </c>
      <c r="I2148" s="73">
        <f t="shared" si="1377"/>
        <v>135160</v>
      </c>
      <c r="J2148" s="73">
        <f t="shared" si="1377"/>
        <v>321106.37</v>
      </c>
      <c r="K2148" s="73">
        <f t="shared" si="1377"/>
        <v>81096</v>
      </c>
      <c r="L2148" s="73">
        <f t="shared" si="1377"/>
        <v>54064</v>
      </c>
      <c r="M2148" s="73">
        <f t="shared" si="1377"/>
        <v>82211.069999999992</v>
      </c>
      <c r="N2148" s="84">
        <f t="shared" si="1377"/>
        <v>13380.84</v>
      </c>
      <c r="Y2148" s="104"/>
      <c r="Z2148" s="104"/>
      <c r="AA2148" s="120"/>
    </row>
    <row r="2149" spans="1:27">
      <c r="A2149" s="412"/>
      <c r="B2149" s="28" t="s">
        <v>79</v>
      </c>
      <c r="C2149" s="73">
        <v>164000</v>
      </c>
      <c r="D2149" s="73">
        <v>109880</v>
      </c>
      <c r="E2149" s="73">
        <v>109880</v>
      </c>
      <c r="F2149" s="73">
        <v>328000</v>
      </c>
      <c r="G2149" s="73">
        <f>G2144*2</f>
        <v>242663.6</v>
      </c>
      <c r="H2149" s="73">
        <f>H2144*2</f>
        <v>220143.8</v>
      </c>
      <c r="I2149" s="73">
        <f>I2144*2</f>
        <v>242663.6</v>
      </c>
      <c r="J2149" s="73">
        <v>328000</v>
      </c>
      <c r="K2149" s="73">
        <f>K2144*2</f>
        <v>109842</v>
      </c>
      <c r="L2149" s="73">
        <v>328000</v>
      </c>
      <c r="M2149" s="73">
        <f>2*M2144</f>
        <v>352965.4</v>
      </c>
      <c r="N2149" s="84">
        <f>2*N2144</f>
        <v>109842</v>
      </c>
      <c r="Y2149" s="104"/>
      <c r="Z2149" s="104"/>
      <c r="AA2149" s="120"/>
    </row>
    <row r="2150" spans="1:27" s="64" customFormat="1">
      <c r="A2150" s="412"/>
      <c r="B2150" s="66" t="s">
        <v>8</v>
      </c>
      <c r="C2150" s="98">
        <f>SUM(C2147-489)</f>
        <v>4517</v>
      </c>
      <c r="D2150" s="98">
        <f>SUM(D2147-690)</f>
        <v>2510</v>
      </c>
      <c r="E2150" s="98">
        <f>SUM(E2147-662)</f>
        <v>2538</v>
      </c>
      <c r="F2150" s="98">
        <f>SUM(F2147-1230)</f>
        <v>8273</v>
      </c>
      <c r="G2150" s="98">
        <f>SUM(G2147-3164)</f>
        <v>36</v>
      </c>
      <c r="H2150" s="98">
        <f>SUM(H2147-3097)</f>
        <v>1703</v>
      </c>
      <c r="I2150" s="98">
        <f>SUM(I2147-2952)</f>
        <v>1048</v>
      </c>
      <c r="J2150" s="98">
        <f>SUM(J2147-1582)</f>
        <v>7921</v>
      </c>
      <c r="K2150" s="98">
        <f>SUM(K2147-933)</f>
        <v>1467</v>
      </c>
      <c r="L2150" s="98">
        <f>SUM(L2147-1534)</f>
        <v>66</v>
      </c>
      <c r="M2150" s="98">
        <f>SUM(M2147-(3396-2210))</f>
        <v>1247</v>
      </c>
      <c r="N2150" s="103">
        <f>SUM(N2147-49)</f>
        <v>347</v>
      </c>
      <c r="P2150" s="14"/>
      <c r="Q2150" s="105"/>
      <c r="R2150" s="104"/>
      <c r="S2150" s="104"/>
      <c r="T2150" s="104"/>
      <c r="U2150" s="104"/>
      <c r="V2150" s="104"/>
      <c r="W2150" s="104"/>
      <c r="X2150" s="104"/>
      <c r="Y2150" s="67"/>
      <c r="Z2150" s="67"/>
    </row>
    <row r="2151" spans="1:27">
      <c r="A2151" s="412"/>
      <c r="B2151" s="29" t="s">
        <v>77</v>
      </c>
      <c r="C2151" s="75">
        <f>C2150*33.72</f>
        <v>152313.24</v>
      </c>
      <c r="D2151" s="75">
        <f>D2150*33.72</f>
        <v>84637.2</v>
      </c>
      <c r="E2151" s="75">
        <f>E2150*33.72</f>
        <v>85581.36</v>
      </c>
      <c r="F2151" s="75">
        <f>F2150*33.72</f>
        <v>278965.56</v>
      </c>
      <c r="G2151" s="75">
        <f>G2150*33.72*2</f>
        <v>2427.84</v>
      </c>
      <c r="H2151" s="75">
        <f>H2150*33.72</f>
        <v>57425.159999999996</v>
      </c>
      <c r="I2151" s="75">
        <f>I2150*33.72</f>
        <v>35338.559999999998</v>
      </c>
      <c r="J2151" s="75">
        <f>J2150*33.72</f>
        <v>267096.12</v>
      </c>
      <c r="K2151" s="75">
        <f>K2150*33.72</f>
        <v>49467.24</v>
      </c>
      <c r="L2151" s="75">
        <f>L2150*33.72</f>
        <v>2225.52</v>
      </c>
      <c r="M2151" s="75">
        <f>M2150*33.72*2</f>
        <v>84097.68</v>
      </c>
      <c r="N2151" s="11">
        <f>N2150*33.72</f>
        <v>11700.84</v>
      </c>
      <c r="Q2151" s="105"/>
    </row>
    <row r="2152" spans="1:27" ht="15.75" thickBot="1">
      <c r="A2152" s="412"/>
      <c r="B2152" s="30" t="s">
        <v>10</v>
      </c>
      <c r="C2152" s="71">
        <f>C2150*33.7/C2144</f>
        <v>1.314342133438327</v>
      </c>
      <c r="D2152" s="71">
        <f t="shared" ref="D2152:N2152" si="1378">D2150*33.7/D2144</f>
        <v>1.057751345213815</v>
      </c>
      <c r="E2152" s="78">
        <f t="shared" si="1378"/>
        <v>1.0695509618138097</v>
      </c>
      <c r="F2152" s="78">
        <f t="shared" si="1378"/>
        <v>1.8054382006755501</v>
      </c>
      <c r="G2152" s="78">
        <f t="shared" si="1378"/>
        <v>9.9990274602371355E-3</v>
      </c>
      <c r="H2152" s="78">
        <f t="shared" si="1378"/>
        <v>0.52139646903523973</v>
      </c>
      <c r="I2152" s="78">
        <f t="shared" si="1378"/>
        <v>0.2910827993980144</v>
      </c>
      <c r="J2152" s="78">
        <f t="shared" si="1378"/>
        <v>1.5613350131837846</v>
      </c>
      <c r="K2152" s="78">
        <f t="shared" si="1378"/>
        <v>0.90016387174304913</v>
      </c>
      <c r="L2152" s="78">
        <f t="shared" si="1378"/>
        <v>3.6663100687536164E-2</v>
      </c>
      <c r="M2152" s="79">
        <f t="shared" si="1378"/>
        <v>0.23811909042642707</v>
      </c>
      <c r="N2152" s="26">
        <f t="shared" si="1378"/>
        <v>0.21292219733799461</v>
      </c>
      <c r="Q2152" s="105"/>
    </row>
    <row r="2153" spans="1:27" ht="15.75" customHeight="1" thickBot="1">
      <c r="A2153" s="424" t="s">
        <v>83</v>
      </c>
      <c r="B2153" s="425"/>
      <c r="C2153" s="76">
        <f>MIN(2*C2144,C2149)-C2151</f>
        <v>11686.760000000009</v>
      </c>
      <c r="D2153" s="76">
        <f t="shared" ref="D2153:N2153" si="1379">MIN(2*D2144,D2149)-D2151</f>
        <v>25242.800000000003</v>
      </c>
      <c r="E2153" s="76">
        <f t="shared" si="1379"/>
        <v>24298.639999999999</v>
      </c>
      <c r="F2153" s="76">
        <f t="shared" si="1379"/>
        <v>29879.239999999991</v>
      </c>
      <c r="G2153" s="76">
        <f t="shared" si="1379"/>
        <v>240235.76</v>
      </c>
      <c r="H2153" s="76">
        <f t="shared" si="1379"/>
        <v>162718.63999999998</v>
      </c>
      <c r="I2153" s="76">
        <f t="shared" si="1379"/>
        <v>207325.04</v>
      </c>
      <c r="J2153" s="76">
        <f t="shared" si="1379"/>
        <v>60903.880000000005</v>
      </c>
      <c r="K2153" s="76">
        <f t="shared" si="1379"/>
        <v>60374.76</v>
      </c>
      <c r="L2153" s="76">
        <f t="shared" si="1379"/>
        <v>119106.28</v>
      </c>
      <c r="M2153" s="76">
        <f t="shared" si="1379"/>
        <v>268867.72000000003</v>
      </c>
      <c r="N2153" s="22">
        <f t="shared" si="1379"/>
        <v>98141.16</v>
      </c>
      <c r="Q2153" s="105"/>
    </row>
    <row r="2154" spans="1:27" ht="15.75" thickBot="1">
      <c r="A2154" s="368">
        <v>40926</v>
      </c>
      <c r="B2154" s="368"/>
      <c r="C2154" s="368"/>
      <c r="N2154" s="15"/>
    </row>
    <row r="2155" spans="1:27">
      <c r="A2155" s="407" t="s">
        <v>1</v>
      </c>
      <c r="B2155" s="420"/>
      <c r="C2155" s="68" t="s">
        <v>12</v>
      </c>
      <c r="D2155" s="68" t="s">
        <v>12</v>
      </c>
      <c r="E2155" s="68" t="s">
        <v>13</v>
      </c>
      <c r="F2155" s="68" t="s">
        <v>13</v>
      </c>
      <c r="G2155" s="68" t="s">
        <v>13</v>
      </c>
      <c r="H2155" s="68" t="s">
        <v>13</v>
      </c>
      <c r="I2155" s="68" t="s">
        <v>13</v>
      </c>
      <c r="J2155" s="68" t="s">
        <v>2</v>
      </c>
      <c r="K2155" s="68" t="s">
        <v>2</v>
      </c>
      <c r="L2155" s="68" t="s">
        <v>2</v>
      </c>
      <c r="M2155" s="68" t="s">
        <v>2</v>
      </c>
      <c r="N2155" s="4" t="s">
        <v>84</v>
      </c>
      <c r="Y2155" s="104"/>
      <c r="Z2155" s="104"/>
      <c r="AA2155" s="119"/>
    </row>
    <row r="2156" spans="1:27" ht="15.75" thickBot="1">
      <c r="A2156" s="409" t="s">
        <v>0</v>
      </c>
      <c r="B2156" s="414"/>
      <c r="C2156" s="99" t="s">
        <v>102</v>
      </c>
      <c r="D2156" s="99" t="s">
        <v>103</v>
      </c>
      <c r="E2156" s="99" t="s">
        <v>104</v>
      </c>
      <c r="F2156" s="99" t="s">
        <v>105</v>
      </c>
      <c r="G2156" s="99" t="s">
        <v>100</v>
      </c>
      <c r="H2156" s="99" t="s">
        <v>107</v>
      </c>
      <c r="I2156" s="99" t="s">
        <v>106</v>
      </c>
      <c r="J2156" s="99" t="s">
        <v>108</v>
      </c>
      <c r="K2156" s="99" t="s">
        <v>110</v>
      </c>
      <c r="L2156" s="99" t="s">
        <v>101</v>
      </c>
      <c r="M2156" s="99" t="s">
        <v>109</v>
      </c>
      <c r="N2156" s="101" t="s">
        <v>111</v>
      </c>
      <c r="P2156" s="172"/>
      <c r="Q2156" s="105"/>
      <c r="R2156" s="105"/>
      <c r="S2156" s="105"/>
      <c r="T2156" s="105"/>
      <c r="U2156" s="105"/>
      <c r="V2156" s="105"/>
      <c r="W2156" s="105"/>
      <c r="X2156" s="105"/>
      <c r="Y2156" s="105"/>
      <c r="Z2156" s="105"/>
      <c r="AA2156" s="38"/>
    </row>
    <row r="2157" spans="1:27" ht="15" customHeight="1">
      <c r="A2157" s="421" t="s">
        <v>9</v>
      </c>
      <c r="B2157" s="2" t="s">
        <v>4</v>
      </c>
      <c r="C2157" s="96">
        <v>115816.8</v>
      </c>
      <c r="D2157" s="96">
        <v>79968.7</v>
      </c>
      <c r="E2157" s="96">
        <v>79968.7</v>
      </c>
      <c r="F2157" s="96">
        <v>154422.39999999999</v>
      </c>
      <c r="G2157" s="96">
        <v>121331.8</v>
      </c>
      <c r="H2157" s="96">
        <v>110071.9</v>
      </c>
      <c r="I2157" s="96">
        <v>121331.8</v>
      </c>
      <c r="J2157" s="96">
        <v>170967.6</v>
      </c>
      <c r="K2157" s="96">
        <v>54921</v>
      </c>
      <c r="L2157" s="96">
        <v>60665.9</v>
      </c>
      <c r="M2157" s="96">
        <v>176482.7</v>
      </c>
      <c r="N2157" s="100">
        <v>54921</v>
      </c>
      <c r="Y2157" s="104"/>
      <c r="Z2157" s="104"/>
      <c r="AA2157" s="119"/>
    </row>
    <row r="2158" spans="1:27" s="64" customFormat="1">
      <c r="A2158" s="422"/>
      <c r="B2158" s="63" t="s">
        <v>5</v>
      </c>
      <c r="C2158" s="97">
        <v>89911.5</v>
      </c>
      <c r="D2158" s="97">
        <v>65473.7</v>
      </c>
      <c r="E2158" s="97">
        <v>66851.399999999994</v>
      </c>
      <c r="F2158" s="97">
        <v>124082</v>
      </c>
      <c r="G2158" s="97">
        <v>86.6</v>
      </c>
      <c r="H2158" s="97">
        <v>13508.5</v>
      </c>
      <c r="I2158" s="97">
        <v>19375.900000000001</v>
      </c>
      <c r="J2158" s="97">
        <v>109700.8</v>
      </c>
      <c r="K2158" s="97">
        <v>25976.400000000001</v>
      </c>
      <c r="L2158" s="97">
        <v>58.5</v>
      </c>
      <c r="M2158" s="97">
        <v>76869.100000000006</v>
      </c>
      <c r="N2158" s="102">
        <v>22770.400000000001</v>
      </c>
      <c r="P2158" s="14"/>
      <c r="Q2158" s="104"/>
      <c r="R2158" s="104"/>
      <c r="S2158" s="104"/>
      <c r="T2158" s="104"/>
      <c r="U2158" s="104"/>
      <c r="V2158" s="104"/>
      <c r="W2158" s="104"/>
      <c r="X2158" s="104"/>
      <c r="Y2158" s="104"/>
      <c r="Z2158" s="104"/>
      <c r="AA2158" s="65"/>
    </row>
    <row r="2159" spans="1:27" ht="15.75" thickBot="1">
      <c r="A2159" s="423"/>
      <c r="B2159" s="3" t="s">
        <v>3</v>
      </c>
      <c r="C2159" s="71">
        <f>C2158/C2157</f>
        <v>0.77632519634457176</v>
      </c>
      <c r="D2159" s="72">
        <f t="shared" ref="D2159:N2159" si="1380">D2158/D2157</f>
        <v>0.81874158264420949</v>
      </c>
      <c r="E2159" s="72">
        <f t="shared" si="1380"/>
        <v>0.83596957309547359</v>
      </c>
      <c r="F2159" s="72">
        <f t="shared" si="1380"/>
        <v>0.80352332304121687</v>
      </c>
      <c r="G2159" s="72">
        <f t="shared" si="1380"/>
        <v>7.1374528359424315E-4</v>
      </c>
      <c r="H2159" s="72">
        <f t="shared" si="1380"/>
        <v>0.12272432837081944</v>
      </c>
      <c r="I2159" s="72">
        <f t="shared" si="1380"/>
        <v>0.15969350162117435</v>
      </c>
      <c r="J2159" s="72">
        <f t="shared" si="1380"/>
        <v>0.64164672136708945</v>
      </c>
      <c r="K2159" s="72">
        <f t="shared" si="1380"/>
        <v>0.4729775495712023</v>
      </c>
      <c r="L2159" s="72">
        <f t="shared" si="1380"/>
        <v>9.6429790046797289E-4</v>
      </c>
      <c r="M2159" s="72">
        <f t="shared" si="1380"/>
        <v>0.43556167261720269</v>
      </c>
      <c r="N2159" s="83">
        <f t="shared" si="1380"/>
        <v>0.41460279310282044</v>
      </c>
      <c r="Y2159" s="104"/>
      <c r="Z2159" s="104"/>
      <c r="AA2159" s="119"/>
    </row>
    <row r="2160" spans="1:27" ht="15" customHeight="1">
      <c r="A2160" s="411" t="s">
        <v>6</v>
      </c>
      <c r="B2160" s="27" t="s">
        <v>7</v>
      </c>
      <c r="C2160" s="68">
        <v>5006</v>
      </c>
      <c r="D2160" s="68">
        <v>3200</v>
      </c>
      <c r="E2160" s="68">
        <v>3200</v>
      </c>
      <c r="F2160" s="68">
        <v>9503</v>
      </c>
      <c r="G2160" s="68">
        <v>3200</v>
      </c>
      <c r="H2160" s="68">
        <v>4800</v>
      </c>
      <c r="I2160" s="68">
        <v>4000</v>
      </c>
      <c r="J2160" s="68">
        <v>9503</v>
      </c>
      <c r="K2160" s="68">
        <v>2400</v>
      </c>
      <c r="L2160" s="68">
        <v>1600</v>
      </c>
      <c r="M2160" s="68">
        <f>4643-2210</f>
        <v>2433</v>
      </c>
      <c r="N2160" s="80">
        <v>396</v>
      </c>
      <c r="Y2160" s="104"/>
      <c r="Z2160" s="104"/>
      <c r="AA2160" s="119"/>
    </row>
    <row r="2161" spans="1:27">
      <c r="A2161" s="412"/>
      <c r="B2161" s="28" t="s">
        <v>11</v>
      </c>
      <c r="C2161" s="73">
        <f t="shared" ref="C2161:N2161" si="1381">C2160*33.79</f>
        <v>169152.74</v>
      </c>
      <c r="D2161" s="73">
        <f t="shared" si="1381"/>
        <v>108128</v>
      </c>
      <c r="E2161" s="73">
        <f t="shared" si="1381"/>
        <v>108128</v>
      </c>
      <c r="F2161" s="73">
        <f t="shared" si="1381"/>
        <v>321106.37</v>
      </c>
      <c r="G2161" s="73">
        <f t="shared" si="1381"/>
        <v>108128</v>
      </c>
      <c r="H2161" s="73">
        <f t="shared" si="1381"/>
        <v>162192</v>
      </c>
      <c r="I2161" s="73">
        <f t="shared" si="1381"/>
        <v>135160</v>
      </c>
      <c r="J2161" s="73">
        <f t="shared" si="1381"/>
        <v>321106.37</v>
      </c>
      <c r="K2161" s="73">
        <f t="shared" si="1381"/>
        <v>81096</v>
      </c>
      <c r="L2161" s="73">
        <f t="shared" si="1381"/>
        <v>54064</v>
      </c>
      <c r="M2161" s="73">
        <f t="shared" si="1381"/>
        <v>82211.069999999992</v>
      </c>
      <c r="N2161" s="84">
        <f t="shared" si="1381"/>
        <v>13380.84</v>
      </c>
      <c r="Y2161" s="104"/>
      <c r="Z2161" s="104"/>
      <c r="AA2161" s="119"/>
    </row>
    <row r="2162" spans="1:27">
      <c r="A2162" s="412"/>
      <c r="B2162" s="28" t="s">
        <v>79</v>
      </c>
      <c r="C2162" s="73">
        <v>164000</v>
      </c>
      <c r="D2162" s="73">
        <v>109880</v>
      </c>
      <c r="E2162" s="73">
        <v>109880</v>
      </c>
      <c r="F2162" s="73">
        <v>328000</v>
      </c>
      <c r="G2162" s="73">
        <f>G2157*2</f>
        <v>242663.6</v>
      </c>
      <c r="H2162" s="73">
        <f>H2157*2</f>
        <v>220143.8</v>
      </c>
      <c r="I2162" s="73">
        <f>I2157*2</f>
        <v>242663.6</v>
      </c>
      <c r="J2162" s="73">
        <v>328000</v>
      </c>
      <c r="K2162" s="73">
        <f>K2157*2</f>
        <v>109842</v>
      </c>
      <c r="L2162" s="73">
        <v>328000</v>
      </c>
      <c r="M2162" s="73">
        <f>2*M2157</f>
        <v>352965.4</v>
      </c>
      <c r="N2162" s="84">
        <f>2*N2157</f>
        <v>109842</v>
      </c>
      <c r="Y2162" s="104"/>
      <c r="Z2162" s="104"/>
      <c r="AA2162" s="119"/>
    </row>
    <row r="2163" spans="1:27" s="64" customFormat="1">
      <c r="A2163" s="412"/>
      <c r="B2163" s="66" t="s">
        <v>8</v>
      </c>
      <c r="C2163" s="98">
        <f>SUM(C2160-489)</f>
        <v>4517</v>
      </c>
      <c r="D2163" s="98">
        <f>SUM(D2160-688)</f>
        <v>2512</v>
      </c>
      <c r="E2163" s="98">
        <f>SUM(E2160-672)</f>
        <v>2528</v>
      </c>
      <c r="F2163" s="98">
        <f>SUM(F2160-1236)</f>
        <v>8267</v>
      </c>
      <c r="G2163" s="98">
        <f>SUM(G2160-3164)</f>
        <v>36</v>
      </c>
      <c r="H2163" s="98">
        <f>SUM(H2160-3097)</f>
        <v>1703</v>
      </c>
      <c r="I2163" s="98">
        <f>SUM(I2160-2952)</f>
        <v>1048</v>
      </c>
      <c r="J2163" s="98">
        <f>SUM(J2160-1596)</f>
        <v>7907</v>
      </c>
      <c r="K2163" s="98">
        <f>SUM(K2160-933)</f>
        <v>1467</v>
      </c>
      <c r="L2163" s="98">
        <f>SUM(L2160-1534)</f>
        <v>66</v>
      </c>
      <c r="M2163" s="98">
        <f>SUM(M2160-(3396-2210))</f>
        <v>1247</v>
      </c>
      <c r="N2163" s="103">
        <f>SUM(N2160-49)</f>
        <v>347</v>
      </c>
      <c r="P2163" s="14"/>
      <c r="Q2163" s="105"/>
      <c r="R2163" s="104"/>
      <c r="S2163" s="104"/>
      <c r="T2163" s="104"/>
      <c r="U2163" s="104"/>
      <c r="V2163" s="104"/>
      <c r="W2163" s="104"/>
      <c r="X2163" s="104"/>
      <c r="Y2163" s="67"/>
      <c r="Z2163" s="67"/>
    </row>
    <row r="2164" spans="1:27">
      <c r="A2164" s="412"/>
      <c r="B2164" s="29" t="s">
        <v>77</v>
      </c>
      <c r="C2164" s="75">
        <f>C2163*33.72</f>
        <v>152313.24</v>
      </c>
      <c r="D2164" s="75">
        <f>D2163*33.72</f>
        <v>84704.639999999999</v>
      </c>
      <c r="E2164" s="75">
        <f>E2163*33.72</f>
        <v>85244.160000000003</v>
      </c>
      <c r="F2164" s="75">
        <f>F2163*33.72</f>
        <v>278763.24</v>
      </c>
      <c r="G2164" s="75">
        <f>G2163*33.72*2</f>
        <v>2427.84</v>
      </c>
      <c r="H2164" s="75">
        <f>H2163*33.72</f>
        <v>57425.159999999996</v>
      </c>
      <c r="I2164" s="75">
        <f>I2163*33.72</f>
        <v>35338.559999999998</v>
      </c>
      <c r="J2164" s="75">
        <f>J2163*33.72</f>
        <v>266624.03999999998</v>
      </c>
      <c r="K2164" s="75">
        <f>K2163*33.72</f>
        <v>49467.24</v>
      </c>
      <c r="L2164" s="75">
        <f>L2163*33.72</f>
        <v>2225.52</v>
      </c>
      <c r="M2164" s="75">
        <f>M2163*33.72*2</f>
        <v>84097.68</v>
      </c>
      <c r="N2164" s="11">
        <f>N2163*33.72</f>
        <v>11700.84</v>
      </c>
      <c r="Q2164" s="105"/>
    </row>
    <row r="2165" spans="1:27" ht="15.75" thickBot="1">
      <c r="A2165" s="412"/>
      <c r="B2165" s="30" t="s">
        <v>10</v>
      </c>
      <c r="C2165" s="71">
        <f>C2163*33.7/C2157</f>
        <v>1.314342133438327</v>
      </c>
      <c r="D2165" s="71">
        <f t="shared" ref="D2165:N2165" si="1382">D2163*33.7/D2157</f>
        <v>1.0585941749709575</v>
      </c>
      <c r="E2165" s="78">
        <f t="shared" si="1382"/>
        <v>1.0653368130280974</v>
      </c>
      <c r="F2165" s="78">
        <f t="shared" si="1382"/>
        <v>1.80412880514744</v>
      </c>
      <c r="G2165" s="78">
        <f t="shared" si="1382"/>
        <v>9.9990274602371355E-3</v>
      </c>
      <c r="H2165" s="78">
        <f t="shared" si="1382"/>
        <v>0.52139646903523973</v>
      </c>
      <c r="I2165" s="78">
        <f t="shared" si="1382"/>
        <v>0.2910827993980144</v>
      </c>
      <c r="J2165" s="78">
        <f t="shared" si="1382"/>
        <v>1.5585754259871463</v>
      </c>
      <c r="K2165" s="78">
        <f t="shared" si="1382"/>
        <v>0.90016387174304913</v>
      </c>
      <c r="L2165" s="78">
        <f t="shared" si="1382"/>
        <v>3.6663100687536164E-2</v>
      </c>
      <c r="M2165" s="79">
        <f t="shared" si="1382"/>
        <v>0.23811909042642707</v>
      </c>
      <c r="N2165" s="26">
        <f t="shared" si="1382"/>
        <v>0.21292219733799461</v>
      </c>
      <c r="Q2165" s="105"/>
    </row>
    <row r="2166" spans="1:27" ht="15.75" customHeight="1" thickBot="1">
      <c r="A2166" s="424" t="s">
        <v>83</v>
      </c>
      <c r="B2166" s="425"/>
      <c r="C2166" s="76">
        <f>MIN(2*C2157,C2162)-C2164</f>
        <v>11686.760000000009</v>
      </c>
      <c r="D2166" s="76">
        <f t="shared" ref="D2166:N2166" si="1383">MIN(2*D2157,D2162)-D2164</f>
        <v>25175.360000000001</v>
      </c>
      <c r="E2166" s="76">
        <f t="shared" si="1383"/>
        <v>24635.839999999997</v>
      </c>
      <c r="F2166" s="76">
        <f t="shared" si="1383"/>
        <v>30081.559999999998</v>
      </c>
      <c r="G2166" s="76">
        <f t="shared" si="1383"/>
        <v>240235.76</v>
      </c>
      <c r="H2166" s="76">
        <f t="shared" si="1383"/>
        <v>162718.63999999998</v>
      </c>
      <c r="I2166" s="76">
        <f t="shared" si="1383"/>
        <v>207325.04</v>
      </c>
      <c r="J2166" s="76">
        <f t="shared" si="1383"/>
        <v>61375.960000000021</v>
      </c>
      <c r="K2166" s="76">
        <f t="shared" si="1383"/>
        <v>60374.76</v>
      </c>
      <c r="L2166" s="76">
        <f t="shared" si="1383"/>
        <v>119106.28</v>
      </c>
      <c r="M2166" s="76">
        <f t="shared" si="1383"/>
        <v>268867.72000000003</v>
      </c>
      <c r="N2166" s="22">
        <f t="shared" si="1383"/>
        <v>98141.16</v>
      </c>
      <c r="Q2166" s="105"/>
    </row>
    <row r="2167" spans="1:27" ht="15.75" thickBot="1">
      <c r="A2167" s="368">
        <v>40925</v>
      </c>
      <c r="B2167" s="368"/>
      <c r="C2167" s="368"/>
      <c r="N2167" s="15"/>
    </row>
    <row r="2168" spans="1:27">
      <c r="A2168" s="407" t="s">
        <v>1</v>
      </c>
      <c r="B2168" s="420"/>
      <c r="C2168" s="68" t="s">
        <v>12</v>
      </c>
      <c r="D2168" s="68" t="s">
        <v>12</v>
      </c>
      <c r="E2168" s="68" t="s">
        <v>13</v>
      </c>
      <c r="F2168" s="68" t="s">
        <v>13</v>
      </c>
      <c r="G2168" s="68" t="s">
        <v>13</v>
      </c>
      <c r="H2168" s="68" t="s">
        <v>13</v>
      </c>
      <c r="I2168" s="68" t="s">
        <v>13</v>
      </c>
      <c r="J2168" s="68" t="s">
        <v>2</v>
      </c>
      <c r="K2168" s="68" t="s">
        <v>2</v>
      </c>
      <c r="L2168" s="68" t="s">
        <v>2</v>
      </c>
      <c r="M2168" s="68" t="s">
        <v>2</v>
      </c>
      <c r="N2168" s="4" t="s">
        <v>84</v>
      </c>
      <c r="Y2168" s="104"/>
      <c r="Z2168" s="104"/>
      <c r="AA2168" s="118"/>
    </row>
    <row r="2169" spans="1:27" ht="15.75" thickBot="1">
      <c r="A2169" s="409" t="s">
        <v>0</v>
      </c>
      <c r="B2169" s="414"/>
      <c r="C2169" s="99" t="s">
        <v>102</v>
      </c>
      <c r="D2169" s="99" t="s">
        <v>103</v>
      </c>
      <c r="E2169" s="99" t="s">
        <v>104</v>
      </c>
      <c r="F2169" s="99" t="s">
        <v>105</v>
      </c>
      <c r="G2169" s="99" t="s">
        <v>100</v>
      </c>
      <c r="H2169" s="99" t="s">
        <v>107</v>
      </c>
      <c r="I2169" s="99" t="s">
        <v>106</v>
      </c>
      <c r="J2169" s="99" t="s">
        <v>108</v>
      </c>
      <c r="K2169" s="99" t="s">
        <v>110</v>
      </c>
      <c r="L2169" s="99" t="s">
        <v>101</v>
      </c>
      <c r="M2169" s="99" t="s">
        <v>109</v>
      </c>
      <c r="N2169" s="101" t="s">
        <v>111</v>
      </c>
      <c r="P2169" s="172"/>
      <c r="Q2169" s="105"/>
      <c r="R2169" s="105"/>
      <c r="S2169" s="105"/>
      <c r="T2169" s="105"/>
      <c r="U2169" s="105"/>
      <c r="V2169" s="105"/>
      <c r="W2169" s="105"/>
      <c r="X2169" s="105"/>
      <c r="Y2169" s="105"/>
      <c r="Z2169" s="105"/>
      <c r="AA2169" s="38"/>
    </row>
    <row r="2170" spans="1:27" ht="15" customHeight="1">
      <c r="A2170" s="421" t="s">
        <v>9</v>
      </c>
      <c r="B2170" s="2" t="s">
        <v>4</v>
      </c>
      <c r="C2170" s="96">
        <v>115816.8</v>
      </c>
      <c r="D2170" s="96">
        <v>79968.7</v>
      </c>
      <c r="E2170" s="96">
        <v>79968.7</v>
      </c>
      <c r="F2170" s="96">
        <v>154422.39999999999</v>
      </c>
      <c r="G2170" s="96">
        <v>121331.8</v>
      </c>
      <c r="H2170" s="96">
        <v>110071.9</v>
      </c>
      <c r="I2170" s="96">
        <v>121331.8</v>
      </c>
      <c r="J2170" s="96">
        <v>170967.6</v>
      </c>
      <c r="K2170" s="96">
        <v>54921</v>
      </c>
      <c r="L2170" s="96">
        <v>60665.9</v>
      </c>
      <c r="M2170" s="96">
        <v>176482.7</v>
      </c>
      <c r="N2170" s="100">
        <v>54921</v>
      </c>
      <c r="Y2170" s="104"/>
      <c r="Z2170" s="104"/>
      <c r="AA2170" s="118"/>
    </row>
    <row r="2171" spans="1:27" s="64" customFormat="1">
      <c r="A2171" s="422"/>
      <c r="B2171" s="63" t="s">
        <v>5</v>
      </c>
      <c r="C2171" s="97">
        <v>89479.1</v>
      </c>
      <c r="D2171" s="97">
        <v>65470.8</v>
      </c>
      <c r="E2171" s="97">
        <v>66848.5</v>
      </c>
      <c r="F2171" s="97">
        <v>123991.3</v>
      </c>
      <c r="G2171" s="97">
        <v>86.6</v>
      </c>
      <c r="H2171" s="97">
        <v>13479.4</v>
      </c>
      <c r="I2171" s="97">
        <v>19375.599999999999</v>
      </c>
      <c r="J2171" s="97">
        <v>109524.2</v>
      </c>
      <c r="K2171" s="97">
        <v>25820.2</v>
      </c>
      <c r="L2171" s="97">
        <v>58.5</v>
      </c>
      <c r="M2171" s="97">
        <v>76768.7</v>
      </c>
      <c r="N2171" s="102">
        <v>22770.400000000001</v>
      </c>
      <c r="P2171" s="14"/>
      <c r="Q2171" s="104"/>
      <c r="R2171" s="104"/>
      <c r="S2171" s="104"/>
      <c r="T2171" s="104"/>
      <c r="U2171" s="104"/>
      <c r="V2171" s="104"/>
      <c r="W2171" s="104"/>
      <c r="X2171" s="104"/>
      <c r="Y2171" s="104"/>
      <c r="Z2171" s="104"/>
      <c r="AA2171" s="65"/>
    </row>
    <row r="2172" spans="1:27" ht="15.75" thickBot="1">
      <c r="A2172" s="423"/>
      <c r="B2172" s="3" t="s">
        <v>3</v>
      </c>
      <c r="C2172" s="71">
        <f>C2171/C2170</f>
        <v>0.77259171381008629</v>
      </c>
      <c r="D2172" s="72">
        <f t="shared" ref="D2172:N2172" si="1384">D2171/D2170</f>
        <v>0.81870531845584593</v>
      </c>
      <c r="E2172" s="72">
        <f t="shared" si="1384"/>
        <v>0.83593330890710993</v>
      </c>
      <c r="F2172" s="72">
        <f t="shared" si="1384"/>
        <v>0.8029359730194584</v>
      </c>
      <c r="G2172" s="72">
        <f t="shared" si="1384"/>
        <v>7.1374528359424315E-4</v>
      </c>
      <c r="H2172" s="72">
        <f t="shared" si="1384"/>
        <v>0.12245995571985221</v>
      </c>
      <c r="I2172" s="72">
        <f t="shared" si="1384"/>
        <v>0.15969102906245516</v>
      </c>
      <c r="J2172" s="72">
        <f t="shared" si="1384"/>
        <v>0.64061377711332435</v>
      </c>
      <c r="K2172" s="72">
        <f t="shared" si="1384"/>
        <v>0.47013346443072779</v>
      </c>
      <c r="L2172" s="72">
        <f t="shared" si="1384"/>
        <v>9.6429790046797289E-4</v>
      </c>
      <c r="M2172" s="72">
        <f t="shared" si="1384"/>
        <v>0.43499277832898064</v>
      </c>
      <c r="N2172" s="83">
        <f t="shared" si="1384"/>
        <v>0.41460279310282044</v>
      </c>
      <c r="Y2172" s="104"/>
      <c r="Z2172" s="104"/>
      <c r="AA2172" s="118"/>
    </row>
    <row r="2173" spans="1:27" ht="15" customHeight="1">
      <c r="A2173" s="411" t="s">
        <v>6</v>
      </c>
      <c r="B2173" s="27" t="s">
        <v>7</v>
      </c>
      <c r="C2173" s="68">
        <v>5006</v>
      </c>
      <c r="D2173" s="68">
        <v>3200</v>
      </c>
      <c r="E2173" s="68">
        <v>3200</v>
      </c>
      <c r="F2173" s="68">
        <v>9503</v>
      </c>
      <c r="G2173" s="68">
        <v>3200</v>
      </c>
      <c r="H2173" s="68">
        <v>4800</v>
      </c>
      <c r="I2173" s="68">
        <v>4000</v>
      </c>
      <c r="J2173" s="68">
        <v>9503</v>
      </c>
      <c r="K2173" s="68">
        <v>2400</v>
      </c>
      <c r="L2173" s="68">
        <v>1600</v>
      </c>
      <c r="M2173" s="68">
        <f>4643-2210</f>
        <v>2433</v>
      </c>
      <c r="N2173" s="80">
        <v>396</v>
      </c>
      <c r="Y2173" s="104"/>
      <c r="Z2173" s="104"/>
      <c r="AA2173" s="118"/>
    </row>
    <row r="2174" spans="1:27">
      <c r="A2174" s="412"/>
      <c r="B2174" s="28" t="s">
        <v>11</v>
      </c>
      <c r="C2174" s="73">
        <f t="shared" ref="C2174:N2174" si="1385">C2173*33.79</f>
        <v>169152.74</v>
      </c>
      <c r="D2174" s="73">
        <f t="shared" si="1385"/>
        <v>108128</v>
      </c>
      <c r="E2174" s="73">
        <f t="shared" si="1385"/>
        <v>108128</v>
      </c>
      <c r="F2174" s="73">
        <f t="shared" si="1385"/>
        <v>321106.37</v>
      </c>
      <c r="G2174" s="73">
        <f t="shared" si="1385"/>
        <v>108128</v>
      </c>
      <c r="H2174" s="73">
        <f t="shared" si="1385"/>
        <v>162192</v>
      </c>
      <c r="I2174" s="73">
        <f t="shared" si="1385"/>
        <v>135160</v>
      </c>
      <c r="J2174" s="73">
        <f t="shared" si="1385"/>
        <v>321106.37</v>
      </c>
      <c r="K2174" s="73">
        <f t="shared" si="1385"/>
        <v>81096</v>
      </c>
      <c r="L2174" s="73">
        <f t="shared" si="1385"/>
        <v>54064</v>
      </c>
      <c r="M2174" s="73">
        <f t="shared" si="1385"/>
        <v>82211.069999999992</v>
      </c>
      <c r="N2174" s="84">
        <f t="shared" si="1385"/>
        <v>13380.84</v>
      </c>
      <c r="Y2174" s="104"/>
      <c r="Z2174" s="104"/>
      <c r="AA2174" s="118"/>
    </row>
    <row r="2175" spans="1:27">
      <c r="A2175" s="412"/>
      <c r="B2175" s="28" t="s">
        <v>79</v>
      </c>
      <c r="C2175" s="73">
        <v>164000</v>
      </c>
      <c r="D2175" s="73">
        <v>109880</v>
      </c>
      <c r="E2175" s="73">
        <v>109880</v>
      </c>
      <c r="F2175" s="73">
        <v>328000</v>
      </c>
      <c r="G2175" s="73">
        <f>G2170*2</f>
        <v>242663.6</v>
      </c>
      <c r="H2175" s="73">
        <f>H2170*2</f>
        <v>220143.8</v>
      </c>
      <c r="I2175" s="73">
        <f>I2170*2</f>
        <v>242663.6</v>
      </c>
      <c r="J2175" s="73">
        <v>328000</v>
      </c>
      <c r="K2175" s="73">
        <f>K2170*2</f>
        <v>109842</v>
      </c>
      <c r="L2175" s="73">
        <v>328000</v>
      </c>
      <c r="M2175" s="73">
        <f>2*M2170</f>
        <v>352965.4</v>
      </c>
      <c r="N2175" s="84">
        <f>2*N2170</f>
        <v>109842</v>
      </c>
      <c r="Y2175" s="104"/>
      <c r="Z2175" s="104"/>
      <c r="AA2175" s="118"/>
    </row>
    <row r="2176" spans="1:27" s="64" customFormat="1">
      <c r="A2176" s="412"/>
      <c r="B2176" s="66" t="s">
        <v>8</v>
      </c>
      <c r="C2176" s="98">
        <f>SUM(C2173-489)</f>
        <v>4517</v>
      </c>
      <c r="D2176" s="98">
        <f>SUM(D2173-688)</f>
        <v>2512</v>
      </c>
      <c r="E2176" s="98">
        <f>SUM(E2173-674)</f>
        <v>2526</v>
      </c>
      <c r="F2176" s="98">
        <f>SUM(F2173-1236)</f>
        <v>8267</v>
      </c>
      <c r="G2176" s="98">
        <f>SUM(G2173-3164)</f>
        <v>36</v>
      </c>
      <c r="H2176" s="98">
        <f>SUM(H2173-3159)</f>
        <v>1641</v>
      </c>
      <c r="I2176" s="98">
        <f>SUM(I2173-2952)</f>
        <v>1048</v>
      </c>
      <c r="J2176" s="98">
        <f>SUM(J2173-1596)</f>
        <v>7907</v>
      </c>
      <c r="K2176" s="98">
        <f>SUM(K2173-933)</f>
        <v>1467</v>
      </c>
      <c r="L2176" s="98">
        <f>SUM(L2173-1534)</f>
        <v>66</v>
      </c>
      <c r="M2176" s="98">
        <f>SUM(M2173-(3396-2210))</f>
        <v>1247</v>
      </c>
      <c r="N2176" s="103">
        <f>SUM(N2173-49)</f>
        <v>347</v>
      </c>
      <c r="P2176" s="14"/>
      <c r="Q2176" s="105"/>
      <c r="R2176" s="104"/>
      <c r="S2176" s="104"/>
      <c r="T2176" s="104"/>
      <c r="U2176" s="104"/>
      <c r="V2176" s="104"/>
      <c r="W2176" s="104"/>
      <c r="X2176" s="104"/>
      <c r="Y2176" s="67"/>
      <c r="Z2176" s="67"/>
    </row>
    <row r="2177" spans="1:27">
      <c r="A2177" s="412"/>
      <c r="B2177" s="29" t="s">
        <v>77</v>
      </c>
      <c r="C2177" s="75">
        <f>C2176*33.72</f>
        <v>152313.24</v>
      </c>
      <c r="D2177" s="75">
        <f>D2176*33.72</f>
        <v>84704.639999999999</v>
      </c>
      <c r="E2177" s="75">
        <f>E2176*33.72</f>
        <v>85176.72</v>
      </c>
      <c r="F2177" s="75">
        <f>F2176*33.72</f>
        <v>278763.24</v>
      </c>
      <c r="G2177" s="75">
        <f>G2176*33.72*2</f>
        <v>2427.84</v>
      </c>
      <c r="H2177" s="75">
        <f>H2176*33.72</f>
        <v>55334.52</v>
      </c>
      <c r="I2177" s="75">
        <f>I2176*33.72</f>
        <v>35338.559999999998</v>
      </c>
      <c r="J2177" s="75">
        <f>J2176*33.72</f>
        <v>266624.03999999998</v>
      </c>
      <c r="K2177" s="75">
        <f>K2176*33.72</f>
        <v>49467.24</v>
      </c>
      <c r="L2177" s="75">
        <f>L2176*33.72</f>
        <v>2225.52</v>
      </c>
      <c r="M2177" s="75">
        <f>M2176*33.72*2</f>
        <v>84097.68</v>
      </c>
      <c r="N2177" s="11">
        <f>N2176*33.72</f>
        <v>11700.84</v>
      </c>
      <c r="Q2177" s="105"/>
    </row>
    <row r="2178" spans="1:27" ht="15.75" thickBot="1">
      <c r="A2178" s="412"/>
      <c r="B2178" s="30" t="s">
        <v>10</v>
      </c>
      <c r="C2178" s="71">
        <f>C2176*33.7/C2170</f>
        <v>1.314342133438327</v>
      </c>
      <c r="D2178" s="71">
        <f t="shared" ref="D2178:N2178" si="1386">D2176*33.7/D2170</f>
        <v>1.0585941749709575</v>
      </c>
      <c r="E2178" s="78">
        <f t="shared" si="1386"/>
        <v>1.064493983270955</v>
      </c>
      <c r="F2178" s="78">
        <f t="shared" si="1386"/>
        <v>1.80412880514744</v>
      </c>
      <c r="G2178" s="78">
        <f t="shared" si="1386"/>
        <v>9.9990274602371355E-3</v>
      </c>
      <c r="H2178" s="78">
        <f t="shared" si="1386"/>
        <v>0.50241433099637611</v>
      </c>
      <c r="I2178" s="78">
        <f t="shared" si="1386"/>
        <v>0.2910827993980144</v>
      </c>
      <c r="J2178" s="78">
        <f t="shared" si="1386"/>
        <v>1.5585754259871463</v>
      </c>
      <c r="K2178" s="78">
        <f t="shared" si="1386"/>
        <v>0.90016387174304913</v>
      </c>
      <c r="L2178" s="78">
        <f t="shared" si="1386"/>
        <v>3.6663100687536164E-2</v>
      </c>
      <c r="M2178" s="79">
        <f t="shared" si="1386"/>
        <v>0.23811909042642707</v>
      </c>
      <c r="N2178" s="26">
        <f t="shared" si="1386"/>
        <v>0.21292219733799461</v>
      </c>
      <c r="Q2178" s="105"/>
    </row>
    <row r="2179" spans="1:27" ht="15.75" customHeight="1" thickBot="1">
      <c r="A2179" s="424" t="s">
        <v>83</v>
      </c>
      <c r="B2179" s="425"/>
      <c r="C2179" s="76">
        <f>MIN(2*C2170,C2175)-C2177</f>
        <v>11686.760000000009</v>
      </c>
      <c r="D2179" s="76">
        <f t="shared" ref="D2179:N2179" si="1387">MIN(2*D2170,D2175)-D2177</f>
        <v>25175.360000000001</v>
      </c>
      <c r="E2179" s="76">
        <f t="shared" si="1387"/>
        <v>24703.279999999999</v>
      </c>
      <c r="F2179" s="76">
        <f t="shared" si="1387"/>
        <v>30081.559999999998</v>
      </c>
      <c r="G2179" s="76">
        <f t="shared" si="1387"/>
        <v>240235.76</v>
      </c>
      <c r="H2179" s="76">
        <f t="shared" si="1387"/>
        <v>164809.28</v>
      </c>
      <c r="I2179" s="76">
        <f t="shared" si="1387"/>
        <v>207325.04</v>
      </c>
      <c r="J2179" s="76">
        <f t="shared" si="1387"/>
        <v>61375.960000000021</v>
      </c>
      <c r="K2179" s="76">
        <f t="shared" si="1387"/>
        <v>60374.76</v>
      </c>
      <c r="L2179" s="76">
        <f t="shared" si="1387"/>
        <v>119106.28</v>
      </c>
      <c r="M2179" s="76">
        <f t="shared" si="1387"/>
        <v>268867.72000000003</v>
      </c>
      <c r="N2179" s="22">
        <f t="shared" si="1387"/>
        <v>98141.16</v>
      </c>
      <c r="Q2179" s="105"/>
    </row>
    <row r="2180" spans="1:27" ht="15.75" thickBot="1">
      <c r="A2180" s="368">
        <v>40924</v>
      </c>
      <c r="B2180" s="368"/>
      <c r="C2180" s="368"/>
      <c r="N2180" s="15"/>
    </row>
    <row r="2181" spans="1:27">
      <c r="A2181" s="407" t="s">
        <v>1</v>
      </c>
      <c r="B2181" s="420"/>
      <c r="C2181" s="68" t="s">
        <v>12</v>
      </c>
      <c r="D2181" s="68" t="s">
        <v>12</v>
      </c>
      <c r="E2181" s="68" t="s">
        <v>13</v>
      </c>
      <c r="F2181" s="68" t="s">
        <v>13</v>
      </c>
      <c r="G2181" s="68" t="s">
        <v>13</v>
      </c>
      <c r="H2181" s="68" t="s">
        <v>13</v>
      </c>
      <c r="I2181" s="68" t="s">
        <v>13</v>
      </c>
      <c r="J2181" s="68" t="s">
        <v>2</v>
      </c>
      <c r="K2181" s="68" t="s">
        <v>2</v>
      </c>
      <c r="L2181" s="68" t="s">
        <v>2</v>
      </c>
      <c r="M2181" s="68" t="s">
        <v>2</v>
      </c>
      <c r="N2181" s="4" t="s">
        <v>84</v>
      </c>
      <c r="Y2181" s="104"/>
      <c r="Z2181" s="104"/>
      <c r="AA2181" s="117"/>
    </row>
    <row r="2182" spans="1:27" ht="15.75" thickBot="1">
      <c r="A2182" s="409" t="s">
        <v>0</v>
      </c>
      <c r="B2182" s="414"/>
      <c r="C2182" s="99" t="s">
        <v>102</v>
      </c>
      <c r="D2182" s="99" t="s">
        <v>103</v>
      </c>
      <c r="E2182" s="99" t="s">
        <v>104</v>
      </c>
      <c r="F2182" s="99" t="s">
        <v>105</v>
      </c>
      <c r="G2182" s="99" t="s">
        <v>100</v>
      </c>
      <c r="H2182" s="99" t="s">
        <v>107</v>
      </c>
      <c r="I2182" s="99" t="s">
        <v>106</v>
      </c>
      <c r="J2182" s="99" t="s">
        <v>108</v>
      </c>
      <c r="K2182" s="99" t="s">
        <v>110</v>
      </c>
      <c r="L2182" s="99" t="s">
        <v>101</v>
      </c>
      <c r="M2182" s="99" t="s">
        <v>109</v>
      </c>
      <c r="N2182" s="101" t="s">
        <v>111</v>
      </c>
      <c r="P2182" s="172"/>
      <c r="Q2182" s="105"/>
      <c r="R2182" s="105"/>
      <c r="S2182" s="105"/>
      <c r="T2182" s="105"/>
      <c r="U2182" s="105"/>
      <c r="V2182" s="105"/>
      <c r="W2182" s="105"/>
      <c r="X2182" s="105"/>
      <c r="Y2182" s="105"/>
      <c r="Z2182" s="105"/>
      <c r="AA2182" s="38"/>
    </row>
    <row r="2183" spans="1:27" ht="15" customHeight="1">
      <c r="A2183" s="421" t="s">
        <v>9</v>
      </c>
      <c r="B2183" s="2" t="s">
        <v>4</v>
      </c>
      <c r="C2183" s="96">
        <v>115816.8</v>
      </c>
      <c r="D2183" s="96">
        <v>79968.7</v>
      </c>
      <c r="E2183" s="96">
        <v>79968.7</v>
      </c>
      <c r="F2183" s="96">
        <v>154422.39999999999</v>
      </c>
      <c r="G2183" s="96">
        <v>121331.8</v>
      </c>
      <c r="H2183" s="96">
        <v>110071.9</v>
      </c>
      <c r="I2183" s="96">
        <v>121331.8</v>
      </c>
      <c r="J2183" s="96">
        <v>170967.6</v>
      </c>
      <c r="K2183" s="96">
        <v>54921</v>
      </c>
      <c r="L2183" s="96">
        <v>60665.9</v>
      </c>
      <c r="M2183" s="96">
        <v>176482.7</v>
      </c>
      <c r="N2183" s="100">
        <v>54921</v>
      </c>
      <c r="Y2183" s="104"/>
      <c r="Z2183" s="104"/>
      <c r="AA2183" s="117"/>
    </row>
    <row r="2184" spans="1:27" s="64" customFormat="1">
      <c r="A2184" s="422"/>
      <c r="B2184" s="63" t="s">
        <v>5</v>
      </c>
      <c r="C2184" s="97">
        <v>89425.600000000006</v>
      </c>
      <c r="D2184" s="97">
        <v>65469.3</v>
      </c>
      <c r="E2184" s="97">
        <v>66847</v>
      </c>
      <c r="F2184" s="97">
        <v>123865.3</v>
      </c>
      <c r="G2184" s="97">
        <v>86.6</v>
      </c>
      <c r="H2184" s="97">
        <v>13454.1</v>
      </c>
      <c r="I2184" s="97">
        <v>19322.7</v>
      </c>
      <c r="J2184" s="97">
        <v>109470.5</v>
      </c>
      <c r="K2184" s="97">
        <v>25812.2</v>
      </c>
      <c r="L2184" s="97">
        <v>58.5</v>
      </c>
      <c r="M2184" s="97">
        <v>76762.2</v>
      </c>
      <c r="N2184" s="102">
        <v>22770.3</v>
      </c>
      <c r="P2184" s="14"/>
      <c r="Q2184" s="104"/>
      <c r="R2184" s="104"/>
      <c r="S2184" s="104"/>
      <c r="T2184" s="104"/>
      <c r="U2184" s="104"/>
      <c r="V2184" s="104"/>
      <c r="W2184" s="104"/>
      <c r="X2184" s="104"/>
      <c r="Y2184" s="104"/>
      <c r="Z2184" s="104"/>
      <c r="AA2184" s="65"/>
    </row>
    <row r="2185" spans="1:27" ht="15.75" thickBot="1">
      <c r="A2185" s="423"/>
      <c r="B2185" s="3" t="s">
        <v>3</v>
      </c>
      <c r="C2185" s="71">
        <f>C2184/C2183</f>
        <v>0.77212977737254007</v>
      </c>
      <c r="D2185" s="72">
        <f t="shared" ref="D2185:N2185" si="1388">D2184/D2183</f>
        <v>0.81868656111703708</v>
      </c>
      <c r="E2185" s="72">
        <f t="shared" si="1388"/>
        <v>0.83591455156830108</v>
      </c>
      <c r="F2185" s="72">
        <f t="shared" si="1388"/>
        <v>0.80212002921855896</v>
      </c>
      <c r="G2185" s="72">
        <f t="shared" si="1388"/>
        <v>7.1374528359424315E-4</v>
      </c>
      <c r="H2185" s="72">
        <f t="shared" si="1388"/>
        <v>0.12223010595801473</v>
      </c>
      <c r="I2185" s="72">
        <f t="shared" si="1388"/>
        <v>0.1592550345416453</v>
      </c>
      <c r="J2185" s="72">
        <f t="shared" si="1388"/>
        <v>0.640299682512944</v>
      </c>
      <c r="K2185" s="72">
        <f t="shared" si="1388"/>
        <v>0.4699878006591286</v>
      </c>
      <c r="L2185" s="72">
        <f t="shared" si="1388"/>
        <v>9.6429790046797289E-4</v>
      </c>
      <c r="M2185" s="72">
        <f t="shared" si="1388"/>
        <v>0.43495594752346828</v>
      </c>
      <c r="N2185" s="83">
        <f t="shared" si="1388"/>
        <v>0.41460097230567539</v>
      </c>
      <c r="Y2185" s="104"/>
      <c r="Z2185" s="104"/>
      <c r="AA2185" s="117"/>
    </row>
    <row r="2186" spans="1:27" ht="15" customHeight="1">
      <c r="A2186" s="411" t="s">
        <v>6</v>
      </c>
      <c r="B2186" s="27" t="s">
        <v>7</v>
      </c>
      <c r="C2186" s="68">
        <v>5006</v>
      </c>
      <c r="D2186" s="68">
        <v>3200</v>
      </c>
      <c r="E2186" s="68">
        <v>3200</v>
      </c>
      <c r="F2186" s="68">
        <v>9503</v>
      </c>
      <c r="G2186" s="68">
        <v>3200</v>
      </c>
      <c r="H2186" s="68">
        <v>4800</v>
      </c>
      <c r="I2186" s="68">
        <v>4000</v>
      </c>
      <c r="J2186" s="68">
        <v>9503</v>
      </c>
      <c r="K2186" s="68">
        <v>2400</v>
      </c>
      <c r="L2186" s="68">
        <v>1600</v>
      </c>
      <c r="M2186" s="68">
        <f>4643-2210</f>
        <v>2433</v>
      </c>
      <c r="N2186" s="80">
        <v>396</v>
      </c>
      <c r="Y2186" s="104"/>
      <c r="Z2186" s="104"/>
      <c r="AA2186" s="117"/>
    </row>
    <row r="2187" spans="1:27">
      <c r="A2187" s="412"/>
      <c r="B2187" s="28" t="s">
        <v>11</v>
      </c>
      <c r="C2187" s="73">
        <f t="shared" ref="C2187:N2187" si="1389">C2186*33.79</f>
        <v>169152.74</v>
      </c>
      <c r="D2187" s="73">
        <f t="shared" si="1389"/>
        <v>108128</v>
      </c>
      <c r="E2187" s="73">
        <f t="shared" si="1389"/>
        <v>108128</v>
      </c>
      <c r="F2187" s="73">
        <f t="shared" si="1389"/>
        <v>321106.37</v>
      </c>
      <c r="G2187" s="73">
        <f t="shared" si="1389"/>
        <v>108128</v>
      </c>
      <c r="H2187" s="73">
        <f t="shared" si="1389"/>
        <v>162192</v>
      </c>
      <c r="I2187" s="73">
        <f t="shared" si="1389"/>
        <v>135160</v>
      </c>
      <c r="J2187" s="73">
        <f t="shared" si="1389"/>
        <v>321106.37</v>
      </c>
      <c r="K2187" s="73">
        <f t="shared" si="1389"/>
        <v>81096</v>
      </c>
      <c r="L2187" s="73">
        <f t="shared" si="1389"/>
        <v>54064</v>
      </c>
      <c r="M2187" s="73">
        <f t="shared" si="1389"/>
        <v>82211.069999999992</v>
      </c>
      <c r="N2187" s="84">
        <f t="shared" si="1389"/>
        <v>13380.84</v>
      </c>
      <c r="Y2187" s="104"/>
      <c r="Z2187" s="104"/>
      <c r="AA2187" s="117"/>
    </row>
    <row r="2188" spans="1:27">
      <c r="A2188" s="412"/>
      <c r="B2188" s="28" t="s">
        <v>79</v>
      </c>
      <c r="C2188" s="73">
        <v>164000</v>
      </c>
      <c r="D2188" s="73">
        <v>109880</v>
      </c>
      <c r="E2188" s="73">
        <v>109880</v>
      </c>
      <c r="F2188" s="73">
        <v>328000</v>
      </c>
      <c r="G2188" s="73">
        <f>G2183*2</f>
        <v>242663.6</v>
      </c>
      <c r="H2188" s="73">
        <f>H2183*2</f>
        <v>220143.8</v>
      </c>
      <c r="I2188" s="73">
        <f>I2183*2</f>
        <v>242663.6</v>
      </c>
      <c r="J2188" s="73">
        <v>328000</v>
      </c>
      <c r="K2188" s="73">
        <f>K2183*2</f>
        <v>109842</v>
      </c>
      <c r="L2188" s="73">
        <v>328000</v>
      </c>
      <c r="M2188" s="73">
        <f>2*M2183</f>
        <v>352965.4</v>
      </c>
      <c r="N2188" s="84">
        <f>2*N2183</f>
        <v>109842</v>
      </c>
      <c r="Y2188" s="104"/>
      <c r="Z2188" s="104"/>
      <c r="AA2188" s="117"/>
    </row>
    <row r="2189" spans="1:27" s="64" customFormat="1">
      <c r="A2189" s="412"/>
      <c r="B2189" s="66" t="s">
        <v>8</v>
      </c>
      <c r="C2189" s="98">
        <f>SUM(C2186-489)</f>
        <v>4517</v>
      </c>
      <c r="D2189" s="98">
        <f>SUM(D2186-688)</f>
        <v>2512</v>
      </c>
      <c r="E2189" s="98">
        <f>SUM(E2186-674)</f>
        <v>2526</v>
      </c>
      <c r="F2189" s="98">
        <f>SUM(F2186-1236)</f>
        <v>8267</v>
      </c>
      <c r="G2189" s="98">
        <f>SUM(G2186-3164)</f>
        <v>36</v>
      </c>
      <c r="H2189" s="98">
        <f>SUM(H2186-3159)</f>
        <v>1641</v>
      </c>
      <c r="I2189" s="98">
        <f>SUM(I2186-2952)</f>
        <v>1048</v>
      </c>
      <c r="J2189" s="98">
        <f>SUM(J2186-1596)</f>
        <v>7907</v>
      </c>
      <c r="K2189" s="98">
        <f>SUM(K2186-933)</f>
        <v>1467</v>
      </c>
      <c r="L2189" s="98">
        <f>SUM(L2186-1534)</f>
        <v>66</v>
      </c>
      <c r="M2189" s="98">
        <f>SUM(M2186-(3448-2210))</f>
        <v>1195</v>
      </c>
      <c r="N2189" s="103">
        <f>SUM(N2186-49)</f>
        <v>347</v>
      </c>
      <c r="P2189" s="14"/>
      <c r="Q2189" s="105"/>
      <c r="R2189" s="104"/>
      <c r="S2189" s="104"/>
      <c r="T2189" s="104"/>
      <c r="U2189" s="104"/>
      <c r="V2189" s="104"/>
      <c r="W2189" s="104"/>
      <c r="X2189" s="104"/>
      <c r="Y2189" s="67"/>
      <c r="Z2189" s="67"/>
    </row>
    <row r="2190" spans="1:27">
      <c r="A2190" s="412"/>
      <c r="B2190" s="29" t="s">
        <v>77</v>
      </c>
      <c r="C2190" s="75">
        <f>C2189*33.72</f>
        <v>152313.24</v>
      </c>
      <c r="D2190" s="75">
        <f>D2189*33.72</f>
        <v>84704.639999999999</v>
      </c>
      <c r="E2190" s="75">
        <f>E2189*33.72</f>
        <v>85176.72</v>
      </c>
      <c r="F2190" s="75">
        <f>F2189*33.72</f>
        <v>278763.24</v>
      </c>
      <c r="G2190" s="75">
        <f>G2189*33.72*2</f>
        <v>2427.84</v>
      </c>
      <c r="H2190" s="75">
        <f>H2189*33.72</f>
        <v>55334.52</v>
      </c>
      <c r="I2190" s="75">
        <f>I2189*33.72</f>
        <v>35338.559999999998</v>
      </c>
      <c r="J2190" s="75">
        <f>J2189*33.72</f>
        <v>266624.03999999998</v>
      </c>
      <c r="K2190" s="75">
        <f>K2189*33.72</f>
        <v>49467.24</v>
      </c>
      <c r="L2190" s="75">
        <f>L2189*33.72</f>
        <v>2225.52</v>
      </c>
      <c r="M2190" s="75">
        <f>M2189*33.72*2</f>
        <v>80590.8</v>
      </c>
      <c r="N2190" s="11">
        <f>N2189*33.72</f>
        <v>11700.84</v>
      </c>
      <c r="Q2190" s="105"/>
    </row>
    <row r="2191" spans="1:27" ht="15.75" thickBot="1">
      <c r="A2191" s="412"/>
      <c r="B2191" s="30" t="s">
        <v>10</v>
      </c>
      <c r="C2191" s="71">
        <f>C2189*33.7/C2183</f>
        <v>1.314342133438327</v>
      </c>
      <c r="D2191" s="71">
        <f t="shared" ref="D2191:N2191" si="1390">D2189*33.7/D2183</f>
        <v>1.0585941749709575</v>
      </c>
      <c r="E2191" s="78">
        <f t="shared" si="1390"/>
        <v>1.064493983270955</v>
      </c>
      <c r="F2191" s="78">
        <f t="shared" si="1390"/>
        <v>1.80412880514744</v>
      </c>
      <c r="G2191" s="78">
        <f t="shared" si="1390"/>
        <v>9.9990274602371355E-3</v>
      </c>
      <c r="H2191" s="78">
        <f t="shared" si="1390"/>
        <v>0.50241433099637611</v>
      </c>
      <c r="I2191" s="78">
        <f t="shared" si="1390"/>
        <v>0.2910827993980144</v>
      </c>
      <c r="J2191" s="78">
        <f t="shared" si="1390"/>
        <v>1.5585754259871463</v>
      </c>
      <c r="K2191" s="78">
        <f t="shared" si="1390"/>
        <v>0.90016387174304913</v>
      </c>
      <c r="L2191" s="78">
        <f t="shared" si="1390"/>
        <v>3.6663100687536164E-2</v>
      </c>
      <c r="M2191" s="79">
        <f t="shared" si="1390"/>
        <v>0.22818950526028894</v>
      </c>
      <c r="N2191" s="26">
        <f t="shared" si="1390"/>
        <v>0.21292219733799461</v>
      </c>
      <c r="Q2191" s="105"/>
    </row>
    <row r="2192" spans="1:27" ht="15.75" customHeight="1" thickBot="1">
      <c r="A2192" s="424" t="s">
        <v>83</v>
      </c>
      <c r="B2192" s="425"/>
      <c r="C2192" s="76">
        <f>MIN(2*C2183,C2188)-C2190</f>
        <v>11686.760000000009</v>
      </c>
      <c r="D2192" s="76">
        <f t="shared" ref="D2192:N2192" si="1391">MIN(2*D2183,D2188)-D2190</f>
        <v>25175.360000000001</v>
      </c>
      <c r="E2192" s="76">
        <f t="shared" si="1391"/>
        <v>24703.279999999999</v>
      </c>
      <c r="F2192" s="76">
        <f t="shared" si="1391"/>
        <v>30081.559999999998</v>
      </c>
      <c r="G2192" s="76">
        <f t="shared" si="1391"/>
        <v>240235.76</v>
      </c>
      <c r="H2192" s="76">
        <f t="shared" si="1391"/>
        <v>164809.28</v>
      </c>
      <c r="I2192" s="76">
        <f t="shared" si="1391"/>
        <v>207325.04</v>
      </c>
      <c r="J2192" s="76">
        <f t="shared" si="1391"/>
        <v>61375.960000000021</v>
      </c>
      <c r="K2192" s="76">
        <f t="shared" si="1391"/>
        <v>60374.76</v>
      </c>
      <c r="L2192" s="76">
        <f t="shared" si="1391"/>
        <v>119106.28</v>
      </c>
      <c r="M2192" s="76">
        <f t="shared" si="1391"/>
        <v>272374.60000000003</v>
      </c>
      <c r="N2192" s="22">
        <f t="shared" si="1391"/>
        <v>98141.16</v>
      </c>
      <c r="Q2192" s="105"/>
    </row>
    <row r="2193" spans="1:27" ht="15.75" thickBot="1">
      <c r="A2193" s="368">
        <v>40921</v>
      </c>
      <c r="B2193" s="368"/>
      <c r="C2193" s="368"/>
      <c r="N2193" s="15"/>
    </row>
    <row r="2194" spans="1:27">
      <c r="A2194" s="407" t="s">
        <v>1</v>
      </c>
      <c r="B2194" s="420"/>
      <c r="C2194" s="68" t="s">
        <v>12</v>
      </c>
      <c r="D2194" s="68" t="s">
        <v>12</v>
      </c>
      <c r="E2194" s="68" t="s">
        <v>13</v>
      </c>
      <c r="F2194" s="68" t="s">
        <v>13</v>
      </c>
      <c r="G2194" s="68" t="s">
        <v>13</v>
      </c>
      <c r="H2194" s="68" t="s">
        <v>13</v>
      </c>
      <c r="I2194" s="68" t="s">
        <v>13</v>
      </c>
      <c r="J2194" s="68" t="s">
        <v>2</v>
      </c>
      <c r="K2194" s="68" t="s">
        <v>2</v>
      </c>
      <c r="L2194" s="68" t="s">
        <v>2</v>
      </c>
      <c r="M2194" s="68" t="s">
        <v>2</v>
      </c>
      <c r="N2194" s="4" t="s">
        <v>84</v>
      </c>
      <c r="Y2194" s="104"/>
      <c r="Z2194" s="104"/>
      <c r="AA2194" s="116"/>
    </row>
    <row r="2195" spans="1:27" ht="15.75" thickBot="1">
      <c r="A2195" s="409" t="s">
        <v>0</v>
      </c>
      <c r="B2195" s="414"/>
      <c r="C2195" s="99" t="s">
        <v>102</v>
      </c>
      <c r="D2195" s="99" t="s">
        <v>103</v>
      </c>
      <c r="E2195" s="99" t="s">
        <v>104</v>
      </c>
      <c r="F2195" s="99" t="s">
        <v>105</v>
      </c>
      <c r="G2195" s="99" t="s">
        <v>100</v>
      </c>
      <c r="H2195" s="99" t="s">
        <v>107</v>
      </c>
      <c r="I2195" s="99" t="s">
        <v>106</v>
      </c>
      <c r="J2195" s="99" t="s">
        <v>108</v>
      </c>
      <c r="K2195" s="99" t="s">
        <v>110</v>
      </c>
      <c r="L2195" s="99" t="s">
        <v>101</v>
      </c>
      <c r="M2195" s="99" t="s">
        <v>109</v>
      </c>
      <c r="N2195" s="101" t="s">
        <v>111</v>
      </c>
      <c r="P2195" s="172"/>
      <c r="Q2195" s="105"/>
      <c r="R2195" s="105"/>
      <c r="S2195" s="105"/>
      <c r="T2195" s="105"/>
      <c r="U2195" s="105"/>
      <c r="V2195" s="105"/>
      <c r="W2195" s="105"/>
      <c r="X2195" s="105"/>
      <c r="Y2195" s="105"/>
      <c r="Z2195" s="105"/>
      <c r="AA2195" s="38"/>
    </row>
    <row r="2196" spans="1:27" ht="15" customHeight="1">
      <c r="A2196" s="421" t="s">
        <v>9</v>
      </c>
      <c r="B2196" s="2" t="s">
        <v>4</v>
      </c>
      <c r="C2196" s="96">
        <v>115816.8</v>
      </c>
      <c r="D2196" s="96">
        <v>79968.7</v>
      </c>
      <c r="E2196" s="96">
        <v>79968.7</v>
      </c>
      <c r="F2196" s="96">
        <v>154422.39999999999</v>
      </c>
      <c r="G2196" s="96">
        <v>121331.8</v>
      </c>
      <c r="H2196" s="96">
        <v>110071.9</v>
      </c>
      <c r="I2196" s="96">
        <v>121331.8</v>
      </c>
      <c r="J2196" s="96">
        <v>170967.6</v>
      </c>
      <c r="K2196" s="96">
        <v>54921</v>
      </c>
      <c r="L2196" s="96">
        <v>60665.9</v>
      </c>
      <c r="M2196" s="96">
        <v>176482.7</v>
      </c>
      <c r="N2196" s="100">
        <v>54921</v>
      </c>
      <c r="Y2196" s="104"/>
      <c r="Z2196" s="104"/>
      <c r="AA2196" s="116"/>
    </row>
    <row r="2197" spans="1:27" s="64" customFormat="1">
      <c r="A2197" s="422"/>
      <c r="B2197" s="63" t="s">
        <v>5</v>
      </c>
      <c r="C2197" s="97">
        <v>89217.1</v>
      </c>
      <c r="D2197" s="97">
        <v>65460.4</v>
      </c>
      <c r="E2197" s="97">
        <v>66838.399999999994</v>
      </c>
      <c r="F2197" s="97">
        <v>123423.2</v>
      </c>
      <c r="G2197" s="97">
        <v>84.1</v>
      </c>
      <c r="H2197" s="97">
        <v>13407.7</v>
      </c>
      <c r="I2197" s="97">
        <v>19300.8</v>
      </c>
      <c r="J2197" s="97">
        <v>109336.9</v>
      </c>
      <c r="K2197" s="97">
        <v>25683.7</v>
      </c>
      <c r="L2197" s="97">
        <v>57.2</v>
      </c>
      <c r="M2197" s="97">
        <v>76714.2</v>
      </c>
      <c r="N2197" s="102">
        <v>22768.2</v>
      </c>
      <c r="P2197" s="14"/>
      <c r="Q2197" s="104"/>
      <c r="R2197" s="104"/>
      <c r="S2197" s="104"/>
      <c r="T2197" s="104"/>
      <c r="U2197" s="104"/>
      <c r="V2197" s="104"/>
      <c r="W2197" s="104"/>
      <c r="X2197" s="104"/>
      <c r="Y2197" s="104"/>
      <c r="Z2197" s="104"/>
      <c r="AA2197" s="65"/>
    </row>
    <row r="2198" spans="1:27" ht="15.75" thickBot="1">
      <c r="A2198" s="423"/>
      <c r="B2198" s="3" t="s">
        <v>3</v>
      </c>
      <c r="C2198" s="71">
        <f>C2197/C2196</f>
        <v>0.77032952041500025</v>
      </c>
      <c r="D2198" s="72">
        <f t="shared" ref="D2198:N2198" si="1392">D2197/D2196</f>
        <v>0.81857526757343813</v>
      </c>
      <c r="E2198" s="72">
        <f t="shared" si="1392"/>
        <v>0.83580700949246389</v>
      </c>
      <c r="F2198" s="72">
        <f t="shared" si="1392"/>
        <v>0.7992571025965145</v>
      </c>
      <c r="G2198" s="72">
        <f t="shared" si="1392"/>
        <v>6.9314062760133773E-4</v>
      </c>
      <c r="H2198" s="72">
        <f t="shared" si="1392"/>
        <v>0.12180856331179894</v>
      </c>
      <c r="I2198" s="72">
        <f t="shared" si="1392"/>
        <v>0.15907453775514743</v>
      </c>
      <c r="J2198" s="72">
        <f t="shared" si="1392"/>
        <v>0.63951824790194156</v>
      </c>
      <c r="K2198" s="72">
        <f t="shared" si="1392"/>
        <v>0.46764807632781635</v>
      </c>
      <c r="L2198" s="72">
        <f t="shared" si="1392"/>
        <v>9.4286905823535137E-4</v>
      </c>
      <c r="M2198" s="72">
        <f t="shared" si="1392"/>
        <v>0.43468396619045374</v>
      </c>
      <c r="N2198" s="83">
        <f t="shared" si="1392"/>
        <v>0.41456273556563067</v>
      </c>
      <c r="Y2198" s="104"/>
      <c r="Z2198" s="104"/>
      <c r="AA2198" s="116"/>
    </row>
    <row r="2199" spans="1:27" ht="15" customHeight="1">
      <c r="A2199" s="411" t="s">
        <v>6</v>
      </c>
      <c r="B2199" s="27" t="s">
        <v>7</v>
      </c>
      <c r="C2199" s="68">
        <v>5006</v>
      </c>
      <c r="D2199" s="68">
        <v>3200</v>
      </c>
      <c r="E2199" s="68">
        <v>3200</v>
      </c>
      <c r="F2199" s="68">
        <v>9503</v>
      </c>
      <c r="G2199" s="68">
        <v>3200</v>
      </c>
      <c r="H2199" s="68">
        <v>4800</v>
      </c>
      <c r="I2199" s="68">
        <v>4000</v>
      </c>
      <c r="J2199" s="68">
        <v>9503</v>
      </c>
      <c r="K2199" s="68">
        <v>2400</v>
      </c>
      <c r="L2199" s="68">
        <v>1600</v>
      </c>
      <c r="M2199" s="68">
        <f>4643-2210</f>
        <v>2433</v>
      </c>
      <c r="N2199" s="80">
        <v>396</v>
      </c>
      <c r="Y2199" s="104"/>
      <c r="Z2199" s="104"/>
      <c r="AA2199" s="116"/>
    </row>
    <row r="2200" spans="1:27">
      <c r="A2200" s="412"/>
      <c r="B2200" s="28" t="s">
        <v>11</v>
      </c>
      <c r="C2200" s="73">
        <f t="shared" ref="C2200:N2200" si="1393">C2199*33.79</f>
        <v>169152.74</v>
      </c>
      <c r="D2200" s="73">
        <f t="shared" si="1393"/>
        <v>108128</v>
      </c>
      <c r="E2200" s="73">
        <f t="shared" si="1393"/>
        <v>108128</v>
      </c>
      <c r="F2200" s="73">
        <f t="shared" si="1393"/>
        <v>321106.37</v>
      </c>
      <c r="G2200" s="73">
        <f t="shared" si="1393"/>
        <v>108128</v>
      </c>
      <c r="H2200" s="73">
        <f t="shared" si="1393"/>
        <v>162192</v>
      </c>
      <c r="I2200" s="73">
        <f t="shared" si="1393"/>
        <v>135160</v>
      </c>
      <c r="J2200" s="73">
        <f t="shared" si="1393"/>
        <v>321106.37</v>
      </c>
      <c r="K2200" s="73">
        <f t="shared" si="1393"/>
        <v>81096</v>
      </c>
      <c r="L2200" s="73">
        <f t="shared" si="1393"/>
        <v>54064</v>
      </c>
      <c r="M2200" s="73">
        <f t="shared" si="1393"/>
        <v>82211.069999999992</v>
      </c>
      <c r="N2200" s="84">
        <f t="shared" si="1393"/>
        <v>13380.84</v>
      </c>
      <c r="Y2200" s="104"/>
      <c r="Z2200" s="104"/>
      <c r="AA2200" s="116"/>
    </row>
    <row r="2201" spans="1:27">
      <c r="A2201" s="412"/>
      <c r="B2201" s="28" t="s">
        <v>79</v>
      </c>
      <c r="C2201" s="73">
        <v>164000</v>
      </c>
      <c r="D2201" s="73">
        <v>109880</v>
      </c>
      <c r="E2201" s="73">
        <v>109880</v>
      </c>
      <c r="F2201" s="73">
        <v>328000</v>
      </c>
      <c r="G2201" s="73">
        <f>G2196*2</f>
        <v>242663.6</v>
      </c>
      <c r="H2201" s="73">
        <f>H2196*2</f>
        <v>220143.8</v>
      </c>
      <c r="I2201" s="73">
        <f>I2196*2</f>
        <v>242663.6</v>
      </c>
      <c r="J2201" s="73">
        <v>328000</v>
      </c>
      <c r="K2201" s="73">
        <f>K2196*2</f>
        <v>109842</v>
      </c>
      <c r="L2201" s="73">
        <v>328000</v>
      </c>
      <c r="M2201" s="73">
        <f>2*M2196</f>
        <v>352965.4</v>
      </c>
      <c r="N2201" s="84">
        <f>2*N2196</f>
        <v>109842</v>
      </c>
      <c r="Y2201" s="104"/>
      <c r="Z2201" s="104"/>
      <c r="AA2201" s="116"/>
    </row>
    <row r="2202" spans="1:27" s="64" customFormat="1">
      <c r="A2202" s="412"/>
      <c r="B2202" s="66" t="s">
        <v>8</v>
      </c>
      <c r="C2202" s="98">
        <f>SUM(C2199-564)</f>
        <v>4442</v>
      </c>
      <c r="D2202" s="98">
        <f>SUM(D2199-688)</f>
        <v>2512</v>
      </c>
      <c r="E2202" s="98">
        <f>SUM(E2199-674)</f>
        <v>2526</v>
      </c>
      <c r="F2202" s="98">
        <f>SUM(F2199-1226)</f>
        <v>8277</v>
      </c>
      <c r="G2202" s="98">
        <f>SUM(G2199-3164)</f>
        <v>36</v>
      </c>
      <c r="H2202" s="98">
        <f>SUM(H2199-3159)</f>
        <v>1641</v>
      </c>
      <c r="I2202" s="98">
        <f>SUM(I2199-2952)</f>
        <v>1048</v>
      </c>
      <c r="J2202" s="98">
        <f>SUM(J2199-1596)</f>
        <v>7907</v>
      </c>
      <c r="K2202" s="98">
        <f>SUM(K2199-933)</f>
        <v>1467</v>
      </c>
      <c r="L2202" s="98">
        <f>SUM(L2199-1534)</f>
        <v>66</v>
      </c>
      <c r="M2202" s="98">
        <f>SUM(M2199-(3448-2210))</f>
        <v>1195</v>
      </c>
      <c r="N2202" s="103">
        <f>SUM(N2199-49)</f>
        <v>347</v>
      </c>
      <c r="P2202" s="14"/>
      <c r="Q2202" s="105"/>
      <c r="R2202" s="104"/>
      <c r="S2202" s="104"/>
      <c r="T2202" s="104"/>
      <c r="U2202" s="104"/>
      <c r="V2202" s="104"/>
      <c r="W2202" s="104"/>
      <c r="X2202" s="104"/>
      <c r="Y2202" s="67"/>
      <c r="Z2202" s="67"/>
    </row>
    <row r="2203" spans="1:27">
      <c r="A2203" s="412"/>
      <c r="B2203" s="29" t="s">
        <v>77</v>
      </c>
      <c r="C2203" s="75">
        <f>C2202*33.72</f>
        <v>149784.24</v>
      </c>
      <c r="D2203" s="75">
        <f>D2202*33.72</f>
        <v>84704.639999999999</v>
      </c>
      <c r="E2203" s="75">
        <f>E2202*33.72</f>
        <v>85176.72</v>
      </c>
      <c r="F2203" s="75">
        <f>F2202*33.72</f>
        <v>279100.44</v>
      </c>
      <c r="G2203" s="75">
        <f>G2202*33.72*2</f>
        <v>2427.84</v>
      </c>
      <c r="H2203" s="75">
        <f>H2202*33.72</f>
        <v>55334.52</v>
      </c>
      <c r="I2203" s="75">
        <f>I2202*33.72</f>
        <v>35338.559999999998</v>
      </c>
      <c r="J2203" s="75">
        <f>J2202*33.72</f>
        <v>266624.03999999998</v>
      </c>
      <c r="K2203" s="75">
        <f>K2202*33.72</f>
        <v>49467.24</v>
      </c>
      <c r="L2203" s="75">
        <f>L2202*33.72</f>
        <v>2225.52</v>
      </c>
      <c r="M2203" s="75">
        <f>M2202*33.72*2</f>
        <v>80590.8</v>
      </c>
      <c r="N2203" s="11">
        <f>N2202*33.72</f>
        <v>11700.84</v>
      </c>
      <c r="Q2203" s="105"/>
    </row>
    <row r="2204" spans="1:27" ht="15.75" thickBot="1">
      <c r="A2204" s="412"/>
      <c r="B2204" s="30" t="s">
        <v>10</v>
      </c>
      <c r="C2204" s="71">
        <f>C2202*33.7/C2196</f>
        <v>1.2925188746364951</v>
      </c>
      <c r="D2204" s="71">
        <f t="shared" ref="D2204:N2204" si="1394">D2202*33.7/D2196</f>
        <v>1.0585941749709575</v>
      </c>
      <c r="E2204" s="78">
        <f t="shared" si="1394"/>
        <v>1.064493983270955</v>
      </c>
      <c r="F2204" s="78">
        <f t="shared" si="1394"/>
        <v>1.8063111310276232</v>
      </c>
      <c r="G2204" s="78">
        <f t="shared" si="1394"/>
        <v>9.9990274602371355E-3</v>
      </c>
      <c r="H2204" s="78">
        <f t="shared" si="1394"/>
        <v>0.50241433099637611</v>
      </c>
      <c r="I2204" s="78">
        <f t="shared" si="1394"/>
        <v>0.2910827993980144</v>
      </c>
      <c r="J2204" s="78">
        <f t="shared" si="1394"/>
        <v>1.5585754259871463</v>
      </c>
      <c r="K2204" s="78">
        <f t="shared" si="1394"/>
        <v>0.90016387174304913</v>
      </c>
      <c r="L2204" s="78">
        <f t="shared" si="1394"/>
        <v>3.6663100687536164E-2</v>
      </c>
      <c r="M2204" s="79">
        <f t="shared" si="1394"/>
        <v>0.22818950526028894</v>
      </c>
      <c r="N2204" s="26">
        <f t="shared" si="1394"/>
        <v>0.21292219733799461</v>
      </c>
      <c r="Q2204" s="105"/>
    </row>
    <row r="2205" spans="1:27" ht="15.75" customHeight="1" thickBot="1">
      <c r="A2205" s="424" t="s">
        <v>83</v>
      </c>
      <c r="B2205" s="425"/>
      <c r="C2205" s="76">
        <f>MIN(2*C2196,C2201)-C2203</f>
        <v>14215.760000000009</v>
      </c>
      <c r="D2205" s="76">
        <f t="shared" ref="D2205:N2205" si="1395">MIN(2*D2196,D2201)-D2203</f>
        <v>25175.360000000001</v>
      </c>
      <c r="E2205" s="76">
        <f t="shared" si="1395"/>
        <v>24703.279999999999</v>
      </c>
      <c r="F2205" s="76">
        <f t="shared" si="1395"/>
        <v>29744.359999999986</v>
      </c>
      <c r="G2205" s="76">
        <f t="shared" si="1395"/>
        <v>240235.76</v>
      </c>
      <c r="H2205" s="76">
        <f t="shared" si="1395"/>
        <v>164809.28</v>
      </c>
      <c r="I2205" s="76">
        <f t="shared" si="1395"/>
        <v>207325.04</v>
      </c>
      <c r="J2205" s="76">
        <f t="shared" si="1395"/>
        <v>61375.960000000021</v>
      </c>
      <c r="K2205" s="76">
        <f t="shared" si="1395"/>
        <v>60374.76</v>
      </c>
      <c r="L2205" s="76">
        <f t="shared" si="1395"/>
        <v>119106.28</v>
      </c>
      <c r="M2205" s="76">
        <f t="shared" si="1395"/>
        <v>272374.60000000003</v>
      </c>
      <c r="N2205" s="22">
        <f t="shared" si="1395"/>
        <v>98141.16</v>
      </c>
      <c r="Q2205" s="105"/>
    </row>
    <row r="2206" spans="1:27" ht="15.75" thickBot="1">
      <c r="A2206" s="368">
        <v>40920</v>
      </c>
      <c r="B2206" s="368"/>
      <c r="C2206" s="368"/>
      <c r="N2206" s="15"/>
    </row>
    <row r="2207" spans="1:27">
      <c r="A2207" s="407" t="s">
        <v>1</v>
      </c>
      <c r="B2207" s="420"/>
      <c r="C2207" s="68" t="s">
        <v>12</v>
      </c>
      <c r="D2207" s="68" t="s">
        <v>12</v>
      </c>
      <c r="E2207" s="68" t="s">
        <v>13</v>
      </c>
      <c r="F2207" s="68" t="s">
        <v>13</v>
      </c>
      <c r="G2207" s="68" t="s">
        <v>13</v>
      </c>
      <c r="H2207" s="68" t="s">
        <v>13</v>
      </c>
      <c r="I2207" s="68" t="s">
        <v>13</v>
      </c>
      <c r="J2207" s="68" t="s">
        <v>2</v>
      </c>
      <c r="K2207" s="68" t="s">
        <v>2</v>
      </c>
      <c r="L2207" s="68" t="s">
        <v>2</v>
      </c>
      <c r="M2207" s="68" t="s">
        <v>2</v>
      </c>
      <c r="N2207" s="4" t="s">
        <v>84</v>
      </c>
      <c r="Y2207" s="104"/>
      <c r="Z2207" s="104"/>
      <c r="AA2207" s="115"/>
    </row>
    <row r="2208" spans="1:27" ht="15.75" thickBot="1">
      <c r="A2208" s="409" t="s">
        <v>0</v>
      </c>
      <c r="B2208" s="414"/>
      <c r="C2208" s="99" t="s">
        <v>102</v>
      </c>
      <c r="D2208" s="99" t="s">
        <v>103</v>
      </c>
      <c r="E2208" s="99" t="s">
        <v>104</v>
      </c>
      <c r="F2208" s="99" t="s">
        <v>105</v>
      </c>
      <c r="G2208" s="99" t="s">
        <v>100</v>
      </c>
      <c r="H2208" s="99" t="s">
        <v>107</v>
      </c>
      <c r="I2208" s="99" t="s">
        <v>106</v>
      </c>
      <c r="J2208" s="99" t="s">
        <v>108</v>
      </c>
      <c r="K2208" s="99" t="s">
        <v>110</v>
      </c>
      <c r="L2208" s="99" t="s">
        <v>101</v>
      </c>
      <c r="M2208" s="99" t="s">
        <v>109</v>
      </c>
      <c r="N2208" s="101" t="s">
        <v>111</v>
      </c>
      <c r="P2208" s="172"/>
      <c r="Q2208" s="105"/>
      <c r="R2208" s="105"/>
      <c r="S2208" s="105"/>
      <c r="T2208" s="105"/>
      <c r="U2208" s="105"/>
      <c r="V2208" s="105"/>
      <c r="W2208" s="105"/>
      <c r="X2208" s="105"/>
      <c r="Y2208" s="105"/>
      <c r="Z2208" s="105"/>
      <c r="AA2208" s="38"/>
    </row>
    <row r="2209" spans="1:27" ht="15" customHeight="1">
      <c r="A2209" s="421" t="s">
        <v>9</v>
      </c>
      <c r="B2209" s="2" t="s">
        <v>4</v>
      </c>
      <c r="C2209" s="96">
        <v>115816.8</v>
      </c>
      <c r="D2209" s="96">
        <v>79968.7</v>
      </c>
      <c r="E2209" s="96">
        <v>79968.7</v>
      </c>
      <c r="F2209" s="96">
        <v>154422.39999999999</v>
      </c>
      <c r="G2209" s="96">
        <v>121331.8</v>
      </c>
      <c r="H2209" s="96">
        <v>110071.9</v>
      </c>
      <c r="I2209" s="96">
        <v>121331.8</v>
      </c>
      <c r="J2209" s="96">
        <v>170967.6</v>
      </c>
      <c r="K2209" s="96">
        <v>54921</v>
      </c>
      <c r="L2209" s="96">
        <v>60665.9</v>
      </c>
      <c r="M2209" s="96">
        <v>176482.7</v>
      </c>
      <c r="N2209" s="100">
        <v>54921</v>
      </c>
      <c r="Y2209" s="104"/>
      <c r="Z2209" s="104"/>
      <c r="AA2209" s="115"/>
    </row>
    <row r="2210" spans="1:27" s="64" customFormat="1">
      <c r="A2210" s="422"/>
      <c r="B2210" s="63" t="s">
        <v>5</v>
      </c>
      <c r="C2210" s="97">
        <v>89211.4</v>
      </c>
      <c r="D2210" s="97">
        <v>65453.9</v>
      </c>
      <c r="E2210" s="97">
        <v>66831.8</v>
      </c>
      <c r="F2210" s="97">
        <v>123185.8</v>
      </c>
      <c r="G2210" s="97">
        <v>82.4</v>
      </c>
      <c r="H2210" s="97">
        <v>13342.7</v>
      </c>
      <c r="I2210" s="97">
        <v>19291.900000000001</v>
      </c>
      <c r="J2210" s="97">
        <v>109285.2</v>
      </c>
      <c r="K2210" s="97">
        <v>25573.9</v>
      </c>
      <c r="L2210" s="97">
        <v>56.4</v>
      </c>
      <c r="M2210" s="97">
        <v>76691.899999999994</v>
      </c>
      <c r="N2210" s="102">
        <v>22766</v>
      </c>
      <c r="P2210" s="14"/>
      <c r="Q2210" s="104"/>
      <c r="R2210" s="104"/>
      <c r="S2210" s="104"/>
      <c r="T2210" s="104"/>
      <c r="U2210" s="104"/>
      <c r="V2210" s="104"/>
      <c r="W2210" s="104"/>
      <c r="X2210" s="104"/>
      <c r="Y2210" s="104"/>
      <c r="Z2210" s="104"/>
      <c r="AA2210" s="65"/>
    </row>
    <row r="2211" spans="1:27" ht="15.75" thickBot="1">
      <c r="A2211" s="423"/>
      <c r="B2211" s="3" t="s">
        <v>3</v>
      </c>
      <c r="C2211" s="71">
        <f>C2210/C2209</f>
        <v>0.77028030475716813</v>
      </c>
      <c r="D2211" s="72">
        <f t="shared" ref="D2211:N2211" si="1396">D2210/D2209</f>
        <v>0.81849398577193333</v>
      </c>
      <c r="E2211" s="72">
        <f t="shared" si="1396"/>
        <v>0.83572447720170528</v>
      </c>
      <c r="F2211" s="72">
        <f t="shared" si="1396"/>
        <v>0.79771976086370899</v>
      </c>
      <c r="G2211" s="72">
        <f t="shared" si="1396"/>
        <v>6.7912946152616223E-4</v>
      </c>
      <c r="H2211" s="72">
        <f t="shared" si="1396"/>
        <v>0.12121804020826388</v>
      </c>
      <c r="I2211" s="72">
        <f t="shared" si="1396"/>
        <v>0.15900118517981271</v>
      </c>
      <c r="J2211" s="72">
        <f t="shared" si="1396"/>
        <v>0.63921585142448034</v>
      </c>
      <c r="K2211" s="72">
        <f t="shared" si="1396"/>
        <v>0.46564884106261722</v>
      </c>
      <c r="L2211" s="72">
        <f t="shared" si="1396"/>
        <v>9.2968207839989186E-4</v>
      </c>
      <c r="M2211" s="72">
        <f t="shared" si="1396"/>
        <v>0.43455760819615741</v>
      </c>
      <c r="N2211" s="83">
        <f t="shared" si="1396"/>
        <v>0.41452267802844084</v>
      </c>
      <c r="Y2211" s="104"/>
      <c r="Z2211" s="104"/>
      <c r="AA2211" s="115"/>
    </row>
    <row r="2212" spans="1:27" ht="15" customHeight="1">
      <c r="A2212" s="411" t="s">
        <v>6</v>
      </c>
      <c r="B2212" s="27" t="s">
        <v>7</v>
      </c>
      <c r="C2212" s="68">
        <v>5006</v>
      </c>
      <c r="D2212" s="68">
        <v>3200</v>
      </c>
      <c r="E2212" s="68">
        <v>3200</v>
      </c>
      <c r="F2212" s="68">
        <v>9503</v>
      </c>
      <c r="G2212" s="68">
        <v>3200</v>
      </c>
      <c r="H2212" s="68">
        <v>4800</v>
      </c>
      <c r="I2212" s="68">
        <v>4000</v>
      </c>
      <c r="J2212" s="68">
        <v>9503</v>
      </c>
      <c r="K2212" s="68">
        <v>2400</v>
      </c>
      <c r="L2212" s="68">
        <v>1600</v>
      </c>
      <c r="M2212" s="68">
        <f>4643-2210</f>
        <v>2433</v>
      </c>
      <c r="N2212" s="80">
        <v>396</v>
      </c>
      <c r="Y2212" s="104"/>
      <c r="Z2212" s="104"/>
      <c r="AA2212" s="115"/>
    </row>
    <row r="2213" spans="1:27">
      <c r="A2213" s="412"/>
      <c r="B2213" s="28" t="s">
        <v>11</v>
      </c>
      <c r="C2213" s="73">
        <f t="shared" ref="C2213:N2213" si="1397">C2212*33.79</f>
        <v>169152.74</v>
      </c>
      <c r="D2213" s="73">
        <f t="shared" si="1397"/>
        <v>108128</v>
      </c>
      <c r="E2213" s="73">
        <f t="shared" si="1397"/>
        <v>108128</v>
      </c>
      <c r="F2213" s="73">
        <f t="shared" si="1397"/>
        <v>321106.37</v>
      </c>
      <c r="G2213" s="73">
        <f t="shared" si="1397"/>
        <v>108128</v>
      </c>
      <c r="H2213" s="73">
        <f t="shared" si="1397"/>
        <v>162192</v>
      </c>
      <c r="I2213" s="73">
        <f t="shared" si="1397"/>
        <v>135160</v>
      </c>
      <c r="J2213" s="73">
        <f t="shared" si="1397"/>
        <v>321106.37</v>
      </c>
      <c r="K2213" s="73">
        <f t="shared" si="1397"/>
        <v>81096</v>
      </c>
      <c r="L2213" s="73">
        <f t="shared" si="1397"/>
        <v>54064</v>
      </c>
      <c r="M2213" s="73">
        <f t="shared" si="1397"/>
        <v>82211.069999999992</v>
      </c>
      <c r="N2213" s="84">
        <f t="shared" si="1397"/>
        <v>13380.84</v>
      </c>
      <c r="Y2213" s="104"/>
      <c r="Z2213" s="104"/>
      <c r="AA2213" s="115"/>
    </row>
    <row r="2214" spans="1:27">
      <c r="A2214" s="412"/>
      <c r="B2214" s="28" t="s">
        <v>79</v>
      </c>
      <c r="C2214" s="73">
        <v>164000</v>
      </c>
      <c r="D2214" s="73">
        <v>109880</v>
      </c>
      <c r="E2214" s="73">
        <v>109880</v>
      </c>
      <c r="F2214" s="73">
        <v>328000</v>
      </c>
      <c r="G2214" s="73">
        <f>G2209*2</f>
        <v>242663.6</v>
      </c>
      <c r="H2214" s="73">
        <f>H2209*2</f>
        <v>220143.8</v>
      </c>
      <c r="I2214" s="73">
        <f>I2209*2</f>
        <v>242663.6</v>
      </c>
      <c r="J2214" s="73">
        <v>328000</v>
      </c>
      <c r="K2214" s="73">
        <f>K2209*2</f>
        <v>109842</v>
      </c>
      <c r="L2214" s="73">
        <v>328000</v>
      </c>
      <c r="M2214" s="73">
        <f>2*M2209</f>
        <v>352965.4</v>
      </c>
      <c r="N2214" s="84">
        <f>2*N2209</f>
        <v>109842</v>
      </c>
      <c r="Y2214" s="104"/>
      <c r="Z2214" s="104"/>
      <c r="AA2214" s="115"/>
    </row>
    <row r="2215" spans="1:27" s="64" customFormat="1">
      <c r="A2215" s="412"/>
      <c r="B2215" s="66" t="s">
        <v>8</v>
      </c>
      <c r="C2215" s="98">
        <f>SUM(C2212-564)</f>
        <v>4442</v>
      </c>
      <c r="D2215" s="98">
        <f>SUM(D2212-688)</f>
        <v>2512</v>
      </c>
      <c r="E2215" s="98">
        <f>SUM(E2212-674)</f>
        <v>2526</v>
      </c>
      <c r="F2215" s="98">
        <f>SUM(F2212-1226)</f>
        <v>8277</v>
      </c>
      <c r="G2215" s="98">
        <f>SUM(G2212-3164)</f>
        <v>36</v>
      </c>
      <c r="H2215" s="98">
        <f>SUM(H2212-3159)</f>
        <v>1641</v>
      </c>
      <c r="I2215" s="98">
        <f>SUM(I2212-2952)</f>
        <v>1048</v>
      </c>
      <c r="J2215" s="98">
        <f>SUM(J2212-1596)</f>
        <v>7907</v>
      </c>
      <c r="K2215" s="98">
        <f>SUM(K2212-933)</f>
        <v>1467</v>
      </c>
      <c r="L2215" s="98">
        <f>SUM(L2212-1534)</f>
        <v>66</v>
      </c>
      <c r="M2215" s="98">
        <f>SUM(M2212-(3448-2210))</f>
        <v>1195</v>
      </c>
      <c r="N2215" s="103">
        <f>SUM(N2212-49)</f>
        <v>347</v>
      </c>
      <c r="P2215" s="14"/>
      <c r="Q2215" s="105"/>
      <c r="R2215" s="104"/>
      <c r="S2215" s="104"/>
      <c r="T2215" s="104"/>
      <c r="U2215" s="104"/>
      <c r="V2215" s="104"/>
      <c r="W2215" s="104"/>
      <c r="X2215" s="104"/>
      <c r="Y2215" s="67"/>
      <c r="Z2215" s="67"/>
    </row>
    <row r="2216" spans="1:27">
      <c r="A2216" s="412"/>
      <c r="B2216" s="29" t="s">
        <v>77</v>
      </c>
      <c r="C2216" s="75">
        <f>C2215*33.72</f>
        <v>149784.24</v>
      </c>
      <c r="D2216" s="75">
        <f>D2215*33.72</f>
        <v>84704.639999999999</v>
      </c>
      <c r="E2216" s="75">
        <f>E2215*33.72</f>
        <v>85176.72</v>
      </c>
      <c r="F2216" s="75">
        <f>F2215*33.72</f>
        <v>279100.44</v>
      </c>
      <c r="G2216" s="75">
        <f>G2215*33.72*2</f>
        <v>2427.84</v>
      </c>
      <c r="H2216" s="75">
        <f>H2215*33.72</f>
        <v>55334.52</v>
      </c>
      <c r="I2216" s="75">
        <f>I2215*33.72</f>
        <v>35338.559999999998</v>
      </c>
      <c r="J2216" s="75">
        <f>J2215*33.72</f>
        <v>266624.03999999998</v>
      </c>
      <c r="K2216" s="75">
        <f>K2215*33.72</f>
        <v>49467.24</v>
      </c>
      <c r="L2216" s="75">
        <f>L2215*33.72</f>
        <v>2225.52</v>
      </c>
      <c r="M2216" s="75">
        <f>M2215*33.72*2</f>
        <v>80590.8</v>
      </c>
      <c r="N2216" s="11">
        <f>N2215*33.72</f>
        <v>11700.84</v>
      </c>
      <c r="Q2216" s="105"/>
    </row>
    <row r="2217" spans="1:27" ht="15.75" thickBot="1">
      <c r="A2217" s="412"/>
      <c r="B2217" s="30" t="s">
        <v>10</v>
      </c>
      <c r="C2217" s="71">
        <f>C2215*33.7/C2209</f>
        <v>1.2925188746364951</v>
      </c>
      <c r="D2217" s="71">
        <f t="shared" ref="D2217:N2217" si="1398">D2215*33.7/D2209</f>
        <v>1.0585941749709575</v>
      </c>
      <c r="E2217" s="78">
        <f t="shared" si="1398"/>
        <v>1.064493983270955</v>
      </c>
      <c r="F2217" s="78">
        <f t="shared" si="1398"/>
        <v>1.8063111310276232</v>
      </c>
      <c r="G2217" s="78">
        <f t="shared" si="1398"/>
        <v>9.9990274602371355E-3</v>
      </c>
      <c r="H2217" s="78">
        <f t="shared" si="1398"/>
        <v>0.50241433099637611</v>
      </c>
      <c r="I2217" s="78">
        <f t="shared" si="1398"/>
        <v>0.2910827993980144</v>
      </c>
      <c r="J2217" s="78">
        <f t="shared" si="1398"/>
        <v>1.5585754259871463</v>
      </c>
      <c r="K2217" s="78">
        <f t="shared" si="1398"/>
        <v>0.90016387174304913</v>
      </c>
      <c r="L2217" s="78">
        <f t="shared" si="1398"/>
        <v>3.6663100687536164E-2</v>
      </c>
      <c r="M2217" s="79">
        <f t="shared" si="1398"/>
        <v>0.22818950526028894</v>
      </c>
      <c r="N2217" s="26">
        <f t="shared" si="1398"/>
        <v>0.21292219733799461</v>
      </c>
      <c r="Q2217" s="105"/>
    </row>
    <row r="2218" spans="1:27" ht="15.75" customHeight="1" thickBot="1">
      <c r="A2218" s="424" t="s">
        <v>83</v>
      </c>
      <c r="B2218" s="425"/>
      <c r="C2218" s="76">
        <f>MIN(2*C2209,C2214)-C2216</f>
        <v>14215.760000000009</v>
      </c>
      <c r="D2218" s="76">
        <f t="shared" ref="D2218:N2218" si="1399">MIN(2*D2209,D2214)-D2216</f>
        <v>25175.360000000001</v>
      </c>
      <c r="E2218" s="76">
        <f t="shared" si="1399"/>
        <v>24703.279999999999</v>
      </c>
      <c r="F2218" s="76">
        <f t="shared" si="1399"/>
        <v>29744.359999999986</v>
      </c>
      <c r="G2218" s="76">
        <f t="shared" si="1399"/>
        <v>240235.76</v>
      </c>
      <c r="H2218" s="76">
        <f t="shared" si="1399"/>
        <v>164809.28</v>
      </c>
      <c r="I2218" s="76">
        <f t="shared" si="1399"/>
        <v>207325.04</v>
      </c>
      <c r="J2218" s="76">
        <f t="shared" si="1399"/>
        <v>61375.960000000021</v>
      </c>
      <c r="K2218" s="76">
        <f t="shared" si="1399"/>
        <v>60374.76</v>
      </c>
      <c r="L2218" s="76">
        <f t="shared" si="1399"/>
        <v>119106.28</v>
      </c>
      <c r="M2218" s="76">
        <f t="shared" si="1399"/>
        <v>272374.60000000003</v>
      </c>
      <c r="N2218" s="22">
        <f t="shared" si="1399"/>
        <v>98141.16</v>
      </c>
      <c r="Q2218" s="105"/>
    </row>
    <row r="2219" spans="1:27" ht="15.75" thickBot="1">
      <c r="A2219" s="368">
        <v>40919</v>
      </c>
      <c r="B2219" s="368"/>
      <c r="C2219" s="368"/>
      <c r="N2219" s="15"/>
    </row>
    <row r="2220" spans="1:27">
      <c r="A2220" s="407" t="s">
        <v>1</v>
      </c>
      <c r="B2220" s="420"/>
      <c r="C2220" s="68" t="s">
        <v>12</v>
      </c>
      <c r="D2220" s="68" t="s">
        <v>12</v>
      </c>
      <c r="E2220" s="68" t="s">
        <v>13</v>
      </c>
      <c r="F2220" s="68" t="s">
        <v>13</v>
      </c>
      <c r="G2220" s="68" t="s">
        <v>13</v>
      </c>
      <c r="H2220" s="68" t="s">
        <v>13</v>
      </c>
      <c r="I2220" s="68" t="s">
        <v>13</v>
      </c>
      <c r="J2220" s="68" t="s">
        <v>2</v>
      </c>
      <c r="K2220" s="68" t="s">
        <v>2</v>
      </c>
      <c r="L2220" s="68" t="s">
        <v>2</v>
      </c>
      <c r="M2220" s="68" t="s">
        <v>2</v>
      </c>
      <c r="N2220" s="4" t="s">
        <v>84</v>
      </c>
      <c r="Y2220" s="104"/>
      <c r="Z2220" s="104"/>
      <c r="AA2220" s="114"/>
    </row>
    <row r="2221" spans="1:27" ht="15.75" thickBot="1">
      <c r="A2221" s="409" t="s">
        <v>0</v>
      </c>
      <c r="B2221" s="414"/>
      <c r="C2221" s="99" t="s">
        <v>102</v>
      </c>
      <c r="D2221" s="99" t="s">
        <v>103</v>
      </c>
      <c r="E2221" s="99" t="s">
        <v>104</v>
      </c>
      <c r="F2221" s="99" t="s">
        <v>105</v>
      </c>
      <c r="G2221" s="99" t="s">
        <v>100</v>
      </c>
      <c r="H2221" s="99" t="s">
        <v>107</v>
      </c>
      <c r="I2221" s="99" t="s">
        <v>106</v>
      </c>
      <c r="J2221" s="99" t="s">
        <v>108</v>
      </c>
      <c r="K2221" s="99" t="s">
        <v>110</v>
      </c>
      <c r="L2221" s="99" t="s">
        <v>101</v>
      </c>
      <c r="M2221" s="99" t="s">
        <v>109</v>
      </c>
      <c r="N2221" s="101" t="s">
        <v>111</v>
      </c>
      <c r="P2221" s="172"/>
      <c r="Q2221" s="105"/>
      <c r="R2221" s="105"/>
      <c r="S2221" s="105"/>
      <c r="T2221" s="105"/>
      <c r="U2221" s="105"/>
      <c r="V2221" s="105"/>
      <c r="W2221" s="105"/>
      <c r="X2221" s="105"/>
      <c r="Y2221" s="105"/>
      <c r="Z2221" s="105"/>
      <c r="AA2221" s="38"/>
    </row>
    <row r="2222" spans="1:27" ht="15" customHeight="1">
      <c r="A2222" s="421" t="s">
        <v>9</v>
      </c>
      <c r="B2222" s="2" t="s">
        <v>4</v>
      </c>
      <c r="C2222" s="96">
        <v>115816.8</v>
      </c>
      <c r="D2222" s="96">
        <v>79968.7</v>
      </c>
      <c r="E2222" s="96">
        <v>79968.7</v>
      </c>
      <c r="F2222" s="96">
        <v>154422.39999999999</v>
      </c>
      <c r="G2222" s="96">
        <v>121331.8</v>
      </c>
      <c r="H2222" s="96">
        <v>110071.9</v>
      </c>
      <c r="I2222" s="96">
        <v>121331.8</v>
      </c>
      <c r="J2222" s="96">
        <v>170967.6</v>
      </c>
      <c r="K2222" s="96">
        <v>54921</v>
      </c>
      <c r="L2222" s="96">
        <v>60665.9</v>
      </c>
      <c r="M2222" s="96">
        <v>176482.7</v>
      </c>
      <c r="N2222" s="100">
        <v>54921</v>
      </c>
      <c r="Y2222" s="104"/>
      <c r="Z2222" s="104"/>
      <c r="AA2222" s="114"/>
    </row>
    <row r="2223" spans="1:27" s="64" customFormat="1">
      <c r="A2223" s="422"/>
      <c r="B2223" s="63" t="s">
        <v>5</v>
      </c>
      <c r="C2223" s="97">
        <v>89168.2</v>
      </c>
      <c r="D2223" s="97">
        <v>65398.3</v>
      </c>
      <c r="E2223" s="97">
        <v>66776.100000000006</v>
      </c>
      <c r="F2223" s="97">
        <v>123071.4</v>
      </c>
      <c r="G2223" s="97">
        <v>80.8</v>
      </c>
      <c r="H2223" s="97">
        <v>13205.5</v>
      </c>
      <c r="I2223" s="97">
        <v>19290</v>
      </c>
      <c r="J2223" s="97">
        <v>109247.9</v>
      </c>
      <c r="K2223" s="97">
        <v>25545</v>
      </c>
      <c r="L2223" s="97">
        <v>55.6</v>
      </c>
      <c r="M2223" s="97">
        <v>76688.399999999994</v>
      </c>
      <c r="N2223" s="102">
        <v>22765.9</v>
      </c>
      <c r="P2223" s="14"/>
      <c r="Q2223" s="104"/>
      <c r="R2223" s="104"/>
      <c r="S2223" s="104"/>
      <c r="T2223" s="104"/>
      <c r="U2223" s="104"/>
      <c r="V2223" s="104"/>
      <c r="W2223" s="104"/>
      <c r="X2223" s="104"/>
      <c r="Y2223" s="104"/>
      <c r="Z2223" s="104"/>
      <c r="AA2223" s="65"/>
    </row>
    <row r="2224" spans="1:27" ht="15.75" thickBot="1">
      <c r="A2224" s="423"/>
      <c r="B2224" s="3" t="s">
        <v>3</v>
      </c>
      <c r="C2224" s="71">
        <f>C2223/C2222</f>
        <v>0.76990730187675704</v>
      </c>
      <c r="D2224" s="72">
        <f t="shared" ref="D2224:N2224" si="1400">D2223/D2222</f>
        <v>0.8177987137467535</v>
      </c>
      <c r="E2224" s="72">
        <f t="shared" si="1400"/>
        <v>0.83502795468727153</v>
      </c>
      <c r="F2224" s="72">
        <f t="shared" si="1400"/>
        <v>0.79697893569844791</v>
      </c>
      <c r="G2224" s="72">
        <f t="shared" si="1400"/>
        <v>6.6594248169070261E-4</v>
      </c>
      <c r="H2224" s="72">
        <f t="shared" si="1400"/>
        <v>0.11997158221126374</v>
      </c>
      <c r="I2224" s="72">
        <f t="shared" si="1400"/>
        <v>0.15898552564125809</v>
      </c>
      <c r="J2224" s="72">
        <f t="shared" si="1400"/>
        <v>0.63899768143203739</v>
      </c>
      <c r="K2224" s="72">
        <f t="shared" si="1400"/>
        <v>0.46512263068771509</v>
      </c>
      <c r="L2224" s="72">
        <f t="shared" si="1400"/>
        <v>9.1649509856443236E-4</v>
      </c>
      <c r="M2224" s="72">
        <f t="shared" si="1400"/>
        <v>0.43453777622395845</v>
      </c>
      <c r="N2224" s="83">
        <f t="shared" si="1400"/>
        <v>0.41452085723129589</v>
      </c>
      <c r="Y2224" s="104"/>
      <c r="Z2224" s="104"/>
      <c r="AA2224" s="114"/>
    </row>
    <row r="2225" spans="1:27" ht="15" customHeight="1">
      <c r="A2225" s="411" t="s">
        <v>6</v>
      </c>
      <c r="B2225" s="27" t="s">
        <v>7</v>
      </c>
      <c r="C2225" s="68">
        <v>5006</v>
      </c>
      <c r="D2225" s="68">
        <v>3200</v>
      </c>
      <c r="E2225" s="68">
        <v>3200</v>
      </c>
      <c r="F2225" s="68">
        <v>9503</v>
      </c>
      <c r="G2225" s="68">
        <v>3200</v>
      </c>
      <c r="H2225" s="68">
        <v>4800</v>
      </c>
      <c r="I2225" s="68">
        <v>4000</v>
      </c>
      <c r="J2225" s="68">
        <v>9503</v>
      </c>
      <c r="K2225" s="68">
        <v>2400</v>
      </c>
      <c r="L2225" s="68">
        <v>1600</v>
      </c>
      <c r="M2225" s="68">
        <f>4643-2210</f>
        <v>2433</v>
      </c>
      <c r="N2225" s="80">
        <v>396</v>
      </c>
      <c r="Y2225" s="104"/>
      <c r="Z2225" s="104"/>
      <c r="AA2225" s="114"/>
    </row>
    <row r="2226" spans="1:27">
      <c r="A2226" s="412"/>
      <c r="B2226" s="28" t="s">
        <v>11</v>
      </c>
      <c r="C2226" s="73">
        <f t="shared" ref="C2226:N2226" si="1401">C2225*33.79</f>
        <v>169152.74</v>
      </c>
      <c r="D2226" s="73">
        <f t="shared" si="1401"/>
        <v>108128</v>
      </c>
      <c r="E2226" s="73">
        <f t="shared" si="1401"/>
        <v>108128</v>
      </c>
      <c r="F2226" s="73">
        <f t="shared" si="1401"/>
        <v>321106.37</v>
      </c>
      <c r="G2226" s="73">
        <f t="shared" si="1401"/>
        <v>108128</v>
      </c>
      <c r="H2226" s="73">
        <f t="shared" si="1401"/>
        <v>162192</v>
      </c>
      <c r="I2226" s="73">
        <f t="shared" si="1401"/>
        <v>135160</v>
      </c>
      <c r="J2226" s="73">
        <f t="shared" si="1401"/>
        <v>321106.37</v>
      </c>
      <c r="K2226" s="73">
        <f t="shared" si="1401"/>
        <v>81096</v>
      </c>
      <c r="L2226" s="73">
        <f t="shared" si="1401"/>
        <v>54064</v>
      </c>
      <c r="M2226" s="73">
        <f t="shared" si="1401"/>
        <v>82211.069999999992</v>
      </c>
      <c r="N2226" s="84">
        <f t="shared" si="1401"/>
        <v>13380.84</v>
      </c>
      <c r="Y2226" s="104"/>
      <c r="Z2226" s="104"/>
      <c r="AA2226" s="114"/>
    </row>
    <row r="2227" spans="1:27">
      <c r="A2227" s="412"/>
      <c r="B2227" s="28" t="s">
        <v>79</v>
      </c>
      <c r="C2227" s="73">
        <v>164000</v>
      </c>
      <c r="D2227" s="73">
        <v>109880</v>
      </c>
      <c r="E2227" s="73">
        <v>109880</v>
      </c>
      <c r="F2227" s="73">
        <v>328000</v>
      </c>
      <c r="G2227" s="73">
        <f>G2222*2</f>
        <v>242663.6</v>
      </c>
      <c r="H2227" s="73">
        <f>H2222*2</f>
        <v>220143.8</v>
      </c>
      <c r="I2227" s="73">
        <f>I2222*2</f>
        <v>242663.6</v>
      </c>
      <c r="J2227" s="73">
        <v>328000</v>
      </c>
      <c r="K2227" s="73">
        <f>K2222*2</f>
        <v>109842</v>
      </c>
      <c r="L2227" s="73">
        <v>328000</v>
      </c>
      <c r="M2227" s="73">
        <f>2*M2222</f>
        <v>352965.4</v>
      </c>
      <c r="N2227" s="84">
        <f>2*N2222</f>
        <v>109842</v>
      </c>
      <c r="Y2227" s="104"/>
      <c r="Z2227" s="104"/>
      <c r="AA2227" s="114"/>
    </row>
    <row r="2228" spans="1:27" s="64" customFormat="1">
      <c r="A2228" s="412"/>
      <c r="B2228" s="66" t="s">
        <v>8</v>
      </c>
      <c r="C2228" s="98">
        <f>SUM(C2225-587)</f>
        <v>4419</v>
      </c>
      <c r="D2228" s="98">
        <f>SUM(D2225-706)</f>
        <v>2494</v>
      </c>
      <c r="E2228" s="98">
        <f>SUM(E2225-692)</f>
        <v>2508</v>
      </c>
      <c r="F2228" s="98">
        <f>SUM(F2225-1226)</f>
        <v>8277</v>
      </c>
      <c r="G2228" s="98">
        <f>SUM(G2225-3164)</f>
        <v>36</v>
      </c>
      <c r="H2228" s="98">
        <f>SUM(H2225-3159)</f>
        <v>1641</v>
      </c>
      <c r="I2228" s="98">
        <f>SUM(I2225-2952)</f>
        <v>1048</v>
      </c>
      <c r="J2228" s="98">
        <f>SUM(J2225-1596)</f>
        <v>7907</v>
      </c>
      <c r="K2228" s="98">
        <f>SUM(K2225-933)</f>
        <v>1467</v>
      </c>
      <c r="L2228" s="98">
        <f>SUM(L2225-1534)</f>
        <v>66</v>
      </c>
      <c r="M2228" s="98">
        <f>SUM(M2225-(3448-2210))</f>
        <v>1195</v>
      </c>
      <c r="N2228" s="103">
        <f>SUM(N2225-49)</f>
        <v>347</v>
      </c>
      <c r="P2228" s="14"/>
      <c r="Q2228" s="105"/>
      <c r="R2228" s="104"/>
      <c r="S2228" s="104"/>
      <c r="T2228" s="104"/>
      <c r="U2228" s="104"/>
      <c r="V2228" s="104"/>
      <c r="W2228" s="104"/>
      <c r="X2228" s="104"/>
      <c r="Y2228" s="67"/>
      <c r="Z2228" s="67"/>
    </row>
    <row r="2229" spans="1:27">
      <c r="A2229" s="412"/>
      <c r="B2229" s="29" t="s">
        <v>77</v>
      </c>
      <c r="C2229" s="75">
        <f>C2228*33.72</f>
        <v>149008.68</v>
      </c>
      <c r="D2229" s="75">
        <f>D2228*33.72</f>
        <v>84097.68</v>
      </c>
      <c r="E2229" s="75">
        <f>E2228*33.72</f>
        <v>84569.76</v>
      </c>
      <c r="F2229" s="75">
        <f>F2228*33.72</f>
        <v>279100.44</v>
      </c>
      <c r="G2229" s="75">
        <f>G2228*33.72*2</f>
        <v>2427.84</v>
      </c>
      <c r="H2229" s="75">
        <f>H2228*33.72</f>
        <v>55334.52</v>
      </c>
      <c r="I2229" s="75">
        <f>I2228*33.72</f>
        <v>35338.559999999998</v>
      </c>
      <c r="J2229" s="75">
        <f>J2228*33.72</f>
        <v>266624.03999999998</v>
      </c>
      <c r="K2229" s="75">
        <f>K2228*33.72</f>
        <v>49467.24</v>
      </c>
      <c r="L2229" s="75">
        <f>L2228*33.72</f>
        <v>2225.52</v>
      </c>
      <c r="M2229" s="75">
        <f>M2228*33.72*2</f>
        <v>80590.8</v>
      </c>
      <c r="N2229" s="11">
        <f>N2228*33.72</f>
        <v>11700.84</v>
      </c>
      <c r="Q2229" s="105"/>
    </row>
    <row r="2230" spans="1:27" ht="15.75" thickBot="1">
      <c r="A2230" s="412"/>
      <c r="B2230" s="30" t="s">
        <v>10</v>
      </c>
      <c r="C2230" s="71">
        <f>C2228*33.7/C2222</f>
        <v>1.2858264086039333</v>
      </c>
      <c r="D2230" s="71">
        <f t="shared" ref="D2230:N2230" si="1402">D2228*33.7/D2222</f>
        <v>1.0510087071566752</v>
      </c>
      <c r="E2230" s="78">
        <f t="shared" si="1402"/>
        <v>1.0569085154566726</v>
      </c>
      <c r="F2230" s="78">
        <f t="shared" si="1402"/>
        <v>1.8063111310276232</v>
      </c>
      <c r="G2230" s="78">
        <f t="shared" si="1402"/>
        <v>9.9990274602371355E-3</v>
      </c>
      <c r="H2230" s="78">
        <f t="shared" si="1402"/>
        <v>0.50241433099637611</v>
      </c>
      <c r="I2230" s="78">
        <f t="shared" si="1402"/>
        <v>0.2910827993980144</v>
      </c>
      <c r="J2230" s="78">
        <f t="shared" si="1402"/>
        <v>1.5585754259871463</v>
      </c>
      <c r="K2230" s="78">
        <f t="shared" si="1402"/>
        <v>0.90016387174304913</v>
      </c>
      <c r="L2230" s="78">
        <f t="shared" si="1402"/>
        <v>3.6663100687536164E-2</v>
      </c>
      <c r="M2230" s="79">
        <f t="shared" si="1402"/>
        <v>0.22818950526028894</v>
      </c>
      <c r="N2230" s="26">
        <f t="shared" si="1402"/>
        <v>0.21292219733799461</v>
      </c>
      <c r="Q2230" s="105"/>
    </row>
    <row r="2231" spans="1:27" ht="15.75" customHeight="1" thickBot="1">
      <c r="A2231" s="424" t="s">
        <v>83</v>
      </c>
      <c r="B2231" s="425"/>
      <c r="C2231" s="76">
        <f>MIN(2*C2222,C2227)-C2229</f>
        <v>14991.320000000007</v>
      </c>
      <c r="D2231" s="76">
        <f t="shared" ref="D2231:N2231" si="1403">MIN(2*D2222,D2227)-D2229</f>
        <v>25782.320000000007</v>
      </c>
      <c r="E2231" s="76">
        <f t="shared" si="1403"/>
        <v>25310.240000000005</v>
      </c>
      <c r="F2231" s="76">
        <f t="shared" si="1403"/>
        <v>29744.359999999986</v>
      </c>
      <c r="G2231" s="76">
        <f t="shared" si="1403"/>
        <v>240235.76</v>
      </c>
      <c r="H2231" s="76">
        <f t="shared" si="1403"/>
        <v>164809.28</v>
      </c>
      <c r="I2231" s="76">
        <f t="shared" si="1403"/>
        <v>207325.04</v>
      </c>
      <c r="J2231" s="76">
        <f t="shared" si="1403"/>
        <v>61375.960000000021</v>
      </c>
      <c r="K2231" s="76">
        <f t="shared" si="1403"/>
        <v>60374.76</v>
      </c>
      <c r="L2231" s="76">
        <f t="shared" si="1403"/>
        <v>119106.28</v>
      </c>
      <c r="M2231" s="76">
        <f t="shared" si="1403"/>
        <v>272374.60000000003</v>
      </c>
      <c r="N2231" s="22">
        <f t="shared" si="1403"/>
        <v>98141.16</v>
      </c>
      <c r="Q2231" s="105"/>
    </row>
    <row r="2232" spans="1:27" ht="15.75" thickBot="1">
      <c r="A2232" s="368">
        <v>40918</v>
      </c>
      <c r="B2232" s="368"/>
      <c r="C2232" s="368"/>
      <c r="N2232" s="15"/>
    </row>
    <row r="2233" spans="1:27">
      <c r="A2233" s="407" t="s">
        <v>1</v>
      </c>
      <c r="B2233" s="420"/>
      <c r="C2233" s="68" t="s">
        <v>12</v>
      </c>
      <c r="D2233" s="68" t="s">
        <v>12</v>
      </c>
      <c r="E2233" s="68" t="s">
        <v>13</v>
      </c>
      <c r="F2233" s="68" t="s">
        <v>13</v>
      </c>
      <c r="G2233" s="68" t="s">
        <v>13</v>
      </c>
      <c r="H2233" s="68" t="s">
        <v>13</v>
      </c>
      <c r="I2233" s="68" t="s">
        <v>13</v>
      </c>
      <c r="J2233" s="68" t="s">
        <v>2</v>
      </c>
      <c r="K2233" s="68" t="s">
        <v>2</v>
      </c>
      <c r="L2233" s="68" t="s">
        <v>2</v>
      </c>
      <c r="M2233" s="68" t="s">
        <v>2</v>
      </c>
      <c r="N2233" s="4" t="s">
        <v>84</v>
      </c>
      <c r="Y2233" s="104"/>
      <c r="Z2233" s="104"/>
      <c r="AA2233" s="113"/>
    </row>
    <row r="2234" spans="1:27" ht="15.75" thickBot="1">
      <c r="A2234" s="409" t="s">
        <v>0</v>
      </c>
      <c r="B2234" s="414"/>
      <c r="C2234" s="99" t="s">
        <v>102</v>
      </c>
      <c r="D2234" s="99" t="s">
        <v>103</v>
      </c>
      <c r="E2234" s="99" t="s">
        <v>104</v>
      </c>
      <c r="F2234" s="99" t="s">
        <v>105</v>
      </c>
      <c r="G2234" s="99" t="s">
        <v>100</v>
      </c>
      <c r="H2234" s="99" t="s">
        <v>107</v>
      </c>
      <c r="I2234" s="99" t="s">
        <v>106</v>
      </c>
      <c r="J2234" s="99" t="s">
        <v>108</v>
      </c>
      <c r="K2234" s="99" t="s">
        <v>110</v>
      </c>
      <c r="L2234" s="99" t="s">
        <v>101</v>
      </c>
      <c r="M2234" s="99" t="s">
        <v>109</v>
      </c>
      <c r="N2234" s="101" t="s">
        <v>111</v>
      </c>
      <c r="P2234" s="172"/>
      <c r="Q2234" s="105"/>
      <c r="R2234" s="105"/>
      <c r="S2234" s="105"/>
      <c r="T2234" s="105"/>
      <c r="U2234" s="105"/>
      <c r="V2234" s="105"/>
      <c r="W2234" s="105"/>
      <c r="X2234" s="105"/>
      <c r="Y2234" s="105"/>
      <c r="Z2234" s="105"/>
      <c r="AA2234" s="38"/>
    </row>
    <row r="2235" spans="1:27" ht="15" customHeight="1">
      <c r="A2235" s="421" t="s">
        <v>9</v>
      </c>
      <c r="B2235" s="2" t="s">
        <v>4</v>
      </c>
      <c r="C2235" s="96">
        <v>115816.8</v>
      </c>
      <c r="D2235" s="96">
        <v>79968.7</v>
      </c>
      <c r="E2235" s="96">
        <v>79968.7</v>
      </c>
      <c r="F2235" s="96">
        <v>154422.39999999999</v>
      </c>
      <c r="G2235" s="96">
        <v>121331.8</v>
      </c>
      <c r="H2235" s="96">
        <v>110071.9</v>
      </c>
      <c r="I2235" s="96">
        <v>121331.8</v>
      </c>
      <c r="J2235" s="96">
        <v>170967.6</v>
      </c>
      <c r="K2235" s="96">
        <v>54921</v>
      </c>
      <c r="L2235" s="96">
        <v>60665.9</v>
      </c>
      <c r="M2235" s="96">
        <v>176482.7</v>
      </c>
      <c r="N2235" s="100">
        <v>54921</v>
      </c>
      <c r="Y2235" s="104"/>
      <c r="Z2235" s="104"/>
      <c r="AA2235" s="113"/>
    </row>
    <row r="2236" spans="1:27" s="64" customFormat="1">
      <c r="A2236" s="422"/>
      <c r="B2236" s="63" t="s">
        <v>5</v>
      </c>
      <c r="C2236" s="97">
        <v>89147</v>
      </c>
      <c r="D2236" s="97">
        <v>65396.5</v>
      </c>
      <c r="E2236" s="97">
        <v>66774.399999999994</v>
      </c>
      <c r="F2236" s="97">
        <v>122984.2</v>
      </c>
      <c r="G2236" s="97">
        <v>79.2</v>
      </c>
      <c r="H2236" s="97">
        <v>12968.6</v>
      </c>
      <c r="I2236" s="97">
        <v>19247</v>
      </c>
      <c r="J2236" s="97">
        <v>109184.5</v>
      </c>
      <c r="K2236" s="97">
        <v>25545</v>
      </c>
      <c r="L2236" s="97">
        <v>54.9</v>
      </c>
      <c r="M2236" s="97">
        <v>76601.7</v>
      </c>
      <c r="N2236" s="102">
        <v>22765.5</v>
      </c>
      <c r="P2236" s="14"/>
      <c r="Q2236" s="104"/>
      <c r="R2236" s="104"/>
      <c r="S2236" s="104"/>
      <c r="T2236" s="104"/>
      <c r="U2236" s="104"/>
      <c r="V2236" s="104"/>
      <c r="W2236" s="104"/>
      <c r="X2236" s="104"/>
      <c r="Y2236" s="104"/>
      <c r="Z2236" s="104"/>
      <c r="AA2236" s="65"/>
    </row>
    <row r="2237" spans="1:27" ht="15.75" thickBot="1">
      <c r="A2237" s="423"/>
      <c r="B2237" s="3" t="s">
        <v>3</v>
      </c>
      <c r="C2237" s="71">
        <f>C2236/C2235</f>
        <v>0.76972425416692569</v>
      </c>
      <c r="D2237" s="72">
        <f t="shared" ref="D2237:N2237" si="1404">D2236/D2235</f>
        <v>0.81777620494018288</v>
      </c>
      <c r="E2237" s="72">
        <f t="shared" si="1404"/>
        <v>0.83500669636995473</v>
      </c>
      <c r="F2237" s="72">
        <f t="shared" si="1404"/>
        <v>0.79641425078226991</v>
      </c>
      <c r="G2237" s="72">
        <f t="shared" si="1404"/>
        <v>6.5275550185524321E-4</v>
      </c>
      <c r="H2237" s="72">
        <f t="shared" si="1404"/>
        <v>0.11781935262314906</v>
      </c>
      <c r="I2237" s="72">
        <f t="shared" si="1404"/>
        <v>0.15863112555818012</v>
      </c>
      <c r="J2237" s="72">
        <f t="shared" si="1404"/>
        <v>0.63862685093549887</v>
      </c>
      <c r="K2237" s="72">
        <f t="shared" si="1404"/>
        <v>0.46512263068771509</v>
      </c>
      <c r="L2237" s="72">
        <f t="shared" si="1404"/>
        <v>9.0495649120840539E-4</v>
      </c>
      <c r="M2237" s="72">
        <f t="shared" si="1404"/>
        <v>0.43404650994120098</v>
      </c>
      <c r="N2237" s="83">
        <f t="shared" si="1404"/>
        <v>0.41451357404271588</v>
      </c>
      <c r="Y2237" s="104"/>
      <c r="Z2237" s="104"/>
      <c r="AA2237" s="113"/>
    </row>
    <row r="2238" spans="1:27" ht="15" customHeight="1">
      <c r="A2238" s="411" t="s">
        <v>6</v>
      </c>
      <c r="B2238" s="27" t="s">
        <v>7</v>
      </c>
      <c r="C2238" s="68">
        <v>5006</v>
      </c>
      <c r="D2238" s="68">
        <v>3200</v>
      </c>
      <c r="E2238" s="68">
        <v>3200</v>
      </c>
      <c r="F2238" s="68">
        <v>9503</v>
      </c>
      <c r="G2238" s="68">
        <v>3200</v>
      </c>
      <c r="H2238" s="68">
        <v>4800</v>
      </c>
      <c r="I2238" s="68">
        <v>4000</v>
      </c>
      <c r="J2238" s="68">
        <v>9503</v>
      </c>
      <c r="K2238" s="68">
        <v>2400</v>
      </c>
      <c r="L2238" s="68">
        <v>1600</v>
      </c>
      <c r="M2238" s="68">
        <f>4643-2210</f>
        <v>2433</v>
      </c>
      <c r="N2238" s="80">
        <v>396</v>
      </c>
      <c r="Y2238" s="104"/>
      <c r="Z2238" s="104"/>
      <c r="AA2238" s="113"/>
    </row>
    <row r="2239" spans="1:27">
      <c r="A2239" s="412"/>
      <c r="B2239" s="28" t="s">
        <v>11</v>
      </c>
      <c r="C2239" s="73">
        <f t="shared" ref="C2239:N2239" si="1405">C2238*33.79</f>
        <v>169152.74</v>
      </c>
      <c r="D2239" s="73">
        <f t="shared" si="1405"/>
        <v>108128</v>
      </c>
      <c r="E2239" s="73">
        <f t="shared" si="1405"/>
        <v>108128</v>
      </c>
      <c r="F2239" s="73">
        <f t="shared" si="1405"/>
        <v>321106.37</v>
      </c>
      <c r="G2239" s="73">
        <f t="shared" si="1405"/>
        <v>108128</v>
      </c>
      <c r="H2239" s="73">
        <f t="shared" si="1405"/>
        <v>162192</v>
      </c>
      <c r="I2239" s="73">
        <f t="shared" si="1405"/>
        <v>135160</v>
      </c>
      <c r="J2239" s="73">
        <f t="shared" si="1405"/>
        <v>321106.37</v>
      </c>
      <c r="K2239" s="73">
        <f t="shared" si="1405"/>
        <v>81096</v>
      </c>
      <c r="L2239" s="73">
        <f t="shared" si="1405"/>
        <v>54064</v>
      </c>
      <c r="M2239" s="73">
        <f t="shared" si="1405"/>
        <v>82211.069999999992</v>
      </c>
      <c r="N2239" s="84">
        <f t="shared" si="1405"/>
        <v>13380.84</v>
      </c>
      <c r="Y2239" s="104"/>
      <c r="Z2239" s="104"/>
      <c r="AA2239" s="113"/>
    </row>
    <row r="2240" spans="1:27">
      <c r="A2240" s="412"/>
      <c r="B2240" s="28" t="s">
        <v>79</v>
      </c>
      <c r="C2240" s="73">
        <v>164000</v>
      </c>
      <c r="D2240" s="73">
        <v>109880</v>
      </c>
      <c r="E2240" s="73">
        <v>109880</v>
      </c>
      <c r="F2240" s="73">
        <v>328000</v>
      </c>
      <c r="G2240" s="73">
        <f>G2235*2</f>
        <v>242663.6</v>
      </c>
      <c r="H2240" s="73">
        <f>H2235*2</f>
        <v>220143.8</v>
      </c>
      <c r="I2240" s="73">
        <f>I2235*2</f>
        <v>242663.6</v>
      </c>
      <c r="J2240" s="73">
        <v>328000</v>
      </c>
      <c r="K2240" s="73">
        <f>K2235*2</f>
        <v>109842</v>
      </c>
      <c r="L2240" s="73">
        <v>328000</v>
      </c>
      <c r="M2240" s="73">
        <f>2*M2235</f>
        <v>352965.4</v>
      </c>
      <c r="N2240" s="84">
        <f>2*N2235</f>
        <v>109842</v>
      </c>
      <c r="Y2240" s="104"/>
      <c r="Z2240" s="104"/>
      <c r="AA2240" s="113"/>
    </row>
    <row r="2241" spans="1:27" s="64" customFormat="1">
      <c r="A2241" s="412"/>
      <c r="B2241" s="66" t="s">
        <v>8</v>
      </c>
      <c r="C2241" s="98">
        <f>SUM(C2238-608)</f>
        <v>4398</v>
      </c>
      <c r="D2241" s="98">
        <f>SUM(D2238-729)</f>
        <v>2471</v>
      </c>
      <c r="E2241" s="98">
        <f>SUM(E2238-706)</f>
        <v>2494</v>
      </c>
      <c r="F2241" s="98">
        <f>SUM(F2238-1226)</f>
        <v>8277</v>
      </c>
      <c r="G2241" s="98">
        <f>SUM(G2238-3164)</f>
        <v>36</v>
      </c>
      <c r="H2241" s="98">
        <f>SUM(H2238-3272)</f>
        <v>1528</v>
      </c>
      <c r="I2241" s="98">
        <f>SUM(I2238-2952)</f>
        <v>1048</v>
      </c>
      <c r="J2241" s="98">
        <f>SUM(J2238-1596)</f>
        <v>7907</v>
      </c>
      <c r="K2241" s="98">
        <f>SUM(K2238-933)</f>
        <v>1467</v>
      </c>
      <c r="L2241" s="98">
        <f>SUM(L2238-1534)</f>
        <v>66</v>
      </c>
      <c r="M2241" s="98">
        <f>SUM(M2238-(3448-2210))</f>
        <v>1195</v>
      </c>
      <c r="N2241" s="103">
        <f>SUM(N2238-49)</f>
        <v>347</v>
      </c>
      <c r="P2241" s="14"/>
      <c r="Q2241" s="105"/>
      <c r="R2241" s="104"/>
      <c r="S2241" s="104"/>
      <c r="T2241" s="104"/>
      <c r="U2241" s="104"/>
      <c r="V2241" s="104"/>
      <c r="W2241" s="104"/>
      <c r="X2241" s="104"/>
      <c r="Y2241" s="67"/>
      <c r="Z2241" s="67"/>
    </row>
    <row r="2242" spans="1:27">
      <c r="A2242" s="412"/>
      <c r="B2242" s="29" t="s">
        <v>77</v>
      </c>
      <c r="C2242" s="75">
        <f>C2241*33.72</f>
        <v>148300.56</v>
      </c>
      <c r="D2242" s="75">
        <f>D2241*33.72</f>
        <v>83322.12</v>
      </c>
      <c r="E2242" s="75">
        <f>E2241*33.72</f>
        <v>84097.68</v>
      </c>
      <c r="F2242" s="75">
        <f>F2241*33.72</f>
        <v>279100.44</v>
      </c>
      <c r="G2242" s="75">
        <f>G2241*33.72*2</f>
        <v>2427.84</v>
      </c>
      <c r="H2242" s="75">
        <f>H2241*33.72</f>
        <v>51524.159999999996</v>
      </c>
      <c r="I2242" s="75">
        <f>I2241*33.72</f>
        <v>35338.559999999998</v>
      </c>
      <c r="J2242" s="75">
        <f>J2241*33.72</f>
        <v>266624.03999999998</v>
      </c>
      <c r="K2242" s="75">
        <f>K2241*33.72</f>
        <v>49467.24</v>
      </c>
      <c r="L2242" s="75">
        <f>L2241*33.72</f>
        <v>2225.52</v>
      </c>
      <c r="M2242" s="75">
        <f>M2241*33.72*2</f>
        <v>80590.8</v>
      </c>
      <c r="N2242" s="11">
        <f>N2241*33.72</f>
        <v>11700.84</v>
      </c>
      <c r="Q2242" s="105"/>
    </row>
    <row r="2243" spans="1:27" ht="15.75" thickBot="1">
      <c r="A2243" s="412"/>
      <c r="B2243" s="30" t="s">
        <v>10</v>
      </c>
      <c r="C2243" s="71">
        <f>C2241*33.7/C2235</f>
        <v>1.2797158961394202</v>
      </c>
      <c r="D2243" s="71">
        <f t="shared" ref="D2243:N2243" si="1406">D2241*33.7/D2235</f>
        <v>1.0413161649495366</v>
      </c>
      <c r="E2243" s="78">
        <f t="shared" si="1406"/>
        <v>1.0510087071566752</v>
      </c>
      <c r="F2243" s="78">
        <f t="shared" si="1406"/>
        <v>1.8063111310276232</v>
      </c>
      <c r="G2243" s="78">
        <f t="shared" si="1406"/>
        <v>9.9990274602371355E-3</v>
      </c>
      <c r="H2243" s="78">
        <f t="shared" si="1406"/>
        <v>0.46781785360296324</v>
      </c>
      <c r="I2243" s="78">
        <f t="shared" si="1406"/>
        <v>0.2910827993980144</v>
      </c>
      <c r="J2243" s="78">
        <f t="shared" si="1406"/>
        <v>1.5585754259871463</v>
      </c>
      <c r="K2243" s="78">
        <f t="shared" si="1406"/>
        <v>0.90016387174304913</v>
      </c>
      <c r="L2243" s="78">
        <f t="shared" si="1406"/>
        <v>3.6663100687536164E-2</v>
      </c>
      <c r="M2243" s="79">
        <f t="shared" si="1406"/>
        <v>0.22818950526028894</v>
      </c>
      <c r="N2243" s="26">
        <f t="shared" si="1406"/>
        <v>0.21292219733799461</v>
      </c>
      <c r="Q2243" s="105"/>
    </row>
    <row r="2244" spans="1:27" ht="15.75" customHeight="1" thickBot="1">
      <c r="A2244" s="424" t="s">
        <v>83</v>
      </c>
      <c r="B2244" s="425"/>
      <c r="C2244" s="76">
        <f>MIN(2*C2235,C2240)-C2242</f>
        <v>15699.440000000002</v>
      </c>
      <c r="D2244" s="76">
        <f t="shared" ref="D2244:N2244" si="1407">MIN(2*D2235,D2240)-D2242</f>
        <v>26557.880000000005</v>
      </c>
      <c r="E2244" s="76">
        <f t="shared" si="1407"/>
        <v>25782.320000000007</v>
      </c>
      <c r="F2244" s="76">
        <f t="shared" si="1407"/>
        <v>29744.359999999986</v>
      </c>
      <c r="G2244" s="76">
        <f t="shared" si="1407"/>
        <v>240235.76</v>
      </c>
      <c r="H2244" s="76">
        <f t="shared" si="1407"/>
        <v>168619.63999999998</v>
      </c>
      <c r="I2244" s="76">
        <f t="shared" si="1407"/>
        <v>207325.04</v>
      </c>
      <c r="J2244" s="76">
        <f t="shared" si="1407"/>
        <v>61375.960000000021</v>
      </c>
      <c r="K2244" s="76">
        <f t="shared" si="1407"/>
        <v>60374.76</v>
      </c>
      <c r="L2244" s="76">
        <f t="shared" si="1407"/>
        <v>119106.28</v>
      </c>
      <c r="M2244" s="76">
        <f t="shared" si="1407"/>
        <v>272374.60000000003</v>
      </c>
      <c r="N2244" s="22">
        <f t="shared" si="1407"/>
        <v>98141.16</v>
      </c>
      <c r="Q2244" s="105"/>
    </row>
    <row r="2245" spans="1:27" ht="15.75" thickBot="1">
      <c r="A2245" s="368">
        <v>40917</v>
      </c>
      <c r="B2245" s="368"/>
      <c r="C2245" s="368"/>
      <c r="N2245" s="15"/>
    </row>
    <row r="2246" spans="1:27">
      <c r="A2246" s="407" t="s">
        <v>1</v>
      </c>
      <c r="B2246" s="420"/>
      <c r="C2246" s="68" t="s">
        <v>12</v>
      </c>
      <c r="D2246" s="68" t="s">
        <v>12</v>
      </c>
      <c r="E2246" s="68" t="s">
        <v>13</v>
      </c>
      <c r="F2246" s="68" t="s">
        <v>13</v>
      </c>
      <c r="G2246" s="68" t="s">
        <v>13</v>
      </c>
      <c r="H2246" s="68" t="s">
        <v>13</v>
      </c>
      <c r="I2246" s="68" t="s">
        <v>13</v>
      </c>
      <c r="J2246" s="68" t="s">
        <v>2</v>
      </c>
      <c r="K2246" s="68" t="s">
        <v>2</v>
      </c>
      <c r="L2246" s="68" t="s">
        <v>2</v>
      </c>
      <c r="M2246" s="68" t="s">
        <v>2</v>
      </c>
      <c r="N2246" s="4" t="s">
        <v>84</v>
      </c>
      <c r="Y2246" s="104"/>
      <c r="Z2246" s="104"/>
      <c r="AA2246" s="94"/>
    </row>
    <row r="2247" spans="1:27" ht="15.75" thickBot="1">
      <c r="A2247" s="409" t="s">
        <v>0</v>
      </c>
      <c r="B2247" s="414"/>
      <c r="C2247" s="99" t="s">
        <v>102</v>
      </c>
      <c r="D2247" s="99" t="s">
        <v>103</v>
      </c>
      <c r="E2247" s="99" t="s">
        <v>104</v>
      </c>
      <c r="F2247" s="99" t="s">
        <v>105</v>
      </c>
      <c r="G2247" s="99" t="s">
        <v>100</v>
      </c>
      <c r="H2247" s="99" t="s">
        <v>107</v>
      </c>
      <c r="I2247" s="99" t="s">
        <v>106</v>
      </c>
      <c r="J2247" s="99" t="s">
        <v>108</v>
      </c>
      <c r="K2247" s="99" t="s">
        <v>110</v>
      </c>
      <c r="L2247" s="99" t="s">
        <v>101</v>
      </c>
      <c r="M2247" s="99" t="s">
        <v>109</v>
      </c>
      <c r="N2247" s="101" t="s">
        <v>111</v>
      </c>
      <c r="P2247" s="172"/>
      <c r="Q2247" s="105"/>
      <c r="R2247" s="105"/>
      <c r="S2247" s="105"/>
      <c r="T2247" s="105"/>
      <c r="U2247" s="105"/>
      <c r="V2247" s="105"/>
      <c r="W2247" s="105"/>
      <c r="X2247" s="105"/>
      <c r="Y2247" s="105"/>
      <c r="Z2247" s="105"/>
      <c r="AA2247" s="38"/>
    </row>
    <row r="2248" spans="1:27" ht="15" customHeight="1">
      <c r="A2248" s="421" t="s">
        <v>9</v>
      </c>
      <c r="B2248" s="2" t="s">
        <v>4</v>
      </c>
      <c r="C2248" s="96">
        <v>115816.8</v>
      </c>
      <c r="D2248" s="96">
        <v>79968.7</v>
      </c>
      <c r="E2248" s="96">
        <v>79968.7</v>
      </c>
      <c r="F2248" s="96">
        <v>154422.39999999999</v>
      </c>
      <c r="G2248" s="96">
        <v>121331.8</v>
      </c>
      <c r="H2248" s="96">
        <v>110071.9</v>
      </c>
      <c r="I2248" s="96">
        <v>121331.8</v>
      </c>
      <c r="J2248" s="96">
        <v>170967.6</v>
      </c>
      <c r="K2248" s="96">
        <v>54921</v>
      </c>
      <c r="L2248" s="96">
        <v>60665.9</v>
      </c>
      <c r="M2248" s="96">
        <v>176482.7</v>
      </c>
      <c r="N2248" s="100">
        <v>54921</v>
      </c>
      <c r="Y2248" s="104"/>
      <c r="Z2248" s="104"/>
      <c r="AA2248" s="94"/>
    </row>
    <row r="2249" spans="1:27" s="64" customFormat="1">
      <c r="A2249" s="422"/>
      <c r="B2249" s="63" t="s">
        <v>5</v>
      </c>
      <c r="C2249" s="97">
        <v>89011.1</v>
      </c>
      <c r="D2249" s="97">
        <v>65353.7</v>
      </c>
      <c r="E2249" s="97">
        <v>66731.5</v>
      </c>
      <c r="F2249" s="97">
        <v>122880.1</v>
      </c>
      <c r="G2249" s="97">
        <v>77.7</v>
      </c>
      <c r="H2249" s="97">
        <v>12918.2</v>
      </c>
      <c r="I2249" s="97">
        <v>19246.599999999999</v>
      </c>
      <c r="J2249" s="97">
        <v>109143.5</v>
      </c>
      <c r="K2249" s="97">
        <v>25545</v>
      </c>
      <c r="L2249" s="97">
        <v>54.1</v>
      </c>
      <c r="M2249" s="97">
        <v>76600.899999999994</v>
      </c>
      <c r="N2249" s="102">
        <v>22765.5</v>
      </c>
      <c r="P2249" s="14"/>
      <c r="Q2249" s="104"/>
      <c r="R2249" s="104"/>
      <c r="S2249" s="104"/>
      <c r="T2249" s="104"/>
      <c r="U2249" s="104"/>
      <c r="V2249" s="104"/>
      <c r="W2249" s="104"/>
      <c r="X2249" s="104"/>
      <c r="Y2249" s="104"/>
      <c r="Z2249" s="104"/>
      <c r="AA2249" s="65"/>
    </row>
    <row r="2250" spans="1:27" ht="15.75" thickBot="1">
      <c r="A2250" s="423"/>
      <c r="B2250" s="3" t="s">
        <v>3</v>
      </c>
      <c r="C2250" s="71">
        <f>C2249/C2248</f>
        <v>0.768550849272299</v>
      </c>
      <c r="D2250" s="72">
        <f t="shared" ref="D2250:N2250" si="1408">D2249/D2248</f>
        <v>0.8172409955395048</v>
      </c>
      <c r="E2250" s="72">
        <f t="shared" si="1408"/>
        <v>0.83447023648002283</v>
      </c>
      <c r="F2250" s="72">
        <f t="shared" si="1408"/>
        <v>0.79574012578486031</v>
      </c>
      <c r="G2250" s="72">
        <f t="shared" si="1408"/>
        <v>6.4039270825950003E-4</v>
      </c>
      <c r="H2250" s="72">
        <f t="shared" si="1408"/>
        <v>0.1173614700936388</v>
      </c>
      <c r="I2250" s="72">
        <f t="shared" si="1408"/>
        <v>0.15862782881322124</v>
      </c>
      <c r="J2250" s="72">
        <f t="shared" si="1408"/>
        <v>0.63838703941565533</v>
      </c>
      <c r="K2250" s="72">
        <f t="shared" si="1408"/>
        <v>0.46512263068771509</v>
      </c>
      <c r="L2250" s="72">
        <f t="shared" si="1408"/>
        <v>8.9176951137294588E-4</v>
      </c>
      <c r="M2250" s="72">
        <f t="shared" si="1408"/>
        <v>0.43404197691898405</v>
      </c>
      <c r="N2250" s="83">
        <f t="shared" si="1408"/>
        <v>0.41451357404271588</v>
      </c>
      <c r="Y2250" s="104"/>
      <c r="Z2250" s="104"/>
      <c r="AA2250" s="94"/>
    </row>
    <row r="2251" spans="1:27" ht="15" customHeight="1">
      <c r="A2251" s="411" t="s">
        <v>6</v>
      </c>
      <c r="B2251" s="27" t="s">
        <v>7</v>
      </c>
      <c r="C2251" s="68">
        <v>5006</v>
      </c>
      <c r="D2251" s="68">
        <v>3200</v>
      </c>
      <c r="E2251" s="68">
        <v>3200</v>
      </c>
      <c r="F2251" s="68">
        <v>9503</v>
      </c>
      <c r="G2251" s="68">
        <v>3200</v>
      </c>
      <c r="H2251" s="68">
        <v>4800</v>
      </c>
      <c r="I2251" s="68">
        <v>4000</v>
      </c>
      <c r="J2251" s="68">
        <v>9503</v>
      </c>
      <c r="K2251" s="68">
        <v>2400</v>
      </c>
      <c r="L2251" s="68">
        <v>1600</v>
      </c>
      <c r="M2251" s="68">
        <f>4643-2210</f>
        <v>2433</v>
      </c>
      <c r="N2251" s="80">
        <v>396</v>
      </c>
      <c r="Y2251" s="104"/>
      <c r="Z2251" s="104"/>
      <c r="AA2251" s="94"/>
    </row>
    <row r="2252" spans="1:27">
      <c r="A2252" s="412"/>
      <c r="B2252" s="28" t="s">
        <v>11</v>
      </c>
      <c r="C2252" s="73">
        <f t="shared" ref="C2252:N2252" si="1409">C2251*33.79</f>
        <v>169152.74</v>
      </c>
      <c r="D2252" s="73">
        <f t="shared" si="1409"/>
        <v>108128</v>
      </c>
      <c r="E2252" s="73">
        <f t="shared" si="1409"/>
        <v>108128</v>
      </c>
      <c r="F2252" s="73">
        <f t="shared" si="1409"/>
        <v>321106.37</v>
      </c>
      <c r="G2252" s="73">
        <f t="shared" si="1409"/>
        <v>108128</v>
      </c>
      <c r="H2252" s="73">
        <f t="shared" si="1409"/>
        <v>162192</v>
      </c>
      <c r="I2252" s="73">
        <f t="shared" si="1409"/>
        <v>135160</v>
      </c>
      <c r="J2252" s="73">
        <f t="shared" si="1409"/>
        <v>321106.37</v>
      </c>
      <c r="K2252" s="73">
        <f t="shared" si="1409"/>
        <v>81096</v>
      </c>
      <c r="L2252" s="73">
        <f t="shared" si="1409"/>
        <v>54064</v>
      </c>
      <c r="M2252" s="73">
        <f t="shared" si="1409"/>
        <v>82211.069999999992</v>
      </c>
      <c r="N2252" s="84">
        <f t="shared" si="1409"/>
        <v>13380.84</v>
      </c>
      <c r="Y2252" s="104"/>
      <c r="Z2252" s="104"/>
      <c r="AA2252" s="94"/>
    </row>
    <row r="2253" spans="1:27">
      <c r="A2253" s="412"/>
      <c r="B2253" s="28" t="s">
        <v>79</v>
      </c>
      <c r="C2253" s="73">
        <v>164000</v>
      </c>
      <c r="D2253" s="73">
        <v>109880</v>
      </c>
      <c r="E2253" s="73">
        <v>109880</v>
      </c>
      <c r="F2253" s="73">
        <v>328000</v>
      </c>
      <c r="G2253" s="73">
        <f>G2248*2</f>
        <v>242663.6</v>
      </c>
      <c r="H2253" s="73">
        <f>H2248*2</f>
        <v>220143.8</v>
      </c>
      <c r="I2253" s="73">
        <f>I2248*2</f>
        <v>242663.6</v>
      </c>
      <c r="J2253" s="73">
        <v>328000</v>
      </c>
      <c r="K2253" s="73">
        <f>K2248*2</f>
        <v>109842</v>
      </c>
      <c r="L2253" s="73">
        <v>328000</v>
      </c>
      <c r="M2253" s="73">
        <f>2*M2248</f>
        <v>352965.4</v>
      </c>
      <c r="N2253" s="84">
        <f>2*N2248</f>
        <v>109842</v>
      </c>
      <c r="Y2253" s="104"/>
      <c r="Z2253" s="104"/>
      <c r="AA2253" s="94"/>
    </row>
    <row r="2254" spans="1:27" s="64" customFormat="1">
      <c r="A2254" s="412"/>
      <c r="B2254" s="66" t="s">
        <v>8</v>
      </c>
      <c r="C2254" s="98">
        <f>SUM(C2251-624)</f>
        <v>4382</v>
      </c>
      <c r="D2254" s="98">
        <f>SUM(D2251-729)</f>
        <v>2471</v>
      </c>
      <c r="E2254" s="98">
        <f>SUM(E2251-706)</f>
        <v>2494</v>
      </c>
      <c r="F2254" s="98">
        <f>SUM(F2251-1242)</f>
        <v>8261</v>
      </c>
      <c r="G2254" s="98">
        <f>SUM(G2251-3164)</f>
        <v>36</v>
      </c>
      <c r="H2254" s="98">
        <f>SUM(H2251-3287)</f>
        <v>1513</v>
      </c>
      <c r="I2254" s="98">
        <f>SUM(I2251-2952)</f>
        <v>1048</v>
      </c>
      <c r="J2254" s="98">
        <f>SUM(J2251-1617)</f>
        <v>7886</v>
      </c>
      <c r="K2254" s="98">
        <f>SUM(K2251-933)</f>
        <v>1467</v>
      </c>
      <c r="L2254" s="98">
        <f>SUM(L2251-1534)</f>
        <v>66</v>
      </c>
      <c r="M2254" s="98">
        <f>SUM(M2251-(3448-2210))</f>
        <v>1195</v>
      </c>
      <c r="N2254" s="103">
        <f>SUM(N2251-49)</f>
        <v>347</v>
      </c>
      <c r="P2254" s="14"/>
      <c r="Q2254" s="105"/>
      <c r="R2254" s="104"/>
      <c r="S2254" s="104"/>
      <c r="T2254" s="104"/>
      <c r="U2254" s="104"/>
      <c r="V2254" s="104"/>
      <c r="W2254" s="104"/>
      <c r="X2254" s="104"/>
      <c r="Y2254" s="67"/>
      <c r="Z2254" s="67"/>
    </row>
    <row r="2255" spans="1:27">
      <c r="A2255" s="412"/>
      <c r="B2255" s="29" t="s">
        <v>77</v>
      </c>
      <c r="C2255" s="75">
        <f>C2254*33.72</f>
        <v>147761.04</v>
      </c>
      <c r="D2255" s="75">
        <f>D2254*33.72</f>
        <v>83322.12</v>
      </c>
      <c r="E2255" s="75">
        <f>E2254*33.72</f>
        <v>84097.68</v>
      </c>
      <c r="F2255" s="75">
        <f>F2254*33.72</f>
        <v>278560.92</v>
      </c>
      <c r="G2255" s="75">
        <f>G2254*33.72*2</f>
        <v>2427.84</v>
      </c>
      <c r="H2255" s="75">
        <f>H2254*33.72</f>
        <v>51018.36</v>
      </c>
      <c r="I2255" s="75">
        <f>I2254*33.72</f>
        <v>35338.559999999998</v>
      </c>
      <c r="J2255" s="75">
        <f>J2254*33.72</f>
        <v>265915.92</v>
      </c>
      <c r="K2255" s="75">
        <f>K2254*33.72</f>
        <v>49467.24</v>
      </c>
      <c r="L2255" s="75">
        <f>L2254*33.72</f>
        <v>2225.52</v>
      </c>
      <c r="M2255" s="75">
        <f>M2254*33.72*2</f>
        <v>80590.8</v>
      </c>
      <c r="N2255" s="11">
        <f>N2254*33.72</f>
        <v>11700.84</v>
      </c>
      <c r="Q2255" s="105"/>
    </row>
    <row r="2256" spans="1:27" ht="15.75" thickBot="1">
      <c r="A2256" s="412"/>
      <c r="B2256" s="30" t="s">
        <v>10</v>
      </c>
      <c r="C2256" s="71">
        <f>C2254*33.7/C2248</f>
        <v>1.2750602675950296</v>
      </c>
      <c r="D2256" s="71">
        <f t="shared" ref="D2256:N2256" si="1410">D2254*33.7/D2248</f>
        <v>1.0413161649495366</v>
      </c>
      <c r="E2256" s="78">
        <f t="shared" si="1410"/>
        <v>1.0510087071566752</v>
      </c>
      <c r="F2256" s="78">
        <f t="shared" si="1410"/>
        <v>1.80281940961933</v>
      </c>
      <c r="G2256" s="78">
        <f t="shared" si="1410"/>
        <v>9.9990274602371355E-3</v>
      </c>
      <c r="H2256" s="78">
        <f t="shared" si="1410"/>
        <v>0.46322540085162522</v>
      </c>
      <c r="I2256" s="78">
        <f t="shared" si="1410"/>
        <v>0.2910827993980144</v>
      </c>
      <c r="J2256" s="78">
        <f t="shared" si="1410"/>
        <v>1.5544360451921886</v>
      </c>
      <c r="K2256" s="78">
        <f t="shared" si="1410"/>
        <v>0.90016387174304913</v>
      </c>
      <c r="L2256" s="78">
        <f t="shared" si="1410"/>
        <v>3.6663100687536164E-2</v>
      </c>
      <c r="M2256" s="79">
        <f t="shared" si="1410"/>
        <v>0.22818950526028894</v>
      </c>
      <c r="N2256" s="26">
        <f t="shared" si="1410"/>
        <v>0.21292219733799461</v>
      </c>
      <c r="Q2256" s="105"/>
    </row>
    <row r="2257" spans="1:27" ht="15.75" customHeight="1" thickBot="1">
      <c r="A2257" s="424" t="s">
        <v>83</v>
      </c>
      <c r="B2257" s="425"/>
      <c r="C2257" s="76">
        <f>MIN(2*C2248,C2253)-C2255</f>
        <v>16238.959999999992</v>
      </c>
      <c r="D2257" s="76">
        <f t="shared" ref="D2257:N2257" si="1411">MIN(2*D2248,D2253)-D2255</f>
        <v>26557.880000000005</v>
      </c>
      <c r="E2257" s="76">
        <f t="shared" si="1411"/>
        <v>25782.320000000007</v>
      </c>
      <c r="F2257" s="76">
        <f t="shared" si="1411"/>
        <v>30283.880000000005</v>
      </c>
      <c r="G2257" s="76">
        <f t="shared" si="1411"/>
        <v>240235.76</v>
      </c>
      <c r="H2257" s="76">
        <f t="shared" si="1411"/>
        <v>169125.44</v>
      </c>
      <c r="I2257" s="76">
        <f t="shared" si="1411"/>
        <v>207325.04</v>
      </c>
      <c r="J2257" s="76">
        <f t="shared" si="1411"/>
        <v>62084.080000000016</v>
      </c>
      <c r="K2257" s="76">
        <f t="shared" si="1411"/>
        <v>60374.76</v>
      </c>
      <c r="L2257" s="76">
        <f t="shared" si="1411"/>
        <v>119106.28</v>
      </c>
      <c r="M2257" s="76">
        <f t="shared" si="1411"/>
        <v>272374.60000000003</v>
      </c>
      <c r="N2257" s="22">
        <f t="shared" si="1411"/>
        <v>98141.16</v>
      </c>
      <c r="Q2257" s="105"/>
    </row>
    <row r="2258" spans="1:27" ht="15.75" thickBot="1">
      <c r="A2258" s="368">
        <v>40913</v>
      </c>
      <c r="B2258" s="368"/>
      <c r="C2258" s="368"/>
      <c r="N2258" s="15"/>
    </row>
    <row r="2259" spans="1:27">
      <c r="A2259" s="407" t="s">
        <v>1</v>
      </c>
      <c r="B2259" s="420"/>
      <c r="C2259" s="68" t="s">
        <v>12</v>
      </c>
      <c r="D2259" s="68" t="s">
        <v>12</v>
      </c>
      <c r="E2259" s="68" t="s">
        <v>13</v>
      </c>
      <c r="F2259" s="68" t="s">
        <v>13</v>
      </c>
      <c r="G2259" s="68" t="s">
        <v>13</v>
      </c>
      <c r="H2259" s="68" t="s">
        <v>13</v>
      </c>
      <c r="I2259" s="68" t="s">
        <v>13</v>
      </c>
      <c r="J2259" s="68" t="s">
        <v>2</v>
      </c>
      <c r="K2259" s="68" t="s">
        <v>2</v>
      </c>
      <c r="L2259" s="68" t="s">
        <v>2</v>
      </c>
      <c r="M2259" s="68" t="s">
        <v>2</v>
      </c>
      <c r="N2259" s="4" t="s">
        <v>84</v>
      </c>
      <c r="Y2259" s="104"/>
      <c r="Z2259" s="104"/>
      <c r="AA2259" s="93"/>
    </row>
    <row r="2260" spans="1:27" ht="15.75" thickBot="1">
      <c r="A2260" s="409" t="s">
        <v>0</v>
      </c>
      <c r="B2260" s="414"/>
      <c r="C2260" s="99" t="s">
        <v>102</v>
      </c>
      <c r="D2260" s="99" t="s">
        <v>103</v>
      </c>
      <c r="E2260" s="99" t="s">
        <v>104</v>
      </c>
      <c r="F2260" s="99" t="s">
        <v>105</v>
      </c>
      <c r="G2260" s="99" t="s">
        <v>100</v>
      </c>
      <c r="H2260" s="99" t="s">
        <v>107</v>
      </c>
      <c r="I2260" s="99" t="s">
        <v>106</v>
      </c>
      <c r="J2260" s="99" t="s">
        <v>108</v>
      </c>
      <c r="K2260" s="99" t="s">
        <v>110</v>
      </c>
      <c r="L2260" s="99" t="s">
        <v>101</v>
      </c>
      <c r="M2260" s="99" t="s">
        <v>109</v>
      </c>
      <c r="N2260" s="101" t="s">
        <v>111</v>
      </c>
      <c r="P2260" s="172"/>
      <c r="Q2260" s="105"/>
      <c r="R2260" s="105"/>
      <c r="S2260" s="105"/>
      <c r="T2260" s="105"/>
      <c r="U2260" s="105"/>
      <c r="V2260" s="105"/>
      <c r="W2260" s="105"/>
      <c r="X2260" s="105"/>
      <c r="Y2260" s="105"/>
      <c r="Z2260" s="105"/>
      <c r="AA2260" s="38"/>
    </row>
    <row r="2261" spans="1:27" ht="15" customHeight="1">
      <c r="A2261" s="421" t="s">
        <v>9</v>
      </c>
      <c r="B2261" s="2" t="s">
        <v>4</v>
      </c>
      <c r="C2261" s="96">
        <v>115816.8</v>
      </c>
      <c r="D2261" s="96">
        <v>79968.7</v>
      </c>
      <c r="E2261" s="96">
        <v>79968.7</v>
      </c>
      <c r="F2261" s="96">
        <v>154422.39999999999</v>
      </c>
      <c r="G2261" s="96">
        <v>121331.8</v>
      </c>
      <c r="H2261" s="96">
        <v>110071.9</v>
      </c>
      <c r="I2261" s="96">
        <v>121331.8</v>
      </c>
      <c r="J2261" s="96">
        <v>170967.6</v>
      </c>
      <c r="K2261" s="96">
        <v>54921</v>
      </c>
      <c r="L2261" s="96">
        <v>60665.9</v>
      </c>
      <c r="M2261" s="96">
        <v>176482.7</v>
      </c>
      <c r="N2261" s="100">
        <v>54921</v>
      </c>
      <c r="Y2261" s="104"/>
      <c r="Z2261" s="104"/>
      <c r="AA2261" s="93"/>
    </row>
    <row r="2262" spans="1:27" s="64" customFormat="1">
      <c r="A2262" s="422"/>
      <c r="B2262" s="63" t="s">
        <v>5</v>
      </c>
      <c r="C2262" s="97">
        <v>88953.9</v>
      </c>
      <c r="D2262" s="97">
        <v>65348.800000000003</v>
      </c>
      <c r="E2262" s="97">
        <v>66726.7</v>
      </c>
      <c r="F2262" s="97">
        <v>122379.2</v>
      </c>
      <c r="G2262" s="97">
        <v>71.400000000000006</v>
      </c>
      <c r="H2262" s="97">
        <v>12757.5</v>
      </c>
      <c r="I2262" s="97">
        <v>19240.2</v>
      </c>
      <c r="J2262" s="97">
        <v>108993.4</v>
      </c>
      <c r="K2262" s="97">
        <v>25203.8</v>
      </c>
      <c r="L2262" s="97">
        <v>51</v>
      </c>
      <c r="M2262" s="97">
        <v>76587.7</v>
      </c>
      <c r="N2262" s="102">
        <v>22765.5</v>
      </c>
      <c r="P2262" s="14"/>
      <c r="Q2262" s="104"/>
      <c r="R2262" s="104"/>
      <c r="S2262" s="104"/>
      <c r="T2262" s="104"/>
      <c r="U2262" s="104"/>
      <c r="V2262" s="104"/>
      <c r="W2262" s="104"/>
      <c r="X2262" s="104"/>
      <c r="Y2262" s="104"/>
      <c r="Z2262" s="104"/>
      <c r="AA2262" s="65"/>
    </row>
    <row r="2263" spans="1:27" ht="15.75" thickBot="1">
      <c r="A2263" s="423"/>
      <c r="B2263" s="3" t="s">
        <v>3</v>
      </c>
      <c r="C2263" s="71">
        <f>C2262/C2261</f>
        <v>0.76805696582879157</v>
      </c>
      <c r="D2263" s="72">
        <f t="shared" ref="D2263:N2263" si="1412">D2262/D2261</f>
        <v>0.81717972156606278</v>
      </c>
      <c r="E2263" s="72">
        <f t="shared" si="1412"/>
        <v>0.83441021299583462</v>
      </c>
      <c r="F2263" s="72">
        <f t="shared" si="1412"/>
        <v>0.79249642538906273</v>
      </c>
      <c r="G2263" s="72">
        <f t="shared" si="1412"/>
        <v>5.8846897515737843E-4</v>
      </c>
      <c r="H2263" s="72">
        <f t="shared" si="1412"/>
        <v>0.11590151528228368</v>
      </c>
      <c r="I2263" s="72">
        <f t="shared" si="1412"/>
        <v>0.15857508089387942</v>
      </c>
      <c r="J2263" s="72">
        <f t="shared" si="1412"/>
        <v>0.63750909529056965</v>
      </c>
      <c r="K2263" s="72">
        <f t="shared" si="1412"/>
        <v>0.45891007082900892</v>
      </c>
      <c r="L2263" s="72">
        <f t="shared" si="1412"/>
        <v>8.406699645105405E-4</v>
      </c>
      <c r="M2263" s="72">
        <f t="shared" si="1412"/>
        <v>0.43396718205240509</v>
      </c>
      <c r="N2263" s="83">
        <f t="shared" si="1412"/>
        <v>0.41451357404271588</v>
      </c>
      <c r="Y2263" s="104"/>
      <c r="Z2263" s="104"/>
      <c r="AA2263" s="93"/>
    </row>
    <row r="2264" spans="1:27" ht="15" customHeight="1">
      <c r="A2264" s="411" t="s">
        <v>6</v>
      </c>
      <c r="B2264" s="27" t="s">
        <v>7</v>
      </c>
      <c r="C2264" s="68">
        <v>5006</v>
      </c>
      <c r="D2264" s="68">
        <v>3200</v>
      </c>
      <c r="E2264" s="68">
        <v>3200</v>
      </c>
      <c r="F2264" s="68">
        <v>9503</v>
      </c>
      <c r="G2264" s="68">
        <v>3200</v>
      </c>
      <c r="H2264" s="68">
        <v>4800</v>
      </c>
      <c r="I2264" s="68">
        <v>4000</v>
      </c>
      <c r="J2264" s="68">
        <v>9503</v>
      </c>
      <c r="K2264" s="68">
        <v>2400</v>
      </c>
      <c r="L2264" s="68">
        <v>1600</v>
      </c>
      <c r="M2264" s="68">
        <f>4643-2210</f>
        <v>2433</v>
      </c>
      <c r="N2264" s="80">
        <v>396</v>
      </c>
      <c r="Y2264" s="104"/>
      <c r="Z2264" s="104"/>
      <c r="AA2264" s="93"/>
    </row>
    <row r="2265" spans="1:27">
      <c r="A2265" s="412"/>
      <c r="B2265" s="28" t="s">
        <v>11</v>
      </c>
      <c r="C2265" s="73">
        <f t="shared" ref="C2265:N2265" si="1413">C2264*33.79</f>
        <v>169152.74</v>
      </c>
      <c r="D2265" s="73">
        <f t="shared" si="1413"/>
        <v>108128</v>
      </c>
      <c r="E2265" s="73">
        <f t="shared" si="1413"/>
        <v>108128</v>
      </c>
      <c r="F2265" s="73">
        <f t="shared" si="1413"/>
        <v>321106.37</v>
      </c>
      <c r="G2265" s="73">
        <f t="shared" si="1413"/>
        <v>108128</v>
      </c>
      <c r="H2265" s="73">
        <f t="shared" si="1413"/>
        <v>162192</v>
      </c>
      <c r="I2265" s="73">
        <f t="shared" si="1413"/>
        <v>135160</v>
      </c>
      <c r="J2265" s="73">
        <f t="shared" si="1413"/>
        <v>321106.37</v>
      </c>
      <c r="K2265" s="73">
        <f t="shared" si="1413"/>
        <v>81096</v>
      </c>
      <c r="L2265" s="73">
        <f t="shared" si="1413"/>
        <v>54064</v>
      </c>
      <c r="M2265" s="73">
        <f t="shared" si="1413"/>
        <v>82211.069999999992</v>
      </c>
      <c r="N2265" s="84">
        <f t="shared" si="1413"/>
        <v>13380.84</v>
      </c>
      <c r="Y2265" s="104"/>
      <c r="Z2265" s="104"/>
      <c r="AA2265" s="93"/>
    </row>
    <row r="2266" spans="1:27">
      <c r="A2266" s="412"/>
      <c r="B2266" s="28" t="s">
        <v>79</v>
      </c>
      <c r="C2266" s="73">
        <v>164000</v>
      </c>
      <c r="D2266" s="73">
        <v>109880</v>
      </c>
      <c r="E2266" s="73">
        <v>109880</v>
      </c>
      <c r="F2266" s="73">
        <v>328000</v>
      </c>
      <c r="G2266" s="73">
        <f>G2261*2</f>
        <v>242663.6</v>
      </c>
      <c r="H2266" s="73">
        <f>H2261*2</f>
        <v>220143.8</v>
      </c>
      <c r="I2266" s="73">
        <f>I2261*2</f>
        <v>242663.6</v>
      </c>
      <c r="J2266" s="73">
        <v>328000</v>
      </c>
      <c r="K2266" s="73">
        <f>K2261*2</f>
        <v>109842</v>
      </c>
      <c r="L2266" s="73">
        <v>328000</v>
      </c>
      <c r="M2266" s="73">
        <f>2*M2261</f>
        <v>352965.4</v>
      </c>
      <c r="N2266" s="84">
        <f>2*N2261</f>
        <v>109842</v>
      </c>
      <c r="Y2266" s="104"/>
      <c r="Z2266" s="104"/>
      <c r="AA2266" s="93"/>
    </row>
    <row r="2267" spans="1:27" s="64" customFormat="1">
      <c r="A2267" s="412"/>
      <c r="B2267" s="66" t="s">
        <v>8</v>
      </c>
      <c r="C2267" s="98">
        <f>SUM(C2264-624)</f>
        <v>4382</v>
      </c>
      <c r="D2267" s="98">
        <f>SUM(D2264-729)</f>
        <v>2471</v>
      </c>
      <c r="E2267" s="98">
        <f>SUM(E2264-706)</f>
        <v>2494</v>
      </c>
      <c r="F2267" s="98">
        <f>SUM(F2264-1242)</f>
        <v>8261</v>
      </c>
      <c r="G2267" s="98">
        <f>SUM(G2264-3164)</f>
        <v>36</v>
      </c>
      <c r="H2267" s="98">
        <f>SUM(H2264-3287)</f>
        <v>1513</v>
      </c>
      <c r="I2267" s="98">
        <f>SUM(I2264-2932)</f>
        <v>1068</v>
      </c>
      <c r="J2267" s="98">
        <f>SUM(J2264-1617)</f>
        <v>7886</v>
      </c>
      <c r="K2267" s="98">
        <f>SUM(K2264-933)</f>
        <v>1467</v>
      </c>
      <c r="L2267" s="98">
        <f>SUM(L2264-1534)</f>
        <v>66</v>
      </c>
      <c r="M2267" s="98">
        <f>SUM(M2264-(3452-2210))</f>
        <v>1191</v>
      </c>
      <c r="N2267" s="103">
        <f>SUM(N2264-49)</f>
        <v>347</v>
      </c>
      <c r="P2267" s="14"/>
      <c r="Q2267" s="105"/>
      <c r="R2267" s="104"/>
      <c r="S2267" s="104"/>
      <c r="T2267" s="104"/>
      <c r="U2267" s="104"/>
      <c r="V2267" s="104"/>
      <c r="W2267" s="104"/>
      <c r="X2267" s="104"/>
      <c r="Y2267" s="67"/>
      <c r="Z2267" s="67"/>
    </row>
    <row r="2268" spans="1:27">
      <c r="A2268" s="412"/>
      <c r="B2268" s="29" t="s">
        <v>77</v>
      </c>
      <c r="C2268" s="75">
        <f>C2267*33.79</f>
        <v>148067.78</v>
      </c>
      <c r="D2268" s="75">
        <f>D2267*33.79</f>
        <v>83495.09</v>
      </c>
      <c r="E2268" s="75">
        <f>E2267*33.79</f>
        <v>84272.26</v>
      </c>
      <c r="F2268" s="75">
        <f>F2267*33.79</f>
        <v>279139.19</v>
      </c>
      <c r="G2268" s="75">
        <f>G2267*33.79*2</f>
        <v>2432.88</v>
      </c>
      <c r="H2268" s="75">
        <f>H2267*33.79</f>
        <v>51124.27</v>
      </c>
      <c r="I2268" s="75">
        <f>I2267*33.79</f>
        <v>36087.72</v>
      </c>
      <c r="J2268" s="75">
        <f>J2267*33.79</f>
        <v>266467.94</v>
      </c>
      <c r="K2268" s="75">
        <f>K2267*33.79</f>
        <v>49569.93</v>
      </c>
      <c r="L2268" s="75">
        <f>L2267*33.79</f>
        <v>2230.14</v>
      </c>
      <c r="M2268" s="75">
        <f>M2267*33.79*2</f>
        <v>80487.78</v>
      </c>
      <c r="N2268" s="11">
        <f>N2267*33.79</f>
        <v>11725.13</v>
      </c>
      <c r="Q2268" s="105"/>
    </row>
    <row r="2269" spans="1:27" ht="15.75" thickBot="1">
      <c r="A2269" s="412"/>
      <c r="B2269" s="30" t="s">
        <v>10</v>
      </c>
      <c r="C2269" s="71">
        <f>C2267*33.7/C2261</f>
        <v>1.2750602675950296</v>
      </c>
      <c r="D2269" s="71">
        <f t="shared" ref="D2269:N2269" si="1414">D2267*33.7/D2261</f>
        <v>1.0413161649495366</v>
      </c>
      <c r="E2269" s="78">
        <f t="shared" si="1414"/>
        <v>1.0510087071566752</v>
      </c>
      <c r="F2269" s="78">
        <f t="shared" si="1414"/>
        <v>1.80281940961933</v>
      </c>
      <c r="G2269" s="78">
        <f t="shared" si="1414"/>
        <v>9.9990274602371355E-3</v>
      </c>
      <c r="H2269" s="78">
        <f t="shared" si="1414"/>
        <v>0.46322540085162522</v>
      </c>
      <c r="I2269" s="78">
        <f t="shared" si="1414"/>
        <v>0.2966378146537017</v>
      </c>
      <c r="J2269" s="78">
        <f t="shared" si="1414"/>
        <v>1.5544360451921886</v>
      </c>
      <c r="K2269" s="78">
        <f t="shared" si="1414"/>
        <v>0.90016387174304913</v>
      </c>
      <c r="L2269" s="78">
        <f t="shared" si="1414"/>
        <v>3.6663100687536164E-2</v>
      </c>
      <c r="M2269" s="79">
        <f t="shared" si="1414"/>
        <v>0.2274256910167399</v>
      </c>
      <c r="N2269" s="26">
        <f t="shared" si="1414"/>
        <v>0.21292219733799461</v>
      </c>
      <c r="Q2269" s="105"/>
    </row>
    <row r="2270" spans="1:27" ht="15.75" customHeight="1" thickBot="1">
      <c r="A2270" s="424" t="s">
        <v>83</v>
      </c>
      <c r="B2270" s="425"/>
      <c r="C2270" s="76">
        <f>MIN(2*C2261,C2266)-C2268</f>
        <v>15932.220000000001</v>
      </c>
      <c r="D2270" s="76">
        <f t="shared" ref="D2270:N2270" si="1415">MIN(2*D2261,D2266)-D2268</f>
        <v>26384.910000000003</v>
      </c>
      <c r="E2270" s="76">
        <f t="shared" si="1415"/>
        <v>25607.740000000005</v>
      </c>
      <c r="F2270" s="76">
        <f t="shared" si="1415"/>
        <v>29705.609999999986</v>
      </c>
      <c r="G2270" s="76">
        <f t="shared" si="1415"/>
        <v>240230.72</v>
      </c>
      <c r="H2270" s="76">
        <f t="shared" si="1415"/>
        <v>169019.53</v>
      </c>
      <c r="I2270" s="76">
        <f t="shared" si="1415"/>
        <v>206575.88</v>
      </c>
      <c r="J2270" s="76">
        <f t="shared" si="1415"/>
        <v>61532.06</v>
      </c>
      <c r="K2270" s="76">
        <f t="shared" si="1415"/>
        <v>60272.07</v>
      </c>
      <c r="L2270" s="76">
        <f t="shared" si="1415"/>
        <v>119101.66</v>
      </c>
      <c r="M2270" s="76">
        <f t="shared" si="1415"/>
        <v>272477.62</v>
      </c>
      <c r="N2270" s="22">
        <f t="shared" si="1415"/>
        <v>98116.87</v>
      </c>
      <c r="Q2270" s="105"/>
    </row>
    <row r="2271" spans="1:27" ht="15.75" thickBot="1">
      <c r="A2271" s="368">
        <v>40912</v>
      </c>
      <c r="B2271" s="368"/>
      <c r="C2271" s="368"/>
      <c r="N2271" s="15"/>
    </row>
    <row r="2272" spans="1:27" s="67" customFormat="1">
      <c r="A2272" s="426" t="s">
        <v>1</v>
      </c>
      <c r="B2272" s="427"/>
      <c r="C2272" s="68" t="s">
        <v>12</v>
      </c>
      <c r="D2272" s="68" t="s">
        <v>12</v>
      </c>
      <c r="E2272" s="68" t="s">
        <v>13</v>
      </c>
      <c r="F2272" s="68" t="s">
        <v>13</v>
      </c>
      <c r="G2272" s="68" t="s">
        <v>13</v>
      </c>
      <c r="H2272" s="68" t="s">
        <v>13</v>
      </c>
      <c r="I2272" s="68" t="s">
        <v>13</v>
      </c>
      <c r="J2272" s="68" t="s">
        <v>2</v>
      </c>
      <c r="K2272" s="68" t="s">
        <v>2</v>
      </c>
      <c r="L2272" s="68" t="s">
        <v>2</v>
      </c>
      <c r="M2272" s="68" t="s">
        <v>2</v>
      </c>
      <c r="N2272" s="80" t="s">
        <v>84</v>
      </c>
      <c r="P2272" s="14"/>
      <c r="Q2272" s="104"/>
      <c r="R2272" s="104"/>
      <c r="S2272" s="104"/>
      <c r="T2272" s="104"/>
      <c r="U2272" s="104"/>
      <c r="V2272" s="104"/>
      <c r="W2272" s="104"/>
      <c r="X2272" s="104"/>
      <c r="Y2272" s="104"/>
      <c r="Z2272" s="104"/>
      <c r="AA2272" s="104"/>
    </row>
    <row r="2273" spans="1:27" s="67" customFormat="1" ht="15.75" thickBot="1">
      <c r="A2273" s="428" t="s">
        <v>0</v>
      </c>
      <c r="B2273" s="429"/>
      <c r="C2273" s="69" t="s">
        <v>102</v>
      </c>
      <c r="D2273" s="69" t="s">
        <v>103</v>
      </c>
      <c r="E2273" s="69" t="s">
        <v>104</v>
      </c>
      <c r="F2273" s="69" t="s">
        <v>105</v>
      </c>
      <c r="G2273" s="69" t="s">
        <v>100</v>
      </c>
      <c r="H2273" s="69" t="s">
        <v>107</v>
      </c>
      <c r="I2273" s="69" t="s">
        <v>106</v>
      </c>
      <c r="J2273" s="69" t="s">
        <v>108</v>
      </c>
      <c r="K2273" s="69" t="s">
        <v>110</v>
      </c>
      <c r="L2273" s="69" t="s">
        <v>101</v>
      </c>
      <c r="M2273" s="69" t="s">
        <v>109</v>
      </c>
      <c r="N2273" s="81" t="s">
        <v>111</v>
      </c>
      <c r="P2273" s="172"/>
      <c r="Q2273" s="105"/>
      <c r="R2273" s="105"/>
      <c r="S2273" s="105"/>
      <c r="T2273" s="105"/>
      <c r="U2273" s="105"/>
      <c r="V2273" s="105"/>
      <c r="W2273" s="105"/>
      <c r="X2273" s="105"/>
      <c r="Y2273" s="105"/>
      <c r="Z2273" s="105"/>
      <c r="AA2273" s="105"/>
    </row>
    <row r="2274" spans="1:27" s="67" customFormat="1" ht="15" customHeight="1">
      <c r="A2274" s="430" t="s">
        <v>9</v>
      </c>
      <c r="B2274" s="106" t="s">
        <v>4</v>
      </c>
      <c r="C2274" s="23">
        <v>115816.8</v>
      </c>
      <c r="D2274" s="23">
        <v>79968.7</v>
      </c>
      <c r="E2274" s="23">
        <v>79968.7</v>
      </c>
      <c r="F2274" s="23">
        <v>154422.39999999999</v>
      </c>
      <c r="G2274" s="23">
        <v>121331.8</v>
      </c>
      <c r="H2274" s="23">
        <v>110071.9</v>
      </c>
      <c r="I2274" s="23">
        <v>121331.8</v>
      </c>
      <c r="J2274" s="23">
        <v>170967.6</v>
      </c>
      <c r="K2274" s="23">
        <v>54921</v>
      </c>
      <c r="L2274" s="23">
        <v>60665.9</v>
      </c>
      <c r="M2274" s="23">
        <v>176482.7</v>
      </c>
      <c r="N2274" s="24">
        <v>54921</v>
      </c>
      <c r="P2274" s="14"/>
      <c r="Q2274" s="104"/>
      <c r="R2274" s="104"/>
      <c r="S2274" s="104"/>
      <c r="T2274" s="104"/>
      <c r="U2274" s="104"/>
      <c r="V2274" s="104"/>
      <c r="W2274" s="104"/>
      <c r="X2274" s="104"/>
      <c r="Y2274" s="104"/>
      <c r="Z2274" s="104"/>
      <c r="AA2274" s="104"/>
    </row>
    <row r="2275" spans="1:27" s="67" customFormat="1">
      <c r="A2275" s="431"/>
      <c r="B2275" s="107" t="s">
        <v>5</v>
      </c>
      <c r="C2275" s="70">
        <v>88953.9</v>
      </c>
      <c r="D2275" s="70">
        <v>65348.800000000003</v>
      </c>
      <c r="E2275" s="70">
        <v>66726.7</v>
      </c>
      <c r="F2275" s="70">
        <v>122379.2</v>
      </c>
      <c r="G2275" s="70">
        <v>71.400000000000006</v>
      </c>
      <c r="H2275" s="70">
        <v>12757.5</v>
      </c>
      <c r="I2275" s="70">
        <v>19240.2</v>
      </c>
      <c r="J2275" s="70">
        <v>108993.4</v>
      </c>
      <c r="K2275" s="70">
        <v>25203.8</v>
      </c>
      <c r="L2275" s="70">
        <v>51</v>
      </c>
      <c r="M2275" s="70">
        <v>76587.7</v>
      </c>
      <c r="N2275" s="82">
        <v>22765.5</v>
      </c>
      <c r="P2275" s="14"/>
      <c r="Q2275" s="104"/>
      <c r="R2275" s="104"/>
      <c r="S2275" s="104"/>
      <c r="T2275" s="104"/>
      <c r="U2275" s="104"/>
      <c r="V2275" s="104"/>
      <c r="W2275" s="104"/>
      <c r="X2275" s="104"/>
      <c r="Y2275" s="104"/>
      <c r="Z2275" s="104"/>
      <c r="AA2275" s="104"/>
    </row>
    <row r="2276" spans="1:27" s="67" customFormat="1" ht="15.75" thickBot="1">
      <c r="A2276" s="432"/>
      <c r="B2276" s="108" t="s">
        <v>3</v>
      </c>
      <c r="C2276" s="71">
        <f>C2275/C2274</f>
        <v>0.76805696582879157</v>
      </c>
      <c r="D2276" s="72">
        <f t="shared" ref="D2276:N2276" si="1416">D2275/D2274</f>
        <v>0.81717972156606278</v>
      </c>
      <c r="E2276" s="72">
        <f t="shared" si="1416"/>
        <v>0.83441021299583462</v>
      </c>
      <c r="F2276" s="72">
        <f t="shared" si="1416"/>
        <v>0.79249642538906273</v>
      </c>
      <c r="G2276" s="72">
        <f t="shared" si="1416"/>
        <v>5.8846897515737843E-4</v>
      </c>
      <c r="H2276" s="72">
        <f t="shared" si="1416"/>
        <v>0.11590151528228368</v>
      </c>
      <c r="I2276" s="72">
        <f t="shared" si="1416"/>
        <v>0.15857508089387942</v>
      </c>
      <c r="J2276" s="72">
        <f t="shared" si="1416"/>
        <v>0.63750909529056965</v>
      </c>
      <c r="K2276" s="72">
        <f t="shared" si="1416"/>
        <v>0.45891007082900892</v>
      </c>
      <c r="L2276" s="72">
        <f t="shared" si="1416"/>
        <v>8.406699645105405E-4</v>
      </c>
      <c r="M2276" s="72">
        <f t="shared" si="1416"/>
        <v>0.43396718205240509</v>
      </c>
      <c r="N2276" s="83">
        <f t="shared" si="1416"/>
        <v>0.41451357404271588</v>
      </c>
      <c r="P2276" s="14"/>
      <c r="Q2276" s="104"/>
      <c r="R2276" s="104"/>
      <c r="S2276" s="104"/>
      <c r="T2276" s="104"/>
      <c r="U2276" s="104"/>
      <c r="V2276" s="104"/>
      <c r="W2276" s="104"/>
      <c r="X2276" s="104"/>
      <c r="Y2276" s="104"/>
      <c r="Z2276" s="104"/>
      <c r="AA2276" s="104"/>
    </row>
    <row r="2277" spans="1:27" s="67" customFormat="1" ht="15" customHeight="1">
      <c r="A2277" s="433" t="s">
        <v>6</v>
      </c>
      <c r="B2277" s="109" t="s">
        <v>7</v>
      </c>
      <c r="C2277" s="68">
        <v>5006</v>
      </c>
      <c r="D2277" s="68">
        <v>3200</v>
      </c>
      <c r="E2277" s="68">
        <v>3200</v>
      </c>
      <c r="F2277" s="68">
        <v>9503</v>
      </c>
      <c r="G2277" s="68">
        <v>3200</v>
      </c>
      <c r="H2277" s="68">
        <v>4800</v>
      </c>
      <c r="I2277" s="68">
        <v>4000</v>
      </c>
      <c r="J2277" s="68">
        <v>9503</v>
      </c>
      <c r="K2277" s="68">
        <v>2400</v>
      </c>
      <c r="L2277" s="68">
        <v>1600</v>
      </c>
      <c r="M2277" s="68">
        <f>4643-2210</f>
        <v>2433</v>
      </c>
      <c r="N2277" s="80">
        <v>396</v>
      </c>
      <c r="P2277" s="14"/>
      <c r="Q2277" s="104"/>
      <c r="R2277" s="104"/>
      <c r="S2277" s="104"/>
      <c r="T2277" s="104"/>
      <c r="U2277" s="104"/>
      <c r="V2277" s="104"/>
      <c r="W2277" s="104"/>
      <c r="X2277" s="104"/>
      <c r="Y2277" s="104"/>
      <c r="Z2277" s="104"/>
      <c r="AA2277" s="104"/>
    </row>
    <row r="2278" spans="1:27" s="67" customFormat="1">
      <c r="A2278" s="434"/>
      <c r="B2278" s="110" t="s">
        <v>11</v>
      </c>
      <c r="C2278" s="73">
        <f t="shared" ref="C2278:N2278" si="1417">C2277*33.79</f>
        <v>169152.74</v>
      </c>
      <c r="D2278" s="73">
        <f t="shared" si="1417"/>
        <v>108128</v>
      </c>
      <c r="E2278" s="73">
        <f t="shared" si="1417"/>
        <v>108128</v>
      </c>
      <c r="F2278" s="73">
        <f t="shared" si="1417"/>
        <v>321106.37</v>
      </c>
      <c r="G2278" s="73">
        <f t="shared" si="1417"/>
        <v>108128</v>
      </c>
      <c r="H2278" s="73">
        <f t="shared" si="1417"/>
        <v>162192</v>
      </c>
      <c r="I2278" s="73">
        <f t="shared" si="1417"/>
        <v>135160</v>
      </c>
      <c r="J2278" s="73">
        <f t="shared" si="1417"/>
        <v>321106.37</v>
      </c>
      <c r="K2278" s="73">
        <f t="shared" si="1417"/>
        <v>81096</v>
      </c>
      <c r="L2278" s="73">
        <f t="shared" si="1417"/>
        <v>54064</v>
      </c>
      <c r="M2278" s="73">
        <f t="shared" si="1417"/>
        <v>82211.069999999992</v>
      </c>
      <c r="N2278" s="84">
        <f t="shared" si="1417"/>
        <v>13380.84</v>
      </c>
      <c r="P2278" s="14"/>
      <c r="Q2278" s="104"/>
      <c r="R2278" s="104"/>
      <c r="S2278" s="104"/>
      <c r="T2278" s="104"/>
      <c r="U2278" s="104"/>
      <c r="V2278" s="104"/>
      <c r="W2278" s="104"/>
      <c r="X2278" s="104"/>
      <c r="Y2278" s="104"/>
      <c r="Z2278" s="104"/>
      <c r="AA2278" s="104"/>
    </row>
    <row r="2279" spans="1:27" s="67" customFormat="1">
      <c r="A2279" s="434"/>
      <c r="B2279" s="110" t="s">
        <v>79</v>
      </c>
      <c r="C2279" s="73">
        <v>164000</v>
      </c>
      <c r="D2279" s="73">
        <v>109880</v>
      </c>
      <c r="E2279" s="73">
        <v>109880</v>
      </c>
      <c r="F2279" s="73">
        <v>328000</v>
      </c>
      <c r="G2279" s="73">
        <f>G2274*2</f>
        <v>242663.6</v>
      </c>
      <c r="H2279" s="73">
        <f>H2274*2</f>
        <v>220143.8</v>
      </c>
      <c r="I2279" s="73">
        <f>I2274*2</f>
        <v>242663.6</v>
      </c>
      <c r="J2279" s="73">
        <v>328000</v>
      </c>
      <c r="K2279" s="73">
        <f>K2274*2</f>
        <v>109842</v>
      </c>
      <c r="L2279" s="73">
        <v>328000</v>
      </c>
      <c r="M2279" s="73">
        <f>2*M2274</f>
        <v>352965.4</v>
      </c>
      <c r="N2279" s="84">
        <f>2*N2274</f>
        <v>109842</v>
      </c>
      <c r="P2279" s="14"/>
      <c r="Q2279" s="104"/>
      <c r="R2279" s="104"/>
      <c r="S2279" s="104"/>
      <c r="T2279" s="104"/>
      <c r="U2279" s="104"/>
      <c r="V2279" s="104"/>
      <c r="W2279" s="104"/>
      <c r="X2279" s="104"/>
      <c r="Y2279" s="104"/>
      <c r="Z2279" s="104"/>
      <c r="AA2279" s="104"/>
    </row>
    <row r="2280" spans="1:27" s="67" customFormat="1">
      <c r="A2280" s="434"/>
      <c r="B2280" s="110" t="s">
        <v>8</v>
      </c>
      <c r="C2280" s="74">
        <f>SUM(C2277-624)</f>
        <v>4382</v>
      </c>
      <c r="D2280" s="74">
        <f>SUM(D2277-729)</f>
        <v>2471</v>
      </c>
      <c r="E2280" s="74">
        <f>SUM(E2277-706)</f>
        <v>2494</v>
      </c>
      <c r="F2280" s="74">
        <f>SUM(F2277-1242)</f>
        <v>8261</v>
      </c>
      <c r="G2280" s="74">
        <f>SUM(G2277-3164)</f>
        <v>36</v>
      </c>
      <c r="H2280" s="74">
        <f>SUM(H2277-3287)</f>
        <v>1513</v>
      </c>
      <c r="I2280" s="74">
        <f>SUM(I2277-2932)</f>
        <v>1068</v>
      </c>
      <c r="J2280" s="74">
        <f>SUM(J2277-1617)</f>
        <v>7886</v>
      </c>
      <c r="K2280" s="74">
        <f>SUM(K2277-933)</f>
        <v>1467</v>
      </c>
      <c r="L2280" s="74">
        <f>SUM(L2277-1534)</f>
        <v>66</v>
      </c>
      <c r="M2280" s="74">
        <f>SUM(M2277-(3452-2210))</f>
        <v>1191</v>
      </c>
      <c r="N2280" s="85">
        <f>SUM(N2277-49)</f>
        <v>347</v>
      </c>
      <c r="P2280" s="14"/>
      <c r="Q2280" s="105"/>
      <c r="R2280" s="104"/>
      <c r="S2280" s="104"/>
      <c r="T2280" s="104"/>
      <c r="U2280" s="104"/>
      <c r="V2280" s="104"/>
      <c r="W2280" s="104"/>
      <c r="X2280" s="104"/>
    </row>
    <row r="2281" spans="1:27" s="67" customFormat="1">
      <c r="A2281" s="434"/>
      <c r="B2281" s="111" t="s">
        <v>77</v>
      </c>
      <c r="C2281" s="75">
        <f>C2280*33.79</f>
        <v>148067.78</v>
      </c>
      <c r="D2281" s="75">
        <f>D2280*33.79</f>
        <v>83495.09</v>
      </c>
      <c r="E2281" s="75">
        <f>E2280*33.79</f>
        <v>84272.26</v>
      </c>
      <c r="F2281" s="75">
        <f>F2280*33.79</f>
        <v>279139.19</v>
      </c>
      <c r="G2281" s="75">
        <f>G2280*33.79*2</f>
        <v>2432.88</v>
      </c>
      <c r="H2281" s="75">
        <f>H2280*33.79</f>
        <v>51124.27</v>
      </c>
      <c r="I2281" s="75">
        <f>I2280*33.79</f>
        <v>36087.72</v>
      </c>
      <c r="J2281" s="75">
        <f>J2280*33.79</f>
        <v>266467.94</v>
      </c>
      <c r="K2281" s="75">
        <f>K2280*33.79</f>
        <v>49569.93</v>
      </c>
      <c r="L2281" s="75">
        <f>L2280*33.79</f>
        <v>2230.14</v>
      </c>
      <c r="M2281" s="75">
        <f>M2280*33.79*2</f>
        <v>80487.78</v>
      </c>
      <c r="N2281" s="86">
        <f>N2280*33.79</f>
        <v>11725.13</v>
      </c>
      <c r="P2281" s="14"/>
      <c r="Q2281" s="105"/>
      <c r="R2281" s="104"/>
      <c r="S2281" s="104"/>
      <c r="T2281" s="104"/>
      <c r="U2281" s="104"/>
      <c r="V2281" s="104"/>
      <c r="W2281" s="104"/>
      <c r="X2281" s="104"/>
    </row>
    <row r="2282" spans="1:27" s="67" customFormat="1" ht="15.75" thickBot="1">
      <c r="A2282" s="434"/>
      <c r="B2282" s="112" t="s">
        <v>10</v>
      </c>
      <c r="C2282" s="71">
        <f>C2280*33.7/C2274</f>
        <v>1.2750602675950296</v>
      </c>
      <c r="D2282" s="71">
        <f t="shared" ref="D2282:N2282" si="1418">D2280*33.7/D2274</f>
        <v>1.0413161649495366</v>
      </c>
      <c r="E2282" s="78">
        <f t="shared" si="1418"/>
        <v>1.0510087071566752</v>
      </c>
      <c r="F2282" s="78">
        <f t="shared" si="1418"/>
        <v>1.80281940961933</v>
      </c>
      <c r="G2282" s="78">
        <f t="shared" si="1418"/>
        <v>9.9990274602371355E-3</v>
      </c>
      <c r="H2282" s="78">
        <f t="shared" si="1418"/>
        <v>0.46322540085162522</v>
      </c>
      <c r="I2282" s="78">
        <f t="shared" si="1418"/>
        <v>0.2966378146537017</v>
      </c>
      <c r="J2282" s="78">
        <f t="shared" si="1418"/>
        <v>1.5544360451921886</v>
      </c>
      <c r="K2282" s="78">
        <f t="shared" si="1418"/>
        <v>0.90016387174304913</v>
      </c>
      <c r="L2282" s="78">
        <f t="shared" si="1418"/>
        <v>3.6663100687536164E-2</v>
      </c>
      <c r="M2282" s="79">
        <f t="shared" si="1418"/>
        <v>0.2274256910167399</v>
      </c>
      <c r="N2282" s="87">
        <f t="shared" si="1418"/>
        <v>0.21292219733799461</v>
      </c>
      <c r="P2282" s="14"/>
      <c r="Q2282" s="105"/>
      <c r="R2282" s="104"/>
      <c r="S2282" s="104"/>
      <c r="T2282" s="104"/>
      <c r="U2282" s="104"/>
      <c r="V2282" s="104"/>
      <c r="W2282" s="104"/>
      <c r="X2282" s="104"/>
    </row>
    <row r="2283" spans="1:27" s="67" customFormat="1" ht="15.75" customHeight="1" thickBot="1">
      <c r="A2283" s="435" t="s">
        <v>83</v>
      </c>
      <c r="B2283" s="436"/>
      <c r="C2283" s="76">
        <f>MIN(2*C2274,C2279)-C2281</f>
        <v>15932.220000000001</v>
      </c>
      <c r="D2283" s="76">
        <f t="shared" ref="D2283:N2283" si="1419">MIN(2*D2274,D2279)-D2281</f>
        <v>26384.910000000003</v>
      </c>
      <c r="E2283" s="76">
        <f t="shared" si="1419"/>
        <v>25607.740000000005</v>
      </c>
      <c r="F2283" s="76">
        <f t="shared" si="1419"/>
        <v>29705.609999999986</v>
      </c>
      <c r="G2283" s="76">
        <f t="shared" si="1419"/>
        <v>240230.72</v>
      </c>
      <c r="H2283" s="76">
        <f t="shared" si="1419"/>
        <v>169019.53</v>
      </c>
      <c r="I2283" s="76">
        <f t="shared" si="1419"/>
        <v>206575.88</v>
      </c>
      <c r="J2283" s="76">
        <f t="shared" si="1419"/>
        <v>61532.06</v>
      </c>
      <c r="K2283" s="76">
        <f t="shared" si="1419"/>
        <v>60272.07</v>
      </c>
      <c r="L2283" s="76">
        <f t="shared" si="1419"/>
        <v>119101.66</v>
      </c>
      <c r="M2283" s="76">
        <f t="shared" si="1419"/>
        <v>272477.62</v>
      </c>
      <c r="N2283" s="88">
        <f t="shared" si="1419"/>
        <v>98116.87</v>
      </c>
      <c r="P2283" s="14"/>
      <c r="Q2283" s="105"/>
      <c r="R2283" s="104"/>
      <c r="S2283" s="104"/>
      <c r="T2283" s="104"/>
      <c r="U2283" s="104"/>
      <c r="V2283" s="104"/>
      <c r="W2283" s="104"/>
      <c r="X2283" s="104"/>
    </row>
    <row r="2284" spans="1:27" ht="15.75" thickBot="1">
      <c r="A2284" s="368">
        <v>40911</v>
      </c>
      <c r="B2284" s="368"/>
      <c r="C2284" s="368"/>
      <c r="N2284" s="15"/>
    </row>
    <row r="2285" spans="1:27">
      <c r="A2285" s="407" t="s">
        <v>1</v>
      </c>
      <c r="B2285" s="420"/>
      <c r="C2285" s="68" t="s">
        <v>12</v>
      </c>
      <c r="D2285" s="68" t="s">
        <v>12</v>
      </c>
      <c r="E2285" s="68" t="s">
        <v>13</v>
      </c>
      <c r="F2285" s="68" t="s">
        <v>13</v>
      </c>
      <c r="G2285" s="68" t="s">
        <v>13</v>
      </c>
      <c r="H2285" s="68" t="s">
        <v>13</v>
      </c>
      <c r="I2285" s="68" t="s">
        <v>13</v>
      </c>
      <c r="J2285" s="68" t="s">
        <v>2</v>
      </c>
      <c r="K2285" s="68" t="s">
        <v>2</v>
      </c>
      <c r="L2285" s="68" t="s">
        <v>2</v>
      </c>
      <c r="M2285" s="68" t="s">
        <v>2</v>
      </c>
      <c r="N2285" s="4" t="s">
        <v>84</v>
      </c>
      <c r="Y2285" s="104"/>
      <c r="Z2285" s="104"/>
      <c r="AA2285" s="92"/>
    </row>
    <row r="2286" spans="1:27" ht="15.75" thickBot="1">
      <c r="A2286" s="409" t="s">
        <v>0</v>
      </c>
      <c r="B2286" s="414"/>
      <c r="C2286" s="69" t="s">
        <v>102</v>
      </c>
      <c r="D2286" s="69" t="s">
        <v>103</v>
      </c>
      <c r="E2286" s="69" t="s">
        <v>104</v>
      </c>
      <c r="F2286" s="69" t="s">
        <v>105</v>
      </c>
      <c r="G2286" s="69" t="s">
        <v>100</v>
      </c>
      <c r="H2286" s="69" t="s">
        <v>107</v>
      </c>
      <c r="I2286" s="69" t="s">
        <v>106</v>
      </c>
      <c r="J2286" s="69" t="s">
        <v>108</v>
      </c>
      <c r="K2286" s="69" t="s">
        <v>110</v>
      </c>
      <c r="L2286" s="69" t="s">
        <v>101</v>
      </c>
      <c r="M2286" s="69" t="s">
        <v>109</v>
      </c>
      <c r="N2286" s="36" t="s">
        <v>111</v>
      </c>
      <c r="P2286" s="172"/>
      <c r="Q2286" s="105"/>
      <c r="R2286" s="105"/>
      <c r="S2286" s="105"/>
      <c r="T2286" s="105"/>
      <c r="U2286" s="105"/>
      <c r="V2286" s="105"/>
      <c r="W2286" s="105"/>
      <c r="X2286" s="105"/>
      <c r="Y2286" s="105"/>
      <c r="Z2286" s="105"/>
      <c r="AA2286" s="38"/>
    </row>
    <row r="2287" spans="1:27" ht="15" customHeight="1">
      <c r="A2287" s="421" t="s">
        <v>9</v>
      </c>
      <c r="B2287" s="2" t="s">
        <v>4</v>
      </c>
      <c r="C2287" s="23">
        <v>115816.8</v>
      </c>
      <c r="D2287" s="23">
        <v>79968.7</v>
      </c>
      <c r="E2287" s="23">
        <v>79968.7</v>
      </c>
      <c r="F2287" s="23">
        <v>154422.39999999999</v>
      </c>
      <c r="G2287" s="23">
        <v>121331.8</v>
      </c>
      <c r="H2287" s="23">
        <v>110071.9</v>
      </c>
      <c r="I2287" s="23">
        <v>121331.8</v>
      </c>
      <c r="J2287" s="23">
        <v>170967.6</v>
      </c>
      <c r="K2287" s="23">
        <v>54921</v>
      </c>
      <c r="L2287" s="23">
        <v>60665.9</v>
      </c>
      <c r="M2287" s="23">
        <v>176482.7</v>
      </c>
      <c r="N2287" s="24">
        <v>54921</v>
      </c>
      <c r="Y2287" s="104"/>
      <c r="Z2287" s="104"/>
      <c r="AA2287" s="92"/>
    </row>
    <row r="2288" spans="1:27" s="64" customFormat="1">
      <c r="A2288" s="422"/>
      <c r="B2288" s="63" t="s">
        <v>5</v>
      </c>
      <c r="C2288" s="70">
        <v>88917.4</v>
      </c>
      <c r="D2288" s="70">
        <v>64925</v>
      </c>
      <c r="E2288" s="70">
        <v>66303</v>
      </c>
      <c r="F2288" s="70">
        <v>122282.4</v>
      </c>
      <c r="G2288" s="70">
        <v>68.8</v>
      </c>
      <c r="H2288" s="70">
        <v>12700.4</v>
      </c>
      <c r="I2288" s="70">
        <v>19220.099999999999</v>
      </c>
      <c r="J2288" s="70">
        <v>108859.9</v>
      </c>
      <c r="K2288" s="70">
        <v>25188.5</v>
      </c>
      <c r="L2288" s="70">
        <v>49.7</v>
      </c>
      <c r="M2288" s="70">
        <v>76547.199999999997</v>
      </c>
      <c r="N2288" s="82">
        <v>22765.4</v>
      </c>
      <c r="P2288" s="14"/>
      <c r="Q2288" s="104"/>
      <c r="R2288" s="104"/>
      <c r="S2288" s="104"/>
      <c r="T2288" s="104"/>
      <c r="U2288" s="104"/>
      <c r="V2288" s="104"/>
      <c r="W2288" s="104"/>
      <c r="X2288" s="104"/>
      <c r="Y2288" s="104"/>
      <c r="Z2288" s="104"/>
      <c r="AA2288" s="65"/>
    </row>
    <row r="2289" spans="1:27" ht="15.75" thickBot="1">
      <c r="A2289" s="423"/>
      <c r="B2289" s="3" t="s">
        <v>3</v>
      </c>
      <c r="C2289" s="71">
        <f>C2288/C2287</f>
        <v>0.76774181293214794</v>
      </c>
      <c r="D2289" s="72">
        <f t="shared" ref="D2289:N2289" si="1420">D2288/D2287</f>
        <v>0.81188014810794729</v>
      </c>
      <c r="E2289" s="72">
        <f t="shared" si="1420"/>
        <v>0.82911189002697305</v>
      </c>
      <c r="F2289" s="72">
        <f t="shared" si="1420"/>
        <v>0.7918695733261496</v>
      </c>
      <c r="G2289" s="72">
        <f t="shared" si="1420"/>
        <v>5.670401329247567E-4</v>
      </c>
      <c r="H2289" s="72">
        <f t="shared" si="1420"/>
        <v>0.11538276344825518</v>
      </c>
      <c r="I2289" s="72">
        <f t="shared" si="1420"/>
        <v>0.15840941945969644</v>
      </c>
      <c r="J2289" s="72">
        <f t="shared" si="1420"/>
        <v>0.63672824558571328</v>
      </c>
      <c r="K2289" s="72">
        <f t="shared" si="1420"/>
        <v>0.45863148886582544</v>
      </c>
      <c r="L2289" s="72">
        <f t="shared" si="1420"/>
        <v>8.1924112227791898E-4</v>
      </c>
      <c r="M2289" s="72">
        <f t="shared" si="1420"/>
        <v>0.43373769780267407</v>
      </c>
      <c r="N2289" s="83">
        <f t="shared" si="1420"/>
        <v>0.41451175324557094</v>
      </c>
      <c r="Y2289" s="104"/>
      <c r="Z2289" s="104"/>
      <c r="AA2289" s="92"/>
    </row>
    <row r="2290" spans="1:27" ht="15" customHeight="1">
      <c r="A2290" s="411" t="s">
        <v>6</v>
      </c>
      <c r="B2290" s="27" t="s">
        <v>7</v>
      </c>
      <c r="C2290" s="68">
        <v>5006</v>
      </c>
      <c r="D2290" s="68">
        <v>3200</v>
      </c>
      <c r="E2290" s="68">
        <v>3200</v>
      </c>
      <c r="F2290" s="68">
        <v>9503</v>
      </c>
      <c r="G2290" s="68">
        <v>3200</v>
      </c>
      <c r="H2290" s="68">
        <v>4800</v>
      </c>
      <c r="I2290" s="68">
        <v>4000</v>
      </c>
      <c r="J2290" s="68">
        <v>9503</v>
      </c>
      <c r="K2290" s="68">
        <v>2400</v>
      </c>
      <c r="L2290" s="68">
        <v>1600</v>
      </c>
      <c r="M2290" s="68">
        <f>4643-2210</f>
        <v>2433</v>
      </c>
      <c r="N2290" s="80">
        <v>396</v>
      </c>
      <c r="Y2290" s="104"/>
      <c r="Z2290" s="104"/>
      <c r="AA2290" s="92"/>
    </row>
    <row r="2291" spans="1:27">
      <c r="A2291" s="412"/>
      <c r="B2291" s="28" t="s">
        <v>11</v>
      </c>
      <c r="C2291" s="73">
        <f t="shared" ref="C2291:N2291" si="1421">C2290*33.79</f>
        <v>169152.74</v>
      </c>
      <c r="D2291" s="73">
        <f t="shared" si="1421"/>
        <v>108128</v>
      </c>
      <c r="E2291" s="73">
        <f t="shared" si="1421"/>
        <v>108128</v>
      </c>
      <c r="F2291" s="73">
        <f t="shared" si="1421"/>
        <v>321106.37</v>
      </c>
      <c r="G2291" s="73">
        <f t="shared" si="1421"/>
        <v>108128</v>
      </c>
      <c r="H2291" s="73">
        <f t="shared" si="1421"/>
        <v>162192</v>
      </c>
      <c r="I2291" s="73">
        <f t="shared" si="1421"/>
        <v>135160</v>
      </c>
      <c r="J2291" s="73">
        <f t="shared" si="1421"/>
        <v>321106.37</v>
      </c>
      <c r="K2291" s="73">
        <f t="shared" si="1421"/>
        <v>81096</v>
      </c>
      <c r="L2291" s="73">
        <f t="shared" si="1421"/>
        <v>54064</v>
      </c>
      <c r="M2291" s="73">
        <f t="shared" si="1421"/>
        <v>82211.069999999992</v>
      </c>
      <c r="N2291" s="84">
        <f t="shared" si="1421"/>
        <v>13380.84</v>
      </c>
      <c r="Y2291" s="104"/>
      <c r="Z2291" s="104"/>
      <c r="AA2291" s="92"/>
    </row>
    <row r="2292" spans="1:27">
      <c r="A2292" s="412"/>
      <c r="B2292" s="28" t="s">
        <v>79</v>
      </c>
      <c r="C2292" s="73">
        <v>164000</v>
      </c>
      <c r="D2292" s="73">
        <v>109880</v>
      </c>
      <c r="E2292" s="73">
        <v>109880</v>
      </c>
      <c r="F2292" s="73">
        <v>328000</v>
      </c>
      <c r="G2292" s="73">
        <f>G2287*2</f>
        <v>242663.6</v>
      </c>
      <c r="H2292" s="73">
        <f>H2287*2</f>
        <v>220143.8</v>
      </c>
      <c r="I2292" s="73">
        <f>I2287*2</f>
        <v>242663.6</v>
      </c>
      <c r="J2292" s="73">
        <v>328000</v>
      </c>
      <c r="K2292" s="73">
        <f>K2287*2</f>
        <v>109842</v>
      </c>
      <c r="L2292" s="73">
        <v>328000</v>
      </c>
      <c r="M2292" s="73">
        <f>2*M2287</f>
        <v>352965.4</v>
      </c>
      <c r="N2292" s="84">
        <f>2*N2287</f>
        <v>109842</v>
      </c>
      <c r="Y2292" s="104"/>
      <c r="Z2292" s="104"/>
      <c r="AA2292" s="92"/>
    </row>
    <row r="2293" spans="1:27" s="64" customFormat="1">
      <c r="A2293" s="412"/>
      <c r="B2293" s="66" t="s">
        <v>8</v>
      </c>
      <c r="C2293" s="74">
        <f>SUM(C2290-624)</f>
        <v>4382</v>
      </c>
      <c r="D2293" s="74">
        <f>SUM(D2290-729)</f>
        <v>2471</v>
      </c>
      <c r="E2293" s="74">
        <f>SUM(E2290-706)</f>
        <v>2494</v>
      </c>
      <c r="F2293" s="74">
        <f>SUM(F2290-1242)</f>
        <v>8261</v>
      </c>
      <c r="G2293" s="74">
        <f>SUM(G2290-3164)</f>
        <v>36</v>
      </c>
      <c r="H2293" s="74">
        <f>SUM(H2290-3287)</f>
        <v>1513</v>
      </c>
      <c r="I2293" s="74">
        <f>SUM(I2290-2932)</f>
        <v>1068</v>
      </c>
      <c r="J2293" s="74">
        <f>SUM(J2290-1617)</f>
        <v>7886</v>
      </c>
      <c r="K2293" s="74">
        <f>SUM(K2290-933)</f>
        <v>1467</v>
      </c>
      <c r="L2293" s="74">
        <f>SUM(L2290-1534)</f>
        <v>66</v>
      </c>
      <c r="M2293" s="74">
        <f>SUM(M2290-(3452-2210))</f>
        <v>1191</v>
      </c>
      <c r="N2293" s="85">
        <f>SUM(N2290-49)</f>
        <v>347</v>
      </c>
      <c r="P2293" s="14"/>
      <c r="Q2293" s="105"/>
      <c r="R2293" s="104"/>
      <c r="S2293" s="104"/>
      <c r="T2293" s="104"/>
      <c r="U2293" s="104"/>
      <c r="V2293" s="104"/>
      <c r="W2293" s="104"/>
      <c r="X2293" s="104"/>
      <c r="Y2293" s="67"/>
      <c r="Z2293" s="67"/>
    </row>
    <row r="2294" spans="1:27">
      <c r="A2294" s="412"/>
      <c r="B2294" s="29" t="s">
        <v>77</v>
      </c>
      <c r="C2294" s="75">
        <f>C2293*33.79</f>
        <v>148067.78</v>
      </c>
      <c r="D2294" s="75">
        <f>D2293*33.79</f>
        <v>83495.09</v>
      </c>
      <c r="E2294" s="75">
        <f>E2293*33.79</f>
        <v>84272.26</v>
      </c>
      <c r="F2294" s="75">
        <f>F2293*33.79</f>
        <v>279139.19</v>
      </c>
      <c r="G2294" s="75">
        <f>G2293*33.79*2</f>
        <v>2432.88</v>
      </c>
      <c r="H2294" s="75">
        <f>H2293*33.79</f>
        <v>51124.27</v>
      </c>
      <c r="I2294" s="75">
        <f>I2293*33.79</f>
        <v>36087.72</v>
      </c>
      <c r="J2294" s="75">
        <f>J2293*33.79</f>
        <v>266467.94</v>
      </c>
      <c r="K2294" s="75">
        <f>K2293*33.79</f>
        <v>49569.93</v>
      </c>
      <c r="L2294" s="75">
        <f>L2293*33.79</f>
        <v>2230.14</v>
      </c>
      <c r="M2294" s="75">
        <f>M2293*33.79*2</f>
        <v>80487.78</v>
      </c>
      <c r="N2294" s="11">
        <f>N2293*33.79</f>
        <v>11725.13</v>
      </c>
      <c r="Q2294" s="105"/>
    </row>
    <row r="2295" spans="1:27" ht="15.75" thickBot="1">
      <c r="A2295" s="412"/>
      <c r="B2295" s="30" t="s">
        <v>10</v>
      </c>
      <c r="C2295" s="71">
        <f>C2293*33.7/C2287</f>
        <v>1.2750602675950296</v>
      </c>
      <c r="D2295" s="71">
        <f t="shared" ref="D2295:N2295" si="1422">D2293*33.7/D2287</f>
        <v>1.0413161649495366</v>
      </c>
      <c r="E2295" s="78">
        <f t="shared" si="1422"/>
        <v>1.0510087071566752</v>
      </c>
      <c r="F2295" s="78">
        <f t="shared" si="1422"/>
        <v>1.80281940961933</v>
      </c>
      <c r="G2295" s="78">
        <f t="shared" si="1422"/>
        <v>9.9990274602371355E-3</v>
      </c>
      <c r="H2295" s="78">
        <f t="shared" si="1422"/>
        <v>0.46322540085162522</v>
      </c>
      <c r="I2295" s="78">
        <f t="shared" si="1422"/>
        <v>0.2966378146537017</v>
      </c>
      <c r="J2295" s="78">
        <f t="shared" si="1422"/>
        <v>1.5544360451921886</v>
      </c>
      <c r="K2295" s="78">
        <f t="shared" si="1422"/>
        <v>0.90016387174304913</v>
      </c>
      <c r="L2295" s="78">
        <f t="shared" si="1422"/>
        <v>3.6663100687536164E-2</v>
      </c>
      <c r="M2295" s="79">
        <f t="shared" si="1422"/>
        <v>0.2274256910167399</v>
      </c>
      <c r="N2295" s="26">
        <f t="shared" si="1422"/>
        <v>0.21292219733799461</v>
      </c>
      <c r="Q2295" s="105"/>
    </row>
    <row r="2296" spans="1:27" ht="15.75" customHeight="1" thickBot="1">
      <c r="A2296" s="424" t="s">
        <v>83</v>
      </c>
      <c r="B2296" s="425"/>
      <c r="C2296" s="76">
        <f>MIN(2*C2287,C2292)-C2294</f>
        <v>15932.220000000001</v>
      </c>
      <c r="D2296" s="76">
        <f t="shared" ref="D2296:N2296" si="1423">MIN(2*D2287,D2292)-D2294</f>
        <v>26384.910000000003</v>
      </c>
      <c r="E2296" s="76">
        <f t="shared" si="1423"/>
        <v>25607.740000000005</v>
      </c>
      <c r="F2296" s="76">
        <f t="shared" si="1423"/>
        <v>29705.609999999986</v>
      </c>
      <c r="G2296" s="76">
        <f t="shared" si="1423"/>
        <v>240230.72</v>
      </c>
      <c r="H2296" s="76">
        <f t="shared" si="1423"/>
        <v>169019.53</v>
      </c>
      <c r="I2296" s="76">
        <f t="shared" si="1423"/>
        <v>206575.88</v>
      </c>
      <c r="J2296" s="76">
        <f t="shared" si="1423"/>
        <v>61532.06</v>
      </c>
      <c r="K2296" s="76">
        <f t="shared" si="1423"/>
        <v>60272.07</v>
      </c>
      <c r="L2296" s="76">
        <f t="shared" si="1423"/>
        <v>119101.66</v>
      </c>
      <c r="M2296" s="76">
        <f t="shared" si="1423"/>
        <v>272477.62</v>
      </c>
      <c r="N2296" s="22">
        <f t="shared" si="1423"/>
        <v>98116.87</v>
      </c>
      <c r="Q2296" s="105"/>
    </row>
    <row r="2297" spans="1:27" ht="15.75" thickBot="1">
      <c r="A2297" s="368">
        <v>40909</v>
      </c>
      <c r="B2297" s="368"/>
      <c r="C2297" s="368"/>
      <c r="N2297" s="15"/>
    </row>
    <row r="2298" spans="1:27">
      <c r="A2298" s="407" t="s">
        <v>1</v>
      </c>
      <c r="B2298" s="420"/>
      <c r="C2298" s="68" t="s">
        <v>12</v>
      </c>
      <c r="D2298" s="68" t="s">
        <v>12</v>
      </c>
      <c r="E2298" s="68" t="s">
        <v>13</v>
      </c>
      <c r="F2298" s="68" t="s">
        <v>13</v>
      </c>
      <c r="G2298" s="68" t="s">
        <v>13</v>
      </c>
      <c r="H2298" s="68" t="s">
        <v>13</v>
      </c>
      <c r="I2298" s="68" t="s">
        <v>13</v>
      </c>
      <c r="J2298" s="68" t="s">
        <v>2</v>
      </c>
      <c r="K2298" s="68" t="s">
        <v>2</v>
      </c>
      <c r="L2298" s="68" t="s">
        <v>2</v>
      </c>
      <c r="M2298" s="68" t="s">
        <v>2</v>
      </c>
      <c r="N2298" s="4" t="s">
        <v>84</v>
      </c>
      <c r="Y2298" s="104"/>
      <c r="Z2298" s="104"/>
      <c r="AA2298" s="91"/>
    </row>
    <row r="2299" spans="1:27" ht="15.75" thickBot="1">
      <c r="A2299" s="409" t="s">
        <v>0</v>
      </c>
      <c r="B2299" s="414"/>
      <c r="C2299" s="69" t="s">
        <v>102</v>
      </c>
      <c r="D2299" s="69" t="s">
        <v>103</v>
      </c>
      <c r="E2299" s="69" t="s">
        <v>104</v>
      </c>
      <c r="F2299" s="69" t="s">
        <v>105</v>
      </c>
      <c r="G2299" s="69" t="s">
        <v>100</v>
      </c>
      <c r="H2299" s="69" t="s">
        <v>107</v>
      </c>
      <c r="I2299" s="69" t="s">
        <v>106</v>
      </c>
      <c r="J2299" s="69" t="s">
        <v>108</v>
      </c>
      <c r="K2299" s="69" t="s">
        <v>110</v>
      </c>
      <c r="L2299" s="69" t="s">
        <v>101</v>
      </c>
      <c r="M2299" s="69" t="s">
        <v>109</v>
      </c>
      <c r="N2299" s="36" t="s">
        <v>111</v>
      </c>
      <c r="P2299" s="172"/>
      <c r="Q2299" s="105"/>
      <c r="R2299" s="105"/>
      <c r="S2299" s="105"/>
      <c r="T2299" s="105"/>
      <c r="U2299" s="105"/>
      <c r="V2299" s="105"/>
      <c r="W2299" s="105"/>
      <c r="X2299" s="105"/>
      <c r="Y2299" s="105"/>
      <c r="Z2299" s="105"/>
      <c r="AA2299" s="38"/>
    </row>
    <row r="2300" spans="1:27" ht="15" customHeight="1">
      <c r="A2300" s="421" t="s">
        <v>9</v>
      </c>
      <c r="B2300" s="2" t="s">
        <v>4</v>
      </c>
      <c r="C2300" s="23">
        <v>115816.8</v>
      </c>
      <c r="D2300" s="23">
        <v>79968.7</v>
      </c>
      <c r="E2300" s="23">
        <v>79968.7</v>
      </c>
      <c r="F2300" s="23">
        <v>154422.39999999999</v>
      </c>
      <c r="G2300" s="23">
        <v>121331.8</v>
      </c>
      <c r="H2300" s="23">
        <v>110071.9</v>
      </c>
      <c r="I2300" s="23">
        <v>121331.8</v>
      </c>
      <c r="J2300" s="23">
        <v>170967.6</v>
      </c>
      <c r="K2300" s="23">
        <v>54921</v>
      </c>
      <c r="L2300" s="23">
        <v>60665.9</v>
      </c>
      <c r="M2300" s="23">
        <v>176482.7</v>
      </c>
      <c r="N2300" s="24">
        <v>54921</v>
      </c>
      <c r="Y2300" s="104"/>
      <c r="Z2300" s="104"/>
      <c r="AA2300" s="91"/>
    </row>
    <row r="2301" spans="1:27" s="64" customFormat="1">
      <c r="A2301" s="422"/>
      <c r="B2301" s="63" t="s">
        <v>5</v>
      </c>
      <c r="C2301" s="70">
        <v>88917.4</v>
      </c>
      <c r="D2301" s="70">
        <v>64925</v>
      </c>
      <c r="E2301" s="70">
        <v>66299.600000000006</v>
      </c>
      <c r="F2301" s="70">
        <v>122135.2</v>
      </c>
      <c r="G2301" s="70">
        <v>66.8</v>
      </c>
      <c r="H2301" s="70">
        <v>12677.4</v>
      </c>
      <c r="I2301" s="70">
        <v>19218.8</v>
      </c>
      <c r="J2301" s="70">
        <v>108825.2</v>
      </c>
      <c r="K2301" s="70">
        <v>25188.400000000001</v>
      </c>
      <c r="L2301" s="70">
        <v>48.8</v>
      </c>
      <c r="M2301" s="70">
        <v>76542</v>
      </c>
      <c r="N2301" s="82">
        <v>22764.1</v>
      </c>
      <c r="P2301" s="14"/>
      <c r="Q2301" s="104"/>
      <c r="R2301" s="104"/>
      <c r="S2301" s="104"/>
      <c r="T2301" s="104"/>
      <c r="U2301" s="104"/>
      <c r="V2301" s="104"/>
      <c r="W2301" s="104"/>
      <c r="X2301" s="104"/>
      <c r="Y2301" s="104"/>
      <c r="Z2301" s="104"/>
      <c r="AA2301" s="65"/>
    </row>
    <row r="2302" spans="1:27" ht="15.75" thickBot="1">
      <c r="A2302" s="423"/>
      <c r="B2302" s="3" t="s">
        <v>3</v>
      </c>
      <c r="C2302" s="71">
        <f>C2301/C2300</f>
        <v>0.76774181293214794</v>
      </c>
      <c r="D2302" s="72">
        <f t="shared" ref="D2302:N2302" si="1424">D2301/D2300</f>
        <v>0.81188014810794729</v>
      </c>
      <c r="E2302" s="72">
        <f t="shared" si="1424"/>
        <v>0.82906937339233988</v>
      </c>
      <c r="F2302" s="72">
        <f t="shared" si="1424"/>
        <v>0.79091634374287667</v>
      </c>
      <c r="G2302" s="72">
        <f t="shared" si="1424"/>
        <v>5.5055640813043234E-4</v>
      </c>
      <c r="H2302" s="72">
        <f t="shared" si="1424"/>
        <v>0.11517380911931202</v>
      </c>
      <c r="I2302" s="72">
        <f t="shared" si="1424"/>
        <v>0.15839870503858014</v>
      </c>
      <c r="J2302" s="72">
        <f t="shared" si="1424"/>
        <v>0.63652528315306522</v>
      </c>
      <c r="K2302" s="72">
        <f t="shared" si="1424"/>
        <v>0.4586296680686805</v>
      </c>
      <c r="L2302" s="72">
        <f t="shared" si="1424"/>
        <v>8.0440576996302694E-4</v>
      </c>
      <c r="M2302" s="72">
        <f t="shared" si="1424"/>
        <v>0.43370823315826423</v>
      </c>
      <c r="N2302" s="83">
        <f t="shared" si="1424"/>
        <v>0.41448808288268602</v>
      </c>
      <c r="Y2302" s="104"/>
      <c r="Z2302" s="104"/>
      <c r="AA2302" s="91"/>
    </row>
    <row r="2303" spans="1:27" ht="15" customHeight="1">
      <c r="A2303" s="411" t="s">
        <v>6</v>
      </c>
      <c r="B2303" s="27" t="s">
        <v>7</v>
      </c>
      <c r="C2303" s="68">
        <v>5006</v>
      </c>
      <c r="D2303" s="68">
        <v>3200</v>
      </c>
      <c r="E2303" s="68">
        <v>3200</v>
      </c>
      <c r="F2303" s="68">
        <v>9503</v>
      </c>
      <c r="G2303" s="68">
        <v>3200</v>
      </c>
      <c r="H2303" s="68">
        <v>4800</v>
      </c>
      <c r="I2303" s="68">
        <v>4000</v>
      </c>
      <c r="J2303" s="68">
        <v>9503</v>
      </c>
      <c r="K2303" s="68">
        <v>2400</v>
      </c>
      <c r="L2303" s="68">
        <v>1600</v>
      </c>
      <c r="M2303" s="68">
        <f>4643-2210</f>
        <v>2433</v>
      </c>
      <c r="N2303" s="80">
        <v>396</v>
      </c>
      <c r="Y2303" s="104"/>
      <c r="Z2303" s="104"/>
      <c r="AA2303" s="91"/>
    </row>
    <row r="2304" spans="1:27">
      <c r="A2304" s="412"/>
      <c r="B2304" s="28" t="s">
        <v>11</v>
      </c>
      <c r="C2304" s="73">
        <f t="shared" ref="C2304:N2304" si="1425">C2303*33.79</f>
        <v>169152.74</v>
      </c>
      <c r="D2304" s="73">
        <f t="shared" si="1425"/>
        <v>108128</v>
      </c>
      <c r="E2304" s="73">
        <f t="shared" si="1425"/>
        <v>108128</v>
      </c>
      <c r="F2304" s="73">
        <f t="shared" si="1425"/>
        <v>321106.37</v>
      </c>
      <c r="G2304" s="73">
        <f t="shared" si="1425"/>
        <v>108128</v>
      </c>
      <c r="H2304" s="73">
        <f t="shared" si="1425"/>
        <v>162192</v>
      </c>
      <c r="I2304" s="73">
        <f t="shared" si="1425"/>
        <v>135160</v>
      </c>
      <c r="J2304" s="73">
        <f t="shared" si="1425"/>
        <v>321106.37</v>
      </c>
      <c r="K2304" s="73">
        <f t="shared" si="1425"/>
        <v>81096</v>
      </c>
      <c r="L2304" s="73">
        <f t="shared" si="1425"/>
        <v>54064</v>
      </c>
      <c r="M2304" s="73">
        <f t="shared" si="1425"/>
        <v>82211.069999999992</v>
      </c>
      <c r="N2304" s="84">
        <f t="shared" si="1425"/>
        <v>13380.84</v>
      </c>
      <c r="Y2304" s="104"/>
      <c r="Z2304" s="104"/>
      <c r="AA2304" s="91"/>
    </row>
    <row r="2305" spans="1:27">
      <c r="A2305" s="412"/>
      <c r="B2305" s="28" t="s">
        <v>79</v>
      </c>
      <c r="C2305" s="73">
        <v>164000</v>
      </c>
      <c r="D2305" s="73">
        <v>109880</v>
      </c>
      <c r="E2305" s="73">
        <v>109880</v>
      </c>
      <c r="F2305" s="73">
        <v>328000</v>
      </c>
      <c r="G2305" s="73">
        <f>G2300*2</f>
        <v>242663.6</v>
      </c>
      <c r="H2305" s="73">
        <f>H2300*2</f>
        <v>220143.8</v>
      </c>
      <c r="I2305" s="73">
        <f>I2300*2</f>
        <v>242663.6</v>
      </c>
      <c r="J2305" s="73">
        <v>328000</v>
      </c>
      <c r="K2305" s="73">
        <f>K2300*2</f>
        <v>109842</v>
      </c>
      <c r="L2305" s="73">
        <v>328000</v>
      </c>
      <c r="M2305" s="73">
        <f>2*M2300</f>
        <v>352965.4</v>
      </c>
      <c r="N2305" s="84">
        <f>2*N2300</f>
        <v>109842</v>
      </c>
      <c r="Y2305" s="104"/>
      <c r="Z2305" s="104"/>
      <c r="AA2305" s="91"/>
    </row>
    <row r="2306" spans="1:27" s="64" customFormat="1">
      <c r="A2306" s="412"/>
      <c r="B2306" s="66" t="s">
        <v>8</v>
      </c>
      <c r="C2306" s="74">
        <f>SUM(C2303-624)</f>
        <v>4382</v>
      </c>
      <c r="D2306" s="74">
        <f>SUM(D2303-729)</f>
        <v>2471</v>
      </c>
      <c r="E2306" s="74">
        <f>SUM(E2303-706)</f>
        <v>2494</v>
      </c>
      <c r="F2306" s="74">
        <f>SUM(F2303-1242)</f>
        <v>8261</v>
      </c>
      <c r="G2306" s="74">
        <f>SUM(G2303-3164)</f>
        <v>36</v>
      </c>
      <c r="H2306" s="74">
        <f>SUM(H2303-3287)</f>
        <v>1513</v>
      </c>
      <c r="I2306" s="74">
        <f>SUM(I2303-2932)</f>
        <v>1068</v>
      </c>
      <c r="J2306" s="74">
        <f>SUM(J2303-1617)</f>
        <v>7886</v>
      </c>
      <c r="K2306" s="74">
        <f>SUM(K2303-933)</f>
        <v>1467</v>
      </c>
      <c r="L2306" s="74">
        <f>SUM(L2303-1534)</f>
        <v>66</v>
      </c>
      <c r="M2306" s="74">
        <f>SUM(M2303-(3452-2210))</f>
        <v>1191</v>
      </c>
      <c r="N2306" s="85">
        <f>SUM(N2303-49)</f>
        <v>347</v>
      </c>
      <c r="P2306" s="14"/>
      <c r="Q2306" s="105"/>
      <c r="R2306" s="104"/>
      <c r="S2306" s="104"/>
      <c r="T2306" s="104"/>
      <c r="U2306" s="104"/>
      <c r="V2306" s="104"/>
      <c r="W2306" s="104"/>
      <c r="X2306" s="104"/>
      <c r="Y2306" s="67"/>
      <c r="Z2306" s="67"/>
    </row>
    <row r="2307" spans="1:27">
      <c r="A2307" s="412"/>
      <c r="B2307" s="29" t="s">
        <v>77</v>
      </c>
      <c r="C2307" s="75">
        <f>C2306*33.79</f>
        <v>148067.78</v>
      </c>
      <c r="D2307" s="75">
        <f>D2306*33.79</f>
        <v>83495.09</v>
      </c>
      <c r="E2307" s="75">
        <f>E2306*33.79</f>
        <v>84272.26</v>
      </c>
      <c r="F2307" s="75">
        <f>F2306*33.79</f>
        <v>279139.19</v>
      </c>
      <c r="G2307" s="75">
        <f>G2306*33.79*2</f>
        <v>2432.88</v>
      </c>
      <c r="H2307" s="75">
        <f>H2306*33.79</f>
        <v>51124.27</v>
      </c>
      <c r="I2307" s="75">
        <f>I2306*33.79</f>
        <v>36087.72</v>
      </c>
      <c r="J2307" s="75">
        <f>J2306*33.79</f>
        <v>266467.94</v>
      </c>
      <c r="K2307" s="75">
        <f>K2306*33.79</f>
        <v>49569.93</v>
      </c>
      <c r="L2307" s="75">
        <f>L2306*33.79</f>
        <v>2230.14</v>
      </c>
      <c r="M2307" s="75">
        <f>M2306*33.79*2</f>
        <v>80487.78</v>
      </c>
      <c r="N2307" s="11">
        <f>N2306*33.79</f>
        <v>11725.13</v>
      </c>
      <c r="Q2307" s="105"/>
    </row>
    <row r="2308" spans="1:27" ht="15.75" thickBot="1">
      <c r="A2308" s="412"/>
      <c r="B2308" s="30" t="s">
        <v>10</v>
      </c>
      <c r="C2308" s="71">
        <f>C2306*33.7/C2300</f>
        <v>1.2750602675950296</v>
      </c>
      <c r="D2308" s="71">
        <f t="shared" ref="D2308:N2308" si="1426">D2306*33.7/D2300</f>
        <v>1.0413161649495366</v>
      </c>
      <c r="E2308" s="78">
        <f t="shared" si="1426"/>
        <v>1.0510087071566752</v>
      </c>
      <c r="F2308" s="78">
        <f t="shared" si="1426"/>
        <v>1.80281940961933</v>
      </c>
      <c r="G2308" s="78">
        <f t="shared" si="1426"/>
        <v>9.9990274602371355E-3</v>
      </c>
      <c r="H2308" s="78">
        <f t="shared" si="1426"/>
        <v>0.46322540085162522</v>
      </c>
      <c r="I2308" s="78">
        <f t="shared" si="1426"/>
        <v>0.2966378146537017</v>
      </c>
      <c r="J2308" s="78">
        <f t="shared" si="1426"/>
        <v>1.5544360451921886</v>
      </c>
      <c r="K2308" s="78">
        <f t="shared" si="1426"/>
        <v>0.90016387174304913</v>
      </c>
      <c r="L2308" s="78">
        <f t="shared" si="1426"/>
        <v>3.6663100687536164E-2</v>
      </c>
      <c r="M2308" s="79">
        <f t="shared" si="1426"/>
        <v>0.2274256910167399</v>
      </c>
      <c r="N2308" s="26">
        <f t="shared" si="1426"/>
        <v>0.21292219733799461</v>
      </c>
      <c r="Q2308" s="105"/>
    </row>
    <row r="2309" spans="1:27" ht="15.75" customHeight="1" thickBot="1">
      <c r="A2309" s="424" t="s">
        <v>83</v>
      </c>
      <c r="B2309" s="425"/>
      <c r="C2309" s="76">
        <f>MIN(2*C2300,C2305)-C2307</f>
        <v>15932.220000000001</v>
      </c>
      <c r="D2309" s="76">
        <f t="shared" ref="D2309:N2309" si="1427">MIN(2*D2300,D2305)-D2307</f>
        <v>26384.910000000003</v>
      </c>
      <c r="E2309" s="76">
        <f t="shared" si="1427"/>
        <v>25607.740000000005</v>
      </c>
      <c r="F2309" s="76">
        <f t="shared" si="1427"/>
        <v>29705.609999999986</v>
      </c>
      <c r="G2309" s="76">
        <f t="shared" si="1427"/>
        <v>240230.72</v>
      </c>
      <c r="H2309" s="76">
        <f t="shared" si="1427"/>
        <v>169019.53</v>
      </c>
      <c r="I2309" s="76">
        <f t="shared" si="1427"/>
        <v>206575.88</v>
      </c>
      <c r="J2309" s="76">
        <f t="shared" si="1427"/>
        <v>61532.06</v>
      </c>
      <c r="K2309" s="76">
        <f t="shared" si="1427"/>
        <v>60272.07</v>
      </c>
      <c r="L2309" s="76">
        <f t="shared" si="1427"/>
        <v>119101.66</v>
      </c>
      <c r="M2309" s="76">
        <f t="shared" si="1427"/>
        <v>272477.62</v>
      </c>
      <c r="N2309" s="22">
        <f t="shared" si="1427"/>
        <v>98116.87</v>
      </c>
      <c r="Q2309" s="105"/>
    </row>
  </sheetData>
  <mergeCells count="878">
    <mergeCell ref="A308:A310"/>
    <mergeCell ref="A202:A204"/>
    <mergeCell ref="A205:A207"/>
    <mergeCell ref="A157:A162"/>
    <mergeCell ref="A201:B201"/>
    <mergeCell ref="A73:B73"/>
    <mergeCell ref="A74:B74"/>
    <mergeCell ref="A75:B75"/>
    <mergeCell ref="A76:A78"/>
    <mergeCell ref="A79:A81"/>
    <mergeCell ref="A82:A84"/>
    <mergeCell ref="A85:A90"/>
    <mergeCell ref="A193:A198"/>
    <mergeCell ref="A222:A224"/>
    <mergeCell ref="A225:A227"/>
    <mergeCell ref="A175:A180"/>
    <mergeCell ref="A228:A232"/>
    <mergeCell ref="A258:B258"/>
    <mergeCell ref="A259:B259"/>
    <mergeCell ref="A248:A250"/>
    <mergeCell ref="A251:A256"/>
    <mergeCell ref="A234:B234"/>
    <mergeCell ref="A235:B235"/>
    <mergeCell ref="A236:A238"/>
    <mergeCell ref="A217:B217"/>
    <mergeCell ref="A163:B163"/>
    <mergeCell ref="A164:B164"/>
    <mergeCell ref="A165:B165"/>
    <mergeCell ref="A166:A168"/>
    <mergeCell ref="A169:A171"/>
    <mergeCell ref="A172:A174"/>
    <mergeCell ref="A239:A244"/>
    <mergeCell ref="A182:B182"/>
    <mergeCell ref="A183:B183"/>
    <mergeCell ref="A260:A262"/>
    <mergeCell ref="A282:B282"/>
    <mergeCell ref="A283:B283"/>
    <mergeCell ref="A284:A286"/>
    <mergeCell ref="A294:B294"/>
    <mergeCell ref="A295:B295"/>
    <mergeCell ref="A296:A298"/>
    <mergeCell ref="A1572:A1574"/>
    <mergeCell ref="A1533:A1535"/>
    <mergeCell ref="A1536:A1541"/>
    <mergeCell ref="A1531:B1531"/>
    <mergeCell ref="A457:A462"/>
    <mergeCell ref="A543:B543"/>
    <mergeCell ref="A544:B544"/>
    <mergeCell ref="A522:A527"/>
    <mergeCell ref="A528:B528"/>
    <mergeCell ref="A478:B478"/>
    <mergeCell ref="A479:B479"/>
    <mergeCell ref="A480:A482"/>
    <mergeCell ref="A483:A488"/>
    <mergeCell ref="A489:B489"/>
    <mergeCell ref="A556:B556"/>
    <mergeCell ref="A557:B557"/>
    <mergeCell ref="A1570:B1570"/>
    <mergeCell ref="A1399:B1399"/>
    <mergeCell ref="A1363:B1363"/>
    <mergeCell ref="A1364:A1366"/>
    <mergeCell ref="A1367:A1372"/>
    <mergeCell ref="A427:B427"/>
    <mergeCell ref="A428:A430"/>
    <mergeCell ref="A431:A436"/>
    <mergeCell ref="A437:B437"/>
    <mergeCell ref="A344:A346"/>
    <mergeCell ref="A347:A352"/>
    <mergeCell ref="A390:B390"/>
    <mergeCell ref="A1376:B1376"/>
    <mergeCell ref="A1377:A1379"/>
    <mergeCell ref="A1386:B1386"/>
    <mergeCell ref="A1380:A1385"/>
    <mergeCell ref="A1362:B1362"/>
    <mergeCell ref="A1388:B1388"/>
    <mergeCell ref="A1389:B1389"/>
    <mergeCell ref="A1390:A1392"/>
    <mergeCell ref="A1393:A1398"/>
    <mergeCell ref="A416:A418"/>
    <mergeCell ref="A419:A424"/>
    <mergeCell ref="A1354:A1359"/>
    <mergeCell ref="A1310:B1310"/>
    <mergeCell ref="A331:B331"/>
    <mergeCell ref="A391:B391"/>
    <mergeCell ref="A392:A394"/>
    <mergeCell ref="A395:A400"/>
    <mergeCell ref="A311:A316"/>
    <mergeCell ref="A1360:B1360"/>
    <mergeCell ref="A1375:B1375"/>
    <mergeCell ref="A342:B342"/>
    <mergeCell ref="A343:B343"/>
    <mergeCell ref="A332:A334"/>
    <mergeCell ref="A335:A340"/>
    <mergeCell ref="A318:B318"/>
    <mergeCell ref="A319:B319"/>
    <mergeCell ref="A320:A322"/>
    <mergeCell ref="A323:A328"/>
    <mergeCell ref="A330:B330"/>
    <mergeCell ref="A1373:B1373"/>
    <mergeCell ref="A1260:A1262"/>
    <mergeCell ref="A1263:A1268"/>
    <mergeCell ref="A1269:B1269"/>
    <mergeCell ref="A1271:B1271"/>
    <mergeCell ref="A1272:B1272"/>
    <mergeCell ref="A1273:A1275"/>
    <mergeCell ref="A1276:A1281"/>
    <mergeCell ref="A1575:A1580"/>
    <mergeCell ref="A1581:B1581"/>
    <mergeCell ref="A1614:A1619"/>
    <mergeCell ref="A1610:B1610"/>
    <mergeCell ref="A1583:B1583"/>
    <mergeCell ref="A1584:B1584"/>
    <mergeCell ref="A1585:A1587"/>
    <mergeCell ref="A1516:B1516"/>
    <mergeCell ref="A1518:B1518"/>
    <mergeCell ref="A1519:B1519"/>
    <mergeCell ref="A1571:B1571"/>
    <mergeCell ref="A1568:B1568"/>
    <mergeCell ref="A1545:B1545"/>
    <mergeCell ref="A1546:A1548"/>
    <mergeCell ref="A1549:A1554"/>
    <mergeCell ref="A1555:B1555"/>
    <mergeCell ref="A1532:B1532"/>
    <mergeCell ref="A1542:B1542"/>
    <mergeCell ref="A1544:B1544"/>
    <mergeCell ref="A1557:B1557"/>
    <mergeCell ref="A1558:B1558"/>
    <mergeCell ref="A1559:A1561"/>
    <mergeCell ref="A1562:A1567"/>
    <mergeCell ref="A1523:A1528"/>
    <mergeCell ref="A1650:A1652"/>
    <mergeCell ref="A1676:A1678"/>
    <mergeCell ref="A1663:A1665"/>
    <mergeCell ref="A1666:A1671"/>
    <mergeCell ref="A1672:B1672"/>
    <mergeCell ref="A1780:A1782"/>
    <mergeCell ref="A1659:B1659"/>
    <mergeCell ref="A1779:B1779"/>
    <mergeCell ref="A1727:B1727"/>
    <mergeCell ref="A1752:B1752"/>
    <mergeCell ref="A1688:B1688"/>
    <mergeCell ref="A1679:A1684"/>
    <mergeCell ref="A1728:A1730"/>
    <mergeCell ref="A1646:B1646"/>
    <mergeCell ref="A1776:B1776"/>
    <mergeCell ref="A1622:B1622"/>
    <mergeCell ref="A1623:B1623"/>
    <mergeCell ref="A1624:A1626"/>
    <mergeCell ref="A1754:A1756"/>
    <mergeCell ref="A1662:B1662"/>
    <mergeCell ref="A1753:B1753"/>
    <mergeCell ref="A1739:B1739"/>
    <mergeCell ref="A1740:B1740"/>
    <mergeCell ref="A1750:B1750"/>
    <mergeCell ref="A1701:B1701"/>
    <mergeCell ref="A1731:A1736"/>
    <mergeCell ref="A1757:A1762"/>
    <mergeCell ref="A1649:B1649"/>
    <mergeCell ref="A1627:A1632"/>
    <mergeCell ref="A1633:B1633"/>
    <mergeCell ref="A1653:A1658"/>
    <mergeCell ref="A1636:B1636"/>
    <mergeCell ref="A1648:B1648"/>
    <mergeCell ref="A1763:B1763"/>
    <mergeCell ref="A1687:B1687"/>
    <mergeCell ref="A1692:A1697"/>
    <mergeCell ref="A1698:B1698"/>
    <mergeCell ref="A1620:B1620"/>
    <mergeCell ref="A1637:A1639"/>
    <mergeCell ref="A1640:A1645"/>
    <mergeCell ref="A1588:A1593"/>
    <mergeCell ref="A1635:B1635"/>
    <mergeCell ref="A1594:B1594"/>
    <mergeCell ref="A1596:B1596"/>
    <mergeCell ref="A1597:B1597"/>
    <mergeCell ref="A1598:A1600"/>
    <mergeCell ref="A1601:A1606"/>
    <mergeCell ref="A1607:B1607"/>
    <mergeCell ref="A1609:B1609"/>
    <mergeCell ref="A1611:A1613"/>
    <mergeCell ref="A1778:B1778"/>
    <mergeCell ref="A1674:B1674"/>
    <mergeCell ref="A1675:B1675"/>
    <mergeCell ref="A1702:A1704"/>
    <mergeCell ref="A1689:A1691"/>
    <mergeCell ref="A1685:B1685"/>
    <mergeCell ref="A1705:A1710"/>
    <mergeCell ref="A1711:B1711"/>
    <mergeCell ref="A1737:B1737"/>
    <mergeCell ref="A1726:B1726"/>
    <mergeCell ref="A1714:B1714"/>
    <mergeCell ref="A1661:B1661"/>
    <mergeCell ref="A1715:A1717"/>
    <mergeCell ref="A1718:A1723"/>
    <mergeCell ref="A1713:B1713"/>
    <mergeCell ref="A1700:B1700"/>
    <mergeCell ref="A1770:A1775"/>
    <mergeCell ref="A1741:A1743"/>
    <mergeCell ref="A1724:B1724"/>
    <mergeCell ref="A1744:A1749"/>
    <mergeCell ref="A1765:B1765"/>
    <mergeCell ref="A1766:B1766"/>
    <mergeCell ref="A1767:A1769"/>
    <mergeCell ref="A2309:B2309"/>
    <mergeCell ref="A2244:B2244"/>
    <mergeCell ref="A2272:B2272"/>
    <mergeCell ref="A2273:B2273"/>
    <mergeCell ref="A2274:A2276"/>
    <mergeCell ref="A2277:A2282"/>
    <mergeCell ref="A2283:B2283"/>
    <mergeCell ref="A2259:B2259"/>
    <mergeCell ref="A2260:B2260"/>
    <mergeCell ref="A2261:A2263"/>
    <mergeCell ref="A2264:A2269"/>
    <mergeCell ref="A2270:B2270"/>
    <mergeCell ref="A2246:B2246"/>
    <mergeCell ref="A2247:B2247"/>
    <mergeCell ref="A2251:A2256"/>
    <mergeCell ref="A2248:A2250"/>
    <mergeCell ref="A2257:B2257"/>
    <mergeCell ref="A2131:A2133"/>
    <mergeCell ref="A2134:A2139"/>
    <mergeCell ref="A2140:B2140"/>
    <mergeCell ref="A2300:A2302"/>
    <mergeCell ref="A2303:A2308"/>
    <mergeCell ref="A2290:A2295"/>
    <mergeCell ref="A2296:B2296"/>
    <mergeCell ref="A2168:B2168"/>
    <mergeCell ref="A2169:B2169"/>
    <mergeCell ref="A2298:B2298"/>
    <mergeCell ref="A2299:B2299"/>
    <mergeCell ref="A2218:B2218"/>
    <mergeCell ref="A2233:B2233"/>
    <mergeCell ref="A2234:B2234"/>
    <mergeCell ref="A2235:A2237"/>
    <mergeCell ref="A2238:A2243"/>
    <mergeCell ref="A2155:B2155"/>
    <mergeCell ref="A2156:B2156"/>
    <mergeCell ref="A2157:A2159"/>
    <mergeCell ref="A2160:A2165"/>
    <mergeCell ref="A2285:B2285"/>
    <mergeCell ref="A2286:B2286"/>
    <mergeCell ref="A2287:A2289"/>
    <mergeCell ref="A2220:B2220"/>
    <mergeCell ref="A2221:B2221"/>
    <mergeCell ref="A2222:A2224"/>
    <mergeCell ref="A2231:B2231"/>
    <mergeCell ref="A2195:B2195"/>
    <mergeCell ref="A2196:A2198"/>
    <mergeCell ref="A2199:A2204"/>
    <mergeCell ref="A2207:B2207"/>
    <mergeCell ref="A2208:B2208"/>
    <mergeCell ref="A2209:A2211"/>
    <mergeCell ref="A2225:A2230"/>
    <mergeCell ref="A2212:A2217"/>
    <mergeCell ref="A2205:B2205"/>
    <mergeCell ref="A2142:B2142"/>
    <mergeCell ref="A2143:B2143"/>
    <mergeCell ref="A2144:A2146"/>
    <mergeCell ref="A2147:A2152"/>
    <mergeCell ref="A2153:B2153"/>
    <mergeCell ref="A2194:B2194"/>
    <mergeCell ref="A2170:A2172"/>
    <mergeCell ref="A2173:A2178"/>
    <mergeCell ref="A2179:B2179"/>
    <mergeCell ref="A2181:B2181"/>
    <mergeCell ref="A2182:B2182"/>
    <mergeCell ref="A2183:A2185"/>
    <mergeCell ref="A2186:A2191"/>
    <mergeCell ref="A2192:B2192"/>
    <mergeCell ref="A2166:B2166"/>
    <mergeCell ref="A2129:B2129"/>
    <mergeCell ref="A2130:B2130"/>
    <mergeCell ref="A2092:A2094"/>
    <mergeCell ref="A2095:A2100"/>
    <mergeCell ref="A2101:B2101"/>
    <mergeCell ref="A2105:A2107"/>
    <mergeCell ref="A2066:A2068"/>
    <mergeCell ref="A2116:B2116"/>
    <mergeCell ref="A2114:B2114"/>
    <mergeCell ref="A2069:A2074"/>
    <mergeCell ref="A2127:B2127"/>
    <mergeCell ref="A2077:B2077"/>
    <mergeCell ref="A2078:B2078"/>
    <mergeCell ref="A2079:A2081"/>
    <mergeCell ref="A2082:A2087"/>
    <mergeCell ref="A2090:B2090"/>
    <mergeCell ref="A2091:B2091"/>
    <mergeCell ref="A2117:B2117"/>
    <mergeCell ref="A2118:A2120"/>
    <mergeCell ref="A2121:A2126"/>
    <mergeCell ref="A2104:B2104"/>
    <mergeCell ref="A2108:A2113"/>
    <mergeCell ref="A1939:A1944"/>
    <mergeCell ref="A2013:B2013"/>
    <mergeCell ref="A2014:A2016"/>
    <mergeCell ref="A1987:B1987"/>
    <mergeCell ref="A1988:A1990"/>
    <mergeCell ref="A1975:A1977"/>
    <mergeCell ref="A1978:A1983"/>
    <mergeCell ref="A1997:B1997"/>
    <mergeCell ref="A1986:B1986"/>
    <mergeCell ref="A1945:B1945"/>
    <mergeCell ref="A1958:B1958"/>
    <mergeCell ref="A1984:B1984"/>
    <mergeCell ref="A1961:B1961"/>
    <mergeCell ref="A1962:A1964"/>
    <mergeCell ref="A1965:A1970"/>
    <mergeCell ref="A1971:B1971"/>
    <mergeCell ref="A1952:A1957"/>
    <mergeCell ref="A1947:B1947"/>
    <mergeCell ref="A1948:B1948"/>
    <mergeCell ref="A1949:A1951"/>
    <mergeCell ref="A2012:B2012"/>
    <mergeCell ref="A1960:B1960"/>
    <mergeCell ref="A1999:B1999"/>
    <mergeCell ref="A2000:B2000"/>
    <mergeCell ref="A2001:A2003"/>
    <mergeCell ref="A2004:A2009"/>
    <mergeCell ref="A2017:A2022"/>
    <mergeCell ref="A2025:B2025"/>
    <mergeCell ref="A1973:B1973"/>
    <mergeCell ref="A1974:B1974"/>
    <mergeCell ref="A1991:A1996"/>
    <mergeCell ref="A2010:B2010"/>
    <mergeCell ref="A2026:B2026"/>
    <mergeCell ref="A2027:A2029"/>
    <mergeCell ref="A2075:B2075"/>
    <mergeCell ref="A2103:B2103"/>
    <mergeCell ref="A2023:B2023"/>
    <mergeCell ref="A2038:B2038"/>
    <mergeCell ref="A2039:B2039"/>
    <mergeCell ref="A2040:A2042"/>
    <mergeCell ref="A2043:A2048"/>
    <mergeCell ref="A2065:B2065"/>
    <mergeCell ref="A2051:B2051"/>
    <mergeCell ref="A2052:B2052"/>
    <mergeCell ref="A2053:A2055"/>
    <mergeCell ref="A2056:A2061"/>
    <mergeCell ref="A2049:B2049"/>
    <mergeCell ref="A2062:B2062"/>
    <mergeCell ref="A2064:B2064"/>
    <mergeCell ref="A2030:A2035"/>
    <mergeCell ref="A2088:B2088"/>
    <mergeCell ref="A2036:B2036"/>
    <mergeCell ref="A1935:B1935"/>
    <mergeCell ref="A1936:A1938"/>
    <mergeCell ref="A1932:B1932"/>
    <mergeCell ref="A1934:B1934"/>
    <mergeCell ref="A1884:A1886"/>
    <mergeCell ref="A1887:A1892"/>
    <mergeCell ref="A1893:B1893"/>
    <mergeCell ref="A1896:B1896"/>
    <mergeCell ref="A1897:A1899"/>
    <mergeCell ref="A1900:A1905"/>
    <mergeCell ref="A1906:B1906"/>
    <mergeCell ref="A1921:B1921"/>
    <mergeCell ref="A1922:B1922"/>
    <mergeCell ref="A1923:A1925"/>
    <mergeCell ref="A1926:A1931"/>
    <mergeCell ref="A1908:B1908"/>
    <mergeCell ref="A1909:B1909"/>
    <mergeCell ref="A1910:A1912"/>
    <mergeCell ref="A1913:A1918"/>
    <mergeCell ref="A1919:B1919"/>
    <mergeCell ref="A1895:B1895"/>
    <mergeCell ref="A1832:A1834"/>
    <mergeCell ref="A1835:A1840"/>
    <mergeCell ref="A1870:B1870"/>
    <mergeCell ref="A1882:B1882"/>
    <mergeCell ref="A1883:B1883"/>
    <mergeCell ref="A1871:A1873"/>
    <mergeCell ref="A1874:A1879"/>
    <mergeCell ref="A1880:B1880"/>
    <mergeCell ref="A1861:A1866"/>
    <mergeCell ref="A1869:B1869"/>
    <mergeCell ref="A1843:B1843"/>
    <mergeCell ref="A1854:B1854"/>
    <mergeCell ref="A1844:B1844"/>
    <mergeCell ref="A1845:A1847"/>
    <mergeCell ref="A1848:A1853"/>
    <mergeCell ref="A1867:B1867"/>
    <mergeCell ref="A1856:B1856"/>
    <mergeCell ref="A1857:B1857"/>
    <mergeCell ref="A1858:A1860"/>
    <mergeCell ref="A1841:B1841"/>
    <mergeCell ref="A1831:B1831"/>
    <mergeCell ref="A1783:A1788"/>
    <mergeCell ref="A1806:A1808"/>
    <mergeCell ref="A1822:A1827"/>
    <mergeCell ref="A1817:B1817"/>
    <mergeCell ref="A1818:B1818"/>
    <mergeCell ref="A1819:A1821"/>
    <mergeCell ref="A1802:B1802"/>
    <mergeCell ref="A1789:B1789"/>
    <mergeCell ref="A1809:A1814"/>
    <mergeCell ref="A1793:A1795"/>
    <mergeCell ref="A1796:A1801"/>
    <mergeCell ref="A1804:B1804"/>
    <mergeCell ref="A1828:B1828"/>
    <mergeCell ref="A1830:B1830"/>
    <mergeCell ref="A1815:B1815"/>
    <mergeCell ref="A1805:B1805"/>
    <mergeCell ref="A1792:B1792"/>
    <mergeCell ref="A1791:B1791"/>
    <mergeCell ref="A1503:B1503"/>
    <mergeCell ref="A1401:B1401"/>
    <mergeCell ref="A1402:B1402"/>
    <mergeCell ref="A1440:B1440"/>
    <mergeCell ref="A1441:B1441"/>
    <mergeCell ref="A1451:B1451"/>
    <mergeCell ref="A1453:B1453"/>
    <mergeCell ref="A1454:B1454"/>
    <mergeCell ref="A1455:A1457"/>
    <mergeCell ref="A1458:A1463"/>
    <mergeCell ref="A1464:B1464"/>
    <mergeCell ref="A1479:B1479"/>
    <mergeCell ref="A1480:B1480"/>
    <mergeCell ref="A1442:A1444"/>
    <mergeCell ref="A1445:A1450"/>
    <mergeCell ref="A1403:A1405"/>
    <mergeCell ref="A1406:A1411"/>
    <mergeCell ref="A1412:B1412"/>
    <mergeCell ref="A1493:B1493"/>
    <mergeCell ref="A1494:A1496"/>
    <mergeCell ref="A1497:A1502"/>
    <mergeCell ref="A1492:B1492"/>
    <mergeCell ref="A1529:B1529"/>
    <mergeCell ref="A1520:A1522"/>
    <mergeCell ref="A1414:B1414"/>
    <mergeCell ref="A1415:B1415"/>
    <mergeCell ref="A1416:A1418"/>
    <mergeCell ref="A1419:A1424"/>
    <mergeCell ref="A1425:B1425"/>
    <mergeCell ref="A1466:B1466"/>
    <mergeCell ref="A1467:B1467"/>
    <mergeCell ref="A1468:A1470"/>
    <mergeCell ref="A1490:B1490"/>
    <mergeCell ref="A1505:B1505"/>
    <mergeCell ref="A1506:B1506"/>
    <mergeCell ref="A1507:A1509"/>
    <mergeCell ref="A1510:A1515"/>
    <mergeCell ref="A1481:A1483"/>
    <mergeCell ref="A1484:A1489"/>
    <mergeCell ref="A1427:B1427"/>
    <mergeCell ref="A1428:B1428"/>
    <mergeCell ref="A1429:A1431"/>
    <mergeCell ref="A1432:A1437"/>
    <mergeCell ref="A1438:B1438"/>
    <mergeCell ref="A1471:A1476"/>
    <mergeCell ref="A1477:B1477"/>
    <mergeCell ref="A1349:B1349"/>
    <mergeCell ref="A1350:B1350"/>
    <mergeCell ref="A1351:A1353"/>
    <mergeCell ref="A1325:A1327"/>
    <mergeCell ref="A1256:B1256"/>
    <mergeCell ref="A1232:B1232"/>
    <mergeCell ref="A1233:B1233"/>
    <mergeCell ref="A1234:A1236"/>
    <mergeCell ref="A1237:A1242"/>
    <mergeCell ref="A1243:B1243"/>
    <mergeCell ref="A1311:B1311"/>
    <mergeCell ref="A1312:A1314"/>
    <mergeCell ref="A1315:A1320"/>
    <mergeCell ref="A1321:B1321"/>
    <mergeCell ref="A1337:B1337"/>
    <mergeCell ref="A1338:A1340"/>
    <mergeCell ref="A1341:A1346"/>
    <mergeCell ref="A1347:B1347"/>
    <mergeCell ref="A1336:B1336"/>
    <mergeCell ref="A1328:A1333"/>
    <mergeCell ref="A1334:B1334"/>
    <mergeCell ref="A1230:B1230"/>
    <mergeCell ref="A1245:B1245"/>
    <mergeCell ref="A1246:B1246"/>
    <mergeCell ref="A1247:A1249"/>
    <mergeCell ref="A1308:B1308"/>
    <mergeCell ref="A1323:B1323"/>
    <mergeCell ref="A1324:B1324"/>
    <mergeCell ref="A1284:B1284"/>
    <mergeCell ref="A1285:B1285"/>
    <mergeCell ref="A1286:A1288"/>
    <mergeCell ref="A1289:A1294"/>
    <mergeCell ref="A1295:B1295"/>
    <mergeCell ref="A1282:B1282"/>
    <mergeCell ref="A1297:B1297"/>
    <mergeCell ref="A1298:B1298"/>
    <mergeCell ref="A1299:A1301"/>
    <mergeCell ref="A1302:A1307"/>
    <mergeCell ref="A1258:B1258"/>
    <mergeCell ref="A1259:B1259"/>
    <mergeCell ref="A1250:A1255"/>
    <mergeCell ref="A1204:B1204"/>
    <mergeCell ref="A1219:B1219"/>
    <mergeCell ref="A1220:B1220"/>
    <mergeCell ref="A1221:A1223"/>
    <mergeCell ref="A1224:A1229"/>
    <mergeCell ref="A1180:B1180"/>
    <mergeCell ref="A1181:B1181"/>
    <mergeCell ref="A1182:A1184"/>
    <mergeCell ref="A1185:A1190"/>
    <mergeCell ref="A1191:B1191"/>
    <mergeCell ref="A1193:B1193"/>
    <mergeCell ref="A1194:B1194"/>
    <mergeCell ref="A1195:A1197"/>
    <mergeCell ref="A1198:A1203"/>
    <mergeCell ref="A1206:B1206"/>
    <mergeCell ref="A1207:B1207"/>
    <mergeCell ref="A1208:A1210"/>
    <mergeCell ref="A1211:A1216"/>
    <mergeCell ref="A1217:B1217"/>
    <mergeCell ref="A1172:A1177"/>
    <mergeCell ref="A1128:B1128"/>
    <mergeCell ref="A1129:B1129"/>
    <mergeCell ref="A1130:A1132"/>
    <mergeCell ref="A1133:A1138"/>
    <mergeCell ref="A1139:B1139"/>
    <mergeCell ref="A1178:B1178"/>
    <mergeCell ref="A1154:B1154"/>
    <mergeCell ref="A1155:B1155"/>
    <mergeCell ref="A1156:A1158"/>
    <mergeCell ref="A1159:A1164"/>
    <mergeCell ref="A1165:B1165"/>
    <mergeCell ref="A1152:B1152"/>
    <mergeCell ref="A1167:B1167"/>
    <mergeCell ref="A1168:B1168"/>
    <mergeCell ref="A1169:A1171"/>
    <mergeCell ref="A1143:A1145"/>
    <mergeCell ref="A1146:A1151"/>
    <mergeCell ref="A1115:B1115"/>
    <mergeCell ref="A1076:B1076"/>
    <mergeCell ref="A1077:B1077"/>
    <mergeCell ref="A1078:A1080"/>
    <mergeCell ref="A1081:A1086"/>
    <mergeCell ref="A1087:B1087"/>
    <mergeCell ref="A1126:B1126"/>
    <mergeCell ref="A1141:B1141"/>
    <mergeCell ref="A1142:B1142"/>
    <mergeCell ref="A1102:B1102"/>
    <mergeCell ref="A1103:B1103"/>
    <mergeCell ref="A1104:A1106"/>
    <mergeCell ref="A1107:A1112"/>
    <mergeCell ref="A1113:B1113"/>
    <mergeCell ref="A1116:B1116"/>
    <mergeCell ref="A1117:A1119"/>
    <mergeCell ref="A1120:A1125"/>
    <mergeCell ref="A1063:B1063"/>
    <mergeCell ref="A1074:B1074"/>
    <mergeCell ref="A1089:B1089"/>
    <mergeCell ref="A1090:B1090"/>
    <mergeCell ref="A1091:A1093"/>
    <mergeCell ref="A1094:A1099"/>
    <mergeCell ref="A1100:B1100"/>
    <mergeCell ref="A1064:B1064"/>
    <mergeCell ref="A1065:A1067"/>
    <mergeCell ref="A1068:A1073"/>
    <mergeCell ref="A1011:B1011"/>
    <mergeCell ref="A1012:B1012"/>
    <mergeCell ref="A1013:A1015"/>
    <mergeCell ref="A1016:A1021"/>
    <mergeCell ref="A1022:B1022"/>
    <mergeCell ref="A1037:B1037"/>
    <mergeCell ref="A1038:B1038"/>
    <mergeCell ref="A1039:A1041"/>
    <mergeCell ref="A1042:A1047"/>
    <mergeCell ref="A1048:B1048"/>
    <mergeCell ref="A1050:B1050"/>
    <mergeCell ref="A1051:B1051"/>
    <mergeCell ref="A1052:A1054"/>
    <mergeCell ref="A1055:A1060"/>
    <mergeCell ref="A1061:B1061"/>
    <mergeCell ref="A1000:A1002"/>
    <mergeCell ref="A1003:A1008"/>
    <mergeCell ref="A959:B959"/>
    <mergeCell ref="A960:B960"/>
    <mergeCell ref="A961:A963"/>
    <mergeCell ref="A964:A969"/>
    <mergeCell ref="A970:B970"/>
    <mergeCell ref="A985:B985"/>
    <mergeCell ref="A986:B986"/>
    <mergeCell ref="A987:A989"/>
    <mergeCell ref="A990:A995"/>
    <mergeCell ref="A996:B996"/>
    <mergeCell ref="A1009:B1009"/>
    <mergeCell ref="A1024:B1024"/>
    <mergeCell ref="A1025:B1025"/>
    <mergeCell ref="A1026:A1028"/>
    <mergeCell ref="A1029:A1034"/>
    <mergeCell ref="A1035:B1035"/>
    <mergeCell ref="A934:B934"/>
    <mergeCell ref="A935:A937"/>
    <mergeCell ref="A999:B999"/>
    <mergeCell ref="A909:A911"/>
    <mergeCell ref="A946:B946"/>
    <mergeCell ref="A947:B947"/>
    <mergeCell ref="A948:A950"/>
    <mergeCell ref="A957:B957"/>
    <mergeCell ref="A972:B972"/>
    <mergeCell ref="A973:B973"/>
    <mergeCell ref="A974:A976"/>
    <mergeCell ref="A977:A982"/>
    <mergeCell ref="A983:B983"/>
    <mergeCell ref="A998:B998"/>
    <mergeCell ref="A951:A956"/>
    <mergeCell ref="A920:B920"/>
    <mergeCell ref="A921:B921"/>
    <mergeCell ref="A922:A924"/>
    <mergeCell ref="A925:A930"/>
    <mergeCell ref="A931:B931"/>
    <mergeCell ref="A855:B855"/>
    <mergeCell ref="A856:B856"/>
    <mergeCell ref="A857:A859"/>
    <mergeCell ref="A860:A865"/>
    <mergeCell ref="A938:A943"/>
    <mergeCell ref="A853:B853"/>
    <mergeCell ref="A868:B868"/>
    <mergeCell ref="A869:B869"/>
    <mergeCell ref="A870:A872"/>
    <mergeCell ref="A873:A878"/>
    <mergeCell ref="A879:B879"/>
    <mergeCell ref="A881:B881"/>
    <mergeCell ref="A882:B882"/>
    <mergeCell ref="A883:A885"/>
    <mergeCell ref="A886:A891"/>
    <mergeCell ref="A892:B892"/>
    <mergeCell ref="A866:B866"/>
    <mergeCell ref="A907:B907"/>
    <mergeCell ref="A908:B908"/>
    <mergeCell ref="A912:A917"/>
    <mergeCell ref="A918:B918"/>
    <mergeCell ref="A899:A904"/>
    <mergeCell ref="A905:B905"/>
    <mergeCell ref="A933:B933"/>
    <mergeCell ref="A752:B752"/>
    <mergeCell ref="A753:A755"/>
    <mergeCell ref="A756:A761"/>
    <mergeCell ref="A762:B762"/>
    <mergeCell ref="A803:B803"/>
    <mergeCell ref="A944:B944"/>
    <mergeCell ref="A847:A852"/>
    <mergeCell ref="A894:B894"/>
    <mergeCell ref="A895:B895"/>
    <mergeCell ref="A896:A898"/>
    <mergeCell ref="A788:B788"/>
    <mergeCell ref="A816:B816"/>
    <mergeCell ref="A817:B817"/>
    <mergeCell ref="A818:A820"/>
    <mergeCell ref="A790:B790"/>
    <mergeCell ref="A791:B791"/>
    <mergeCell ref="A792:A794"/>
    <mergeCell ref="A795:A800"/>
    <mergeCell ref="A801:B801"/>
    <mergeCell ref="A829:B829"/>
    <mergeCell ref="A830:B830"/>
    <mergeCell ref="A831:A833"/>
    <mergeCell ref="A834:A839"/>
    <mergeCell ref="A840:B840"/>
    <mergeCell ref="A777:B777"/>
    <mergeCell ref="A778:B778"/>
    <mergeCell ref="A779:A781"/>
    <mergeCell ref="A782:A787"/>
    <mergeCell ref="A764:B764"/>
    <mergeCell ref="A765:B765"/>
    <mergeCell ref="A766:A768"/>
    <mergeCell ref="A769:A774"/>
    <mergeCell ref="A775:B775"/>
    <mergeCell ref="A821:A826"/>
    <mergeCell ref="A827:B827"/>
    <mergeCell ref="A842:B842"/>
    <mergeCell ref="A843:B843"/>
    <mergeCell ref="A844:A846"/>
    <mergeCell ref="A814:B814"/>
    <mergeCell ref="A804:B804"/>
    <mergeCell ref="A805:A807"/>
    <mergeCell ref="A808:A813"/>
    <mergeCell ref="A609:B609"/>
    <mergeCell ref="A610:A612"/>
    <mergeCell ref="A613:A618"/>
    <mergeCell ref="A619:B619"/>
    <mergeCell ref="A634:B634"/>
    <mergeCell ref="A635:B635"/>
    <mergeCell ref="A636:A638"/>
    <mergeCell ref="A639:A644"/>
    <mergeCell ref="A621:B621"/>
    <mergeCell ref="A622:B622"/>
    <mergeCell ref="A623:A625"/>
    <mergeCell ref="A626:A631"/>
    <mergeCell ref="A632:B632"/>
    <mergeCell ref="A739:B739"/>
    <mergeCell ref="A740:A742"/>
    <mergeCell ref="A743:A748"/>
    <mergeCell ref="A749:B749"/>
    <mergeCell ref="A699:B699"/>
    <mergeCell ref="A700:B700"/>
    <mergeCell ref="A701:A703"/>
    <mergeCell ref="A674:B674"/>
    <mergeCell ref="A675:A677"/>
    <mergeCell ref="A738:B738"/>
    <mergeCell ref="A714:A716"/>
    <mergeCell ref="A717:A722"/>
    <mergeCell ref="A723:B723"/>
    <mergeCell ref="A686:B686"/>
    <mergeCell ref="A725:B725"/>
    <mergeCell ref="A726:B726"/>
    <mergeCell ref="A688:A690"/>
    <mergeCell ref="A691:A696"/>
    <mergeCell ref="A751:B751"/>
    <mergeCell ref="A570:B570"/>
    <mergeCell ref="A704:A709"/>
    <mergeCell ref="A710:B710"/>
    <mergeCell ref="A712:B712"/>
    <mergeCell ref="A713:B713"/>
    <mergeCell ref="A730:A735"/>
    <mergeCell ref="A736:B736"/>
    <mergeCell ref="A366:B366"/>
    <mergeCell ref="A367:B367"/>
    <mergeCell ref="A368:A370"/>
    <mergeCell ref="A371:A376"/>
    <mergeCell ref="A439:B439"/>
    <mergeCell ref="A440:B440"/>
    <mergeCell ref="A441:A443"/>
    <mergeCell ref="A444:A449"/>
    <mergeCell ref="A450:B450"/>
    <mergeCell ref="A652:A657"/>
    <mergeCell ref="A658:B658"/>
    <mergeCell ref="A684:B684"/>
    <mergeCell ref="A491:B491"/>
    <mergeCell ref="A492:B492"/>
    <mergeCell ref="A697:B697"/>
    <mergeCell ref="A727:A729"/>
    <mergeCell ref="A665:A670"/>
    <mergeCell ref="A671:B671"/>
    <mergeCell ref="A574:A579"/>
    <mergeCell ref="A561:A566"/>
    <mergeCell ref="A595:B595"/>
    <mergeCell ref="A596:B596"/>
    <mergeCell ref="A597:A599"/>
    <mergeCell ref="A600:A605"/>
    <mergeCell ref="A687:B687"/>
    <mergeCell ref="A582:B582"/>
    <mergeCell ref="A583:B583"/>
    <mergeCell ref="A584:A586"/>
    <mergeCell ref="A587:A592"/>
    <mergeCell ref="A593:B593"/>
    <mergeCell ref="A660:B660"/>
    <mergeCell ref="A661:B661"/>
    <mergeCell ref="A662:A664"/>
    <mergeCell ref="A606:B606"/>
    <mergeCell ref="A608:B608"/>
    <mergeCell ref="A645:B645"/>
    <mergeCell ref="A678:A683"/>
    <mergeCell ref="A647:B647"/>
    <mergeCell ref="A648:B648"/>
    <mergeCell ref="A649:A651"/>
    <mergeCell ref="A466:B466"/>
    <mergeCell ref="A467:A469"/>
    <mergeCell ref="A470:A475"/>
    <mergeCell ref="A476:B476"/>
    <mergeCell ref="A504:B504"/>
    <mergeCell ref="A505:B505"/>
    <mergeCell ref="A506:A508"/>
    <mergeCell ref="A509:A514"/>
    <mergeCell ref="A493:A495"/>
    <mergeCell ref="A496:A501"/>
    <mergeCell ref="A673:B673"/>
    <mergeCell ref="A502:B502"/>
    <mergeCell ref="A567:B567"/>
    <mergeCell ref="A452:B452"/>
    <mergeCell ref="A453:B453"/>
    <mergeCell ref="A454:A456"/>
    <mergeCell ref="A463:B463"/>
    <mergeCell ref="A515:B515"/>
    <mergeCell ref="A580:B580"/>
    <mergeCell ref="A518:B518"/>
    <mergeCell ref="A519:A521"/>
    <mergeCell ref="A571:A573"/>
    <mergeCell ref="A541:B541"/>
    <mergeCell ref="A517:B517"/>
    <mergeCell ref="A530:B530"/>
    <mergeCell ref="A531:B531"/>
    <mergeCell ref="A532:A534"/>
    <mergeCell ref="A535:A540"/>
    <mergeCell ref="A558:A560"/>
    <mergeCell ref="A545:A547"/>
    <mergeCell ref="A548:A553"/>
    <mergeCell ref="A554:B554"/>
    <mergeCell ref="A569:B569"/>
    <mergeCell ref="A465:B465"/>
    <mergeCell ref="A287:A292"/>
    <mergeCell ref="A263:A268"/>
    <mergeCell ref="A270:B270"/>
    <mergeCell ref="A271:B271"/>
    <mergeCell ref="A272:A274"/>
    <mergeCell ref="A275:A280"/>
    <mergeCell ref="A426:B426"/>
    <mergeCell ref="A414:B414"/>
    <mergeCell ref="A415:B415"/>
    <mergeCell ref="A306:B306"/>
    <mergeCell ref="A307:B307"/>
    <mergeCell ref="A403:B403"/>
    <mergeCell ref="A404:A406"/>
    <mergeCell ref="A407:A412"/>
    <mergeCell ref="A354:B354"/>
    <mergeCell ref="A355:B355"/>
    <mergeCell ref="A356:A358"/>
    <mergeCell ref="A359:A364"/>
    <mergeCell ref="A378:B378"/>
    <mergeCell ref="A379:B379"/>
    <mergeCell ref="A380:A382"/>
    <mergeCell ref="A383:A388"/>
    <mergeCell ref="A402:B402"/>
    <mergeCell ref="A299:A304"/>
    <mergeCell ref="A97:A99"/>
    <mergeCell ref="A100:A102"/>
    <mergeCell ref="A103:A108"/>
    <mergeCell ref="A246:B246"/>
    <mergeCell ref="A127:B127"/>
    <mergeCell ref="A128:B128"/>
    <mergeCell ref="A129:B129"/>
    <mergeCell ref="A130:A132"/>
    <mergeCell ref="A112:A114"/>
    <mergeCell ref="A115:A117"/>
    <mergeCell ref="A118:A120"/>
    <mergeCell ref="A121:A126"/>
    <mergeCell ref="A181:B181"/>
    <mergeCell ref="A218:B218"/>
    <mergeCell ref="A219:A221"/>
    <mergeCell ref="A200:B200"/>
    <mergeCell ref="A109:B109"/>
    <mergeCell ref="A110:B110"/>
    <mergeCell ref="A111:B111"/>
    <mergeCell ref="A247:B247"/>
    <mergeCell ref="A133:A135"/>
    <mergeCell ref="A136:A138"/>
    <mergeCell ref="A139:A144"/>
    <mergeCell ref="A145:B145"/>
    <mergeCell ref="A146:B146"/>
    <mergeCell ref="A147:B147"/>
    <mergeCell ref="A148:A150"/>
    <mergeCell ref="A151:A153"/>
    <mergeCell ref="A154:A156"/>
    <mergeCell ref="A184:A186"/>
    <mergeCell ref="A187:A189"/>
    <mergeCell ref="A190:A192"/>
    <mergeCell ref="A208:A210"/>
    <mergeCell ref="A211:A215"/>
    <mergeCell ref="A39:B39"/>
    <mergeCell ref="A40:A42"/>
    <mergeCell ref="A43:A45"/>
    <mergeCell ref="A46:A48"/>
    <mergeCell ref="A49:A54"/>
    <mergeCell ref="A93:B93"/>
    <mergeCell ref="A94:A96"/>
    <mergeCell ref="A55:B55"/>
    <mergeCell ref="A56:B56"/>
    <mergeCell ref="A57:B57"/>
    <mergeCell ref="A58:A60"/>
    <mergeCell ref="A61:A63"/>
    <mergeCell ref="A64:A66"/>
    <mergeCell ref="A67:A72"/>
    <mergeCell ref="A91:B91"/>
    <mergeCell ref="A92:B92"/>
    <mergeCell ref="A1:B1"/>
    <mergeCell ref="A2:B2"/>
    <mergeCell ref="A3:B3"/>
    <mergeCell ref="A4:A6"/>
    <mergeCell ref="A7:A9"/>
    <mergeCell ref="A10:A12"/>
    <mergeCell ref="A13:A18"/>
    <mergeCell ref="A37:B37"/>
    <mergeCell ref="A38:B38"/>
    <mergeCell ref="A19:B19"/>
    <mergeCell ref="A20:B20"/>
    <mergeCell ref="A21:B21"/>
    <mergeCell ref="A22:A24"/>
    <mergeCell ref="A25:A27"/>
    <mergeCell ref="A28:A30"/>
    <mergeCell ref="A31:A36"/>
  </mergeCells>
  <phoneticPr fontId="3" type="noConversion"/>
  <conditionalFormatting sqref="C2308:N2308 C2295:N2295 C2282:N2282 C2269:N2269 C2256:N2256 C2243:N2243 C2230:N2230 C2217:N2217 C2204:N2204 C2191:N2191 C2178:N2178 C2165:N2165 C2152:N2152 C2139:N2139 C2126:N2126 C2113:N2113 C2100:N2100 C2087:N2087 C2074:N2074 C2061:N2061 C2048:N2048 C2035:N2035 C2022:N2022 C2009:N2009 C1996:N1996 C1983:N1983 C1970:N1970 C1957:N1957 C1944:N1944 C1931:N1931 C1918:N1918 C1905:N1905 C1892:N1892 C1879:N1879 C1866:N1866 C1853:N1853 C1840:N1840 C1827:N1827 C1814:N1814 C1801:N1801 C1788:N1788 C1775:N1775 C1762:N1762 C1749:N1749 C1736:N1736 C1723:N1723 C1710:N1710 C1697:N1697 C1684:N1684 C1671:N1671 C1658:N1658 C1645:N1645 C1632:N1632 C1619:N1619 C1606:N1606 C1593:N1593 C1580:N1580 C1567:N1567 C1554:N1554 C1541:N1541 C1528:N1528 C1515:N1515 C1502:N1502 C1489:N1489 C1476:N1476 C1463:N1463 C1450:N1450 C1437:N1437 C1424:N1424 C1411:N1411 C1398:N1398 C1385:N1385 C1372:N1372 C1359:N1359 C1346:N1346 C1333:N1333 C1320:N1320 C1307:N1307 C1294:N1294 C1281:N1281 C1268:N1268 C1255:N1255 C1242:N1242 C1229:N1229 C1216:N1216 C1203:N1203 C1190:N1190 C1177:N1177 C1164:N1164 C1151:N1151 C1138:N1138 C1125:N1125 C1112:N1112 C1099:N1099 C1086:N1086 C1073:N1073 C1060:N1060 C1047:N1047 C1034:N1034 C1021:N1021 C1008:N1008 C995:N995 C982:N982 C969:N969 C956:N956 C930:N930 C943:N943 C917:N917 C904:N904 C891:N891 C35:J36 L35:P36 R35:S36">
    <cfRule type="cellIs" dxfId="1345" priority="1901" stopIfTrue="1" operator="greaterThan">
      <formula>1.75</formula>
    </cfRule>
    <cfRule type="cellIs" dxfId="1344" priority="1902" stopIfTrue="1" operator="between">
      <formula>1.25</formula>
      <formula>1.75</formula>
    </cfRule>
  </conditionalFormatting>
  <conditionalFormatting sqref="C878:N878">
    <cfRule type="cellIs" dxfId="1343" priority="1413" stopIfTrue="1" operator="greaterThan">
      <formula>1.75</formula>
    </cfRule>
    <cfRule type="cellIs" dxfId="1342" priority="1414" stopIfTrue="1" operator="between">
      <formula>1.25</formula>
      <formula>1.75</formula>
    </cfRule>
  </conditionalFormatting>
  <conditionalFormatting sqref="C865:N865">
    <cfRule type="cellIs" dxfId="1341" priority="1411" stopIfTrue="1" operator="greaterThan">
      <formula>1.75</formula>
    </cfRule>
    <cfRule type="cellIs" dxfId="1340" priority="1412" stopIfTrue="1" operator="between">
      <formula>1.25</formula>
      <formula>1.75</formula>
    </cfRule>
  </conditionalFormatting>
  <conditionalFormatting sqref="C852:N852">
    <cfRule type="cellIs" dxfId="1339" priority="1409" stopIfTrue="1" operator="greaterThan">
      <formula>1.75</formula>
    </cfRule>
    <cfRule type="cellIs" dxfId="1338" priority="1410" stopIfTrue="1" operator="between">
      <formula>1.25</formula>
      <formula>1.75</formula>
    </cfRule>
  </conditionalFormatting>
  <conditionalFormatting sqref="C839:N839">
    <cfRule type="cellIs" dxfId="1337" priority="1407" stopIfTrue="1" operator="greaterThan">
      <formula>1.75</formula>
    </cfRule>
    <cfRule type="cellIs" dxfId="1336" priority="1408" stopIfTrue="1" operator="between">
      <formula>1.25</formula>
      <formula>1.75</formula>
    </cfRule>
  </conditionalFormatting>
  <conditionalFormatting sqref="C826:N826">
    <cfRule type="cellIs" dxfId="1335" priority="1405" stopIfTrue="1" operator="greaterThan">
      <formula>1.75</formula>
    </cfRule>
    <cfRule type="cellIs" dxfId="1334" priority="1406" stopIfTrue="1" operator="between">
      <formula>1.25</formula>
      <formula>1.75</formula>
    </cfRule>
  </conditionalFormatting>
  <conditionalFormatting sqref="C800:N800">
    <cfRule type="cellIs" dxfId="1333" priority="1403" stopIfTrue="1" operator="greaterThan">
      <formula>1.75</formula>
    </cfRule>
    <cfRule type="cellIs" dxfId="1332" priority="1404" stopIfTrue="1" operator="between">
      <formula>1.25</formula>
      <formula>1.75</formula>
    </cfRule>
  </conditionalFormatting>
  <conditionalFormatting sqref="C813:N813">
    <cfRule type="cellIs" dxfId="1331" priority="1401" stopIfTrue="1" operator="greaterThan">
      <formula>1.75</formula>
    </cfRule>
    <cfRule type="cellIs" dxfId="1330" priority="1402" stopIfTrue="1" operator="between">
      <formula>1.25</formula>
      <formula>1.75</formula>
    </cfRule>
  </conditionalFormatting>
  <conditionalFormatting sqref="C787:N787">
    <cfRule type="cellIs" dxfId="1329" priority="1399" stopIfTrue="1" operator="greaterThan">
      <formula>1.75</formula>
    </cfRule>
    <cfRule type="cellIs" dxfId="1328" priority="1400" stopIfTrue="1" operator="between">
      <formula>1.25</formula>
      <formula>1.75</formula>
    </cfRule>
  </conditionalFormatting>
  <conditionalFormatting sqref="C774:N774">
    <cfRule type="cellIs" dxfId="1327" priority="1397" stopIfTrue="1" operator="greaterThan">
      <formula>1.75</formula>
    </cfRule>
    <cfRule type="cellIs" dxfId="1326" priority="1398" stopIfTrue="1" operator="between">
      <formula>1.25</formula>
      <formula>1.75</formula>
    </cfRule>
  </conditionalFormatting>
  <conditionalFormatting sqref="C761:N761">
    <cfRule type="cellIs" dxfId="1325" priority="1395" stopIfTrue="1" operator="greaterThan">
      <formula>1.75</formula>
    </cfRule>
    <cfRule type="cellIs" dxfId="1324" priority="1396" stopIfTrue="1" operator="between">
      <formula>1.25</formula>
      <formula>1.75</formula>
    </cfRule>
  </conditionalFormatting>
  <conditionalFormatting sqref="C748:N748">
    <cfRule type="cellIs" dxfId="1323" priority="1393" stopIfTrue="1" operator="greaterThan">
      <formula>1.75</formula>
    </cfRule>
    <cfRule type="cellIs" dxfId="1322" priority="1394" stopIfTrue="1" operator="between">
      <formula>1.25</formula>
      <formula>1.75</formula>
    </cfRule>
  </conditionalFormatting>
  <conditionalFormatting sqref="P747 T196 T178 T160 T142 T124 T106 T88 T70">
    <cfRule type="cellIs" dxfId="1321" priority="1391" operator="lessThan">
      <formula>1000</formula>
    </cfRule>
    <cfRule type="cellIs" dxfId="1320" priority="1392" operator="lessThan">
      <formula>2000</formula>
    </cfRule>
  </conditionalFormatting>
  <conditionalFormatting sqref="C735:N735">
    <cfRule type="cellIs" dxfId="1319" priority="1389" stopIfTrue="1" operator="greaterThan">
      <formula>1.75</formula>
    </cfRule>
    <cfRule type="cellIs" dxfId="1318" priority="1390" stopIfTrue="1" operator="between">
      <formula>1.25</formula>
      <formula>1.75</formula>
    </cfRule>
  </conditionalFormatting>
  <conditionalFormatting sqref="P734">
    <cfRule type="cellIs" dxfId="1317" priority="1387" operator="lessThan">
      <formula>1000</formula>
    </cfRule>
    <cfRule type="cellIs" dxfId="1316" priority="1388" operator="lessThan">
      <formula>2000</formula>
    </cfRule>
  </conditionalFormatting>
  <conditionalFormatting sqref="C722:N722">
    <cfRule type="cellIs" dxfId="1315" priority="1385" stopIfTrue="1" operator="greaterThan">
      <formula>1.75</formula>
    </cfRule>
    <cfRule type="cellIs" dxfId="1314" priority="1386" stopIfTrue="1" operator="between">
      <formula>1.25</formula>
      <formula>1.75</formula>
    </cfRule>
  </conditionalFormatting>
  <conditionalFormatting sqref="P721">
    <cfRule type="cellIs" dxfId="1313" priority="1383" operator="lessThan">
      <formula>1000</formula>
    </cfRule>
    <cfRule type="cellIs" dxfId="1312" priority="1384" operator="lessThan">
      <formula>2000</formula>
    </cfRule>
  </conditionalFormatting>
  <conditionalFormatting sqref="C709:N709">
    <cfRule type="cellIs" dxfId="1311" priority="1381" stopIfTrue="1" operator="greaterThan">
      <formula>1.75</formula>
    </cfRule>
    <cfRule type="cellIs" dxfId="1310" priority="1382" stopIfTrue="1" operator="between">
      <formula>1.25</formula>
      <formula>1.75</formula>
    </cfRule>
  </conditionalFormatting>
  <conditionalFormatting sqref="P708">
    <cfRule type="cellIs" dxfId="1309" priority="1379" operator="lessThan">
      <formula>1000</formula>
    </cfRule>
    <cfRule type="cellIs" dxfId="1308" priority="1380" operator="lessThan">
      <formula>2000</formula>
    </cfRule>
  </conditionalFormatting>
  <conditionalFormatting sqref="C696:N696">
    <cfRule type="cellIs" dxfId="1307" priority="1377" stopIfTrue="1" operator="greaterThan">
      <formula>1.75</formula>
    </cfRule>
    <cfRule type="cellIs" dxfId="1306" priority="1378" stopIfTrue="1" operator="between">
      <formula>1.25</formula>
      <formula>1.75</formula>
    </cfRule>
  </conditionalFormatting>
  <conditionalFormatting sqref="P695">
    <cfRule type="cellIs" dxfId="1305" priority="1375" operator="lessThan">
      <formula>1000</formula>
    </cfRule>
    <cfRule type="cellIs" dxfId="1304" priority="1376" operator="lessThan">
      <formula>2000</formula>
    </cfRule>
  </conditionalFormatting>
  <conditionalFormatting sqref="C683:N683">
    <cfRule type="cellIs" dxfId="1303" priority="1373" stopIfTrue="1" operator="greaterThan">
      <formula>1.75</formula>
    </cfRule>
    <cfRule type="cellIs" dxfId="1302" priority="1374" stopIfTrue="1" operator="between">
      <formula>1.25</formula>
      <formula>1.75</formula>
    </cfRule>
  </conditionalFormatting>
  <conditionalFormatting sqref="P682">
    <cfRule type="cellIs" dxfId="1301" priority="1371" operator="lessThan">
      <formula>1000</formula>
    </cfRule>
    <cfRule type="cellIs" dxfId="1300" priority="1372" operator="lessThan">
      <formula>2000</formula>
    </cfRule>
  </conditionalFormatting>
  <conditionalFormatting sqref="C670:N670">
    <cfRule type="cellIs" dxfId="1299" priority="1369" stopIfTrue="1" operator="greaterThan">
      <formula>1.75</formula>
    </cfRule>
    <cfRule type="cellIs" dxfId="1298" priority="1370" stopIfTrue="1" operator="between">
      <formula>1.25</formula>
      <formula>1.75</formula>
    </cfRule>
  </conditionalFormatting>
  <conditionalFormatting sqref="P669">
    <cfRule type="cellIs" dxfId="1297" priority="1367" operator="lessThan">
      <formula>1000</formula>
    </cfRule>
    <cfRule type="cellIs" dxfId="1296" priority="1368" operator="lessThan">
      <formula>2000</formula>
    </cfRule>
  </conditionalFormatting>
  <conditionalFormatting sqref="C657:N657">
    <cfRule type="cellIs" dxfId="1295" priority="1365" stopIfTrue="1" operator="greaterThan">
      <formula>1.75</formula>
    </cfRule>
    <cfRule type="cellIs" dxfId="1294" priority="1366" stopIfTrue="1" operator="between">
      <formula>1.25</formula>
      <formula>1.75</formula>
    </cfRule>
  </conditionalFormatting>
  <conditionalFormatting sqref="P656">
    <cfRule type="cellIs" dxfId="1293" priority="1363" operator="lessThan">
      <formula>1000</formula>
    </cfRule>
    <cfRule type="cellIs" dxfId="1292" priority="1364" operator="lessThan">
      <formula>2000</formula>
    </cfRule>
  </conditionalFormatting>
  <conditionalFormatting sqref="C644:N644">
    <cfRule type="cellIs" dxfId="1291" priority="1361" stopIfTrue="1" operator="greaterThan">
      <formula>1.75</formula>
    </cfRule>
    <cfRule type="cellIs" dxfId="1290" priority="1362" stopIfTrue="1" operator="between">
      <formula>1.25</formula>
      <formula>1.75</formula>
    </cfRule>
  </conditionalFormatting>
  <conditionalFormatting sqref="P643">
    <cfRule type="cellIs" dxfId="1289" priority="1359" operator="lessThan">
      <formula>1000</formula>
    </cfRule>
    <cfRule type="cellIs" dxfId="1288" priority="1360" operator="lessThan">
      <formula>2000</formula>
    </cfRule>
  </conditionalFormatting>
  <conditionalFormatting sqref="C631:N631">
    <cfRule type="cellIs" dxfId="1287" priority="1357" stopIfTrue="1" operator="greaterThan">
      <formula>1.75</formula>
    </cfRule>
    <cfRule type="cellIs" dxfId="1286" priority="1358" stopIfTrue="1" operator="between">
      <formula>1.25</formula>
      <formula>1.75</formula>
    </cfRule>
  </conditionalFormatting>
  <conditionalFormatting sqref="P630">
    <cfRule type="cellIs" dxfId="1285" priority="1355" operator="lessThan">
      <formula>1000</formula>
    </cfRule>
    <cfRule type="cellIs" dxfId="1284" priority="1356" operator="lessThan">
      <formula>2000</formula>
    </cfRule>
  </conditionalFormatting>
  <conditionalFormatting sqref="C618:N618">
    <cfRule type="cellIs" dxfId="1283" priority="1353" stopIfTrue="1" operator="greaterThan">
      <formula>1.75</formula>
    </cfRule>
    <cfRule type="cellIs" dxfId="1282" priority="1354" stopIfTrue="1" operator="between">
      <formula>1.25</formula>
      <formula>1.75</formula>
    </cfRule>
  </conditionalFormatting>
  <conditionalFormatting sqref="P617">
    <cfRule type="cellIs" dxfId="1281" priority="1351" operator="lessThan">
      <formula>1000</formula>
    </cfRule>
    <cfRule type="cellIs" dxfId="1280" priority="1352" operator="lessThan">
      <formula>2000</formula>
    </cfRule>
  </conditionalFormatting>
  <conditionalFormatting sqref="C605:N605">
    <cfRule type="cellIs" dxfId="1279" priority="1349" stopIfTrue="1" operator="greaterThan">
      <formula>1.75</formula>
    </cfRule>
    <cfRule type="cellIs" dxfId="1278" priority="1350" stopIfTrue="1" operator="between">
      <formula>1.25</formula>
      <formula>1.75</formula>
    </cfRule>
  </conditionalFormatting>
  <conditionalFormatting sqref="P604">
    <cfRule type="cellIs" dxfId="1277" priority="1347" operator="lessThan">
      <formula>1000</formula>
    </cfRule>
    <cfRule type="cellIs" dxfId="1276" priority="1348" operator="lessThan">
      <formula>2000</formula>
    </cfRule>
  </conditionalFormatting>
  <conditionalFormatting sqref="C592:N592">
    <cfRule type="cellIs" dxfId="1275" priority="1345" stopIfTrue="1" operator="greaterThan">
      <formula>1.75</formula>
    </cfRule>
    <cfRule type="cellIs" dxfId="1274" priority="1346" stopIfTrue="1" operator="between">
      <formula>1.25</formula>
      <formula>1.75</formula>
    </cfRule>
  </conditionalFormatting>
  <conditionalFormatting sqref="P591">
    <cfRule type="cellIs" dxfId="1273" priority="1343" operator="lessThan">
      <formula>1000</formula>
    </cfRule>
    <cfRule type="cellIs" dxfId="1272" priority="1344" operator="lessThan">
      <formula>2000</formula>
    </cfRule>
  </conditionalFormatting>
  <conditionalFormatting sqref="C579:N579">
    <cfRule type="cellIs" dxfId="1271" priority="1341" stopIfTrue="1" operator="greaterThan">
      <formula>1.75</formula>
    </cfRule>
    <cfRule type="cellIs" dxfId="1270" priority="1342" stopIfTrue="1" operator="between">
      <formula>1.25</formula>
      <formula>1.75</formula>
    </cfRule>
  </conditionalFormatting>
  <conditionalFormatting sqref="P578">
    <cfRule type="cellIs" dxfId="1269" priority="1339" operator="lessThan">
      <formula>1000</formula>
    </cfRule>
    <cfRule type="cellIs" dxfId="1268" priority="1340" operator="lessThan">
      <formula>2000</formula>
    </cfRule>
  </conditionalFormatting>
  <conditionalFormatting sqref="C566:N566">
    <cfRule type="cellIs" dxfId="1267" priority="1337" stopIfTrue="1" operator="greaterThan">
      <formula>1.75</formula>
    </cfRule>
    <cfRule type="cellIs" dxfId="1266" priority="1338" stopIfTrue="1" operator="between">
      <formula>1.25</formula>
      <formula>1.75</formula>
    </cfRule>
  </conditionalFormatting>
  <conditionalFormatting sqref="P565">
    <cfRule type="cellIs" dxfId="1265" priority="1335" operator="lessThan">
      <formula>1000</formula>
    </cfRule>
    <cfRule type="cellIs" dxfId="1264" priority="1336" operator="lessThan">
      <formula>2000</formula>
    </cfRule>
  </conditionalFormatting>
  <conditionalFormatting sqref="C553:N553">
    <cfRule type="cellIs" dxfId="1263" priority="1333" stopIfTrue="1" operator="greaterThan">
      <formula>1.75</formula>
    </cfRule>
    <cfRule type="cellIs" dxfId="1262" priority="1334" stopIfTrue="1" operator="between">
      <formula>1.25</formula>
      <formula>1.75</formula>
    </cfRule>
  </conditionalFormatting>
  <conditionalFormatting sqref="P552">
    <cfRule type="cellIs" dxfId="1261" priority="1331" operator="lessThan">
      <formula>1000</formula>
    </cfRule>
    <cfRule type="cellIs" dxfId="1260" priority="1332" operator="lessThan">
      <formula>2000</formula>
    </cfRule>
  </conditionalFormatting>
  <conditionalFormatting sqref="C540:N540">
    <cfRule type="cellIs" dxfId="1259" priority="1329" stopIfTrue="1" operator="greaterThan">
      <formula>1.75</formula>
    </cfRule>
    <cfRule type="cellIs" dxfId="1258" priority="1330" stopIfTrue="1" operator="between">
      <formula>1.25</formula>
      <formula>1.75</formula>
    </cfRule>
  </conditionalFormatting>
  <conditionalFormatting sqref="P539">
    <cfRule type="cellIs" dxfId="1257" priority="1327" operator="lessThan">
      <formula>1000</formula>
    </cfRule>
    <cfRule type="cellIs" dxfId="1256" priority="1328" operator="lessThan">
      <formula>2000</formula>
    </cfRule>
  </conditionalFormatting>
  <conditionalFormatting sqref="C527:N527">
    <cfRule type="cellIs" dxfId="1255" priority="1325" stopIfTrue="1" operator="greaterThan">
      <formula>1.75</formula>
    </cfRule>
    <cfRule type="cellIs" dxfId="1254" priority="1326" stopIfTrue="1" operator="between">
      <formula>1.25</formula>
      <formula>1.75</formula>
    </cfRule>
  </conditionalFormatting>
  <conditionalFormatting sqref="P526">
    <cfRule type="cellIs" dxfId="1253" priority="1323" operator="lessThan">
      <formula>1000</formula>
    </cfRule>
    <cfRule type="cellIs" dxfId="1252" priority="1324" operator="lessThan">
      <formula>2000</formula>
    </cfRule>
  </conditionalFormatting>
  <conditionalFormatting sqref="C514:N514">
    <cfRule type="cellIs" dxfId="1251" priority="1321" stopIfTrue="1" operator="greaterThan">
      <formula>1.75</formula>
    </cfRule>
    <cfRule type="cellIs" dxfId="1250" priority="1322" stopIfTrue="1" operator="between">
      <formula>1.25</formula>
      <formula>1.75</formula>
    </cfRule>
  </conditionalFormatting>
  <conditionalFormatting sqref="P513">
    <cfRule type="cellIs" dxfId="1249" priority="1319" operator="lessThan">
      <formula>1000</formula>
    </cfRule>
    <cfRule type="cellIs" dxfId="1248" priority="1320" operator="lessThan">
      <formula>2000</formula>
    </cfRule>
  </conditionalFormatting>
  <conditionalFormatting sqref="C501:N501">
    <cfRule type="cellIs" dxfId="1247" priority="1317" stopIfTrue="1" operator="greaterThan">
      <formula>1.75</formula>
    </cfRule>
    <cfRule type="cellIs" dxfId="1246" priority="1318" stopIfTrue="1" operator="between">
      <formula>1.25</formula>
      <formula>1.75</formula>
    </cfRule>
  </conditionalFormatting>
  <conditionalFormatting sqref="P500">
    <cfRule type="cellIs" dxfId="1245" priority="1315" operator="lessThan">
      <formula>1000</formula>
    </cfRule>
    <cfRule type="cellIs" dxfId="1244" priority="1316" operator="lessThan">
      <formula>2000</formula>
    </cfRule>
  </conditionalFormatting>
  <conditionalFormatting sqref="C488:N488">
    <cfRule type="cellIs" dxfId="1243" priority="1313" stopIfTrue="1" operator="greaterThan">
      <formula>1.75</formula>
    </cfRule>
    <cfRule type="cellIs" dxfId="1242" priority="1314" stopIfTrue="1" operator="between">
      <formula>1.25</formula>
      <formula>1.75</formula>
    </cfRule>
  </conditionalFormatting>
  <conditionalFormatting sqref="P487">
    <cfRule type="cellIs" dxfId="1241" priority="1311" operator="lessThan">
      <formula>1000</formula>
    </cfRule>
    <cfRule type="cellIs" dxfId="1240" priority="1312" operator="lessThan">
      <formula>2000</formula>
    </cfRule>
  </conditionalFormatting>
  <conditionalFormatting sqref="C475:N475">
    <cfRule type="cellIs" dxfId="1239" priority="1309" stopIfTrue="1" operator="greaterThan">
      <formula>1.75</formula>
    </cfRule>
    <cfRule type="cellIs" dxfId="1238" priority="1310" stopIfTrue="1" operator="between">
      <formula>1.25</formula>
      <formula>1.75</formula>
    </cfRule>
  </conditionalFormatting>
  <conditionalFormatting sqref="P474">
    <cfRule type="cellIs" dxfId="1237" priority="1307" operator="lessThan">
      <formula>1000</formula>
    </cfRule>
    <cfRule type="cellIs" dxfId="1236" priority="1308" operator="lessThan">
      <formula>2000</formula>
    </cfRule>
  </conditionalFormatting>
  <conditionalFormatting sqref="C462:N462">
    <cfRule type="cellIs" dxfId="1235" priority="1305" stopIfTrue="1" operator="greaterThan">
      <formula>1.75</formula>
    </cfRule>
    <cfRule type="cellIs" dxfId="1234" priority="1306" stopIfTrue="1" operator="between">
      <formula>1.25</formula>
      <formula>1.75</formula>
    </cfRule>
  </conditionalFormatting>
  <conditionalFormatting sqref="P461">
    <cfRule type="cellIs" dxfId="1233" priority="1303" operator="lessThan">
      <formula>1000</formula>
    </cfRule>
    <cfRule type="cellIs" dxfId="1232" priority="1304" operator="lessThan">
      <formula>2000</formula>
    </cfRule>
  </conditionalFormatting>
  <conditionalFormatting sqref="C449:N449">
    <cfRule type="cellIs" dxfId="1231" priority="1301" stopIfTrue="1" operator="greaterThan">
      <formula>1.75</formula>
    </cfRule>
    <cfRule type="cellIs" dxfId="1230" priority="1302" stopIfTrue="1" operator="between">
      <formula>1.25</formula>
      <formula>1.75</formula>
    </cfRule>
  </conditionalFormatting>
  <conditionalFormatting sqref="P448">
    <cfRule type="cellIs" dxfId="1229" priority="1299" operator="lessThan">
      <formula>1000</formula>
    </cfRule>
    <cfRule type="cellIs" dxfId="1228" priority="1300" operator="lessThan">
      <formula>2000</formula>
    </cfRule>
  </conditionalFormatting>
  <conditionalFormatting sqref="C436:N436">
    <cfRule type="cellIs" dxfId="1227" priority="1297" stopIfTrue="1" operator="greaterThan">
      <formula>1.75</formula>
    </cfRule>
    <cfRule type="cellIs" dxfId="1226" priority="1298" stopIfTrue="1" operator="between">
      <formula>1.25</formula>
      <formula>1.75</formula>
    </cfRule>
  </conditionalFormatting>
  <conditionalFormatting sqref="P435">
    <cfRule type="cellIs" dxfId="1225" priority="1295" operator="lessThan">
      <formula>1000</formula>
    </cfRule>
    <cfRule type="cellIs" dxfId="1224" priority="1296" operator="lessThan">
      <formula>2000</formula>
    </cfRule>
  </conditionalFormatting>
  <conditionalFormatting sqref="C424:N424">
    <cfRule type="cellIs" dxfId="1223" priority="1293" stopIfTrue="1" operator="greaterThan">
      <formula>1.75</formula>
    </cfRule>
    <cfRule type="cellIs" dxfId="1222" priority="1294" stopIfTrue="1" operator="between">
      <formula>1.25</formula>
      <formula>1.75</formula>
    </cfRule>
  </conditionalFormatting>
  <conditionalFormatting sqref="P423">
    <cfRule type="cellIs" dxfId="1221" priority="1291" operator="lessThan">
      <formula>1000</formula>
    </cfRule>
    <cfRule type="cellIs" dxfId="1220" priority="1292" operator="lessThan">
      <formula>2000</formula>
    </cfRule>
  </conditionalFormatting>
  <conditionalFormatting sqref="C412:N412">
    <cfRule type="cellIs" dxfId="1219" priority="1289" stopIfTrue="1" operator="greaterThan">
      <formula>1.75</formula>
    </cfRule>
    <cfRule type="cellIs" dxfId="1218" priority="1290" stopIfTrue="1" operator="between">
      <formula>1.25</formula>
      <formula>1.75</formula>
    </cfRule>
  </conditionalFormatting>
  <conditionalFormatting sqref="P411">
    <cfRule type="cellIs" dxfId="1217" priority="1287" operator="lessThan">
      <formula>1000</formula>
    </cfRule>
    <cfRule type="cellIs" dxfId="1216" priority="1288" operator="lessThan">
      <formula>2000</formula>
    </cfRule>
  </conditionalFormatting>
  <conditionalFormatting sqref="C400:N400">
    <cfRule type="cellIs" dxfId="1215" priority="1285" stopIfTrue="1" operator="greaterThan">
      <formula>1.75</formula>
    </cfRule>
    <cfRule type="cellIs" dxfId="1214" priority="1286" stopIfTrue="1" operator="between">
      <formula>1.25</formula>
      <formula>1.75</formula>
    </cfRule>
  </conditionalFormatting>
  <conditionalFormatting sqref="P399">
    <cfRule type="cellIs" dxfId="1213" priority="1283" operator="lessThan">
      <formula>1000</formula>
    </cfRule>
    <cfRule type="cellIs" dxfId="1212" priority="1284" operator="lessThan">
      <formula>2000</formula>
    </cfRule>
  </conditionalFormatting>
  <conditionalFormatting sqref="C449:N449">
    <cfRule type="cellIs" dxfId="1211" priority="1281" stopIfTrue="1" operator="greaterThan">
      <formula>1.75</formula>
    </cfRule>
    <cfRule type="cellIs" dxfId="1210" priority="1282" stopIfTrue="1" operator="between">
      <formula>1.25</formula>
      <formula>1.75</formula>
    </cfRule>
  </conditionalFormatting>
  <conditionalFormatting sqref="C462:N462">
    <cfRule type="cellIs" dxfId="1209" priority="1279" stopIfTrue="1" operator="greaterThan">
      <formula>1.75</formula>
    </cfRule>
    <cfRule type="cellIs" dxfId="1208" priority="1280" stopIfTrue="1" operator="between">
      <formula>1.25</formula>
      <formula>1.75</formula>
    </cfRule>
  </conditionalFormatting>
  <conditionalFormatting sqref="C475:N475">
    <cfRule type="cellIs" dxfId="1207" priority="1277" stopIfTrue="1" operator="greaterThan">
      <formula>1.75</formula>
    </cfRule>
    <cfRule type="cellIs" dxfId="1206" priority="1278" stopIfTrue="1" operator="between">
      <formula>1.25</formula>
      <formula>1.75</formula>
    </cfRule>
  </conditionalFormatting>
  <conditionalFormatting sqref="C488:N488">
    <cfRule type="cellIs" dxfId="1205" priority="1275" stopIfTrue="1" operator="greaterThan">
      <formula>1.75</formula>
    </cfRule>
    <cfRule type="cellIs" dxfId="1204" priority="1276" stopIfTrue="1" operator="between">
      <formula>1.25</formula>
      <formula>1.75</formula>
    </cfRule>
  </conditionalFormatting>
  <conditionalFormatting sqref="C501:N501">
    <cfRule type="cellIs" dxfId="1203" priority="1273" stopIfTrue="1" operator="greaterThan">
      <formula>1.75</formula>
    </cfRule>
    <cfRule type="cellIs" dxfId="1202" priority="1274" stopIfTrue="1" operator="between">
      <formula>1.25</formula>
      <formula>1.75</formula>
    </cfRule>
  </conditionalFormatting>
  <conditionalFormatting sqref="C514:N514">
    <cfRule type="cellIs" dxfId="1201" priority="1271" stopIfTrue="1" operator="greaterThan">
      <formula>1.75</formula>
    </cfRule>
    <cfRule type="cellIs" dxfId="1200" priority="1272" stopIfTrue="1" operator="between">
      <formula>1.25</formula>
      <formula>1.75</formula>
    </cfRule>
  </conditionalFormatting>
  <conditionalFormatting sqref="C527:N527">
    <cfRule type="cellIs" dxfId="1199" priority="1269" stopIfTrue="1" operator="greaterThan">
      <formula>1.75</formula>
    </cfRule>
    <cfRule type="cellIs" dxfId="1198" priority="1270" stopIfTrue="1" operator="between">
      <formula>1.25</formula>
      <formula>1.75</formula>
    </cfRule>
  </conditionalFormatting>
  <conditionalFormatting sqref="C540:N540">
    <cfRule type="cellIs" dxfId="1197" priority="1267" stopIfTrue="1" operator="greaterThan">
      <formula>1.75</formula>
    </cfRule>
    <cfRule type="cellIs" dxfId="1196" priority="1268" stopIfTrue="1" operator="between">
      <formula>1.25</formula>
      <formula>1.75</formula>
    </cfRule>
  </conditionalFormatting>
  <conditionalFormatting sqref="C553:N553">
    <cfRule type="cellIs" dxfId="1195" priority="1265" stopIfTrue="1" operator="greaterThan">
      <formula>1.75</formula>
    </cfRule>
    <cfRule type="cellIs" dxfId="1194" priority="1266" stopIfTrue="1" operator="between">
      <formula>1.25</formula>
      <formula>1.75</formula>
    </cfRule>
  </conditionalFormatting>
  <conditionalFormatting sqref="C566:N566">
    <cfRule type="cellIs" dxfId="1193" priority="1263" stopIfTrue="1" operator="greaterThan">
      <formula>1.75</formula>
    </cfRule>
    <cfRule type="cellIs" dxfId="1192" priority="1264" stopIfTrue="1" operator="between">
      <formula>1.25</formula>
      <formula>1.75</formula>
    </cfRule>
  </conditionalFormatting>
  <conditionalFormatting sqref="C579:N579">
    <cfRule type="cellIs" dxfId="1191" priority="1261" stopIfTrue="1" operator="greaterThan">
      <formula>1.75</formula>
    </cfRule>
    <cfRule type="cellIs" dxfId="1190" priority="1262" stopIfTrue="1" operator="between">
      <formula>1.25</formula>
      <formula>1.75</formula>
    </cfRule>
  </conditionalFormatting>
  <conditionalFormatting sqref="C592:N592">
    <cfRule type="cellIs" dxfId="1189" priority="1259" stopIfTrue="1" operator="greaterThan">
      <formula>1.75</formula>
    </cfRule>
    <cfRule type="cellIs" dxfId="1188" priority="1260" stopIfTrue="1" operator="between">
      <formula>1.25</formula>
      <formula>1.75</formula>
    </cfRule>
  </conditionalFormatting>
  <conditionalFormatting sqref="C605:N605">
    <cfRule type="cellIs" dxfId="1187" priority="1257" stopIfTrue="1" operator="greaterThan">
      <formula>1.75</formula>
    </cfRule>
    <cfRule type="cellIs" dxfId="1186" priority="1258" stopIfTrue="1" operator="between">
      <formula>1.25</formula>
      <formula>1.75</formula>
    </cfRule>
  </conditionalFormatting>
  <conditionalFormatting sqref="C618:N618">
    <cfRule type="cellIs" dxfId="1185" priority="1255" stopIfTrue="1" operator="greaterThan">
      <formula>1.75</formula>
    </cfRule>
    <cfRule type="cellIs" dxfId="1184" priority="1256" stopIfTrue="1" operator="between">
      <formula>1.25</formula>
      <formula>1.75</formula>
    </cfRule>
  </conditionalFormatting>
  <conditionalFormatting sqref="C631:N631">
    <cfRule type="cellIs" dxfId="1183" priority="1253" stopIfTrue="1" operator="greaterThan">
      <formula>1.75</formula>
    </cfRule>
    <cfRule type="cellIs" dxfId="1182" priority="1254" stopIfTrue="1" operator="between">
      <formula>1.25</formula>
      <formula>1.75</formula>
    </cfRule>
  </conditionalFormatting>
  <conditionalFormatting sqref="C644:N644">
    <cfRule type="cellIs" dxfId="1181" priority="1251" stopIfTrue="1" operator="greaterThan">
      <formula>1.75</formula>
    </cfRule>
    <cfRule type="cellIs" dxfId="1180" priority="1252" stopIfTrue="1" operator="between">
      <formula>1.25</formula>
      <formula>1.75</formula>
    </cfRule>
  </conditionalFormatting>
  <conditionalFormatting sqref="C657:N657">
    <cfRule type="cellIs" dxfId="1179" priority="1249" stopIfTrue="1" operator="greaterThan">
      <formula>1.75</formula>
    </cfRule>
    <cfRule type="cellIs" dxfId="1178" priority="1250" stopIfTrue="1" operator="between">
      <formula>1.25</formula>
      <formula>1.75</formula>
    </cfRule>
  </conditionalFormatting>
  <conditionalFormatting sqref="C670:N670">
    <cfRule type="cellIs" dxfId="1177" priority="1247" stopIfTrue="1" operator="greaterThan">
      <formula>1.75</formula>
    </cfRule>
    <cfRule type="cellIs" dxfId="1176" priority="1248" stopIfTrue="1" operator="between">
      <formula>1.25</formula>
      <formula>1.75</formula>
    </cfRule>
  </conditionalFormatting>
  <conditionalFormatting sqref="C683:N683">
    <cfRule type="cellIs" dxfId="1175" priority="1245" stopIfTrue="1" operator="greaterThan">
      <formula>1.75</formula>
    </cfRule>
    <cfRule type="cellIs" dxfId="1174" priority="1246" stopIfTrue="1" operator="between">
      <formula>1.25</formula>
      <formula>1.75</formula>
    </cfRule>
  </conditionalFormatting>
  <conditionalFormatting sqref="C696:N696">
    <cfRule type="cellIs" dxfId="1173" priority="1243" stopIfTrue="1" operator="greaterThan">
      <formula>1.75</formula>
    </cfRule>
    <cfRule type="cellIs" dxfId="1172" priority="1244" stopIfTrue="1" operator="between">
      <formula>1.25</formula>
      <formula>1.75</formula>
    </cfRule>
  </conditionalFormatting>
  <conditionalFormatting sqref="C709:N709">
    <cfRule type="cellIs" dxfId="1171" priority="1241" stopIfTrue="1" operator="greaterThan">
      <formula>1.75</formula>
    </cfRule>
    <cfRule type="cellIs" dxfId="1170" priority="1242" stopIfTrue="1" operator="between">
      <formula>1.25</formula>
      <formula>1.75</formula>
    </cfRule>
  </conditionalFormatting>
  <conditionalFormatting sqref="C722:N722">
    <cfRule type="cellIs" dxfId="1169" priority="1239" stopIfTrue="1" operator="greaterThan">
      <formula>1.75</formula>
    </cfRule>
    <cfRule type="cellIs" dxfId="1168" priority="1240" stopIfTrue="1" operator="between">
      <formula>1.25</formula>
      <formula>1.75</formula>
    </cfRule>
  </conditionalFormatting>
  <conditionalFormatting sqref="C735:N735">
    <cfRule type="cellIs" dxfId="1167" priority="1237" stopIfTrue="1" operator="greaterThan">
      <formula>1.75</formula>
    </cfRule>
    <cfRule type="cellIs" dxfId="1166" priority="1238" stopIfTrue="1" operator="between">
      <formula>1.25</formula>
      <formula>1.75</formula>
    </cfRule>
  </conditionalFormatting>
  <conditionalFormatting sqref="C748:N748">
    <cfRule type="cellIs" dxfId="1165" priority="1235" stopIfTrue="1" operator="greaterThan">
      <formula>1.75</formula>
    </cfRule>
    <cfRule type="cellIs" dxfId="1164" priority="1236" stopIfTrue="1" operator="between">
      <formula>1.25</formula>
      <formula>1.75</formula>
    </cfRule>
  </conditionalFormatting>
  <conditionalFormatting sqref="C761:N761">
    <cfRule type="cellIs" dxfId="1163" priority="1233" stopIfTrue="1" operator="greaterThan">
      <formula>1.75</formula>
    </cfRule>
    <cfRule type="cellIs" dxfId="1162" priority="1234" stopIfTrue="1" operator="between">
      <formula>1.25</formula>
      <formula>1.75</formula>
    </cfRule>
  </conditionalFormatting>
  <conditionalFormatting sqref="C774:N774">
    <cfRule type="cellIs" dxfId="1161" priority="1231" stopIfTrue="1" operator="greaterThan">
      <formula>1.75</formula>
    </cfRule>
    <cfRule type="cellIs" dxfId="1160" priority="1232" stopIfTrue="1" operator="between">
      <formula>1.25</formula>
      <formula>1.75</formula>
    </cfRule>
  </conditionalFormatting>
  <conditionalFormatting sqref="C787:N787">
    <cfRule type="cellIs" dxfId="1159" priority="1229" stopIfTrue="1" operator="greaterThan">
      <formula>1.75</formula>
    </cfRule>
    <cfRule type="cellIs" dxfId="1158" priority="1230" stopIfTrue="1" operator="between">
      <formula>1.25</formula>
      <formula>1.75</formula>
    </cfRule>
  </conditionalFormatting>
  <conditionalFormatting sqref="C800:N800">
    <cfRule type="cellIs" dxfId="1157" priority="1227" stopIfTrue="1" operator="greaterThan">
      <formula>1.75</formula>
    </cfRule>
    <cfRule type="cellIs" dxfId="1156" priority="1228" stopIfTrue="1" operator="between">
      <formula>1.25</formula>
      <formula>1.75</formula>
    </cfRule>
  </conditionalFormatting>
  <conditionalFormatting sqref="C813:N813">
    <cfRule type="cellIs" dxfId="1155" priority="1225" stopIfTrue="1" operator="greaterThan">
      <formula>1.75</formula>
    </cfRule>
    <cfRule type="cellIs" dxfId="1154" priority="1226" stopIfTrue="1" operator="between">
      <formula>1.25</formula>
      <formula>1.75</formula>
    </cfRule>
  </conditionalFormatting>
  <conditionalFormatting sqref="C826:N826">
    <cfRule type="cellIs" dxfId="1153" priority="1223" stopIfTrue="1" operator="greaterThan">
      <formula>1.75</formula>
    </cfRule>
    <cfRule type="cellIs" dxfId="1152" priority="1224" stopIfTrue="1" operator="between">
      <formula>1.25</formula>
      <formula>1.75</formula>
    </cfRule>
  </conditionalFormatting>
  <conditionalFormatting sqref="C839:N839">
    <cfRule type="cellIs" dxfId="1151" priority="1221" stopIfTrue="1" operator="greaterThan">
      <formula>1.75</formula>
    </cfRule>
    <cfRule type="cellIs" dxfId="1150" priority="1222" stopIfTrue="1" operator="between">
      <formula>1.25</formula>
      <formula>1.75</formula>
    </cfRule>
  </conditionalFormatting>
  <conditionalFormatting sqref="C852:N852">
    <cfRule type="cellIs" dxfId="1149" priority="1219" stopIfTrue="1" operator="greaterThan">
      <formula>1.75</formula>
    </cfRule>
    <cfRule type="cellIs" dxfId="1148" priority="1220" stopIfTrue="1" operator="between">
      <formula>1.25</formula>
      <formula>1.75</formula>
    </cfRule>
  </conditionalFormatting>
  <conditionalFormatting sqref="C865:N865">
    <cfRule type="cellIs" dxfId="1147" priority="1217" stopIfTrue="1" operator="greaterThan">
      <formula>1.75</formula>
    </cfRule>
    <cfRule type="cellIs" dxfId="1146" priority="1218" stopIfTrue="1" operator="between">
      <formula>1.25</formula>
      <formula>1.75</formula>
    </cfRule>
  </conditionalFormatting>
  <conditionalFormatting sqref="C388:N388">
    <cfRule type="cellIs" dxfId="1145" priority="1215" stopIfTrue="1" operator="greaterThan">
      <formula>1.75</formula>
    </cfRule>
    <cfRule type="cellIs" dxfId="1144" priority="1216" stopIfTrue="1" operator="between">
      <formula>1.25</formula>
      <formula>1.75</formula>
    </cfRule>
  </conditionalFormatting>
  <conditionalFormatting sqref="P387">
    <cfRule type="cellIs" dxfId="1143" priority="1213" operator="lessThan">
      <formula>1000</formula>
    </cfRule>
    <cfRule type="cellIs" dxfId="1142" priority="1214" operator="lessThan">
      <formula>2000</formula>
    </cfRule>
  </conditionalFormatting>
  <conditionalFormatting sqref="C376:N376">
    <cfRule type="cellIs" dxfId="1141" priority="1211" stopIfTrue="1" operator="greaterThan">
      <formula>1.75</formula>
    </cfRule>
    <cfRule type="cellIs" dxfId="1140" priority="1212" stopIfTrue="1" operator="between">
      <formula>1.25</formula>
      <formula>1.75</formula>
    </cfRule>
  </conditionalFormatting>
  <conditionalFormatting sqref="P375">
    <cfRule type="cellIs" dxfId="1139" priority="1209" operator="lessThan">
      <formula>1000</formula>
    </cfRule>
    <cfRule type="cellIs" dxfId="1138" priority="1210" operator="lessThan">
      <formula>2000</formula>
    </cfRule>
  </conditionalFormatting>
  <conditionalFormatting sqref="C364:N364">
    <cfRule type="cellIs" dxfId="1137" priority="1207" stopIfTrue="1" operator="greaterThan">
      <formula>1.75</formula>
    </cfRule>
    <cfRule type="cellIs" dxfId="1136" priority="1208" stopIfTrue="1" operator="between">
      <formula>1.25</formula>
      <formula>1.75</formula>
    </cfRule>
  </conditionalFormatting>
  <conditionalFormatting sqref="P363">
    <cfRule type="cellIs" dxfId="1135" priority="1205" operator="lessThan">
      <formula>1000</formula>
    </cfRule>
    <cfRule type="cellIs" dxfId="1134" priority="1206" operator="lessThan">
      <formula>2000</formula>
    </cfRule>
  </conditionalFormatting>
  <conditionalFormatting sqref="C352:N352">
    <cfRule type="cellIs" dxfId="1133" priority="1203" stopIfTrue="1" operator="greaterThan">
      <formula>1.75</formula>
    </cfRule>
    <cfRule type="cellIs" dxfId="1132" priority="1204" stopIfTrue="1" operator="between">
      <formula>1.25</formula>
      <formula>1.75</formula>
    </cfRule>
  </conditionalFormatting>
  <conditionalFormatting sqref="P351">
    <cfRule type="cellIs" dxfId="1131" priority="1201" operator="lessThan">
      <formula>1000</formula>
    </cfRule>
    <cfRule type="cellIs" dxfId="1130" priority="1202" operator="lessThan">
      <formula>2000</formula>
    </cfRule>
  </conditionalFormatting>
  <conditionalFormatting sqref="C340:N340">
    <cfRule type="cellIs" dxfId="1129" priority="1199" stopIfTrue="1" operator="greaterThan">
      <formula>1.75</formula>
    </cfRule>
    <cfRule type="cellIs" dxfId="1128" priority="1200" stopIfTrue="1" operator="between">
      <formula>1.25</formula>
      <formula>1.75</formula>
    </cfRule>
  </conditionalFormatting>
  <conditionalFormatting sqref="P339">
    <cfRule type="cellIs" dxfId="1127" priority="1197" operator="lessThan">
      <formula>1000</formula>
    </cfRule>
    <cfRule type="cellIs" dxfId="1126" priority="1198" operator="lessThan">
      <formula>2000</formula>
    </cfRule>
  </conditionalFormatting>
  <conditionalFormatting sqref="C328:N328">
    <cfRule type="cellIs" dxfId="1125" priority="1195" stopIfTrue="1" operator="greaterThan">
      <formula>1.75</formula>
    </cfRule>
    <cfRule type="cellIs" dxfId="1124" priority="1196" stopIfTrue="1" operator="between">
      <formula>1.25</formula>
      <formula>1.75</formula>
    </cfRule>
  </conditionalFormatting>
  <conditionalFormatting sqref="P327">
    <cfRule type="cellIs" dxfId="1123" priority="1193" operator="lessThan">
      <formula>1000</formula>
    </cfRule>
    <cfRule type="cellIs" dxfId="1122" priority="1194" operator="lessThan">
      <formula>2000</formula>
    </cfRule>
  </conditionalFormatting>
  <conditionalFormatting sqref="C316:N316">
    <cfRule type="cellIs" dxfId="1121" priority="1191" stopIfTrue="1" operator="greaterThan">
      <formula>1.75</formula>
    </cfRule>
    <cfRule type="cellIs" dxfId="1120" priority="1192" stopIfTrue="1" operator="between">
      <formula>1.25</formula>
      <formula>1.75</formula>
    </cfRule>
  </conditionalFormatting>
  <conditionalFormatting sqref="P315">
    <cfRule type="cellIs" dxfId="1119" priority="1189" operator="lessThan">
      <formula>1000</formula>
    </cfRule>
    <cfRule type="cellIs" dxfId="1118" priority="1190" operator="lessThan">
      <formula>2000</formula>
    </cfRule>
  </conditionalFormatting>
  <conditionalFormatting sqref="C304:N304">
    <cfRule type="cellIs" dxfId="1117" priority="1187" stopIfTrue="1" operator="greaterThan">
      <formula>1.75</formula>
    </cfRule>
    <cfRule type="cellIs" dxfId="1116" priority="1188" stopIfTrue="1" operator="between">
      <formula>1.25</formula>
      <formula>1.75</formula>
    </cfRule>
  </conditionalFormatting>
  <conditionalFormatting sqref="P303">
    <cfRule type="cellIs" dxfId="1115" priority="1185" operator="lessThan">
      <formula>1000</formula>
    </cfRule>
    <cfRule type="cellIs" dxfId="1114" priority="1186" operator="lessThan">
      <formula>2000</formula>
    </cfRule>
  </conditionalFormatting>
  <conditionalFormatting sqref="C292:N292">
    <cfRule type="cellIs" dxfId="1113" priority="1183" stopIfTrue="1" operator="greaterThan">
      <formula>1.75</formula>
    </cfRule>
    <cfRule type="cellIs" dxfId="1112" priority="1184" stopIfTrue="1" operator="between">
      <formula>1.25</formula>
      <formula>1.75</formula>
    </cfRule>
  </conditionalFormatting>
  <conditionalFormatting sqref="P291">
    <cfRule type="cellIs" dxfId="1111" priority="1181" operator="lessThan">
      <formula>1000</formula>
    </cfRule>
    <cfRule type="cellIs" dxfId="1110" priority="1182" operator="lessThan">
      <formula>2000</formula>
    </cfRule>
  </conditionalFormatting>
  <conditionalFormatting sqref="C280:N280">
    <cfRule type="cellIs" dxfId="1109" priority="1179" stopIfTrue="1" operator="greaterThan">
      <formula>1.75</formula>
    </cfRule>
    <cfRule type="cellIs" dxfId="1108" priority="1180" stopIfTrue="1" operator="between">
      <formula>1.25</formula>
      <formula>1.75</formula>
    </cfRule>
  </conditionalFormatting>
  <conditionalFormatting sqref="P279">
    <cfRule type="cellIs" dxfId="1107" priority="1177" operator="lessThan">
      <formula>1000</formula>
    </cfRule>
    <cfRule type="cellIs" dxfId="1106" priority="1178" operator="lessThan">
      <formula>2000</formula>
    </cfRule>
  </conditionalFormatting>
  <conditionalFormatting sqref="C268:N268">
    <cfRule type="cellIs" dxfId="1105" priority="1175" stopIfTrue="1" operator="greaterThan">
      <formula>1.75</formula>
    </cfRule>
    <cfRule type="cellIs" dxfId="1104" priority="1176" stopIfTrue="1" operator="between">
      <formula>1.25</formula>
      <formula>1.75</formula>
    </cfRule>
  </conditionalFormatting>
  <conditionalFormatting sqref="P267">
    <cfRule type="cellIs" dxfId="1103" priority="1173" operator="lessThan">
      <formula>1000</formula>
    </cfRule>
    <cfRule type="cellIs" dxfId="1102" priority="1174" operator="lessThan">
      <formula>2000</formula>
    </cfRule>
  </conditionalFormatting>
  <conditionalFormatting sqref="C256:N256">
    <cfRule type="cellIs" dxfId="1101" priority="1171" stopIfTrue="1" operator="greaterThan">
      <formula>1.75</formula>
    </cfRule>
    <cfRule type="cellIs" dxfId="1100" priority="1172" stopIfTrue="1" operator="between">
      <formula>1.25</formula>
      <formula>1.75</formula>
    </cfRule>
  </conditionalFormatting>
  <conditionalFormatting sqref="P255">
    <cfRule type="cellIs" dxfId="1099" priority="1169" operator="lessThan">
      <formula>1000</formula>
    </cfRule>
    <cfRule type="cellIs" dxfId="1098" priority="1170" operator="lessThan">
      <formula>2000</formula>
    </cfRule>
  </conditionalFormatting>
  <conditionalFormatting sqref="C244:N244">
    <cfRule type="cellIs" dxfId="1097" priority="1167" stopIfTrue="1" operator="greaterThan">
      <formula>1.75</formula>
    </cfRule>
    <cfRule type="cellIs" dxfId="1096" priority="1168" stopIfTrue="1" operator="between">
      <formula>1.25</formula>
      <formula>1.75</formula>
    </cfRule>
  </conditionalFormatting>
  <conditionalFormatting sqref="P243">
    <cfRule type="cellIs" dxfId="1095" priority="1165" operator="lessThan">
      <formula>1000</formula>
    </cfRule>
    <cfRule type="cellIs" dxfId="1094" priority="1166" operator="lessThan">
      <formula>2000</formula>
    </cfRule>
  </conditionalFormatting>
  <conditionalFormatting sqref="C232:N232">
    <cfRule type="cellIs" dxfId="1093" priority="1163" stopIfTrue="1" operator="greaterThan">
      <formula>1.75</formula>
    </cfRule>
    <cfRule type="cellIs" dxfId="1092" priority="1164" stopIfTrue="1" operator="between">
      <formula>1.25</formula>
      <formula>1.75</formula>
    </cfRule>
  </conditionalFormatting>
  <conditionalFormatting sqref="P231">
    <cfRule type="cellIs" dxfId="1091" priority="1161" operator="lessThan">
      <formula>1000</formula>
    </cfRule>
    <cfRule type="cellIs" dxfId="1090" priority="1162" operator="lessThan">
      <formula>2000</formula>
    </cfRule>
  </conditionalFormatting>
  <conditionalFormatting sqref="C215:N215">
    <cfRule type="cellIs" dxfId="1089" priority="1159" stopIfTrue="1" operator="greaterThan">
      <formula>1.75</formula>
    </cfRule>
    <cfRule type="cellIs" dxfId="1088" priority="1160" stopIfTrue="1" operator="between">
      <formula>1.25</formula>
      <formula>1.75</formula>
    </cfRule>
  </conditionalFormatting>
  <conditionalFormatting sqref="P214">
    <cfRule type="cellIs" dxfId="1087" priority="1157" operator="lessThan">
      <formula>1000</formula>
    </cfRule>
    <cfRule type="cellIs" dxfId="1086" priority="1158" operator="lessThan">
      <formula>2000</formula>
    </cfRule>
  </conditionalFormatting>
  <conditionalFormatting sqref="C198:Q198">
    <cfRule type="cellIs" dxfId="1085" priority="1149" stopIfTrue="1" operator="greaterThan">
      <formula>1.75</formula>
    </cfRule>
    <cfRule type="cellIs" dxfId="1084" priority="1150" stopIfTrue="1" operator="between">
      <formula>1.25</formula>
      <formula>1.75</formula>
    </cfRule>
  </conditionalFormatting>
  <conditionalFormatting sqref="C198:Q198">
    <cfRule type="cellIs" dxfId="1083" priority="1151" stopIfTrue="1" operator="greaterThan">
      <formula>1.75</formula>
    </cfRule>
    <cfRule type="cellIs" dxfId="1082" priority="1152" stopIfTrue="1" operator="between">
      <formula>1.25</formula>
      <formula>1.75</formula>
    </cfRule>
  </conditionalFormatting>
  <conditionalFormatting sqref="C198:Q198">
    <cfRule type="cellIs" dxfId="1081" priority="1147" stopIfTrue="1" operator="greaterThan">
      <formula>1.75</formula>
    </cfRule>
    <cfRule type="cellIs" dxfId="1080" priority="1148" stopIfTrue="1" operator="between">
      <formula>1.25</formula>
      <formula>1.75</formula>
    </cfRule>
  </conditionalFormatting>
  <conditionalFormatting sqref="C197:Q197">
    <cfRule type="cellIs" dxfId="1079" priority="1121" stopIfTrue="1" operator="greaterThan">
      <formula>1.75</formula>
    </cfRule>
    <cfRule type="cellIs" dxfId="1078" priority="1122" stopIfTrue="1" operator="between">
      <formula>1.25</formula>
      <formula>1.75</formula>
    </cfRule>
  </conditionalFormatting>
  <conditionalFormatting sqref="C197:Q197">
    <cfRule type="cellIs" dxfId="1077" priority="1123" stopIfTrue="1" operator="greaterThan">
      <formula>1.75</formula>
    </cfRule>
    <cfRule type="cellIs" dxfId="1076" priority="1124" stopIfTrue="1" operator="between">
      <formula>1.25</formula>
      <formula>1.75</formula>
    </cfRule>
  </conditionalFormatting>
  <conditionalFormatting sqref="C197:Q197">
    <cfRule type="cellIs" dxfId="1075" priority="1119" stopIfTrue="1" operator="greaterThan">
      <formula>1.75</formula>
    </cfRule>
    <cfRule type="cellIs" dxfId="1074" priority="1120" stopIfTrue="1" operator="between">
      <formula>1.25</formula>
      <formula>1.75</formula>
    </cfRule>
  </conditionalFormatting>
  <conditionalFormatting sqref="C180:Q180">
    <cfRule type="cellIs" dxfId="1073" priority="1113" stopIfTrue="1" operator="greaterThan">
      <formula>1.75</formula>
    </cfRule>
    <cfRule type="cellIs" dxfId="1072" priority="1114" stopIfTrue="1" operator="between">
      <formula>1.25</formula>
      <formula>1.75</formula>
    </cfRule>
  </conditionalFormatting>
  <conditionalFormatting sqref="C180:Q180">
    <cfRule type="cellIs" dxfId="1071" priority="1115" stopIfTrue="1" operator="greaterThan">
      <formula>1.75</formula>
    </cfRule>
    <cfRule type="cellIs" dxfId="1070" priority="1116" stopIfTrue="1" operator="between">
      <formula>1.25</formula>
      <formula>1.75</formula>
    </cfRule>
  </conditionalFormatting>
  <conditionalFormatting sqref="C180:Q180">
    <cfRule type="cellIs" dxfId="1069" priority="1111" stopIfTrue="1" operator="greaterThan">
      <formula>1.75</formula>
    </cfRule>
    <cfRule type="cellIs" dxfId="1068" priority="1112" stopIfTrue="1" operator="between">
      <formula>1.25</formula>
      <formula>1.75</formula>
    </cfRule>
  </conditionalFormatting>
  <conditionalFormatting sqref="C179:Q179">
    <cfRule type="cellIs" dxfId="1067" priority="1107" stopIfTrue="1" operator="greaterThan">
      <formula>1.75</formula>
    </cfRule>
    <cfRule type="cellIs" dxfId="1066" priority="1108" stopIfTrue="1" operator="between">
      <formula>1.25</formula>
      <formula>1.75</formula>
    </cfRule>
  </conditionalFormatting>
  <conditionalFormatting sqref="C179:Q179">
    <cfRule type="cellIs" dxfId="1065" priority="1109" stopIfTrue="1" operator="greaterThan">
      <formula>1.75</formula>
    </cfRule>
    <cfRule type="cellIs" dxfId="1064" priority="1110" stopIfTrue="1" operator="between">
      <formula>1.25</formula>
      <formula>1.75</formula>
    </cfRule>
  </conditionalFormatting>
  <conditionalFormatting sqref="C179:Q179">
    <cfRule type="cellIs" dxfId="1063" priority="1105" stopIfTrue="1" operator="greaterThan">
      <formula>1.75</formula>
    </cfRule>
    <cfRule type="cellIs" dxfId="1062" priority="1106" stopIfTrue="1" operator="between">
      <formula>1.25</formula>
      <formula>1.75</formula>
    </cfRule>
  </conditionalFormatting>
  <conditionalFormatting sqref="C162:Q162">
    <cfRule type="cellIs" dxfId="1061" priority="1099" stopIfTrue="1" operator="greaterThan">
      <formula>1.75</formula>
    </cfRule>
    <cfRule type="cellIs" dxfId="1060" priority="1100" stopIfTrue="1" operator="between">
      <formula>1.25</formula>
      <formula>1.75</formula>
    </cfRule>
  </conditionalFormatting>
  <conditionalFormatting sqref="C162:Q162">
    <cfRule type="cellIs" dxfId="1059" priority="1101" stopIfTrue="1" operator="greaterThan">
      <formula>1.75</formula>
    </cfRule>
    <cfRule type="cellIs" dxfId="1058" priority="1102" stopIfTrue="1" operator="between">
      <formula>1.25</formula>
      <formula>1.75</formula>
    </cfRule>
  </conditionalFormatting>
  <conditionalFormatting sqref="C162:Q162">
    <cfRule type="cellIs" dxfId="1057" priority="1097" stopIfTrue="1" operator="greaterThan">
      <formula>1.75</formula>
    </cfRule>
    <cfRule type="cellIs" dxfId="1056" priority="1098" stopIfTrue="1" operator="between">
      <formula>1.25</formula>
      <formula>1.75</formula>
    </cfRule>
  </conditionalFormatting>
  <conditionalFormatting sqref="C161:Q161">
    <cfRule type="cellIs" dxfId="1055" priority="1093" stopIfTrue="1" operator="greaterThan">
      <formula>1.75</formula>
    </cfRule>
    <cfRule type="cellIs" dxfId="1054" priority="1094" stopIfTrue="1" operator="between">
      <formula>1.25</formula>
      <formula>1.75</formula>
    </cfRule>
  </conditionalFormatting>
  <conditionalFormatting sqref="C161:Q161">
    <cfRule type="cellIs" dxfId="1053" priority="1095" stopIfTrue="1" operator="greaterThan">
      <formula>1.75</formula>
    </cfRule>
    <cfRule type="cellIs" dxfId="1052" priority="1096" stopIfTrue="1" operator="between">
      <formula>1.25</formula>
      <formula>1.75</formula>
    </cfRule>
  </conditionalFormatting>
  <conditionalFormatting sqref="C161:Q161">
    <cfRule type="cellIs" dxfId="1051" priority="1091" stopIfTrue="1" operator="greaterThan">
      <formula>1.75</formula>
    </cfRule>
    <cfRule type="cellIs" dxfId="1050" priority="1092" stopIfTrue="1" operator="between">
      <formula>1.25</formula>
      <formula>1.75</formula>
    </cfRule>
  </conditionalFormatting>
  <conditionalFormatting sqref="C144:Q144">
    <cfRule type="cellIs" dxfId="1049" priority="1085" stopIfTrue="1" operator="greaterThan">
      <formula>1.75</formula>
    </cfRule>
    <cfRule type="cellIs" dxfId="1048" priority="1086" stopIfTrue="1" operator="between">
      <formula>1.25</formula>
      <formula>1.75</formula>
    </cfRule>
  </conditionalFormatting>
  <conditionalFormatting sqref="C144:Q144">
    <cfRule type="cellIs" dxfId="1047" priority="1087" stopIfTrue="1" operator="greaterThan">
      <formula>1.75</formula>
    </cfRule>
    <cfRule type="cellIs" dxfId="1046" priority="1088" stopIfTrue="1" operator="between">
      <formula>1.25</formula>
      <formula>1.75</formula>
    </cfRule>
  </conditionalFormatting>
  <conditionalFormatting sqref="C144:Q144">
    <cfRule type="cellIs" dxfId="1045" priority="1083" stopIfTrue="1" operator="greaterThan">
      <formula>1.75</formula>
    </cfRule>
    <cfRule type="cellIs" dxfId="1044" priority="1084" stopIfTrue="1" operator="between">
      <formula>1.25</formula>
      <formula>1.75</formula>
    </cfRule>
  </conditionalFormatting>
  <conditionalFormatting sqref="C143:Q143">
    <cfRule type="cellIs" dxfId="1043" priority="1079" stopIfTrue="1" operator="greaterThan">
      <formula>1.75</formula>
    </cfRule>
    <cfRule type="cellIs" dxfId="1042" priority="1080" stopIfTrue="1" operator="between">
      <formula>1.25</formula>
      <formula>1.75</formula>
    </cfRule>
  </conditionalFormatting>
  <conditionalFormatting sqref="C143:Q143">
    <cfRule type="cellIs" dxfId="1041" priority="1081" stopIfTrue="1" operator="greaterThan">
      <formula>1.75</formula>
    </cfRule>
    <cfRule type="cellIs" dxfId="1040" priority="1082" stopIfTrue="1" operator="between">
      <formula>1.25</formula>
      <formula>1.75</formula>
    </cfRule>
  </conditionalFormatting>
  <conditionalFormatting sqref="C143:Q143">
    <cfRule type="cellIs" dxfId="1039" priority="1077" stopIfTrue="1" operator="greaterThan">
      <formula>1.75</formula>
    </cfRule>
    <cfRule type="cellIs" dxfId="1038" priority="1078" stopIfTrue="1" operator="between">
      <formula>1.25</formula>
      <formula>1.75</formula>
    </cfRule>
  </conditionalFormatting>
  <conditionalFormatting sqref="C126:Q126">
    <cfRule type="cellIs" dxfId="1037" priority="1071" stopIfTrue="1" operator="greaterThan">
      <formula>1.75</formula>
    </cfRule>
    <cfRule type="cellIs" dxfId="1036" priority="1072" stopIfTrue="1" operator="between">
      <formula>1.25</formula>
      <formula>1.75</formula>
    </cfRule>
  </conditionalFormatting>
  <conditionalFormatting sqref="C126:Q126">
    <cfRule type="cellIs" dxfId="1035" priority="1073" stopIfTrue="1" operator="greaterThan">
      <formula>1.75</formula>
    </cfRule>
    <cfRule type="cellIs" dxfId="1034" priority="1074" stopIfTrue="1" operator="between">
      <formula>1.25</formula>
      <formula>1.75</formula>
    </cfRule>
  </conditionalFormatting>
  <conditionalFormatting sqref="C126:Q126">
    <cfRule type="cellIs" dxfId="1033" priority="1069" stopIfTrue="1" operator="greaterThan">
      <formula>1.75</formula>
    </cfRule>
    <cfRule type="cellIs" dxfId="1032" priority="1070" stopIfTrue="1" operator="between">
      <formula>1.25</formula>
      <formula>1.75</formula>
    </cfRule>
  </conditionalFormatting>
  <conditionalFormatting sqref="C125:Q125">
    <cfRule type="cellIs" dxfId="1031" priority="1065" stopIfTrue="1" operator="greaterThan">
      <formula>1.75</formula>
    </cfRule>
    <cfRule type="cellIs" dxfId="1030" priority="1066" stopIfTrue="1" operator="between">
      <formula>1.25</formula>
      <formula>1.75</formula>
    </cfRule>
  </conditionalFormatting>
  <conditionalFormatting sqref="C125:Q125">
    <cfRule type="cellIs" dxfId="1029" priority="1067" stopIfTrue="1" operator="greaterThan">
      <formula>1.75</formula>
    </cfRule>
    <cfRule type="cellIs" dxfId="1028" priority="1068" stopIfTrue="1" operator="between">
      <formula>1.25</formula>
      <formula>1.75</formula>
    </cfRule>
  </conditionalFormatting>
  <conditionalFormatting sqref="C125:Q125">
    <cfRule type="cellIs" dxfId="1027" priority="1063" stopIfTrue="1" operator="greaterThan">
      <formula>1.75</formula>
    </cfRule>
    <cfRule type="cellIs" dxfId="1026" priority="1064" stopIfTrue="1" operator="between">
      <formula>1.25</formula>
      <formula>1.75</formula>
    </cfRule>
  </conditionalFormatting>
  <conditionalFormatting sqref="C108:Q108">
    <cfRule type="cellIs" dxfId="1025" priority="1057" stopIfTrue="1" operator="greaterThan">
      <formula>1.75</formula>
    </cfRule>
    <cfRule type="cellIs" dxfId="1024" priority="1058" stopIfTrue="1" operator="between">
      <formula>1.25</formula>
      <formula>1.75</formula>
    </cfRule>
  </conditionalFormatting>
  <conditionalFormatting sqref="C108:Q108">
    <cfRule type="cellIs" dxfId="1023" priority="1059" stopIfTrue="1" operator="greaterThan">
      <formula>1.75</formula>
    </cfRule>
    <cfRule type="cellIs" dxfId="1022" priority="1060" stopIfTrue="1" operator="between">
      <formula>1.25</formula>
      <formula>1.75</formula>
    </cfRule>
  </conditionalFormatting>
  <conditionalFormatting sqref="C108:Q108">
    <cfRule type="cellIs" dxfId="1021" priority="1055" stopIfTrue="1" operator="greaterThan">
      <formula>1.75</formula>
    </cfRule>
    <cfRule type="cellIs" dxfId="1020" priority="1056" stopIfTrue="1" operator="between">
      <formula>1.25</formula>
      <formula>1.75</formula>
    </cfRule>
  </conditionalFormatting>
  <conditionalFormatting sqref="C107:Q107">
    <cfRule type="cellIs" dxfId="1019" priority="1051" stopIfTrue="1" operator="greaterThan">
      <formula>1.75</formula>
    </cfRule>
    <cfRule type="cellIs" dxfId="1018" priority="1052" stopIfTrue="1" operator="between">
      <formula>1.25</formula>
      <formula>1.75</formula>
    </cfRule>
  </conditionalFormatting>
  <conditionalFormatting sqref="C107:Q107">
    <cfRule type="cellIs" dxfId="1017" priority="1053" stopIfTrue="1" operator="greaterThan">
      <formula>1.75</formula>
    </cfRule>
    <cfRule type="cellIs" dxfId="1016" priority="1054" stopIfTrue="1" operator="between">
      <formula>1.25</formula>
      <formula>1.75</formula>
    </cfRule>
  </conditionalFormatting>
  <conditionalFormatting sqref="C107:Q107">
    <cfRule type="cellIs" dxfId="1015" priority="1049" stopIfTrue="1" operator="greaterThan">
      <formula>1.75</formula>
    </cfRule>
    <cfRule type="cellIs" dxfId="1014" priority="1050" stopIfTrue="1" operator="between">
      <formula>1.25</formula>
      <formula>1.75</formula>
    </cfRule>
  </conditionalFormatting>
  <conditionalFormatting sqref="C90:Q90">
    <cfRule type="cellIs" dxfId="1013" priority="1043" stopIfTrue="1" operator="greaterThan">
      <formula>1.75</formula>
    </cfRule>
    <cfRule type="cellIs" dxfId="1012" priority="1044" stopIfTrue="1" operator="between">
      <formula>1.25</formula>
      <formula>1.75</formula>
    </cfRule>
  </conditionalFormatting>
  <conditionalFormatting sqref="C90:Q90">
    <cfRule type="cellIs" dxfId="1011" priority="1045" stopIfTrue="1" operator="greaterThan">
      <formula>1.75</formula>
    </cfRule>
    <cfRule type="cellIs" dxfId="1010" priority="1046" stopIfTrue="1" operator="between">
      <formula>1.25</formula>
      <formula>1.75</formula>
    </cfRule>
  </conditionalFormatting>
  <conditionalFormatting sqref="C90:Q90">
    <cfRule type="cellIs" dxfId="1009" priority="1041" stopIfTrue="1" operator="greaterThan">
      <formula>1.75</formula>
    </cfRule>
    <cfRule type="cellIs" dxfId="1008" priority="1042" stopIfTrue="1" operator="between">
      <formula>1.25</formula>
      <formula>1.75</formula>
    </cfRule>
  </conditionalFormatting>
  <conditionalFormatting sqref="C89:Q89">
    <cfRule type="cellIs" dxfId="1007" priority="1037" stopIfTrue="1" operator="greaterThan">
      <formula>1.75</formula>
    </cfRule>
    <cfRule type="cellIs" dxfId="1006" priority="1038" stopIfTrue="1" operator="between">
      <formula>1.25</formula>
      <formula>1.75</formula>
    </cfRule>
  </conditionalFormatting>
  <conditionalFormatting sqref="C89:Q89">
    <cfRule type="cellIs" dxfId="1005" priority="1039" stopIfTrue="1" operator="greaterThan">
      <formula>1.75</formula>
    </cfRule>
    <cfRule type="cellIs" dxfId="1004" priority="1040" stopIfTrue="1" operator="between">
      <formula>1.25</formula>
      <formula>1.75</formula>
    </cfRule>
  </conditionalFormatting>
  <conditionalFormatting sqref="C89:Q89">
    <cfRule type="cellIs" dxfId="1003" priority="1035" stopIfTrue="1" operator="greaterThan">
      <formula>1.75</formula>
    </cfRule>
    <cfRule type="cellIs" dxfId="1002" priority="1036" stopIfTrue="1" operator="between">
      <formula>1.25</formula>
      <formula>1.75</formula>
    </cfRule>
  </conditionalFormatting>
  <conditionalFormatting sqref="C72:Q72">
    <cfRule type="cellIs" dxfId="1001" priority="1031" stopIfTrue="1" operator="greaterThan">
      <formula>1.75</formula>
    </cfRule>
    <cfRule type="cellIs" dxfId="1000" priority="1032" stopIfTrue="1" operator="between">
      <formula>1.25</formula>
      <formula>1.75</formula>
    </cfRule>
  </conditionalFormatting>
  <conditionalFormatting sqref="C72:Q72">
    <cfRule type="cellIs" dxfId="999" priority="1029" stopIfTrue="1" operator="greaterThan">
      <formula>1.75</formula>
    </cfRule>
    <cfRule type="cellIs" dxfId="998" priority="1030" stopIfTrue="1" operator="between">
      <formula>1.25</formula>
      <formula>1.75</formula>
    </cfRule>
  </conditionalFormatting>
  <conditionalFormatting sqref="C72:Q72">
    <cfRule type="cellIs" dxfId="997" priority="1027" stopIfTrue="1" operator="greaterThan">
      <formula>1.75</formula>
    </cfRule>
    <cfRule type="cellIs" dxfId="996" priority="1028" stopIfTrue="1" operator="between">
      <formula>1.25</formula>
      <formula>1.75</formula>
    </cfRule>
  </conditionalFormatting>
  <conditionalFormatting sqref="C71:Q71">
    <cfRule type="cellIs" dxfId="995" priority="1025" stopIfTrue="1" operator="greaterThan">
      <formula>1.75</formula>
    </cfRule>
    <cfRule type="cellIs" dxfId="994" priority="1026" stopIfTrue="1" operator="between">
      <formula>1.25</formula>
      <formula>1.75</formula>
    </cfRule>
  </conditionalFormatting>
  <conditionalFormatting sqref="C71:Q71">
    <cfRule type="cellIs" dxfId="993" priority="1023" stopIfTrue="1" operator="greaterThan">
      <formula>1.75</formula>
    </cfRule>
    <cfRule type="cellIs" dxfId="992" priority="1024" stopIfTrue="1" operator="between">
      <formula>1.25</formula>
      <formula>1.75</formula>
    </cfRule>
  </conditionalFormatting>
  <conditionalFormatting sqref="C71:Q71">
    <cfRule type="cellIs" dxfId="991" priority="1021" stopIfTrue="1" operator="greaterThan">
      <formula>1.75</formula>
    </cfRule>
    <cfRule type="cellIs" dxfId="990" priority="1022" stopIfTrue="1" operator="between">
      <formula>1.25</formula>
      <formula>1.75</formula>
    </cfRule>
  </conditionalFormatting>
  <conditionalFormatting sqref="C72">
    <cfRule type="cellIs" dxfId="989" priority="1013" stopIfTrue="1" operator="greaterThan">
      <formula>1.75</formula>
    </cfRule>
    <cfRule type="cellIs" dxfId="988" priority="1014" stopIfTrue="1" operator="between">
      <formula>1.25</formula>
      <formula>1.75</formula>
    </cfRule>
  </conditionalFormatting>
  <conditionalFormatting sqref="C72">
    <cfRule type="cellIs" dxfId="987" priority="1011" stopIfTrue="1" operator="greaterThan">
      <formula>1.75</formula>
    </cfRule>
    <cfRule type="cellIs" dxfId="986" priority="1012" stopIfTrue="1" operator="between">
      <formula>1.25</formula>
      <formula>1.75</formula>
    </cfRule>
  </conditionalFormatting>
  <conditionalFormatting sqref="C72">
    <cfRule type="cellIs" dxfId="985" priority="1009" stopIfTrue="1" operator="greaterThan">
      <formula>1.75</formula>
    </cfRule>
    <cfRule type="cellIs" dxfId="984" priority="1010" stopIfTrue="1" operator="between">
      <formula>1.25</formula>
      <formula>1.75</formula>
    </cfRule>
  </conditionalFormatting>
  <conditionalFormatting sqref="D72">
    <cfRule type="cellIs" dxfId="983" priority="1007" stopIfTrue="1" operator="greaterThan">
      <formula>1.75</formula>
    </cfRule>
    <cfRule type="cellIs" dxfId="982" priority="1008" stopIfTrue="1" operator="between">
      <formula>1.25</formula>
      <formula>1.75</formula>
    </cfRule>
  </conditionalFormatting>
  <conditionalFormatting sqref="D72">
    <cfRule type="cellIs" dxfId="981" priority="1005" stopIfTrue="1" operator="greaterThan">
      <formula>1.75</formula>
    </cfRule>
    <cfRule type="cellIs" dxfId="980" priority="1006" stopIfTrue="1" operator="between">
      <formula>1.25</formula>
      <formula>1.75</formula>
    </cfRule>
  </conditionalFormatting>
  <conditionalFormatting sqref="D72">
    <cfRule type="cellIs" dxfId="979" priority="1003" stopIfTrue="1" operator="greaterThan">
      <formula>1.75</formula>
    </cfRule>
    <cfRule type="cellIs" dxfId="978" priority="1004" stopIfTrue="1" operator="between">
      <formula>1.25</formula>
      <formula>1.75</formula>
    </cfRule>
  </conditionalFormatting>
  <conditionalFormatting sqref="E72">
    <cfRule type="cellIs" dxfId="977" priority="1001" stopIfTrue="1" operator="greaterThan">
      <formula>1.75</formula>
    </cfRule>
    <cfRule type="cellIs" dxfId="976" priority="1002" stopIfTrue="1" operator="between">
      <formula>1.25</formula>
      <formula>1.75</formula>
    </cfRule>
  </conditionalFormatting>
  <conditionalFormatting sqref="E72">
    <cfRule type="cellIs" dxfId="975" priority="999" stopIfTrue="1" operator="greaterThan">
      <formula>1.75</formula>
    </cfRule>
    <cfRule type="cellIs" dxfId="974" priority="1000" stopIfTrue="1" operator="between">
      <formula>1.25</formula>
      <formula>1.75</formula>
    </cfRule>
  </conditionalFormatting>
  <conditionalFormatting sqref="E72">
    <cfRule type="cellIs" dxfId="973" priority="997" stopIfTrue="1" operator="greaterThan">
      <formula>1.75</formula>
    </cfRule>
    <cfRule type="cellIs" dxfId="972" priority="998" stopIfTrue="1" operator="between">
      <formula>1.25</formula>
      <formula>1.75</formula>
    </cfRule>
  </conditionalFormatting>
  <conditionalFormatting sqref="F72">
    <cfRule type="cellIs" dxfId="971" priority="995" stopIfTrue="1" operator="greaterThan">
      <formula>1.75</formula>
    </cfRule>
    <cfRule type="cellIs" dxfId="970" priority="996" stopIfTrue="1" operator="between">
      <formula>1.25</formula>
      <formula>1.75</formula>
    </cfRule>
  </conditionalFormatting>
  <conditionalFormatting sqref="F72">
    <cfRule type="cellIs" dxfId="969" priority="993" stopIfTrue="1" operator="greaterThan">
      <formula>1.75</formula>
    </cfRule>
    <cfRule type="cellIs" dxfId="968" priority="994" stopIfTrue="1" operator="between">
      <formula>1.25</formula>
      <formula>1.75</formula>
    </cfRule>
  </conditionalFormatting>
  <conditionalFormatting sqref="F72">
    <cfRule type="cellIs" dxfId="967" priority="991" stopIfTrue="1" operator="greaterThan">
      <formula>1.75</formula>
    </cfRule>
    <cfRule type="cellIs" dxfId="966" priority="992" stopIfTrue="1" operator="between">
      <formula>1.25</formula>
      <formula>1.75</formula>
    </cfRule>
  </conditionalFormatting>
  <conditionalFormatting sqref="D72">
    <cfRule type="cellIs" dxfId="965" priority="989" stopIfTrue="1" operator="greaterThan">
      <formula>1.75</formula>
    </cfRule>
    <cfRule type="cellIs" dxfId="964" priority="990" stopIfTrue="1" operator="between">
      <formula>1.25</formula>
      <formula>1.75</formula>
    </cfRule>
  </conditionalFormatting>
  <conditionalFormatting sqref="D72">
    <cfRule type="cellIs" dxfId="963" priority="987" stopIfTrue="1" operator="greaterThan">
      <formula>1.75</formula>
    </cfRule>
    <cfRule type="cellIs" dxfId="962" priority="988" stopIfTrue="1" operator="between">
      <formula>1.25</formula>
      <formula>1.75</formula>
    </cfRule>
  </conditionalFormatting>
  <conditionalFormatting sqref="D72">
    <cfRule type="cellIs" dxfId="961" priority="985" stopIfTrue="1" operator="greaterThan">
      <formula>1.75</formula>
    </cfRule>
    <cfRule type="cellIs" dxfId="960" priority="986" stopIfTrue="1" operator="between">
      <formula>1.25</formula>
      <formula>1.75</formula>
    </cfRule>
  </conditionalFormatting>
  <conditionalFormatting sqref="D72">
    <cfRule type="cellIs" dxfId="959" priority="983" stopIfTrue="1" operator="greaterThan">
      <formula>1.75</formula>
    </cfRule>
    <cfRule type="cellIs" dxfId="958" priority="984" stopIfTrue="1" operator="between">
      <formula>1.25</formula>
      <formula>1.75</formula>
    </cfRule>
  </conditionalFormatting>
  <conditionalFormatting sqref="D72">
    <cfRule type="cellIs" dxfId="957" priority="981" stopIfTrue="1" operator="greaterThan">
      <formula>1.75</formula>
    </cfRule>
    <cfRule type="cellIs" dxfId="956" priority="982" stopIfTrue="1" operator="between">
      <formula>1.25</formula>
      <formula>1.75</formula>
    </cfRule>
  </conditionalFormatting>
  <conditionalFormatting sqref="D72">
    <cfRule type="cellIs" dxfId="955" priority="979" stopIfTrue="1" operator="greaterThan">
      <formula>1.75</formula>
    </cfRule>
    <cfRule type="cellIs" dxfId="954" priority="980" stopIfTrue="1" operator="between">
      <formula>1.25</formula>
      <formula>1.75</formula>
    </cfRule>
  </conditionalFormatting>
  <conditionalFormatting sqref="E72:G72">
    <cfRule type="cellIs" dxfId="953" priority="977" stopIfTrue="1" operator="greaterThan">
      <formula>1.75</formula>
    </cfRule>
    <cfRule type="cellIs" dxfId="952" priority="978" stopIfTrue="1" operator="between">
      <formula>1.25</formula>
      <formula>1.75</formula>
    </cfRule>
  </conditionalFormatting>
  <conditionalFormatting sqref="E72:G72">
    <cfRule type="cellIs" dxfId="951" priority="975" stopIfTrue="1" operator="greaterThan">
      <formula>1.75</formula>
    </cfRule>
    <cfRule type="cellIs" dxfId="950" priority="976" stopIfTrue="1" operator="between">
      <formula>1.25</formula>
      <formula>1.75</formula>
    </cfRule>
  </conditionalFormatting>
  <conditionalFormatting sqref="E72:G72">
    <cfRule type="cellIs" dxfId="949" priority="973" stopIfTrue="1" operator="greaterThan">
      <formula>1.75</formula>
    </cfRule>
    <cfRule type="cellIs" dxfId="948" priority="974" stopIfTrue="1" operator="between">
      <formula>1.25</formula>
      <formula>1.75</formula>
    </cfRule>
  </conditionalFormatting>
  <conditionalFormatting sqref="E72:G72">
    <cfRule type="cellIs" dxfId="947" priority="971" stopIfTrue="1" operator="greaterThan">
      <formula>1.75</formula>
    </cfRule>
    <cfRule type="cellIs" dxfId="946" priority="972" stopIfTrue="1" operator="between">
      <formula>1.25</formula>
      <formula>1.75</formula>
    </cfRule>
  </conditionalFormatting>
  <conditionalFormatting sqref="E72:G72">
    <cfRule type="cellIs" dxfId="945" priority="969" stopIfTrue="1" operator="greaterThan">
      <formula>1.75</formula>
    </cfRule>
    <cfRule type="cellIs" dxfId="944" priority="970" stopIfTrue="1" operator="between">
      <formula>1.25</formula>
      <formula>1.75</formula>
    </cfRule>
  </conditionalFormatting>
  <conditionalFormatting sqref="E72:G72">
    <cfRule type="cellIs" dxfId="943" priority="967" stopIfTrue="1" operator="greaterThan">
      <formula>1.75</formula>
    </cfRule>
    <cfRule type="cellIs" dxfId="942" priority="968" stopIfTrue="1" operator="between">
      <formula>1.25</formula>
      <formula>1.75</formula>
    </cfRule>
  </conditionalFormatting>
  <conditionalFormatting sqref="E72:G72">
    <cfRule type="cellIs" dxfId="941" priority="965" stopIfTrue="1" operator="greaterThan">
      <formula>1.75</formula>
    </cfRule>
    <cfRule type="cellIs" dxfId="940" priority="966" stopIfTrue="1" operator="between">
      <formula>1.25</formula>
      <formula>1.75</formula>
    </cfRule>
  </conditionalFormatting>
  <conditionalFormatting sqref="E72:G72">
    <cfRule type="cellIs" dxfId="939" priority="963" stopIfTrue="1" operator="greaterThan">
      <formula>1.75</formula>
    </cfRule>
    <cfRule type="cellIs" dxfId="938" priority="964" stopIfTrue="1" operator="between">
      <formula>1.25</formula>
      <formula>1.75</formula>
    </cfRule>
  </conditionalFormatting>
  <conditionalFormatting sqref="E72:G72">
    <cfRule type="cellIs" dxfId="937" priority="961" stopIfTrue="1" operator="greaterThan">
      <formula>1.75</formula>
    </cfRule>
    <cfRule type="cellIs" dxfId="936" priority="962" stopIfTrue="1" operator="between">
      <formula>1.25</formula>
      <formula>1.75</formula>
    </cfRule>
  </conditionalFormatting>
  <conditionalFormatting sqref="H72">
    <cfRule type="cellIs" dxfId="935" priority="959" stopIfTrue="1" operator="greaterThan">
      <formula>1.75</formula>
    </cfRule>
    <cfRule type="cellIs" dxfId="934" priority="960" stopIfTrue="1" operator="between">
      <formula>1.25</formula>
      <formula>1.75</formula>
    </cfRule>
  </conditionalFormatting>
  <conditionalFormatting sqref="H72">
    <cfRule type="cellIs" dxfId="933" priority="957" stopIfTrue="1" operator="greaterThan">
      <formula>1.75</formula>
    </cfRule>
    <cfRule type="cellIs" dxfId="932" priority="958" stopIfTrue="1" operator="between">
      <formula>1.25</formula>
      <formula>1.75</formula>
    </cfRule>
  </conditionalFormatting>
  <conditionalFormatting sqref="H72">
    <cfRule type="cellIs" dxfId="931" priority="955" stopIfTrue="1" operator="greaterThan">
      <formula>1.75</formula>
    </cfRule>
    <cfRule type="cellIs" dxfId="930" priority="956" stopIfTrue="1" operator="between">
      <formula>1.25</formula>
      <formula>1.75</formula>
    </cfRule>
  </conditionalFormatting>
  <conditionalFormatting sqref="L72">
    <cfRule type="cellIs" dxfId="929" priority="953" stopIfTrue="1" operator="greaterThan">
      <formula>1.75</formula>
    </cfRule>
    <cfRule type="cellIs" dxfId="928" priority="954" stopIfTrue="1" operator="between">
      <formula>1.25</formula>
      <formula>1.75</formula>
    </cfRule>
  </conditionalFormatting>
  <conditionalFormatting sqref="L72">
    <cfRule type="cellIs" dxfId="927" priority="951" stopIfTrue="1" operator="greaterThan">
      <formula>1.75</formula>
    </cfRule>
    <cfRule type="cellIs" dxfId="926" priority="952" stopIfTrue="1" operator="between">
      <formula>1.25</formula>
      <formula>1.75</formula>
    </cfRule>
  </conditionalFormatting>
  <conditionalFormatting sqref="L72">
    <cfRule type="cellIs" dxfId="925" priority="949" stopIfTrue="1" operator="greaterThan">
      <formula>1.75</formula>
    </cfRule>
    <cfRule type="cellIs" dxfId="924" priority="950" stopIfTrue="1" operator="between">
      <formula>1.25</formula>
      <formula>1.75</formula>
    </cfRule>
  </conditionalFormatting>
  <conditionalFormatting sqref="I72">
    <cfRule type="cellIs" dxfId="923" priority="947" stopIfTrue="1" operator="greaterThan">
      <formula>1.75</formula>
    </cfRule>
    <cfRule type="cellIs" dxfId="922" priority="948" stopIfTrue="1" operator="between">
      <formula>1.25</formula>
      <formula>1.75</formula>
    </cfRule>
  </conditionalFormatting>
  <conditionalFormatting sqref="I72">
    <cfRule type="cellIs" dxfId="921" priority="945" stopIfTrue="1" operator="greaterThan">
      <formula>1.75</formula>
    </cfRule>
    <cfRule type="cellIs" dxfId="920" priority="946" stopIfTrue="1" operator="between">
      <formula>1.25</formula>
      <formula>1.75</formula>
    </cfRule>
  </conditionalFormatting>
  <conditionalFormatting sqref="I72">
    <cfRule type="cellIs" dxfId="919" priority="943" stopIfTrue="1" operator="greaterThan">
      <formula>1.75</formula>
    </cfRule>
    <cfRule type="cellIs" dxfId="918" priority="944" stopIfTrue="1" operator="between">
      <formula>1.25</formula>
      <formula>1.75</formula>
    </cfRule>
  </conditionalFormatting>
  <conditionalFormatting sqref="I72">
    <cfRule type="cellIs" dxfId="917" priority="941" stopIfTrue="1" operator="greaterThan">
      <formula>1.75</formula>
    </cfRule>
    <cfRule type="cellIs" dxfId="916" priority="942" stopIfTrue="1" operator="between">
      <formula>1.25</formula>
      <formula>1.75</formula>
    </cfRule>
  </conditionalFormatting>
  <conditionalFormatting sqref="I72">
    <cfRule type="cellIs" dxfId="915" priority="939" stopIfTrue="1" operator="greaterThan">
      <formula>1.75</formula>
    </cfRule>
    <cfRule type="cellIs" dxfId="914" priority="940" stopIfTrue="1" operator="between">
      <formula>1.25</formula>
      <formula>1.75</formula>
    </cfRule>
  </conditionalFormatting>
  <conditionalFormatting sqref="I72">
    <cfRule type="cellIs" dxfId="913" priority="937" stopIfTrue="1" operator="greaterThan">
      <formula>1.75</formula>
    </cfRule>
    <cfRule type="cellIs" dxfId="912" priority="938" stopIfTrue="1" operator="between">
      <formula>1.25</formula>
      <formula>1.75</formula>
    </cfRule>
  </conditionalFormatting>
  <conditionalFormatting sqref="I72">
    <cfRule type="cellIs" dxfId="911" priority="935" stopIfTrue="1" operator="greaterThan">
      <formula>1.75</formula>
    </cfRule>
    <cfRule type="cellIs" dxfId="910" priority="936" stopIfTrue="1" operator="between">
      <formula>1.25</formula>
      <formula>1.75</formula>
    </cfRule>
  </conditionalFormatting>
  <conditionalFormatting sqref="I72">
    <cfRule type="cellIs" dxfId="909" priority="933" stopIfTrue="1" operator="greaterThan">
      <formula>1.75</formula>
    </cfRule>
    <cfRule type="cellIs" dxfId="908" priority="934" stopIfTrue="1" operator="between">
      <formula>1.25</formula>
      <formula>1.75</formula>
    </cfRule>
  </conditionalFormatting>
  <conditionalFormatting sqref="I72">
    <cfRule type="cellIs" dxfId="907" priority="931" stopIfTrue="1" operator="greaterThan">
      <formula>1.75</formula>
    </cfRule>
    <cfRule type="cellIs" dxfId="906" priority="932" stopIfTrue="1" operator="between">
      <formula>1.25</formula>
      <formula>1.75</formula>
    </cfRule>
  </conditionalFormatting>
  <conditionalFormatting sqref="J72">
    <cfRule type="cellIs" dxfId="905" priority="929" stopIfTrue="1" operator="greaterThan">
      <formula>1.75</formula>
    </cfRule>
    <cfRule type="cellIs" dxfId="904" priority="930" stopIfTrue="1" operator="between">
      <formula>1.25</formula>
      <formula>1.75</formula>
    </cfRule>
  </conditionalFormatting>
  <conditionalFormatting sqref="J72">
    <cfRule type="cellIs" dxfId="903" priority="927" stopIfTrue="1" operator="greaterThan">
      <formula>1.75</formula>
    </cfRule>
    <cfRule type="cellIs" dxfId="902" priority="928" stopIfTrue="1" operator="between">
      <formula>1.25</formula>
      <formula>1.75</formula>
    </cfRule>
  </conditionalFormatting>
  <conditionalFormatting sqref="J72">
    <cfRule type="cellIs" dxfId="901" priority="925" stopIfTrue="1" operator="greaterThan">
      <formula>1.75</formula>
    </cfRule>
    <cfRule type="cellIs" dxfId="900" priority="926" stopIfTrue="1" operator="between">
      <formula>1.25</formula>
      <formula>1.75</formula>
    </cfRule>
  </conditionalFormatting>
  <conditionalFormatting sqref="J72">
    <cfRule type="cellIs" dxfId="899" priority="923" stopIfTrue="1" operator="greaterThan">
      <formula>1.75</formula>
    </cfRule>
    <cfRule type="cellIs" dxfId="898" priority="924" stopIfTrue="1" operator="between">
      <formula>1.25</formula>
      <formula>1.75</formula>
    </cfRule>
  </conditionalFormatting>
  <conditionalFormatting sqref="J72">
    <cfRule type="cellIs" dxfId="897" priority="921" stopIfTrue="1" operator="greaterThan">
      <formula>1.75</formula>
    </cfRule>
    <cfRule type="cellIs" dxfId="896" priority="922" stopIfTrue="1" operator="between">
      <formula>1.25</formula>
      <formula>1.75</formula>
    </cfRule>
  </conditionalFormatting>
  <conditionalFormatting sqref="J72">
    <cfRule type="cellIs" dxfId="895" priority="919" stopIfTrue="1" operator="greaterThan">
      <formula>1.75</formula>
    </cfRule>
    <cfRule type="cellIs" dxfId="894" priority="920" stopIfTrue="1" operator="between">
      <formula>1.25</formula>
      <formula>1.75</formula>
    </cfRule>
  </conditionalFormatting>
  <conditionalFormatting sqref="J72">
    <cfRule type="cellIs" dxfId="893" priority="917" stopIfTrue="1" operator="greaterThan">
      <formula>1.75</formula>
    </cfRule>
    <cfRule type="cellIs" dxfId="892" priority="918" stopIfTrue="1" operator="between">
      <formula>1.25</formula>
      <formula>1.75</formula>
    </cfRule>
  </conditionalFormatting>
  <conditionalFormatting sqref="J72">
    <cfRule type="cellIs" dxfId="891" priority="915" stopIfTrue="1" operator="greaterThan">
      <formula>1.75</formula>
    </cfRule>
    <cfRule type="cellIs" dxfId="890" priority="916" stopIfTrue="1" operator="between">
      <formula>1.25</formula>
      <formula>1.75</formula>
    </cfRule>
  </conditionalFormatting>
  <conditionalFormatting sqref="J72">
    <cfRule type="cellIs" dxfId="889" priority="913" stopIfTrue="1" operator="greaterThan">
      <formula>1.75</formula>
    </cfRule>
    <cfRule type="cellIs" dxfId="888" priority="914" stopIfTrue="1" operator="between">
      <formula>1.25</formula>
      <formula>1.75</formula>
    </cfRule>
  </conditionalFormatting>
  <conditionalFormatting sqref="K72">
    <cfRule type="cellIs" dxfId="887" priority="911" stopIfTrue="1" operator="greaterThan">
      <formula>1.75</formula>
    </cfRule>
    <cfRule type="cellIs" dxfId="886" priority="912" stopIfTrue="1" operator="between">
      <formula>1.25</formula>
      <formula>1.75</formula>
    </cfRule>
  </conditionalFormatting>
  <conditionalFormatting sqref="K72">
    <cfRule type="cellIs" dxfId="885" priority="909" stopIfTrue="1" operator="greaterThan">
      <formula>1.75</formula>
    </cfRule>
    <cfRule type="cellIs" dxfId="884" priority="910" stopIfTrue="1" operator="between">
      <formula>1.25</formula>
      <formula>1.75</formula>
    </cfRule>
  </conditionalFormatting>
  <conditionalFormatting sqref="K72">
    <cfRule type="cellIs" dxfId="883" priority="907" stopIfTrue="1" operator="greaterThan">
      <formula>1.75</formula>
    </cfRule>
    <cfRule type="cellIs" dxfId="882" priority="908" stopIfTrue="1" operator="between">
      <formula>1.25</formula>
      <formula>1.75</formula>
    </cfRule>
  </conditionalFormatting>
  <conditionalFormatting sqref="K72">
    <cfRule type="cellIs" dxfId="881" priority="905" stopIfTrue="1" operator="greaterThan">
      <formula>1.75</formula>
    </cfRule>
    <cfRule type="cellIs" dxfId="880" priority="906" stopIfTrue="1" operator="between">
      <formula>1.25</formula>
      <formula>1.75</formula>
    </cfRule>
  </conditionalFormatting>
  <conditionalFormatting sqref="K72">
    <cfRule type="cellIs" dxfId="879" priority="903" stopIfTrue="1" operator="greaterThan">
      <formula>1.75</formula>
    </cfRule>
    <cfRule type="cellIs" dxfId="878" priority="904" stopIfTrue="1" operator="between">
      <formula>1.25</formula>
      <formula>1.75</formula>
    </cfRule>
  </conditionalFormatting>
  <conditionalFormatting sqref="K72">
    <cfRule type="cellIs" dxfId="877" priority="901" stopIfTrue="1" operator="greaterThan">
      <formula>1.75</formula>
    </cfRule>
    <cfRule type="cellIs" dxfId="876" priority="902" stopIfTrue="1" operator="between">
      <formula>1.25</formula>
      <formula>1.75</formula>
    </cfRule>
  </conditionalFormatting>
  <conditionalFormatting sqref="K72">
    <cfRule type="cellIs" dxfId="875" priority="899" stopIfTrue="1" operator="greaterThan">
      <formula>1.75</formula>
    </cfRule>
    <cfRule type="cellIs" dxfId="874" priority="900" stopIfTrue="1" operator="between">
      <formula>1.25</formula>
      <formula>1.75</formula>
    </cfRule>
  </conditionalFormatting>
  <conditionalFormatting sqref="K72">
    <cfRule type="cellIs" dxfId="873" priority="897" stopIfTrue="1" operator="greaterThan">
      <formula>1.75</formula>
    </cfRule>
    <cfRule type="cellIs" dxfId="872" priority="898" stopIfTrue="1" operator="between">
      <formula>1.25</formula>
      <formula>1.75</formula>
    </cfRule>
  </conditionalFormatting>
  <conditionalFormatting sqref="K72">
    <cfRule type="cellIs" dxfId="871" priority="895" stopIfTrue="1" operator="greaterThan">
      <formula>1.75</formula>
    </cfRule>
    <cfRule type="cellIs" dxfId="870" priority="896" stopIfTrue="1" operator="between">
      <formula>1.25</formula>
      <formula>1.75</formula>
    </cfRule>
  </conditionalFormatting>
  <conditionalFormatting sqref="M72">
    <cfRule type="cellIs" dxfId="869" priority="893" stopIfTrue="1" operator="greaterThan">
      <formula>1.75</formula>
    </cfRule>
    <cfRule type="cellIs" dxfId="868" priority="894" stopIfTrue="1" operator="between">
      <formula>1.25</formula>
      <formula>1.75</formula>
    </cfRule>
  </conditionalFormatting>
  <conditionalFormatting sqref="M72">
    <cfRule type="cellIs" dxfId="867" priority="891" stopIfTrue="1" operator="greaterThan">
      <formula>1.75</formula>
    </cfRule>
    <cfRule type="cellIs" dxfId="866" priority="892" stopIfTrue="1" operator="between">
      <formula>1.25</formula>
      <formula>1.75</formula>
    </cfRule>
  </conditionalFormatting>
  <conditionalFormatting sqref="M72">
    <cfRule type="cellIs" dxfId="865" priority="889" stopIfTrue="1" operator="greaterThan">
      <formula>1.75</formula>
    </cfRule>
    <cfRule type="cellIs" dxfId="864" priority="890" stopIfTrue="1" operator="between">
      <formula>1.25</formula>
      <formula>1.75</formula>
    </cfRule>
  </conditionalFormatting>
  <conditionalFormatting sqref="M72">
    <cfRule type="cellIs" dxfId="863" priority="887" stopIfTrue="1" operator="greaterThan">
      <formula>1.75</formula>
    </cfRule>
    <cfRule type="cellIs" dxfId="862" priority="888" stopIfTrue="1" operator="between">
      <formula>1.25</formula>
      <formula>1.75</formula>
    </cfRule>
  </conditionalFormatting>
  <conditionalFormatting sqref="M72">
    <cfRule type="cellIs" dxfId="861" priority="885" stopIfTrue="1" operator="greaterThan">
      <formula>1.75</formula>
    </cfRule>
    <cfRule type="cellIs" dxfId="860" priority="886" stopIfTrue="1" operator="between">
      <formula>1.25</formula>
      <formula>1.75</formula>
    </cfRule>
  </conditionalFormatting>
  <conditionalFormatting sqref="M72">
    <cfRule type="cellIs" dxfId="859" priority="883" stopIfTrue="1" operator="greaterThan">
      <formula>1.75</formula>
    </cfRule>
    <cfRule type="cellIs" dxfId="858" priority="884" stopIfTrue="1" operator="between">
      <formula>1.25</formula>
      <formula>1.75</formula>
    </cfRule>
  </conditionalFormatting>
  <conditionalFormatting sqref="M72">
    <cfRule type="cellIs" dxfId="857" priority="881" stopIfTrue="1" operator="greaterThan">
      <formula>1.75</formula>
    </cfRule>
    <cfRule type="cellIs" dxfId="856" priority="882" stopIfTrue="1" operator="between">
      <formula>1.25</formula>
      <formula>1.75</formula>
    </cfRule>
  </conditionalFormatting>
  <conditionalFormatting sqref="M72">
    <cfRule type="cellIs" dxfId="855" priority="879" stopIfTrue="1" operator="greaterThan">
      <formula>1.75</formula>
    </cfRule>
    <cfRule type="cellIs" dxfId="854" priority="880" stopIfTrue="1" operator="between">
      <formula>1.25</formula>
      <formula>1.75</formula>
    </cfRule>
  </conditionalFormatting>
  <conditionalFormatting sqref="M72">
    <cfRule type="cellIs" dxfId="853" priority="877" stopIfTrue="1" operator="greaterThan">
      <formula>1.75</formula>
    </cfRule>
    <cfRule type="cellIs" dxfId="852" priority="878" stopIfTrue="1" operator="between">
      <formula>1.25</formula>
      <formula>1.75</formula>
    </cfRule>
  </conditionalFormatting>
  <conditionalFormatting sqref="N72">
    <cfRule type="cellIs" dxfId="851" priority="875" stopIfTrue="1" operator="greaterThan">
      <formula>1.75</formula>
    </cfRule>
    <cfRule type="cellIs" dxfId="850" priority="876" stopIfTrue="1" operator="between">
      <formula>1.25</formula>
      <formula>1.75</formula>
    </cfRule>
  </conditionalFormatting>
  <conditionalFormatting sqref="N72">
    <cfRule type="cellIs" dxfId="849" priority="873" stopIfTrue="1" operator="greaterThan">
      <formula>1.75</formula>
    </cfRule>
    <cfRule type="cellIs" dxfId="848" priority="874" stopIfTrue="1" operator="between">
      <formula>1.25</formula>
      <formula>1.75</formula>
    </cfRule>
  </conditionalFormatting>
  <conditionalFormatting sqref="N72">
    <cfRule type="cellIs" dxfId="847" priority="871" stopIfTrue="1" operator="greaterThan">
      <formula>1.75</formula>
    </cfRule>
    <cfRule type="cellIs" dxfId="846" priority="872" stopIfTrue="1" operator="between">
      <formula>1.25</formula>
      <formula>1.75</formula>
    </cfRule>
  </conditionalFormatting>
  <conditionalFormatting sqref="N72">
    <cfRule type="cellIs" dxfId="845" priority="869" stopIfTrue="1" operator="greaterThan">
      <formula>1.75</formula>
    </cfRule>
    <cfRule type="cellIs" dxfId="844" priority="870" stopIfTrue="1" operator="between">
      <formula>1.25</formula>
      <formula>1.75</formula>
    </cfRule>
  </conditionalFormatting>
  <conditionalFormatting sqref="N72">
    <cfRule type="cellIs" dxfId="843" priority="867" stopIfTrue="1" operator="greaterThan">
      <formula>1.75</formula>
    </cfRule>
    <cfRule type="cellIs" dxfId="842" priority="868" stopIfTrue="1" operator="between">
      <formula>1.25</formula>
      <formula>1.75</formula>
    </cfRule>
  </conditionalFormatting>
  <conditionalFormatting sqref="N72">
    <cfRule type="cellIs" dxfId="841" priority="865" stopIfTrue="1" operator="greaterThan">
      <formula>1.75</formula>
    </cfRule>
    <cfRule type="cellIs" dxfId="840" priority="866" stopIfTrue="1" operator="between">
      <formula>1.25</formula>
      <formula>1.75</formula>
    </cfRule>
  </conditionalFormatting>
  <conditionalFormatting sqref="N72">
    <cfRule type="cellIs" dxfId="839" priority="863" stopIfTrue="1" operator="greaterThan">
      <formula>1.75</formula>
    </cfRule>
    <cfRule type="cellIs" dxfId="838" priority="864" stopIfTrue="1" operator="between">
      <formula>1.25</formula>
      <formula>1.75</formula>
    </cfRule>
  </conditionalFormatting>
  <conditionalFormatting sqref="N72">
    <cfRule type="cellIs" dxfId="837" priority="861" stopIfTrue="1" operator="greaterThan">
      <formula>1.75</formula>
    </cfRule>
    <cfRule type="cellIs" dxfId="836" priority="862" stopIfTrue="1" operator="between">
      <formula>1.25</formula>
      <formula>1.75</formula>
    </cfRule>
  </conditionalFormatting>
  <conditionalFormatting sqref="N72">
    <cfRule type="cellIs" dxfId="835" priority="859" stopIfTrue="1" operator="greaterThan">
      <formula>1.75</formula>
    </cfRule>
    <cfRule type="cellIs" dxfId="834" priority="860" stopIfTrue="1" operator="between">
      <formula>1.25</formula>
      <formula>1.75</formula>
    </cfRule>
  </conditionalFormatting>
  <conditionalFormatting sqref="O72">
    <cfRule type="cellIs" dxfId="833" priority="857" stopIfTrue="1" operator="greaterThan">
      <formula>1.75</formula>
    </cfRule>
    <cfRule type="cellIs" dxfId="832" priority="858" stopIfTrue="1" operator="between">
      <formula>1.25</formula>
      <formula>1.75</formula>
    </cfRule>
  </conditionalFormatting>
  <conditionalFormatting sqref="O72">
    <cfRule type="cellIs" dxfId="831" priority="855" stopIfTrue="1" operator="greaterThan">
      <formula>1.75</formula>
    </cfRule>
    <cfRule type="cellIs" dxfId="830" priority="856" stopIfTrue="1" operator="between">
      <formula>1.25</formula>
      <formula>1.75</formula>
    </cfRule>
  </conditionalFormatting>
  <conditionalFormatting sqref="O72">
    <cfRule type="cellIs" dxfId="829" priority="853" stopIfTrue="1" operator="greaterThan">
      <formula>1.75</formula>
    </cfRule>
    <cfRule type="cellIs" dxfId="828" priority="854" stopIfTrue="1" operator="between">
      <formula>1.25</formula>
      <formula>1.75</formula>
    </cfRule>
  </conditionalFormatting>
  <conditionalFormatting sqref="O72">
    <cfRule type="cellIs" dxfId="827" priority="851" stopIfTrue="1" operator="greaterThan">
      <formula>1.75</formula>
    </cfRule>
    <cfRule type="cellIs" dxfId="826" priority="852" stopIfTrue="1" operator="between">
      <formula>1.25</formula>
      <formula>1.75</formula>
    </cfRule>
  </conditionalFormatting>
  <conditionalFormatting sqref="O72">
    <cfRule type="cellIs" dxfId="825" priority="849" stopIfTrue="1" operator="greaterThan">
      <formula>1.75</formula>
    </cfRule>
    <cfRule type="cellIs" dxfId="824" priority="850" stopIfTrue="1" operator="between">
      <formula>1.25</formula>
      <formula>1.75</formula>
    </cfRule>
  </conditionalFormatting>
  <conditionalFormatting sqref="O72">
    <cfRule type="cellIs" dxfId="823" priority="847" stopIfTrue="1" operator="greaterThan">
      <formula>1.75</formula>
    </cfRule>
    <cfRule type="cellIs" dxfId="822" priority="848" stopIfTrue="1" operator="between">
      <formula>1.25</formula>
      <formula>1.75</formula>
    </cfRule>
  </conditionalFormatting>
  <conditionalFormatting sqref="O72">
    <cfRule type="cellIs" dxfId="821" priority="845" stopIfTrue="1" operator="greaterThan">
      <formula>1.75</formula>
    </cfRule>
    <cfRule type="cellIs" dxfId="820" priority="846" stopIfTrue="1" operator="between">
      <formula>1.25</formula>
      <formula>1.75</formula>
    </cfRule>
  </conditionalFormatting>
  <conditionalFormatting sqref="O72">
    <cfRule type="cellIs" dxfId="819" priority="843" stopIfTrue="1" operator="greaterThan">
      <formula>1.75</formula>
    </cfRule>
    <cfRule type="cellIs" dxfId="818" priority="844" stopIfTrue="1" operator="between">
      <formula>1.25</formula>
      <formula>1.75</formula>
    </cfRule>
  </conditionalFormatting>
  <conditionalFormatting sqref="O72">
    <cfRule type="cellIs" dxfId="817" priority="841" stopIfTrue="1" operator="greaterThan">
      <formula>1.75</formula>
    </cfRule>
    <cfRule type="cellIs" dxfId="816" priority="842" stopIfTrue="1" operator="between">
      <formula>1.25</formula>
      <formula>1.75</formula>
    </cfRule>
  </conditionalFormatting>
  <conditionalFormatting sqref="P72">
    <cfRule type="cellIs" dxfId="815" priority="839" stopIfTrue="1" operator="greaterThan">
      <formula>1.75</formula>
    </cfRule>
    <cfRule type="cellIs" dxfId="814" priority="840" stopIfTrue="1" operator="between">
      <formula>1.25</formula>
      <formula>1.75</formula>
    </cfRule>
  </conditionalFormatting>
  <conditionalFormatting sqref="P72">
    <cfRule type="cellIs" dxfId="813" priority="837" stopIfTrue="1" operator="greaterThan">
      <formula>1.75</formula>
    </cfRule>
    <cfRule type="cellIs" dxfId="812" priority="838" stopIfTrue="1" operator="between">
      <formula>1.25</formula>
      <formula>1.75</formula>
    </cfRule>
  </conditionalFormatting>
  <conditionalFormatting sqref="P72">
    <cfRule type="cellIs" dxfId="811" priority="835" stopIfTrue="1" operator="greaterThan">
      <formula>1.75</formula>
    </cfRule>
    <cfRule type="cellIs" dxfId="810" priority="836" stopIfTrue="1" operator="between">
      <formula>1.25</formula>
      <formula>1.75</formula>
    </cfRule>
  </conditionalFormatting>
  <conditionalFormatting sqref="P72">
    <cfRule type="cellIs" dxfId="809" priority="833" stopIfTrue="1" operator="greaterThan">
      <formula>1.75</formula>
    </cfRule>
    <cfRule type="cellIs" dxfId="808" priority="834" stopIfTrue="1" operator="between">
      <formula>1.25</formula>
      <formula>1.75</formula>
    </cfRule>
  </conditionalFormatting>
  <conditionalFormatting sqref="P72">
    <cfRule type="cellIs" dxfId="807" priority="831" stopIfTrue="1" operator="greaterThan">
      <formula>1.75</formula>
    </cfRule>
    <cfRule type="cellIs" dxfId="806" priority="832" stopIfTrue="1" operator="between">
      <formula>1.25</formula>
      <formula>1.75</formula>
    </cfRule>
  </conditionalFormatting>
  <conditionalFormatting sqref="P72">
    <cfRule type="cellIs" dxfId="805" priority="829" stopIfTrue="1" operator="greaterThan">
      <formula>1.75</formula>
    </cfRule>
    <cfRule type="cellIs" dxfId="804" priority="830" stopIfTrue="1" operator="between">
      <formula>1.25</formula>
      <formula>1.75</formula>
    </cfRule>
  </conditionalFormatting>
  <conditionalFormatting sqref="P72">
    <cfRule type="cellIs" dxfId="803" priority="827" stopIfTrue="1" operator="greaterThan">
      <formula>1.75</formula>
    </cfRule>
    <cfRule type="cellIs" dxfId="802" priority="828" stopIfTrue="1" operator="between">
      <formula>1.25</formula>
      <formula>1.75</formula>
    </cfRule>
  </conditionalFormatting>
  <conditionalFormatting sqref="P72">
    <cfRule type="cellIs" dxfId="801" priority="825" stopIfTrue="1" operator="greaterThan">
      <formula>1.75</formula>
    </cfRule>
    <cfRule type="cellIs" dxfId="800" priority="826" stopIfTrue="1" operator="between">
      <formula>1.25</formula>
      <formula>1.75</formula>
    </cfRule>
  </conditionalFormatting>
  <conditionalFormatting sqref="P72">
    <cfRule type="cellIs" dxfId="799" priority="823" stopIfTrue="1" operator="greaterThan">
      <formula>1.75</formula>
    </cfRule>
    <cfRule type="cellIs" dxfId="798" priority="824" stopIfTrue="1" operator="between">
      <formula>1.25</formula>
      <formula>1.75</formula>
    </cfRule>
  </conditionalFormatting>
  <conditionalFormatting sqref="Q72">
    <cfRule type="cellIs" dxfId="797" priority="821" stopIfTrue="1" operator="greaterThan">
      <formula>1.75</formula>
    </cfRule>
    <cfRule type="cellIs" dxfId="796" priority="822" stopIfTrue="1" operator="between">
      <formula>1.25</formula>
      <formula>1.75</formula>
    </cfRule>
  </conditionalFormatting>
  <conditionalFormatting sqref="Q72">
    <cfRule type="cellIs" dxfId="795" priority="819" stopIfTrue="1" operator="greaterThan">
      <formula>1.75</formula>
    </cfRule>
    <cfRule type="cellIs" dxfId="794" priority="820" stopIfTrue="1" operator="between">
      <formula>1.25</formula>
      <formula>1.75</formula>
    </cfRule>
  </conditionalFormatting>
  <conditionalFormatting sqref="Q72">
    <cfRule type="cellIs" dxfId="793" priority="817" stopIfTrue="1" operator="greaterThan">
      <formula>1.75</formula>
    </cfRule>
    <cfRule type="cellIs" dxfId="792" priority="818" stopIfTrue="1" operator="between">
      <formula>1.25</formula>
      <formula>1.75</formula>
    </cfRule>
  </conditionalFormatting>
  <conditionalFormatting sqref="Q72">
    <cfRule type="cellIs" dxfId="791" priority="815" stopIfTrue="1" operator="greaterThan">
      <formula>1.75</formula>
    </cfRule>
    <cfRule type="cellIs" dxfId="790" priority="816" stopIfTrue="1" operator="between">
      <formula>1.25</formula>
      <formula>1.75</formula>
    </cfRule>
  </conditionalFormatting>
  <conditionalFormatting sqref="Q72">
    <cfRule type="cellIs" dxfId="789" priority="813" stopIfTrue="1" operator="greaterThan">
      <formula>1.75</formula>
    </cfRule>
    <cfRule type="cellIs" dxfId="788" priority="814" stopIfTrue="1" operator="between">
      <formula>1.25</formula>
      <formula>1.75</formula>
    </cfRule>
  </conditionalFormatting>
  <conditionalFormatting sqref="Q72">
    <cfRule type="cellIs" dxfId="787" priority="811" stopIfTrue="1" operator="greaterThan">
      <formula>1.75</formula>
    </cfRule>
    <cfRule type="cellIs" dxfId="786" priority="812" stopIfTrue="1" operator="between">
      <formula>1.25</formula>
      <formula>1.75</formula>
    </cfRule>
  </conditionalFormatting>
  <conditionalFormatting sqref="Q72">
    <cfRule type="cellIs" dxfId="785" priority="809" stopIfTrue="1" operator="greaterThan">
      <formula>1.75</formula>
    </cfRule>
    <cfRule type="cellIs" dxfId="784" priority="810" stopIfTrue="1" operator="between">
      <formula>1.25</formula>
      <formula>1.75</formula>
    </cfRule>
  </conditionalFormatting>
  <conditionalFormatting sqref="Q72">
    <cfRule type="cellIs" dxfId="783" priority="807" stopIfTrue="1" operator="greaterThan">
      <formula>1.75</formula>
    </cfRule>
    <cfRule type="cellIs" dxfId="782" priority="808" stopIfTrue="1" operator="between">
      <formula>1.25</formula>
      <formula>1.75</formula>
    </cfRule>
  </conditionalFormatting>
  <conditionalFormatting sqref="Q72">
    <cfRule type="cellIs" dxfId="781" priority="805" stopIfTrue="1" operator="greaterThan">
      <formula>1.75</formula>
    </cfRule>
    <cfRule type="cellIs" dxfId="780" priority="806" stopIfTrue="1" operator="between">
      <formula>1.25</formula>
      <formula>1.75</formula>
    </cfRule>
  </conditionalFormatting>
  <conditionalFormatting sqref="T52">
    <cfRule type="cellIs" dxfId="779" priority="803" operator="lessThan">
      <formula>1000</formula>
    </cfRule>
    <cfRule type="cellIs" dxfId="778" priority="804" operator="lessThan">
      <formula>2000</formula>
    </cfRule>
  </conditionalFormatting>
  <conditionalFormatting sqref="C54:Q54">
    <cfRule type="cellIs" dxfId="777" priority="801" stopIfTrue="1" operator="greaterThan">
      <formula>1.75</formula>
    </cfRule>
    <cfRule type="cellIs" dxfId="776" priority="802" stopIfTrue="1" operator="between">
      <formula>1.25</formula>
      <formula>1.75</formula>
    </cfRule>
  </conditionalFormatting>
  <conditionalFormatting sqref="C54:Q54">
    <cfRule type="cellIs" dxfId="775" priority="799" stopIfTrue="1" operator="greaterThan">
      <formula>1.75</formula>
    </cfRule>
    <cfRule type="cellIs" dxfId="774" priority="800" stopIfTrue="1" operator="between">
      <formula>1.25</formula>
      <formula>1.75</formula>
    </cfRule>
  </conditionalFormatting>
  <conditionalFormatting sqref="C54:Q54">
    <cfRule type="cellIs" dxfId="773" priority="797" stopIfTrue="1" operator="greaterThan">
      <formula>1.75</formula>
    </cfRule>
    <cfRule type="cellIs" dxfId="772" priority="798" stopIfTrue="1" operator="between">
      <formula>1.25</formula>
      <formula>1.75</formula>
    </cfRule>
  </conditionalFormatting>
  <conditionalFormatting sqref="C53:Q53">
    <cfRule type="cellIs" dxfId="771" priority="795" stopIfTrue="1" operator="greaterThan">
      <formula>1.75</formula>
    </cfRule>
    <cfRule type="cellIs" dxfId="770" priority="796" stopIfTrue="1" operator="between">
      <formula>1.25</formula>
      <formula>1.75</formula>
    </cfRule>
  </conditionalFormatting>
  <conditionalFormatting sqref="C53:Q53">
    <cfRule type="cellIs" dxfId="769" priority="793" stopIfTrue="1" operator="greaterThan">
      <formula>1.75</formula>
    </cfRule>
    <cfRule type="cellIs" dxfId="768" priority="794" stopIfTrue="1" operator="between">
      <formula>1.25</formula>
      <formula>1.75</formula>
    </cfRule>
  </conditionalFormatting>
  <conditionalFormatting sqref="C53:Q53">
    <cfRule type="cellIs" dxfId="767" priority="791" stopIfTrue="1" operator="greaterThan">
      <formula>1.75</formula>
    </cfRule>
    <cfRule type="cellIs" dxfId="766" priority="792" stopIfTrue="1" operator="between">
      <formula>1.25</formula>
      <formula>1.75</formula>
    </cfRule>
  </conditionalFormatting>
  <conditionalFormatting sqref="C54">
    <cfRule type="cellIs" dxfId="765" priority="789" stopIfTrue="1" operator="greaterThan">
      <formula>1.75</formula>
    </cfRule>
    <cfRule type="cellIs" dxfId="764" priority="790" stopIfTrue="1" operator="between">
      <formula>1.25</formula>
      <formula>1.75</formula>
    </cfRule>
  </conditionalFormatting>
  <conditionalFormatting sqref="C54">
    <cfRule type="cellIs" dxfId="763" priority="787" stopIfTrue="1" operator="greaterThan">
      <formula>1.75</formula>
    </cfRule>
    <cfRule type="cellIs" dxfId="762" priority="788" stopIfTrue="1" operator="between">
      <formula>1.25</formula>
      <formula>1.75</formula>
    </cfRule>
  </conditionalFormatting>
  <conditionalFormatting sqref="C54">
    <cfRule type="cellIs" dxfId="761" priority="785" stopIfTrue="1" operator="greaterThan">
      <formula>1.75</formula>
    </cfRule>
    <cfRule type="cellIs" dxfId="760" priority="786" stopIfTrue="1" operator="between">
      <formula>1.25</formula>
      <formula>1.75</formula>
    </cfRule>
  </conditionalFormatting>
  <conditionalFormatting sqref="D54">
    <cfRule type="cellIs" dxfId="759" priority="783" stopIfTrue="1" operator="greaterThan">
      <formula>1.75</formula>
    </cfRule>
    <cfRule type="cellIs" dxfId="758" priority="784" stopIfTrue="1" operator="between">
      <formula>1.25</formula>
      <formula>1.75</formula>
    </cfRule>
  </conditionalFormatting>
  <conditionalFormatting sqref="D54">
    <cfRule type="cellIs" dxfId="757" priority="781" stopIfTrue="1" operator="greaterThan">
      <formula>1.75</formula>
    </cfRule>
    <cfRule type="cellIs" dxfId="756" priority="782" stopIfTrue="1" operator="between">
      <formula>1.25</formula>
      <formula>1.75</formula>
    </cfRule>
  </conditionalFormatting>
  <conditionalFormatting sqref="D54">
    <cfRule type="cellIs" dxfId="755" priority="779" stopIfTrue="1" operator="greaterThan">
      <formula>1.75</formula>
    </cfRule>
    <cfRule type="cellIs" dxfId="754" priority="780" stopIfTrue="1" operator="between">
      <formula>1.25</formula>
      <formula>1.75</formula>
    </cfRule>
  </conditionalFormatting>
  <conditionalFormatting sqref="E54">
    <cfRule type="cellIs" dxfId="753" priority="777" stopIfTrue="1" operator="greaterThan">
      <formula>1.75</formula>
    </cfRule>
    <cfRule type="cellIs" dxfId="752" priority="778" stopIfTrue="1" operator="between">
      <formula>1.25</formula>
      <formula>1.75</formula>
    </cfRule>
  </conditionalFormatting>
  <conditionalFormatting sqref="E54">
    <cfRule type="cellIs" dxfId="751" priority="775" stopIfTrue="1" operator="greaterThan">
      <formula>1.75</formula>
    </cfRule>
    <cfRule type="cellIs" dxfId="750" priority="776" stopIfTrue="1" operator="between">
      <formula>1.25</formula>
      <formula>1.75</formula>
    </cfRule>
  </conditionalFormatting>
  <conditionalFormatting sqref="E54">
    <cfRule type="cellIs" dxfId="749" priority="773" stopIfTrue="1" operator="greaterThan">
      <formula>1.75</formula>
    </cfRule>
    <cfRule type="cellIs" dxfId="748" priority="774" stopIfTrue="1" operator="between">
      <formula>1.25</formula>
      <formula>1.75</formula>
    </cfRule>
  </conditionalFormatting>
  <conditionalFormatting sqref="F54">
    <cfRule type="cellIs" dxfId="747" priority="771" stopIfTrue="1" operator="greaterThan">
      <formula>1.75</formula>
    </cfRule>
    <cfRule type="cellIs" dxfId="746" priority="772" stopIfTrue="1" operator="between">
      <formula>1.25</formula>
      <formula>1.75</formula>
    </cfRule>
  </conditionalFormatting>
  <conditionalFormatting sqref="F54">
    <cfRule type="cellIs" dxfId="745" priority="769" stopIfTrue="1" operator="greaterThan">
      <formula>1.75</formula>
    </cfRule>
    <cfRule type="cellIs" dxfId="744" priority="770" stopIfTrue="1" operator="between">
      <formula>1.25</formula>
      <formula>1.75</formula>
    </cfRule>
  </conditionalFormatting>
  <conditionalFormatting sqref="F54">
    <cfRule type="cellIs" dxfId="743" priority="767" stopIfTrue="1" operator="greaterThan">
      <formula>1.75</formula>
    </cfRule>
    <cfRule type="cellIs" dxfId="742" priority="768" stopIfTrue="1" operator="between">
      <formula>1.25</formula>
      <formula>1.75</formula>
    </cfRule>
  </conditionalFormatting>
  <conditionalFormatting sqref="D54">
    <cfRule type="cellIs" dxfId="741" priority="765" stopIfTrue="1" operator="greaterThan">
      <formula>1.75</formula>
    </cfRule>
    <cfRule type="cellIs" dxfId="740" priority="766" stopIfTrue="1" operator="between">
      <formula>1.25</formula>
      <formula>1.75</formula>
    </cfRule>
  </conditionalFormatting>
  <conditionalFormatting sqref="D54">
    <cfRule type="cellIs" dxfId="739" priority="763" stopIfTrue="1" operator="greaterThan">
      <formula>1.75</formula>
    </cfRule>
    <cfRule type="cellIs" dxfId="738" priority="764" stopIfTrue="1" operator="between">
      <formula>1.25</formula>
      <formula>1.75</formula>
    </cfRule>
  </conditionalFormatting>
  <conditionalFormatting sqref="D54">
    <cfRule type="cellIs" dxfId="737" priority="761" stopIfTrue="1" operator="greaterThan">
      <formula>1.75</formula>
    </cfRule>
    <cfRule type="cellIs" dxfId="736" priority="762" stopIfTrue="1" operator="between">
      <formula>1.25</formula>
      <formula>1.75</formula>
    </cfRule>
  </conditionalFormatting>
  <conditionalFormatting sqref="D54">
    <cfRule type="cellIs" dxfId="735" priority="759" stopIfTrue="1" operator="greaterThan">
      <formula>1.75</formula>
    </cfRule>
    <cfRule type="cellIs" dxfId="734" priority="760" stopIfTrue="1" operator="between">
      <formula>1.25</formula>
      <formula>1.75</formula>
    </cfRule>
  </conditionalFormatting>
  <conditionalFormatting sqref="D54">
    <cfRule type="cellIs" dxfId="733" priority="757" stopIfTrue="1" operator="greaterThan">
      <formula>1.75</formula>
    </cfRule>
    <cfRule type="cellIs" dxfId="732" priority="758" stopIfTrue="1" operator="between">
      <formula>1.25</formula>
      <formula>1.75</formula>
    </cfRule>
  </conditionalFormatting>
  <conditionalFormatting sqref="D54">
    <cfRule type="cellIs" dxfId="731" priority="755" stopIfTrue="1" operator="greaterThan">
      <formula>1.75</formula>
    </cfRule>
    <cfRule type="cellIs" dxfId="730" priority="756" stopIfTrue="1" operator="between">
      <formula>1.25</formula>
      <formula>1.75</formula>
    </cfRule>
  </conditionalFormatting>
  <conditionalFormatting sqref="E54:G54">
    <cfRule type="cellIs" dxfId="729" priority="753" stopIfTrue="1" operator="greaterThan">
      <formula>1.75</formula>
    </cfRule>
    <cfRule type="cellIs" dxfId="728" priority="754" stopIfTrue="1" operator="between">
      <formula>1.25</formula>
      <formula>1.75</formula>
    </cfRule>
  </conditionalFormatting>
  <conditionalFormatting sqref="E54:G54">
    <cfRule type="cellIs" dxfId="727" priority="751" stopIfTrue="1" operator="greaterThan">
      <formula>1.75</formula>
    </cfRule>
    <cfRule type="cellIs" dxfId="726" priority="752" stopIfTrue="1" operator="between">
      <formula>1.25</formula>
      <formula>1.75</formula>
    </cfRule>
  </conditionalFormatting>
  <conditionalFormatting sqref="E54:G54">
    <cfRule type="cellIs" dxfId="725" priority="749" stopIfTrue="1" operator="greaterThan">
      <formula>1.75</formula>
    </cfRule>
    <cfRule type="cellIs" dxfId="724" priority="750" stopIfTrue="1" operator="between">
      <formula>1.25</formula>
      <formula>1.75</formula>
    </cfRule>
  </conditionalFormatting>
  <conditionalFormatting sqref="E54:G54">
    <cfRule type="cellIs" dxfId="723" priority="747" stopIfTrue="1" operator="greaterThan">
      <formula>1.75</formula>
    </cfRule>
    <cfRule type="cellIs" dxfId="722" priority="748" stopIfTrue="1" operator="between">
      <formula>1.25</formula>
      <formula>1.75</formula>
    </cfRule>
  </conditionalFormatting>
  <conditionalFormatting sqref="E54:G54">
    <cfRule type="cellIs" dxfId="721" priority="745" stopIfTrue="1" operator="greaterThan">
      <formula>1.75</formula>
    </cfRule>
    <cfRule type="cellIs" dxfId="720" priority="746" stopIfTrue="1" operator="between">
      <formula>1.25</formula>
      <formula>1.75</formula>
    </cfRule>
  </conditionalFormatting>
  <conditionalFormatting sqref="E54:G54">
    <cfRule type="cellIs" dxfId="719" priority="743" stopIfTrue="1" operator="greaterThan">
      <formula>1.75</formula>
    </cfRule>
    <cfRule type="cellIs" dxfId="718" priority="744" stopIfTrue="1" operator="between">
      <formula>1.25</formula>
      <formula>1.75</formula>
    </cfRule>
  </conditionalFormatting>
  <conditionalFormatting sqref="E54:G54">
    <cfRule type="cellIs" dxfId="717" priority="741" stopIfTrue="1" operator="greaterThan">
      <formula>1.75</formula>
    </cfRule>
    <cfRule type="cellIs" dxfId="716" priority="742" stopIfTrue="1" operator="between">
      <formula>1.25</formula>
      <formula>1.75</formula>
    </cfRule>
  </conditionalFormatting>
  <conditionalFormatting sqref="E54:G54">
    <cfRule type="cellIs" dxfId="715" priority="739" stopIfTrue="1" operator="greaterThan">
      <formula>1.75</formula>
    </cfRule>
    <cfRule type="cellIs" dxfId="714" priority="740" stopIfTrue="1" operator="between">
      <formula>1.25</formula>
      <formula>1.75</formula>
    </cfRule>
  </conditionalFormatting>
  <conditionalFormatting sqref="E54:G54">
    <cfRule type="cellIs" dxfId="713" priority="737" stopIfTrue="1" operator="greaterThan">
      <formula>1.75</formula>
    </cfRule>
    <cfRule type="cellIs" dxfId="712" priority="738" stopIfTrue="1" operator="between">
      <formula>1.25</formula>
      <formula>1.75</formula>
    </cfRule>
  </conditionalFormatting>
  <conditionalFormatting sqref="H54">
    <cfRule type="cellIs" dxfId="711" priority="735" stopIfTrue="1" operator="greaterThan">
      <formula>1.75</formula>
    </cfRule>
    <cfRule type="cellIs" dxfId="710" priority="736" stopIfTrue="1" operator="between">
      <formula>1.25</formula>
      <formula>1.75</formula>
    </cfRule>
  </conditionalFormatting>
  <conditionalFormatting sqref="H54">
    <cfRule type="cellIs" dxfId="709" priority="733" stopIfTrue="1" operator="greaterThan">
      <formula>1.75</formula>
    </cfRule>
    <cfRule type="cellIs" dxfId="708" priority="734" stopIfTrue="1" operator="between">
      <formula>1.25</formula>
      <formula>1.75</formula>
    </cfRule>
  </conditionalFormatting>
  <conditionalFormatting sqref="H54">
    <cfRule type="cellIs" dxfId="707" priority="731" stopIfTrue="1" operator="greaterThan">
      <formula>1.75</formula>
    </cfRule>
    <cfRule type="cellIs" dxfId="706" priority="732" stopIfTrue="1" operator="between">
      <formula>1.25</formula>
      <formula>1.75</formula>
    </cfRule>
  </conditionalFormatting>
  <conditionalFormatting sqref="L54">
    <cfRule type="cellIs" dxfId="705" priority="729" stopIfTrue="1" operator="greaterThan">
      <formula>1.75</formula>
    </cfRule>
    <cfRule type="cellIs" dxfId="704" priority="730" stopIfTrue="1" operator="between">
      <formula>1.25</formula>
      <formula>1.75</formula>
    </cfRule>
  </conditionalFormatting>
  <conditionalFormatting sqref="L54">
    <cfRule type="cellIs" dxfId="703" priority="727" stopIfTrue="1" operator="greaterThan">
      <formula>1.75</formula>
    </cfRule>
    <cfRule type="cellIs" dxfId="702" priority="728" stopIfTrue="1" operator="between">
      <formula>1.25</formula>
      <formula>1.75</formula>
    </cfRule>
  </conditionalFormatting>
  <conditionalFormatting sqref="L54">
    <cfRule type="cellIs" dxfId="701" priority="725" stopIfTrue="1" operator="greaterThan">
      <formula>1.75</formula>
    </cfRule>
    <cfRule type="cellIs" dxfId="700" priority="726" stopIfTrue="1" operator="between">
      <formula>1.25</formula>
      <formula>1.75</formula>
    </cfRule>
  </conditionalFormatting>
  <conditionalFormatting sqref="I54">
    <cfRule type="cellIs" dxfId="699" priority="723" stopIfTrue="1" operator="greaterThan">
      <formula>1.75</formula>
    </cfRule>
    <cfRule type="cellIs" dxfId="698" priority="724" stopIfTrue="1" operator="between">
      <formula>1.25</formula>
      <formula>1.75</formula>
    </cfRule>
  </conditionalFormatting>
  <conditionalFormatting sqref="I54">
    <cfRule type="cellIs" dxfId="697" priority="721" stopIfTrue="1" operator="greaterThan">
      <formula>1.75</formula>
    </cfRule>
    <cfRule type="cellIs" dxfId="696" priority="722" stopIfTrue="1" operator="between">
      <formula>1.25</formula>
      <formula>1.75</formula>
    </cfRule>
  </conditionalFormatting>
  <conditionalFormatting sqref="I54">
    <cfRule type="cellIs" dxfId="695" priority="719" stopIfTrue="1" operator="greaterThan">
      <formula>1.75</formula>
    </cfRule>
    <cfRule type="cellIs" dxfId="694" priority="720" stopIfTrue="1" operator="between">
      <formula>1.25</formula>
      <formula>1.75</formula>
    </cfRule>
  </conditionalFormatting>
  <conditionalFormatting sqref="I54">
    <cfRule type="cellIs" dxfId="693" priority="717" stopIfTrue="1" operator="greaterThan">
      <formula>1.75</formula>
    </cfRule>
    <cfRule type="cellIs" dxfId="692" priority="718" stopIfTrue="1" operator="between">
      <formula>1.25</formula>
      <formula>1.75</formula>
    </cfRule>
  </conditionalFormatting>
  <conditionalFormatting sqref="I54">
    <cfRule type="cellIs" dxfId="691" priority="715" stopIfTrue="1" operator="greaterThan">
      <formula>1.75</formula>
    </cfRule>
    <cfRule type="cellIs" dxfId="690" priority="716" stopIfTrue="1" operator="between">
      <formula>1.25</formula>
      <formula>1.75</formula>
    </cfRule>
  </conditionalFormatting>
  <conditionalFormatting sqref="I54">
    <cfRule type="cellIs" dxfId="689" priority="713" stopIfTrue="1" operator="greaterThan">
      <formula>1.75</formula>
    </cfRule>
    <cfRule type="cellIs" dxfId="688" priority="714" stopIfTrue="1" operator="between">
      <formula>1.25</formula>
      <formula>1.75</formula>
    </cfRule>
  </conditionalFormatting>
  <conditionalFormatting sqref="I54">
    <cfRule type="cellIs" dxfId="687" priority="711" stopIfTrue="1" operator="greaterThan">
      <formula>1.75</formula>
    </cfRule>
    <cfRule type="cellIs" dxfId="686" priority="712" stopIfTrue="1" operator="between">
      <formula>1.25</formula>
      <formula>1.75</formula>
    </cfRule>
  </conditionalFormatting>
  <conditionalFormatting sqref="I54">
    <cfRule type="cellIs" dxfId="685" priority="709" stopIfTrue="1" operator="greaterThan">
      <formula>1.75</formula>
    </cfRule>
    <cfRule type="cellIs" dxfId="684" priority="710" stopIfTrue="1" operator="between">
      <formula>1.25</formula>
      <formula>1.75</formula>
    </cfRule>
  </conditionalFormatting>
  <conditionalFormatting sqref="I54">
    <cfRule type="cellIs" dxfId="683" priority="707" stopIfTrue="1" operator="greaterThan">
      <formula>1.75</formula>
    </cfRule>
    <cfRule type="cellIs" dxfId="682" priority="708" stopIfTrue="1" operator="between">
      <formula>1.25</formula>
      <formula>1.75</formula>
    </cfRule>
  </conditionalFormatting>
  <conditionalFormatting sqref="J54">
    <cfRule type="cellIs" dxfId="681" priority="705" stopIfTrue="1" operator="greaterThan">
      <formula>1.75</formula>
    </cfRule>
    <cfRule type="cellIs" dxfId="680" priority="706" stopIfTrue="1" operator="between">
      <formula>1.25</formula>
      <formula>1.75</formula>
    </cfRule>
  </conditionalFormatting>
  <conditionalFormatting sqref="J54">
    <cfRule type="cellIs" dxfId="679" priority="703" stopIfTrue="1" operator="greaterThan">
      <formula>1.75</formula>
    </cfRule>
    <cfRule type="cellIs" dxfId="678" priority="704" stopIfTrue="1" operator="between">
      <formula>1.25</formula>
      <formula>1.75</formula>
    </cfRule>
  </conditionalFormatting>
  <conditionalFormatting sqref="J54">
    <cfRule type="cellIs" dxfId="677" priority="701" stopIfTrue="1" operator="greaterThan">
      <formula>1.75</formula>
    </cfRule>
    <cfRule type="cellIs" dxfId="676" priority="702" stopIfTrue="1" operator="between">
      <formula>1.25</formula>
      <formula>1.75</formula>
    </cfRule>
  </conditionalFormatting>
  <conditionalFormatting sqref="J54">
    <cfRule type="cellIs" dxfId="675" priority="699" stopIfTrue="1" operator="greaterThan">
      <formula>1.75</formula>
    </cfRule>
    <cfRule type="cellIs" dxfId="674" priority="700" stopIfTrue="1" operator="between">
      <formula>1.25</formula>
      <formula>1.75</formula>
    </cfRule>
  </conditionalFormatting>
  <conditionalFormatting sqref="J54">
    <cfRule type="cellIs" dxfId="673" priority="697" stopIfTrue="1" operator="greaterThan">
      <formula>1.75</formula>
    </cfRule>
    <cfRule type="cellIs" dxfId="672" priority="698" stopIfTrue="1" operator="between">
      <formula>1.25</formula>
      <formula>1.75</formula>
    </cfRule>
  </conditionalFormatting>
  <conditionalFormatting sqref="J54">
    <cfRule type="cellIs" dxfId="671" priority="695" stopIfTrue="1" operator="greaterThan">
      <formula>1.75</formula>
    </cfRule>
    <cfRule type="cellIs" dxfId="670" priority="696" stopIfTrue="1" operator="between">
      <formula>1.25</formula>
      <formula>1.75</formula>
    </cfRule>
  </conditionalFormatting>
  <conditionalFormatting sqref="J54">
    <cfRule type="cellIs" dxfId="669" priority="693" stopIfTrue="1" operator="greaterThan">
      <formula>1.75</formula>
    </cfRule>
    <cfRule type="cellIs" dxfId="668" priority="694" stopIfTrue="1" operator="between">
      <formula>1.25</formula>
      <formula>1.75</formula>
    </cfRule>
  </conditionalFormatting>
  <conditionalFormatting sqref="J54">
    <cfRule type="cellIs" dxfId="667" priority="691" stopIfTrue="1" operator="greaterThan">
      <formula>1.75</formula>
    </cfRule>
    <cfRule type="cellIs" dxfId="666" priority="692" stopIfTrue="1" operator="between">
      <formula>1.25</formula>
      <formula>1.75</formula>
    </cfRule>
  </conditionalFormatting>
  <conditionalFormatting sqref="J54">
    <cfRule type="cellIs" dxfId="665" priority="689" stopIfTrue="1" operator="greaterThan">
      <formula>1.75</formula>
    </cfRule>
    <cfRule type="cellIs" dxfId="664" priority="690" stopIfTrue="1" operator="between">
      <formula>1.25</formula>
      <formula>1.75</formula>
    </cfRule>
  </conditionalFormatting>
  <conditionalFormatting sqref="K54">
    <cfRule type="cellIs" dxfId="663" priority="687" stopIfTrue="1" operator="greaterThan">
      <formula>1.75</formula>
    </cfRule>
    <cfRule type="cellIs" dxfId="662" priority="688" stopIfTrue="1" operator="between">
      <formula>1.25</formula>
      <formula>1.75</formula>
    </cfRule>
  </conditionalFormatting>
  <conditionalFormatting sqref="K54">
    <cfRule type="cellIs" dxfId="661" priority="685" stopIfTrue="1" operator="greaterThan">
      <formula>1.75</formula>
    </cfRule>
    <cfRule type="cellIs" dxfId="660" priority="686" stopIfTrue="1" operator="between">
      <formula>1.25</formula>
      <formula>1.75</formula>
    </cfRule>
  </conditionalFormatting>
  <conditionalFormatting sqref="K54">
    <cfRule type="cellIs" dxfId="659" priority="683" stopIfTrue="1" operator="greaterThan">
      <formula>1.75</formula>
    </cfRule>
    <cfRule type="cellIs" dxfId="658" priority="684" stopIfTrue="1" operator="between">
      <formula>1.25</formula>
      <formula>1.75</formula>
    </cfRule>
  </conditionalFormatting>
  <conditionalFormatting sqref="K54">
    <cfRule type="cellIs" dxfId="657" priority="681" stopIfTrue="1" operator="greaterThan">
      <formula>1.75</formula>
    </cfRule>
    <cfRule type="cellIs" dxfId="656" priority="682" stopIfTrue="1" operator="between">
      <formula>1.25</formula>
      <formula>1.75</formula>
    </cfRule>
  </conditionalFormatting>
  <conditionalFormatting sqref="K54">
    <cfRule type="cellIs" dxfId="655" priority="679" stopIfTrue="1" operator="greaterThan">
      <formula>1.75</formula>
    </cfRule>
    <cfRule type="cellIs" dxfId="654" priority="680" stopIfTrue="1" operator="between">
      <formula>1.25</formula>
      <formula>1.75</formula>
    </cfRule>
  </conditionalFormatting>
  <conditionalFormatting sqref="K54">
    <cfRule type="cellIs" dxfId="653" priority="677" stopIfTrue="1" operator="greaterThan">
      <formula>1.75</formula>
    </cfRule>
    <cfRule type="cellIs" dxfId="652" priority="678" stopIfTrue="1" operator="between">
      <formula>1.25</formula>
      <formula>1.75</formula>
    </cfRule>
  </conditionalFormatting>
  <conditionalFormatting sqref="K54">
    <cfRule type="cellIs" dxfId="651" priority="675" stopIfTrue="1" operator="greaterThan">
      <formula>1.75</formula>
    </cfRule>
    <cfRule type="cellIs" dxfId="650" priority="676" stopIfTrue="1" operator="between">
      <formula>1.25</formula>
      <formula>1.75</formula>
    </cfRule>
  </conditionalFormatting>
  <conditionalFormatting sqref="K54">
    <cfRule type="cellIs" dxfId="649" priority="673" stopIfTrue="1" operator="greaterThan">
      <formula>1.75</formula>
    </cfRule>
    <cfRule type="cellIs" dxfId="648" priority="674" stopIfTrue="1" operator="between">
      <formula>1.25</formula>
      <formula>1.75</formula>
    </cfRule>
  </conditionalFormatting>
  <conditionalFormatting sqref="K54">
    <cfRule type="cellIs" dxfId="647" priority="671" stopIfTrue="1" operator="greaterThan">
      <formula>1.75</formula>
    </cfRule>
    <cfRule type="cellIs" dxfId="646" priority="672" stopIfTrue="1" operator="between">
      <formula>1.25</formula>
      <formula>1.75</formula>
    </cfRule>
  </conditionalFormatting>
  <conditionalFormatting sqref="M54">
    <cfRule type="cellIs" dxfId="645" priority="669" stopIfTrue="1" operator="greaterThan">
      <formula>1.75</formula>
    </cfRule>
    <cfRule type="cellIs" dxfId="644" priority="670" stopIfTrue="1" operator="between">
      <formula>1.25</formula>
      <formula>1.75</formula>
    </cfRule>
  </conditionalFormatting>
  <conditionalFormatting sqref="M54">
    <cfRule type="cellIs" dxfId="643" priority="667" stopIfTrue="1" operator="greaterThan">
      <formula>1.75</formula>
    </cfRule>
    <cfRule type="cellIs" dxfId="642" priority="668" stopIfTrue="1" operator="between">
      <formula>1.25</formula>
      <formula>1.75</formula>
    </cfRule>
  </conditionalFormatting>
  <conditionalFormatting sqref="M54">
    <cfRule type="cellIs" dxfId="641" priority="665" stopIfTrue="1" operator="greaterThan">
      <formula>1.75</formula>
    </cfRule>
    <cfRule type="cellIs" dxfId="640" priority="666" stopIfTrue="1" operator="between">
      <formula>1.25</formula>
      <formula>1.75</formula>
    </cfRule>
  </conditionalFormatting>
  <conditionalFormatting sqref="M54">
    <cfRule type="cellIs" dxfId="639" priority="663" stopIfTrue="1" operator="greaterThan">
      <formula>1.75</formula>
    </cfRule>
    <cfRule type="cellIs" dxfId="638" priority="664" stopIfTrue="1" operator="between">
      <formula>1.25</formula>
      <formula>1.75</formula>
    </cfRule>
  </conditionalFormatting>
  <conditionalFormatting sqref="M54">
    <cfRule type="cellIs" dxfId="637" priority="661" stopIfTrue="1" operator="greaterThan">
      <formula>1.75</formula>
    </cfRule>
    <cfRule type="cellIs" dxfId="636" priority="662" stopIfTrue="1" operator="between">
      <formula>1.25</formula>
      <formula>1.75</formula>
    </cfRule>
  </conditionalFormatting>
  <conditionalFormatting sqref="M54">
    <cfRule type="cellIs" dxfId="635" priority="659" stopIfTrue="1" operator="greaterThan">
      <formula>1.75</formula>
    </cfRule>
    <cfRule type="cellIs" dxfId="634" priority="660" stopIfTrue="1" operator="between">
      <formula>1.25</formula>
      <formula>1.75</formula>
    </cfRule>
  </conditionalFormatting>
  <conditionalFormatting sqref="M54">
    <cfRule type="cellIs" dxfId="633" priority="657" stopIfTrue="1" operator="greaterThan">
      <formula>1.75</formula>
    </cfRule>
    <cfRule type="cellIs" dxfId="632" priority="658" stopIfTrue="1" operator="between">
      <formula>1.25</formula>
      <formula>1.75</formula>
    </cfRule>
  </conditionalFormatting>
  <conditionalFormatting sqref="M54">
    <cfRule type="cellIs" dxfId="631" priority="655" stopIfTrue="1" operator="greaterThan">
      <formula>1.75</formula>
    </cfRule>
    <cfRule type="cellIs" dxfId="630" priority="656" stopIfTrue="1" operator="between">
      <formula>1.25</formula>
      <formula>1.75</formula>
    </cfRule>
  </conditionalFormatting>
  <conditionalFormatting sqref="M54">
    <cfRule type="cellIs" dxfId="629" priority="653" stopIfTrue="1" operator="greaterThan">
      <formula>1.75</formula>
    </cfRule>
    <cfRule type="cellIs" dxfId="628" priority="654" stopIfTrue="1" operator="between">
      <formula>1.25</formula>
      <formula>1.75</formula>
    </cfRule>
  </conditionalFormatting>
  <conditionalFormatting sqref="N54">
    <cfRule type="cellIs" dxfId="627" priority="651" stopIfTrue="1" operator="greaterThan">
      <formula>1.75</formula>
    </cfRule>
    <cfRule type="cellIs" dxfId="626" priority="652" stopIfTrue="1" operator="between">
      <formula>1.25</formula>
      <formula>1.75</formula>
    </cfRule>
  </conditionalFormatting>
  <conditionalFormatting sqref="N54">
    <cfRule type="cellIs" dxfId="625" priority="649" stopIfTrue="1" operator="greaterThan">
      <formula>1.75</formula>
    </cfRule>
    <cfRule type="cellIs" dxfId="624" priority="650" stopIfTrue="1" operator="between">
      <formula>1.25</formula>
      <formula>1.75</formula>
    </cfRule>
  </conditionalFormatting>
  <conditionalFormatting sqref="N54">
    <cfRule type="cellIs" dxfId="623" priority="647" stopIfTrue="1" operator="greaterThan">
      <formula>1.75</formula>
    </cfRule>
    <cfRule type="cellIs" dxfId="622" priority="648" stopIfTrue="1" operator="between">
      <formula>1.25</formula>
      <formula>1.75</formula>
    </cfRule>
  </conditionalFormatting>
  <conditionalFormatting sqref="N54">
    <cfRule type="cellIs" dxfId="621" priority="645" stopIfTrue="1" operator="greaterThan">
      <formula>1.75</formula>
    </cfRule>
    <cfRule type="cellIs" dxfId="620" priority="646" stopIfTrue="1" operator="between">
      <formula>1.25</formula>
      <formula>1.75</formula>
    </cfRule>
  </conditionalFormatting>
  <conditionalFormatting sqref="N54">
    <cfRule type="cellIs" dxfId="619" priority="643" stopIfTrue="1" operator="greaterThan">
      <formula>1.75</formula>
    </cfRule>
    <cfRule type="cellIs" dxfId="618" priority="644" stopIfTrue="1" operator="between">
      <formula>1.25</formula>
      <formula>1.75</formula>
    </cfRule>
  </conditionalFormatting>
  <conditionalFormatting sqref="N54">
    <cfRule type="cellIs" dxfId="617" priority="641" stopIfTrue="1" operator="greaterThan">
      <formula>1.75</formula>
    </cfRule>
    <cfRule type="cellIs" dxfId="616" priority="642" stopIfTrue="1" operator="between">
      <formula>1.25</formula>
      <formula>1.75</formula>
    </cfRule>
  </conditionalFormatting>
  <conditionalFormatting sqref="N54">
    <cfRule type="cellIs" dxfId="615" priority="639" stopIfTrue="1" operator="greaterThan">
      <formula>1.75</formula>
    </cfRule>
    <cfRule type="cellIs" dxfId="614" priority="640" stopIfTrue="1" operator="between">
      <formula>1.25</formula>
      <formula>1.75</formula>
    </cfRule>
  </conditionalFormatting>
  <conditionalFormatting sqref="N54">
    <cfRule type="cellIs" dxfId="613" priority="637" stopIfTrue="1" operator="greaterThan">
      <formula>1.75</formula>
    </cfRule>
    <cfRule type="cellIs" dxfId="612" priority="638" stopIfTrue="1" operator="between">
      <formula>1.25</formula>
      <formula>1.75</formula>
    </cfRule>
  </conditionalFormatting>
  <conditionalFormatting sqref="N54">
    <cfRule type="cellIs" dxfId="611" priority="635" stopIfTrue="1" operator="greaterThan">
      <formula>1.75</formula>
    </cfRule>
    <cfRule type="cellIs" dxfId="610" priority="636" stopIfTrue="1" operator="between">
      <formula>1.25</formula>
      <formula>1.75</formula>
    </cfRule>
  </conditionalFormatting>
  <conditionalFormatting sqref="O54">
    <cfRule type="cellIs" dxfId="609" priority="633" stopIfTrue="1" operator="greaterThan">
      <formula>1.75</formula>
    </cfRule>
    <cfRule type="cellIs" dxfId="608" priority="634" stopIfTrue="1" operator="between">
      <formula>1.25</formula>
      <formula>1.75</formula>
    </cfRule>
  </conditionalFormatting>
  <conditionalFormatting sqref="O54">
    <cfRule type="cellIs" dxfId="607" priority="631" stopIfTrue="1" operator="greaterThan">
      <formula>1.75</formula>
    </cfRule>
    <cfRule type="cellIs" dxfId="606" priority="632" stopIfTrue="1" operator="between">
      <formula>1.25</formula>
      <formula>1.75</formula>
    </cfRule>
  </conditionalFormatting>
  <conditionalFormatting sqref="O54">
    <cfRule type="cellIs" dxfId="605" priority="629" stopIfTrue="1" operator="greaterThan">
      <formula>1.75</formula>
    </cfRule>
    <cfRule type="cellIs" dxfId="604" priority="630" stopIfTrue="1" operator="between">
      <formula>1.25</formula>
      <formula>1.75</formula>
    </cfRule>
  </conditionalFormatting>
  <conditionalFormatting sqref="O54">
    <cfRule type="cellIs" dxfId="603" priority="627" stopIfTrue="1" operator="greaterThan">
      <formula>1.75</formula>
    </cfRule>
    <cfRule type="cellIs" dxfId="602" priority="628" stopIfTrue="1" operator="between">
      <formula>1.25</formula>
      <formula>1.75</formula>
    </cfRule>
  </conditionalFormatting>
  <conditionalFormatting sqref="O54">
    <cfRule type="cellIs" dxfId="601" priority="625" stopIfTrue="1" operator="greaterThan">
      <formula>1.75</formula>
    </cfRule>
    <cfRule type="cellIs" dxfId="600" priority="626" stopIfTrue="1" operator="between">
      <formula>1.25</formula>
      <formula>1.75</formula>
    </cfRule>
  </conditionalFormatting>
  <conditionalFormatting sqref="O54">
    <cfRule type="cellIs" dxfId="599" priority="623" stopIfTrue="1" operator="greaterThan">
      <formula>1.75</formula>
    </cfRule>
    <cfRule type="cellIs" dxfId="598" priority="624" stopIfTrue="1" operator="between">
      <formula>1.25</formula>
      <formula>1.75</formula>
    </cfRule>
  </conditionalFormatting>
  <conditionalFormatting sqref="O54">
    <cfRule type="cellIs" dxfId="597" priority="621" stopIfTrue="1" operator="greaterThan">
      <formula>1.75</formula>
    </cfRule>
    <cfRule type="cellIs" dxfId="596" priority="622" stopIfTrue="1" operator="between">
      <formula>1.25</formula>
      <formula>1.75</formula>
    </cfRule>
  </conditionalFormatting>
  <conditionalFormatting sqref="O54">
    <cfRule type="cellIs" dxfId="595" priority="619" stopIfTrue="1" operator="greaterThan">
      <formula>1.75</formula>
    </cfRule>
    <cfRule type="cellIs" dxfId="594" priority="620" stopIfTrue="1" operator="between">
      <formula>1.25</formula>
      <formula>1.75</formula>
    </cfRule>
  </conditionalFormatting>
  <conditionalFormatting sqref="O54">
    <cfRule type="cellIs" dxfId="593" priority="617" stopIfTrue="1" operator="greaterThan">
      <formula>1.75</formula>
    </cfRule>
    <cfRule type="cellIs" dxfId="592" priority="618" stopIfTrue="1" operator="between">
      <formula>1.25</formula>
      <formula>1.75</formula>
    </cfRule>
  </conditionalFormatting>
  <conditionalFormatting sqref="P54">
    <cfRule type="cellIs" dxfId="591" priority="615" stopIfTrue="1" operator="greaterThan">
      <formula>1.75</formula>
    </cfRule>
    <cfRule type="cellIs" dxfId="590" priority="616" stopIfTrue="1" operator="between">
      <formula>1.25</formula>
      <formula>1.75</formula>
    </cfRule>
  </conditionalFormatting>
  <conditionalFormatting sqref="P54">
    <cfRule type="cellIs" dxfId="589" priority="613" stopIfTrue="1" operator="greaterThan">
      <formula>1.75</formula>
    </cfRule>
    <cfRule type="cellIs" dxfId="588" priority="614" stopIfTrue="1" operator="between">
      <formula>1.25</formula>
      <formula>1.75</formula>
    </cfRule>
  </conditionalFormatting>
  <conditionalFormatting sqref="P54">
    <cfRule type="cellIs" dxfId="587" priority="611" stopIfTrue="1" operator="greaterThan">
      <formula>1.75</formula>
    </cfRule>
    <cfRule type="cellIs" dxfId="586" priority="612" stopIfTrue="1" operator="between">
      <formula>1.25</formula>
      <formula>1.75</formula>
    </cfRule>
  </conditionalFormatting>
  <conditionalFormatting sqref="P54">
    <cfRule type="cellIs" dxfId="585" priority="609" stopIfTrue="1" operator="greaterThan">
      <formula>1.75</formula>
    </cfRule>
    <cfRule type="cellIs" dxfId="584" priority="610" stopIfTrue="1" operator="between">
      <formula>1.25</formula>
      <formula>1.75</formula>
    </cfRule>
  </conditionalFormatting>
  <conditionalFormatting sqref="P54">
    <cfRule type="cellIs" dxfId="583" priority="607" stopIfTrue="1" operator="greaterThan">
      <formula>1.75</formula>
    </cfRule>
    <cfRule type="cellIs" dxfId="582" priority="608" stopIfTrue="1" operator="between">
      <formula>1.25</formula>
      <formula>1.75</formula>
    </cfRule>
  </conditionalFormatting>
  <conditionalFormatting sqref="P54">
    <cfRule type="cellIs" dxfId="581" priority="605" stopIfTrue="1" operator="greaterThan">
      <formula>1.75</formula>
    </cfRule>
    <cfRule type="cellIs" dxfId="580" priority="606" stopIfTrue="1" operator="between">
      <formula>1.25</formula>
      <formula>1.75</formula>
    </cfRule>
  </conditionalFormatting>
  <conditionalFormatting sqref="P54">
    <cfRule type="cellIs" dxfId="579" priority="603" stopIfTrue="1" operator="greaterThan">
      <formula>1.75</formula>
    </cfRule>
    <cfRule type="cellIs" dxfId="578" priority="604" stopIfTrue="1" operator="between">
      <formula>1.25</formula>
      <formula>1.75</formula>
    </cfRule>
  </conditionalFormatting>
  <conditionalFormatting sqref="P54">
    <cfRule type="cellIs" dxfId="577" priority="601" stopIfTrue="1" operator="greaterThan">
      <formula>1.75</formula>
    </cfRule>
    <cfRule type="cellIs" dxfId="576" priority="602" stopIfTrue="1" operator="between">
      <formula>1.25</formula>
      <formula>1.75</formula>
    </cfRule>
  </conditionalFormatting>
  <conditionalFormatting sqref="P54">
    <cfRule type="cellIs" dxfId="575" priority="599" stopIfTrue="1" operator="greaterThan">
      <formula>1.75</formula>
    </cfRule>
    <cfRule type="cellIs" dxfId="574" priority="600" stopIfTrue="1" operator="between">
      <formula>1.25</formula>
      <formula>1.75</formula>
    </cfRule>
  </conditionalFormatting>
  <conditionalFormatting sqref="Q54">
    <cfRule type="cellIs" dxfId="573" priority="597" stopIfTrue="1" operator="greaterThan">
      <formula>1.75</formula>
    </cfRule>
    <cfRule type="cellIs" dxfId="572" priority="598" stopIfTrue="1" operator="between">
      <formula>1.25</formula>
      <formula>1.75</formula>
    </cfRule>
  </conditionalFormatting>
  <conditionalFormatting sqref="Q54">
    <cfRule type="cellIs" dxfId="571" priority="595" stopIfTrue="1" operator="greaterThan">
      <formula>1.75</formula>
    </cfRule>
    <cfRule type="cellIs" dxfId="570" priority="596" stopIfTrue="1" operator="between">
      <formula>1.25</formula>
      <formula>1.75</formula>
    </cfRule>
  </conditionalFormatting>
  <conditionalFormatting sqref="Q54">
    <cfRule type="cellIs" dxfId="569" priority="593" stopIfTrue="1" operator="greaterThan">
      <formula>1.75</formula>
    </cfRule>
    <cfRule type="cellIs" dxfId="568" priority="594" stopIfTrue="1" operator="between">
      <formula>1.25</formula>
      <formula>1.75</formula>
    </cfRule>
  </conditionalFormatting>
  <conditionalFormatting sqref="Q54">
    <cfRule type="cellIs" dxfId="567" priority="591" stopIfTrue="1" operator="greaterThan">
      <formula>1.75</formula>
    </cfRule>
    <cfRule type="cellIs" dxfId="566" priority="592" stopIfTrue="1" operator="between">
      <formula>1.25</formula>
      <formula>1.75</formula>
    </cfRule>
  </conditionalFormatting>
  <conditionalFormatting sqref="Q54">
    <cfRule type="cellIs" dxfId="565" priority="589" stopIfTrue="1" operator="greaterThan">
      <formula>1.75</formula>
    </cfRule>
    <cfRule type="cellIs" dxfId="564" priority="590" stopIfTrue="1" operator="between">
      <formula>1.25</formula>
      <formula>1.75</formula>
    </cfRule>
  </conditionalFormatting>
  <conditionalFormatting sqref="Q54">
    <cfRule type="cellIs" dxfId="563" priority="587" stopIfTrue="1" operator="greaterThan">
      <formula>1.75</formula>
    </cfRule>
    <cfRule type="cellIs" dxfId="562" priority="588" stopIfTrue="1" operator="between">
      <formula>1.25</formula>
      <formula>1.75</formula>
    </cfRule>
  </conditionalFormatting>
  <conditionalFormatting sqref="Q54">
    <cfRule type="cellIs" dxfId="561" priority="585" stopIfTrue="1" operator="greaterThan">
      <formula>1.75</formula>
    </cfRule>
    <cfRule type="cellIs" dxfId="560" priority="586" stopIfTrue="1" operator="between">
      <formula>1.25</formula>
      <formula>1.75</formula>
    </cfRule>
  </conditionalFormatting>
  <conditionalFormatting sqref="Q54">
    <cfRule type="cellIs" dxfId="559" priority="583" stopIfTrue="1" operator="greaterThan">
      <formula>1.75</formula>
    </cfRule>
    <cfRule type="cellIs" dxfId="558" priority="584" stopIfTrue="1" operator="between">
      <formula>1.25</formula>
      <formula>1.75</formula>
    </cfRule>
  </conditionalFormatting>
  <conditionalFormatting sqref="Q54">
    <cfRule type="cellIs" dxfId="557" priority="581" stopIfTrue="1" operator="greaterThan">
      <formula>1.75</formula>
    </cfRule>
    <cfRule type="cellIs" dxfId="556" priority="582" stopIfTrue="1" operator="between">
      <formula>1.25</formula>
      <formula>1.75</formula>
    </cfRule>
  </conditionalFormatting>
  <conditionalFormatting sqref="V34">
    <cfRule type="cellIs" dxfId="555" priority="579" operator="lessThan">
      <formula>1000</formula>
    </cfRule>
    <cfRule type="cellIs" dxfId="554" priority="580" operator="lessThan">
      <formula>2000</formula>
    </cfRule>
  </conditionalFormatting>
  <conditionalFormatting sqref="C36">
    <cfRule type="cellIs" dxfId="553" priority="565" stopIfTrue="1" operator="greaterThan">
      <formula>1.75</formula>
    </cfRule>
    <cfRule type="cellIs" dxfId="552" priority="566" stopIfTrue="1" operator="between">
      <formula>1.25</formula>
      <formula>1.75</formula>
    </cfRule>
  </conditionalFormatting>
  <conditionalFormatting sqref="C36">
    <cfRule type="cellIs" dxfId="551" priority="563" stopIfTrue="1" operator="greaterThan">
      <formula>1.75</formula>
    </cfRule>
    <cfRule type="cellIs" dxfId="550" priority="564" stopIfTrue="1" operator="between">
      <formula>1.25</formula>
      <formula>1.75</formula>
    </cfRule>
  </conditionalFormatting>
  <conditionalFormatting sqref="C36">
    <cfRule type="cellIs" dxfId="549" priority="561" stopIfTrue="1" operator="greaterThan">
      <formula>1.75</formula>
    </cfRule>
    <cfRule type="cellIs" dxfId="548" priority="562" stopIfTrue="1" operator="between">
      <formula>1.25</formula>
      <formula>1.75</formula>
    </cfRule>
  </conditionalFormatting>
  <conditionalFormatting sqref="D36">
    <cfRule type="cellIs" dxfId="547" priority="559" stopIfTrue="1" operator="greaterThan">
      <formula>1.75</formula>
    </cfRule>
    <cfRule type="cellIs" dxfId="546" priority="560" stopIfTrue="1" operator="between">
      <formula>1.25</formula>
      <formula>1.75</formula>
    </cfRule>
  </conditionalFormatting>
  <conditionalFormatting sqref="D36">
    <cfRule type="cellIs" dxfId="545" priority="557" stopIfTrue="1" operator="greaterThan">
      <formula>1.75</formula>
    </cfRule>
    <cfRule type="cellIs" dxfId="544" priority="558" stopIfTrue="1" operator="between">
      <formula>1.25</formula>
      <formula>1.75</formula>
    </cfRule>
  </conditionalFormatting>
  <conditionalFormatting sqref="D36">
    <cfRule type="cellIs" dxfId="543" priority="555" stopIfTrue="1" operator="greaterThan">
      <formula>1.75</formula>
    </cfRule>
    <cfRule type="cellIs" dxfId="542" priority="556" stopIfTrue="1" operator="between">
      <formula>1.25</formula>
      <formula>1.75</formula>
    </cfRule>
  </conditionalFormatting>
  <conditionalFormatting sqref="E36">
    <cfRule type="cellIs" dxfId="541" priority="553" stopIfTrue="1" operator="greaterThan">
      <formula>1.75</formula>
    </cfRule>
    <cfRule type="cellIs" dxfId="540" priority="554" stopIfTrue="1" operator="between">
      <formula>1.25</formula>
      <formula>1.75</formula>
    </cfRule>
  </conditionalFormatting>
  <conditionalFormatting sqref="E36">
    <cfRule type="cellIs" dxfId="539" priority="551" stopIfTrue="1" operator="greaterThan">
      <formula>1.75</formula>
    </cfRule>
    <cfRule type="cellIs" dxfId="538" priority="552" stopIfTrue="1" operator="between">
      <formula>1.25</formula>
      <formula>1.75</formula>
    </cfRule>
  </conditionalFormatting>
  <conditionalFormatting sqref="E36">
    <cfRule type="cellIs" dxfId="537" priority="549" stopIfTrue="1" operator="greaterThan">
      <formula>1.75</formula>
    </cfRule>
    <cfRule type="cellIs" dxfId="536" priority="550" stopIfTrue="1" operator="between">
      <formula>1.25</formula>
      <formula>1.75</formula>
    </cfRule>
  </conditionalFormatting>
  <conditionalFormatting sqref="F36">
    <cfRule type="cellIs" dxfId="535" priority="547" stopIfTrue="1" operator="greaterThan">
      <formula>1.75</formula>
    </cfRule>
    <cfRule type="cellIs" dxfId="534" priority="548" stopIfTrue="1" operator="between">
      <formula>1.25</formula>
      <formula>1.75</formula>
    </cfRule>
  </conditionalFormatting>
  <conditionalFormatting sqref="F36">
    <cfRule type="cellIs" dxfId="533" priority="545" stopIfTrue="1" operator="greaterThan">
      <formula>1.75</formula>
    </cfRule>
    <cfRule type="cellIs" dxfId="532" priority="546" stopIfTrue="1" operator="between">
      <formula>1.25</formula>
      <formula>1.75</formula>
    </cfRule>
  </conditionalFormatting>
  <conditionalFormatting sqref="F36">
    <cfRule type="cellIs" dxfId="531" priority="543" stopIfTrue="1" operator="greaterThan">
      <formula>1.75</formula>
    </cfRule>
    <cfRule type="cellIs" dxfId="530" priority="544" stopIfTrue="1" operator="between">
      <formula>1.25</formula>
      <formula>1.75</formula>
    </cfRule>
  </conditionalFormatting>
  <conditionalFormatting sqref="D36">
    <cfRule type="cellIs" dxfId="529" priority="541" stopIfTrue="1" operator="greaterThan">
      <formula>1.75</formula>
    </cfRule>
    <cfRule type="cellIs" dxfId="528" priority="542" stopIfTrue="1" operator="between">
      <formula>1.25</formula>
      <formula>1.75</formula>
    </cfRule>
  </conditionalFormatting>
  <conditionalFormatting sqref="D36">
    <cfRule type="cellIs" dxfId="527" priority="539" stopIfTrue="1" operator="greaterThan">
      <formula>1.75</formula>
    </cfRule>
    <cfRule type="cellIs" dxfId="526" priority="540" stopIfTrue="1" operator="between">
      <formula>1.25</formula>
      <formula>1.75</formula>
    </cfRule>
  </conditionalFormatting>
  <conditionalFormatting sqref="D36">
    <cfRule type="cellIs" dxfId="525" priority="537" stopIfTrue="1" operator="greaterThan">
      <formula>1.75</formula>
    </cfRule>
    <cfRule type="cellIs" dxfId="524" priority="538" stopIfTrue="1" operator="between">
      <formula>1.25</formula>
      <formula>1.75</formula>
    </cfRule>
  </conditionalFormatting>
  <conditionalFormatting sqref="D36">
    <cfRule type="cellIs" dxfId="523" priority="535" stopIfTrue="1" operator="greaterThan">
      <formula>1.75</formula>
    </cfRule>
    <cfRule type="cellIs" dxfId="522" priority="536" stopIfTrue="1" operator="between">
      <formula>1.25</formula>
      <formula>1.75</formula>
    </cfRule>
  </conditionalFormatting>
  <conditionalFormatting sqref="D36">
    <cfRule type="cellIs" dxfId="521" priority="533" stopIfTrue="1" operator="greaterThan">
      <formula>1.75</formula>
    </cfRule>
    <cfRule type="cellIs" dxfId="520" priority="534" stopIfTrue="1" operator="between">
      <formula>1.25</formula>
      <formula>1.75</formula>
    </cfRule>
  </conditionalFormatting>
  <conditionalFormatting sqref="D36">
    <cfRule type="cellIs" dxfId="519" priority="531" stopIfTrue="1" operator="greaterThan">
      <formula>1.75</formula>
    </cfRule>
    <cfRule type="cellIs" dxfId="518" priority="532" stopIfTrue="1" operator="between">
      <formula>1.25</formula>
      <formula>1.75</formula>
    </cfRule>
  </conditionalFormatting>
  <conditionalFormatting sqref="E36:G36">
    <cfRule type="cellIs" dxfId="517" priority="529" stopIfTrue="1" operator="greaterThan">
      <formula>1.75</formula>
    </cfRule>
    <cfRule type="cellIs" dxfId="516" priority="530" stopIfTrue="1" operator="between">
      <formula>1.25</formula>
      <formula>1.75</formula>
    </cfRule>
  </conditionalFormatting>
  <conditionalFormatting sqref="E36:G36">
    <cfRule type="cellIs" dxfId="515" priority="527" stopIfTrue="1" operator="greaterThan">
      <formula>1.75</formula>
    </cfRule>
    <cfRule type="cellIs" dxfId="514" priority="528" stopIfTrue="1" operator="between">
      <formula>1.25</formula>
      <formula>1.75</formula>
    </cfRule>
  </conditionalFormatting>
  <conditionalFormatting sqref="E36:G36">
    <cfRule type="cellIs" dxfId="513" priority="525" stopIfTrue="1" operator="greaterThan">
      <formula>1.75</formula>
    </cfRule>
    <cfRule type="cellIs" dxfId="512" priority="526" stopIfTrue="1" operator="between">
      <formula>1.25</formula>
      <formula>1.75</formula>
    </cfRule>
  </conditionalFormatting>
  <conditionalFormatting sqref="E36:G36">
    <cfRule type="cellIs" dxfId="511" priority="523" stopIfTrue="1" operator="greaterThan">
      <formula>1.75</formula>
    </cfRule>
    <cfRule type="cellIs" dxfId="510" priority="524" stopIfTrue="1" operator="between">
      <formula>1.25</formula>
      <formula>1.75</formula>
    </cfRule>
  </conditionalFormatting>
  <conditionalFormatting sqref="E36:G36">
    <cfRule type="cellIs" dxfId="509" priority="521" stopIfTrue="1" operator="greaterThan">
      <formula>1.75</formula>
    </cfRule>
    <cfRule type="cellIs" dxfId="508" priority="522" stopIfTrue="1" operator="between">
      <formula>1.25</formula>
      <formula>1.75</formula>
    </cfRule>
  </conditionalFormatting>
  <conditionalFormatting sqref="E36:G36">
    <cfRule type="cellIs" dxfId="507" priority="519" stopIfTrue="1" operator="greaterThan">
      <formula>1.75</formula>
    </cfRule>
    <cfRule type="cellIs" dxfId="506" priority="520" stopIfTrue="1" operator="between">
      <formula>1.25</formula>
      <formula>1.75</formula>
    </cfRule>
  </conditionalFormatting>
  <conditionalFormatting sqref="E36:G36">
    <cfRule type="cellIs" dxfId="505" priority="517" stopIfTrue="1" operator="greaterThan">
      <formula>1.75</formula>
    </cfRule>
    <cfRule type="cellIs" dxfId="504" priority="518" stopIfTrue="1" operator="between">
      <formula>1.25</formula>
      <formula>1.75</formula>
    </cfRule>
  </conditionalFormatting>
  <conditionalFormatting sqref="E36:G36">
    <cfRule type="cellIs" dxfId="503" priority="515" stopIfTrue="1" operator="greaterThan">
      <formula>1.75</formula>
    </cfRule>
    <cfRule type="cellIs" dxfId="502" priority="516" stopIfTrue="1" operator="between">
      <formula>1.25</formula>
      <formula>1.75</formula>
    </cfRule>
  </conditionalFormatting>
  <conditionalFormatting sqref="E36:G36">
    <cfRule type="cellIs" dxfId="501" priority="513" stopIfTrue="1" operator="greaterThan">
      <formula>1.75</formula>
    </cfRule>
    <cfRule type="cellIs" dxfId="500" priority="514" stopIfTrue="1" operator="between">
      <formula>1.25</formula>
      <formula>1.75</formula>
    </cfRule>
  </conditionalFormatting>
  <conditionalFormatting sqref="H36">
    <cfRule type="cellIs" dxfId="499" priority="511" stopIfTrue="1" operator="greaterThan">
      <formula>1.75</formula>
    </cfRule>
    <cfRule type="cellIs" dxfId="498" priority="512" stopIfTrue="1" operator="between">
      <formula>1.25</formula>
      <formula>1.75</formula>
    </cfRule>
  </conditionalFormatting>
  <conditionalFormatting sqref="H36">
    <cfRule type="cellIs" dxfId="497" priority="509" stopIfTrue="1" operator="greaterThan">
      <formula>1.75</formula>
    </cfRule>
    <cfRule type="cellIs" dxfId="496" priority="510" stopIfTrue="1" operator="between">
      <formula>1.25</formula>
      <formula>1.75</formula>
    </cfRule>
  </conditionalFormatting>
  <conditionalFormatting sqref="H36">
    <cfRule type="cellIs" dxfId="495" priority="507" stopIfTrue="1" operator="greaterThan">
      <formula>1.75</formula>
    </cfRule>
    <cfRule type="cellIs" dxfId="494" priority="508" stopIfTrue="1" operator="between">
      <formula>1.25</formula>
      <formula>1.75</formula>
    </cfRule>
  </conditionalFormatting>
  <conditionalFormatting sqref="M36">
    <cfRule type="cellIs" dxfId="493" priority="505" stopIfTrue="1" operator="greaterThan">
      <formula>1.75</formula>
    </cfRule>
    <cfRule type="cellIs" dxfId="492" priority="506" stopIfTrue="1" operator="between">
      <formula>1.25</formula>
      <formula>1.75</formula>
    </cfRule>
  </conditionalFormatting>
  <conditionalFormatting sqref="M36">
    <cfRule type="cellIs" dxfId="491" priority="503" stopIfTrue="1" operator="greaterThan">
      <formula>1.75</formula>
    </cfRule>
    <cfRule type="cellIs" dxfId="490" priority="504" stopIfTrue="1" operator="between">
      <formula>1.25</formula>
      <formula>1.75</formula>
    </cfRule>
  </conditionalFormatting>
  <conditionalFormatting sqref="M36">
    <cfRule type="cellIs" dxfId="489" priority="501" stopIfTrue="1" operator="greaterThan">
      <formula>1.75</formula>
    </cfRule>
    <cfRule type="cellIs" dxfId="488" priority="502" stopIfTrue="1" operator="between">
      <formula>1.25</formula>
      <formula>1.75</formula>
    </cfRule>
  </conditionalFormatting>
  <conditionalFormatting sqref="I36">
    <cfRule type="cellIs" dxfId="487" priority="499" stopIfTrue="1" operator="greaterThan">
      <formula>1.75</formula>
    </cfRule>
    <cfRule type="cellIs" dxfId="486" priority="500" stopIfTrue="1" operator="between">
      <formula>1.25</formula>
      <formula>1.75</formula>
    </cfRule>
  </conditionalFormatting>
  <conditionalFormatting sqref="I36">
    <cfRule type="cellIs" dxfId="485" priority="497" stopIfTrue="1" operator="greaterThan">
      <formula>1.75</formula>
    </cfRule>
    <cfRule type="cellIs" dxfId="484" priority="498" stopIfTrue="1" operator="between">
      <formula>1.25</formula>
      <formula>1.75</formula>
    </cfRule>
  </conditionalFormatting>
  <conditionalFormatting sqref="I36">
    <cfRule type="cellIs" dxfId="483" priority="495" stopIfTrue="1" operator="greaterThan">
      <formula>1.75</formula>
    </cfRule>
    <cfRule type="cellIs" dxfId="482" priority="496" stopIfTrue="1" operator="between">
      <formula>1.25</formula>
      <formula>1.75</formula>
    </cfRule>
  </conditionalFormatting>
  <conditionalFormatting sqref="I36">
    <cfRule type="cellIs" dxfId="481" priority="493" stopIfTrue="1" operator="greaterThan">
      <formula>1.75</formula>
    </cfRule>
    <cfRule type="cellIs" dxfId="480" priority="494" stopIfTrue="1" operator="between">
      <formula>1.25</formula>
      <formula>1.75</formula>
    </cfRule>
  </conditionalFormatting>
  <conditionalFormatting sqref="I36">
    <cfRule type="cellIs" dxfId="479" priority="491" stopIfTrue="1" operator="greaterThan">
      <formula>1.75</formula>
    </cfRule>
    <cfRule type="cellIs" dxfId="478" priority="492" stopIfTrue="1" operator="between">
      <formula>1.25</formula>
      <formula>1.75</formula>
    </cfRule>
  </conditionalFormatting>
  <conditionalFormatting sqref="I36">
    <cfRule type="cellIs" dxfId="477" priority="489" stopIfTrue="1" operator="greaterThan">
      <formula>1.75</formula>
    </cfRule>
    <cfRule type="cellIs" dxfId="476" priority="490" stopIfTrue="1" operator="between">
      <formula>1.25</formula>
      <formula>1.75</formula>
    </cfRule>
  </conditionalFormatting>
  <conditionalFormatting sqref="I36">
    <cfRule type="cellIs" dxfId="475" priority="487" stopIfTrue="1" operator="greaterThan">
      <formula>1.75</formula>
    </cfRule>
    <cfRule type="cellIs" dxfId="474" priority="488" stopIfTrue="1" operator="between">
      <formula>1.25</formula>
      <formula>1.75</formula>
    </cfRule>
  </conditionalFormatting>
  <conditionalFormatting sqref="I36">
    <cfRule type="cellIs" dxfId="473" priority="485" stopIfTrue="1" operator="greaterThan">
      <formula>1.75</formula>
    </cfRule>
    <cfRule type="cellIs" dxfId="472" priority="486" stopIfTrue="1" operator="between">
      <formula>1.25</formula>
      <formula>1.75</formula>
    </cfRule>
  </conditionalFormatting>
  <conditionalFormatting sqref="I36">
    <cfRule type="cellIs" dxfId="471" priority="483" stopIfTrue="1" operator="greaterThan">
      <formula>1.75</formula>
    </cfRule>
    <cfRule type="cellIs" dxfId="470" priority="484" stopIfTrue="1" operator="between">
      <formula>1.25</formula>
      <formula>1.75</formula>
    </cfRule>
  </conditionalFormatting>
  <conditionalFormatting sqref="J36">
    <cfRule type="cellIs" dxfId="469" priority="481" stopIfTrue="1" operator="greaterThan">
      <formula>1.75</formula>
    </cfRule>
    <cfRule type="cellIs" dxfId="468" priority="482" stopIfTrue="1" operator="between">
      <formula>1.25</formula>
      <formula>1.75</formula>
    </cfRule>
  </conditionalFormatting>
  <conditionalFormatting sqref="J36">
    <cfRule type="cellIs" dxfId="467" priority="479" stopIfTrue="1" operator="greaterThan">
      <formula>1.75</formula>
    </cfRule>
    <cfRule type="cellIs" dxfId="466" priority="480" stopIfTrue="1" operator="between">
      <formula>1.25</formula>
      <formula>1.75</formula>
    </cfRule>
  </conditionalFormatting>
  <conditionalFormatting sqref="J36">
    <cfRule type="cellIs" dxfId="465" priority="477" stopIfTrue="1" operator="greaterThan">
      <formula>1.75</formula>
    </cfRule>
    <cfRule type="cellIs" dxfId="464" priority="478" stopIfTrue="1" operator="between">
      <formula>1.25</formula>
      <formula>1.75</formula>
    </cfRule>
  </conditionalFormatting>
  <conditionalFormatting sqref="J36">
    <cfRule type="cellIs" dxfId="463" priority="475" stopIfTrue="1" operator="greaterThan">
      <formula>1.75</formula>
    </cfRule>
    <cfRule type="cellIs" dxfId="462" priority="476" stopIfTrue="1" operator="between">
      <formula>1.25</formula>
      <formula>1.75</formula>
    </cfRule>
  </conditionalFormatting>
  <conditionalFormatting sqref="J36">
    <cfRule type="cellIs" dxfId="461" priority="473" stopIfTrue="1" operator="greaterThan">
      <formula>1.75</formula>
    </cfRule>
    <cfRule type="cellIs" dxfId="460" priority="474" stopIfTrue="1" operator="between">
      <formula>1.25</formula>
      <formula>1.75</formula>
    </cfRule>
  </conditionalFormatting>
  <conditionalFormatting sqref="J36">
    <cfRule type="cellIs" dxfId="459" priority="471" stopIfTrue="1" operator="greaterThan">
      <formula>1.75</formula>
    </cfRule>
    <cfRule type="cellIs" dxfId="458" priority="472" stopIfTrue="1" operator="between">
      <formula>1.25</formula>
      <formula>1.75</formula>
    </cfRule>
  </conditionalFormatting>
  <conditionalFormatting sqref="J36">
    <cfRule type="cellIs" dxfId="457" priority="469" stopIfTrue="1" operator="greaterThan">
      <formula>1.75</formula>
    </cfRule>
    <cfRule type="cellIs" dxfId="456" priority="470" stopIfTrue="1" operator="between">
      <formula>1.25</formula>
      <formula>1.75</formula>
    </cfRule>
  </conditionalFormatting>
  <conditionalFormatting sqref="J36">
    <cfRule type="cellIs" dxfId="455" priority="467" stopIfTrue="1" operator="greaterThan">
      <formula>1.75</formula>
    </cfRule>
    <cfRule type="cellIs" dxfId="454" priority="468" stopIfTrue="1" operator="between">
      <formula>1.25</formula>
      <formula>1.75</formula>
    </cfRule>
  </conditionalFormatting>
  <conditionalFormatting sqref="J36">
    <cfRule type="cellIs" dxfId="453" priority="465" stopIfTrue="1" operator="greaterThan">
      <formula>1.75</formula>
    </cfRule>
    <cfRule type="cellIs" dxfId="452" priority="466" stopIfTrue="1" operator="between">
      <formula>1.25</formula>
      <formula>1.75</formula>
    </cfRule>
  </conditionalFormatting>
  <conditionalFormatting sqref="L36">
    <cfRule type="cellIs" dxfId="451" priority="463" stopIfTrue="1" operator="greaterThan">
      <formula>1.75</formula>
    </cfRule>
    <cfRule type="cellIs" dxfId="450" priority="464" stopIfTrue="1" operator="between">
      <formula>1.25</formula>
      <formula>1.75</formula>
    </cfRule>
  </conditionalFormatting>
  <conditionalFormatting sqref="L36">
    <cfRule type="cellIs" dxfId="449" priority="461" stopIfTrue="1" operator="greaterThan">
      <formula>1.75</formula>
    </cfRule>
    <cfRule type="cellIs" dxfId="448" priority="462" stopIfTrue="1" operator="between">
      <formula>1.25</formula>
      <formula>1.75</formula>
    </cfRule>
  </conditionalFormatting>
  <conditionalFormatting sqref="L36">
    <cfRule type="cellIs" dxfId="447" priority="459" stopIfTrue="1" operator="greaterThan">
      <formula>1.75</formula>
    </cfRule>
    <cfRule type="cellIs" dxfId="446" priority="460" stopIfTrue="1" operator="between">
      <formula>1.25</formula>
      <formula>1.75</formula>
    </cfRule>
  </conditionalFormatting>
  <conditionalFormatting sqref="L36">
    <cfRule type="cellIs" dxfId="445" priority="457" stopIfTrue="1" operator="greaterThan">
      <formula>1.75</formula>
    </cfRule>
    <cfRule type="cellIs" dxfId="444" priority="458" stopIfTrue="1" operator="between">
      <formula>1.25</formula>
      <formula>1.75</formula>
    </cfRule>
  </conditionalFormatting>
  <conditionalFormatting sqref="L36">
    <cfRule type="cellIs" dxfId="443" priority="455" stopIfTrue="1" operator="greaterThan">
      <formula>1.75</formula>
    </cfRule>
    <cfRule type="cellIs" dxfId="442" priority="456" stopIfTrue="1" operator="between">
      <formula>1.25</formula>
      <formula>1.75</formula>
    </cfRule>
  </conditionalFormatting>
  <conditionalFormatting sqref="L36">
    <cfRule type="cellIs" dxfId="441" priority="453" stopIfTrue="1" operator="greaterThan">
      <formula>1.75</formula>
    </cfRule>
    <cfRule type="cellIs" dxfId="440" priority="454" stopIfTrue="1" operator="between">
      <formula>1.25</formula>
      <formula>1.75</formula>
    </cfRule>
  </conditionalFormatting>
  <conditionalFormatting sqref="L36">
    <cfRule type="cellIs" dxfId="439" priority="451" stopIfTrue="1" operator="greaterThan">
      <formula>1.75</formula>
    </cfRule>
    <cfRule type="cellIs" dxfId="438" priority="452" stopIfTrue="1" operator="between">
      <formula>1.25</formula>
      <formula>1.75</formula>
    </cfRule>
  </conditionalFormatting>
  <conditionalFormatting sqref="L36">
    <cfRule type="cellIs" dxfId="437" priority="449" stopIfTrue="1" operator="greaterThan">
      <formula>1.75</formula>
    </cfRule>
    <cfRule type="cellIs" dxfId="436" priority="450" stopIfTrue="1" operator="between">
      <formula>1.25</formula>
      <formula>1.75</formula>
    </cfRule>
  </conditionalFormatting>
  <conditionalFormatting sqref="L36">
    <cfRule type="cellIs" dxfId="435" priority="447" stopIfTrue="1" operator="greaterThan">
      <formula>1.75</formula>
    </cfRule>
    <cfRule type="cellIs" dxfId="434" priority="448" stopIfTrue="1" operator="between">
      <formula>1.25</formula>
      <formula>1.75</formula>
    </cfRule>
  </conditionalFormatting>
  <conditionalFormatting sqref="N36">
    <cfRule type="cellIs" dxfId="433" priority="445" stopIfTrue="1" operator="greaterThan">
      <formula>1.75</formula>
    </cfRule>
    <cfRule type="cellIs" dxfId="432" priority="446" stopIfTrue="1" operator="between">
      <formula>1.25</formula>
      <formula>1.75</formula>
    </cfRule>
  </conditionalFormatting>
  <conditionalFormatting sqref="N36">
    <cfRule type="cellIs" dxfId="431" priority="443" stopIfTrue="1" operator="greaterThan">
      <formula>1.75</formula>
    </cfRule>
    <cfRule type="cellIs" dxfId="430" priority="444" stopIfTrue="1" operator="between">
      <formula>1.25</formula>
      <formula>1.75</formula>
    </cfRule>
  </conditionalFormatting>
  <conditionalFormatting sqref="N36">
    <cfRule type="cellIs" dxfId="429" priority="441" stopIfTrue="1" operator="greaterThan">
      <formula>1.75</formula>
    </cfRule>
    <cfRule type="cellIs" dxfId="428" priority="442" stopIfTrue="1" operator="between">
      <formula>1.25</formula>
      <formula>1.75</formula>
    </cfRule>
  </conditionalFormatting>
  <conditionalFormatting sqref="N36">
    <cfRule type="cellIs" dxfId="427" priority="439" stopIfTrue="1" operator="greaterThan">
      <formula>1.75</formula>
    </cfRule>
    <cfRule type="cellIs" dxfId="426" priority="440" stopIfTrue="1" operator="between">
      <formula>1.25</formula>
      <formula>1.75</formula>
    </cfRule>
  </conditionalFormatting>
  <conditionalFormatting sqref="N36">
    <cfRule type="cellIs" dxfId="425" priority="437" stopIfTrue="1" operator="greaterThan">
      <formula>1.75</formula>
    </cfRule>
    <cfRule type="cellIs" dxfId="424" priority="438" stopIfTrue="1" operator="between">
      <formula>1.25</formula>
      <formula>1.75</formula>
    </cfRule>
  </conditionalFormatting>
  <conditionalFormatting sqref="N36">
    <cfRule type="cellIs" dxfId="423" priority="435" stopIfTrue="1" operator="greaterThan">
      <formula>1.75</formula>
    </cfRule>
    <cfRule type="cellIs" dxfId="422" priority="436" stopIfTrue="1" operator="between">
      <formula>1.25</formula>
      <formula>1.75</formula>
    </cfRule>
  </conditionalFormatting>
  <conditionalFormatting sqref="N36">
    <cfRule type="cellIs" dxfId="421" priority="433" stopIfTrue="1" operator="greaterThan">
      <formula>1.75</formula>
    </cfRule>
    <cfRule type="cellIs" dxfId="420" priority="434" stopIfTrue="1" operator="between">
      <formula>1.25</formula>
      <formula>1.75</formula>
    </cfRule>
  </conditionalFormatting>
  <conditionalFormatting sqref="N36">
    <cfRule type="cellIs" dxfId="419" priority="431" stopIfTrue="1" operator="greaterThan">
      <formula>1.75</formula>
    </cfRule>
    <cfRule type="cellIs" dxfId="418" priority="432" stopIfTrue="1" operator="between">
      <formula>1.25</formula>
      <formula>1.75</formula>
    </cfRule>
  </conditionalFormatting>
  <conditionalFormatting sqref="N36">
    <cfRule type="cellIs" dxfId="417" priority="429" stopIfTrue="1" operator="greaterThan">
      <formula>1.75</formula>
    </cfRule>
    <cfRule type="cellIs" dxfId="416" priority="430" stopIfTrue="1" operator="between">
      <formula>1.25</formula>
      <formula>1.75</formula>
    </cfRule>
  </conditionalFormatting>
  <conditionalFormatting sqref="O36">
    <cfRule type="cellIs" dxfId="415" priority="427" stopIfTrue="1" operator="greaterThan">
      <formula>1.75</formula>
    </cfRule>
    <cfRule type="cellIs" dxfId="414" priority="428" stopIfTrue="1" operator="between">
      <formula>1.25</formula>
      <formula>1.75</formula>
    </cfRule>
  </conditionalFormatting>
  <conditionalFormatting sqref="O36">
    <cfRule type="cellIs" dxfId="413" priority="425" stopIfTrue="1" operator="greaterThan">
      <formula>1.75</formula>
    </cfRule>
    <cfRule type="cellIs" dxfId="412" priority="426" stopIfTrue="1" operator="between">
      <formula>1.25</formula>
      <formula>1.75</formula>
    </cfRule>
  </conditionalFormatting>
  <conditionalFormatting sqref="O36">
    <cfRule type="cellIs" dxfId="411" priority="423" stopIfTrue="1" operator="greaterThan">
      <formula>1.75</formula>
    </cfRule>
    <cfRule type="cellIs" dxfId="410" priority="424" stopIfTrue="1" operator="between">
      <formula>1.25</formula>
      <formula>1.75</formula>
    </cfRule>
  </conditionalFormatting>
  <conditionalFormatting sqref="O36">
    <cfRule type="cellIs" dxfId="409" priority="421" stopIfTrue="1" operator="greaterThan">
      <formula>1.75</formula>
    </cfRule>
    <cfRule type="cellIs" dxfId="408" priority="422" stopIfTrue="1" operator="between">
      <formula>1.25</formula>
      <formula>1.75</formula>
    </cfRule>
  </conditionalFormatting>
  <conditionalFormatting sqref="O36">
    <cfRule type="cellIs" dxfId="407" priority="419" stopIfTrue="1" operator="greaterThan">
      <formula>1.75</formula>
    </cfRule>
    <cfRule type="cellIs" dxfId="406" priority="420" stopIfTrue="1" operator="between">
      <formula>1.25</formula>
      <formula>1.75</formula>
    </cfRule>
  </conditionalFormatting>
  <conditionalFormatting sqref="O36">
    <cfRule type="cellIs" dxfId="405" priority="417" stopIfTrue="1" operator="greaterThan">
      <formula>1.75</formula>
    </cfRule>
    <cfRule type="cellIs" dxfId="404" priority="418" stopIfTrue="1" operator="between">
      <formula>1.25</formula>
      <formula>1.75</formula>
    </cfRule>
  </conditionalFormatting>
  <conditionalFormatting sqref="O36">
    <cfRule type="cellIs" dxfId="403" priority="415" stopIfTrue="1" operator="greaterThan">
      <formula>1.75</formula>
    </cfRule>
    <cfRule type="cellIs" dxfId="402" priority="416" stopIfTrue="1" operator="between">
      <formula>1.25</formula>
      <formula>1.75</formula>
    </cfRule>
  </conditionalFormatting>
  <conditionalFormatting sqref="O36">
    <cfRule type="cellIs" dxfId="401" priority="413" stopIfTrue="1" operator="greaterThan">
      <formula>1.75</formula>
    </cfRule>
    <cfRule type="cellIs" dxfId="400" priority="414" stopIfTrue="1" operator="between">
      <formula>1.25</formula>
      <formula>1.75</formula>
    </cfRule>
  </conditionalFormatting>
  <conditionalFormatting sqref="O36">
    <cfRule type="cellIs" dxfId="399" priority="411" stopIfTrue="1" operator="greaterThan">
      <formula>1.75</formula>
    </cfRule>
    <cfRule type="cellIs" dxfId="398" priority="412" stopIfTrue="1" operator="between">
      <formula>1.25</formula>
      <formula>1.75</formula>
    </cfRule>
  </conditionalFormatting>
  <conditionalFormatting sqref="P36">
    <cfRule type="cellIs" dxfId="397" priority="409" stopIfTrue="1" operator="greaterThan">
      <formula>1.75</formula>
    </cfRule>
    <cfRule type="cellIs" dxfId="396" priority="410" stopIfTrue="1" operator="between">
      <formula>1.25</formula>
      <formula>1.75</formula>
    </cfRule>
  </conditionalFormatting>
  <conditionalFormatting sqref="P36">
    <cfRule type="cellIs" dxfId="395" priority="407" stopIfTrue="1" operator="greaterThan">
      <formula>1.75</formula>
    </cfRule>
    <cfRule type="cellIs" dxfId="394" priority="408" stopIfTrue="1" operator="between">
      <formula>1.25</formula>
      <formula>1.75</formula>
    </cfRule>
  </conditionalFormatting>
  <conditionalFormatting sqref="P36">
    <cfRule type="cellIs" dxfId="393" priority="405" stopIfTrue="1" operator="greaterThan">
      <formula>1.75</formula>
    </cfRule>
    <cfRule type="cellIs" dxfId="392" priority="406" stopIfTrue="1" operator="between">
      <formula>1.25</formula>
      <formula>1.75</formula>
    </cfRule>
  </conditionalFormatting>
  <conditionalFormatting sqref="P36">
    <cfRule type="cellIs" dxfId="391" priority="403" stopIfTrue="1" operator="greaterThan">
      <formula>1.75</formula>
    </cfRule>
    <cfRule type="cellIs" dxfId="390" priority="404" stopIfTrue="1" operator="between">
      <formula>1.25</formula>
      <formula>1.75</formula>
    </cfRule>
  </conditionalFormatting>
  <conditionalFormatting sqref="P36">
    <cfRule type="cellIs" dxfId="389" priority="401" stopIfTrue="1" operator="greaterThan">
      <formula>1.75</formula>
    </cfRule>
    <cfRule type="cellIs" dxfId="388" priority="402" stopIfTrue="1" operator="between">
      <formula>1.25</formula>
      <formula>1.75</formula>
    </cfRule>
  </conditionalFormatting>
  <conditionalFormatting sqref="P36">
    <cfRule type="cellIs" dxfId="387" priority="399" stopIfTrue="1" operator="greaterThan">
      <formula>1.75</formula>
    </cfRule>
    <cfRule type="cellIs" dxfId="386" priority="400" stopIfTrue="1" operator="between">
      <formula>1.25</formula>
      <formula>1.75</formula>
    </cfRule>
  </conditionalFormatting>
  <conditionalFormatting sqref="P36">
    <cfRule type="cellIs" dxfId="385" priority="397" stopIfTrue="1" operator="greaterThan">
      <formula>1.75</formula>
    </cfRule>
    <cfRule type="cellIs" dxfId="384" priority="398" stopIfTrue="1" operator="between">
      <formula>1.25</formula>
      <formula>1.75</formula>
    </cfRule>
  </conditionalFormatting>
  <conditionalFormatting sqref="P36">
    <cfRule type="cellIs" dxfId="383" priority="395" stopIfTrue="1" operator="greaterThan">
      <formula>1.75</formula>
    </cfRule>
    <cfRule type="cellIs" dxfId="382" priority="396" stopIfTrue="1" operator="between">
      <formula>1.25</formula>
      <formula>1.75</formula>
    </cfRule>
  </conditionalFormatting>
  <conditionalFormatting sqref="P36">
    <cfRule type="cellIs" dxfId="381" priority="393" stopIfTrue="1" operator="greaterThan">
      <formula>1.75</formula>
    </cfRule>
    <cfRule type="cellIs" dxfId="380" priority="394" stopIfTrue="1" operator="between">
      <formula>1.25</formula>
      <formula>1.75</formula>
    </cfRule>
  </conditionalFormatting>
  <conditionalFormatting sqref="R36">
    <cfRule type="cellIs" dxfId="379" priority="391" stopIfTrue="1" operator="greaterThan">
      <formula>1.75</formula>
    </cfRule>
    <cfRule type="cellIs" dxfId="378" priority="392" stopIfTrue="1" operator="between">
      <formula>1.25</formula>
      <formula>1.75</formula>
    </cfRule>
  </conditionalFormatting>
  <conditionalFormatting sqref="R36">
    <cfRule type="cellIs" dxfId="377" priority="389" stopIfTrue="1" operator="greaterThan">
      <formula>1.75</formula>
    </cfRule>
    <cfRule type="cellIs" dxfId="376" priority="390" stopIfTrue="1" operator="between">
      <formula>1.25</formula>
      <formula>1.75</formula>
    </cfRule>
  </conditionalFormatting>
  <conditionalFormatting sqref="R36">
    <cfRule type="cellIs" dxfId="375" priority="387" stopIfTrue="1" operator="greaterThan">
      <formula>1.75</formula>
    </cfRule>
    <cfRule type="cellIs" dxfId="374" priority="388" stopIfTrue="1" operator="between">
      <formula>1.25</formula>
      <formula>1.75</formula>
    </cfRule>
  </conditionalFormatting>
  <conditionalFormatting sqref="R36">
    <cfRule type="cellIs" dxfId="373" priority="385" stopIfTrue="1" operator="greaterThan">
      <formula>1.75</formula>
    </cfRule>
    <cfRule type="cellIs" dxfId="372" priority="386" stopIfTrue="1" operator="between">
      <formula>1.25</formula>
      <formula>1.75</formula>
    </cfRule>
  </conditionalFormatting>
  <conditionalFormatting sqref="R36">
    <cfRule type="cellIs" dxfId="371" priority="383" stopIfTrue="1" operator="greaterThan">
      <formula>1.75</formula>
    </cfRule>
    <cfRule type="cellIs" dxfId="370" priority="384" stopIfTrue="1" operator="between">
      <formula>1.25</formula>
      <formula>1.75</formula>
    </cfRule>
  </conditionalFormatting>
  <conditionalFormatting sqref="R36">
    <cfRule type="cellIs" dxfId="369" priority="381" stopIfTrue="1" operator="greaterThan">
      <formula>1.75</formula>
    </cfRule>
    <cfRule type="cellIs" dxfId="368" priority="382" stopIfTrue="1" operator="between">
      <formula>1.25</formula>
      <formula>1.75</formula>
    </cfRule>
  </conditionalFormatting>
  <conditionalFormatting sqref="R36">
    <cfRule type="cellIs" dxfId="367" priority="379" stopIfTrue="1" operator="greaterThan">
      <formula>1.75</formula>
    </cfRule>
    <cfRule type="cellIs" dxfId="366" priority="380" stopIfTrue="1" operator="between">
      <formula>1.25</formula>
      <formula>1.75</formula>
    </cfRule>
  </conditionalFormatting>
  <conditionalFormatting sqref="R36">
    <cfRule type="cellIs" dxfId="365" priority="377" stopIfTrue="1" operator="greaterThan">
      <formula>1.75</formula>
    </cfRule>
    <cfRule type="cellIs" dxfId="364" priority="378" stopIfTrue="1" operator="between">
      <formula>1.25</formula>
      <formula>1.75</formula>
    </cfRule>
  </conditionalFormatting>
  <conditionalFormatting sqref="R36">
    <cfRule type="cellIs" dxfId="363" priority="375" stopIfTrue="1" operator="greaterThan">
      <formula>1.75</formula>
    </cfRule>
    <cfRule type="cellIs" dxfId="362" priority="376" stopIfTrue="1" operator="between">
      <formula>1.25</formula>
      <formula>1.75</formula>
    </cfRule>
  </conditionalFormatting>
  <conditionalFormatting sqref="S36">
    <cfRule type="cellIs" dxfId="361" priority="373" stopIfTrue="1" operator="greaterThan">
      <formula>1.75</formula>
    </cfRule>
    <cfRule type="cellIs" dxfId="360" priority="374" stopIfTrue="1" operator="between">
      <formula>1.25</formula>
      <formula>1.75</formula>
    </cfRule>
  </conditionalFormatting>
  <conditionalFormatting sqref="S36">
    <cfRule type="cellIs" dxfId="359" priority="371" stopIfTrue="1" operator="greaterThan">
      <formula>1.75</formula>
    </cfRule>
    <cfRule type="cellIs" dxfId="358" priority="372" stopIfTrue="1" operator="between">
      <formula>1.25</formula>
      <formula>1.75</formula>
    </cfRule>
  </conditionalFormatting>
  <conditionalFormatting sqref="S36">
    <cfRule type="cellIs" dxfId="357" priority="369" stopIfTrue="1" operator="greaterThan">
      <formula>1.75</formula>
    </cfRule>
    <cfRule type="cellIs" dxfId="356" priority="370" stopIfTrue="1" operator="between">
      <formula>1.25</formula>
      <formula>1.75</formula>
    </cfRule>
  </conditionalFormatting>
  <conditionalFormatting sqref="S36">
    <cfRule type="cellIs" dxfId="355" priority="367" stopIfTrue="1" operator="greaterThan">
      <formula>1.75</formula>
    </cfRule>
    <cfRule type="cellIs" dxfId="354" priority="368" stopIfTrue="1" operator="between">
      <formula>1.25</formula>
      <formula>1.75</formula>
    </cfRule>
  </conditionalFormatting>
  <conditionalFormatting sqref="S36">
    <cfRule type="cellIs" dxfId="353" priority="365" stopIfTrue="1" operator="greaterThan">
      <formula>1.75</formula>
    </cfRule>
    <cfRule type="cellIs" dxfId="352" priority="366" stopIfTrue="1" operator="between">
      <formula>1.25</formula>
      <formula>1.75</formula>
    </cfRule>
  </conditionalFormatting>
  <conditionalFormatting sqref="S36">
    <cfRule type="cellIs" dxfId="351" priority="363" stopIfTrue="1" operator="greaterThan">
      <formula>1.75</formula>
    </cfRule>
    <cfRule type="cellIs" dxfId="350" priority="364" stopIfTrue="1" operator="between">
      <formula>1.25</formula>
      <formula>1.75</formula>
    </cfRule>
  </conditionalFormatting>
  <conditionalFormatting sqref="S36">
    <cfRule type="cellIs" dxfId="349" priority="361" stopIfTrue="1" operator="greaterThan">
      <formula>1.75</formula>
    </cfRule>
    <cfRule type="cellIs" dxfId="348" priority="362" stopIfTrue="1" operator="between">
      <formula>1.25</formula>
      <formula>1.75</formula>
    </cfRule>
  </conditionalFormatting>
  <conditionalFormatting sqref="S36">
    <cfRule type="cellIs" dxfId="347" priority="359" stopIfTrue="1" operator="greaterThan">
      <formula>1.75</formula>
    </cfRule>
    <cfRule type="cellIs" dxfId="346" priority="360" stopIfTrue="1" operator="between">
      <formula>1.25</formula>
      <formula>1.75</formula>
    </cfRule>
  </conditionalFormatting>
  <conditionalFormatting sqref="S36">
    <cfRule type="cellIs" dxfId="345" priority="357" stopIfTrue="1" operator="greaterThan">
      <formula>1.75</formula>
    </cfRule>
    <cfRule type="cellIs" dxfId="344" priority="358" stopIfTrue="1" operator="between">
      <formula>1.25</formula>
      <formula>1.75</formula>
    </cfRule>
  </conditionalFormatting>
  <conditionalFormatting sqref="K35:K36">
    <cfRule type="cellIs" dxfId="343" priority="355" stopIfTrue="1" operator="greaterThan">
      <formula>1.75</formula>
    </cfRule>
    <cfRule type="cellIs" dxfId="342" priority="356" stopIfTrue="1" operator="between">
      <formula>1.25</formula>
      <formula>1.75</formula>
    </cfRule>
  </conditionalFormatting>
  <conditionalFormatting sqref="K36">
    <cfRule type="cellIs" dxfId="341" priority="353" stopIfTrue="1" operator="greaterThan">
      <formula>1.75</formula>
    </cfRule>
    <cfRule type="cellIs" dxfId="340" priority="354" stopIfTrue="1" operator="between">
      <formula>1.25</formula>
      <formula>1.75</formula>
    </cfRule>
  </conditionalFormatting>
  <conditionalFormatting sqref="K36">
    <cfRule type="cellIs" dxfId="339" priority="351" stopIfTrue="1" operator="greaterThan">
      <formula>1.75</formula>
    </cfRule>
    <cfRule type="cellIs" dxfId="338" priority="352" stopIfTrue="1" operator="between">
      <formula>1.25</formula>
      <formula>1.75</formula>
    </cfRule>
  </conditionalFormatting>
  <conditionalFormatting sqref="K36">
    <cfRule type="cellIs" dxfId="337" priority="349" stopIfTrue="1" operator="greaterThan">
      <formula>1.75</formula>
    </cfRule>
    <cfRule type="cellIs" dxfId="336" priority="350" stopIfTrue="1" operator="between">
      <formula>1.25</formula>
      <formula>1.75</formula>
    </cfRule>
  </conditionalFormatting>
  <conditionalFormatting sqref="K36">
    <cfRule type="cellIs" dxfId="335" priority="347" stopIfTrue="1" operator="greaterThan">
      <formula>1.75</formula>
    </cfRule>
    <cfRule type="cellIs" dxfId="334" priority="348" stopIfTrue="1" operator="between">
      <formula>1.25</formula>
      <formula>1.75</formula>
    </cfRule>
  </conditionalFormatting>
  <conditionalFormatting sqref="K36">
    <cfRule type="cellIs" dxfId="333" priority="345" stopIfTrue="1" operator="greaterThan">
      <formula>1.75</formula>
    </cfRule>
    <cfRule type="cellIs" dxfId="332" priority="346" stopIfTrue="1" operator="between">
      <formula>1.25</formula>
      <formula>1.75</formula>
    </cfRule>
  </conditionalFormatting>
  <conditionalFormatting sqref="K36">
    <cfRule type="cellIs" dxfId="331" priority="343" stopIfTrue="1" operator="greaterThan">
      <formula>1.75</formula>
    </cfRule>
    <cfRule type="cellIs" dxfId="330" priority="344" stopIfTrue="1" operator="between">
      <formula>1.25</formula>
      <formula>1.75</formula>
    </cfRule>
  </conditionalFormatting>
  <conditionalFormatting sqref="K36">
    <cfRule type="cellIs" dxfId="329" priority="341" stopIfTrue="1" operator="greaterThan">
      <formula>1.75</formula>
    </cfRule>
    <cfRule type="cellIs" dxfId="328" priority="342" stopIfTrue="1" operator="between">
      <formula>1.25</formula>
      <formula>1.75</formula>
    </cfRule>
  </conditionalFormatting>
  <conditionalFormatting sqref="K36">
    <cfRule type="cellIs" dxfId="327" priority="339" stopIfTrue="1" operator="greaterThan">
      <formula>1.75</formula>
    </cfRule>
    <cfRule type="cellIs" dxfId="326" priority="340" stopIfTrue="1" operator="between">
      <formula>1.25</formula>
      <formula>1.75</formula>
    </cfRule>
  </conditionalFormatting>
  <conditionalFormatting sqref="K36">
    <cfRule type="cellIs" dxfId="325" priority="337" stopIfTrue="1" operator="greaterThan">
      <formula>1.75</formula>
    </cfRule>
    <cfRule type="cellIs" dxfId="324" priority="338" stopIfTrue="1" operator="between">
      <formula>1.25</formula>
      <formula>1.75</formula>
    </cfRule>
  </conditionalFormatting>
  <conditionalFormatting sqref="Q35:Q36">
    <cfRule type="cellIs" dxfId="323" priority="335" stopIfTrue="1" operator="greaterThan">
      <formula>1.75</formula>
    </cfRule>
    <cfRule type="cellIs" dxfId="322" priority="336" stopIfTrue="1" operator="between">
      <formula>1.25</formula>
      <formula>1.75</formula>
    </cfRule>
  </conditionalFormatting>
  <conditionalFormatting sqref="Q36">
    <cfRule type="cellIs" dxfId="321" priority="333" stopIfTrue="1" operator="greaterThan">
      <formula>1.75</formula>
    </cfRule>
    <cfRule type="cellIs" dxfId="320" priority="334" stopIfTrue="1" operator="between">
      <formula>1.25</formula>
      <formula>1.75</formula>
    </cfRule>
  </conditionalFormatting>
  <conditionalFormatting sqref="Q36">
    <cfRule type="cellIs" dxfId="319" priority="331" stopIfTrue="1" operator="greaterThan">
      <formula>1.75</formula>
    </cfRule>
    <cfRule type="cellIs" dxfId="318" priority="332" stopIfTrue="1" operator="between">
      <formula>1.25</formula>
      <formula>1.75</formula>
    </cfRule>
  </conditionalFormatting>
  <conditionalFormatting sqref="Q36">
    <cfRule type="cellIs" dxfId="317" priority="329" stopIfTrue="1" operator="greaterThan">
      <formula>1.75</formula>
    </cfRule>
    <cfRule type="cellIs" dxfId="316" priority="330" stopIfTrue="1" operator="between">
      <formula>1.25</formula>
      <formula>1.75</formula>
    </cfRule>
  </conditionalFormatting>
  <conditionalFormatting sqref="Q36">
    <cfRule type="cellIs" dxfId="315" priority="327" stopIfTrue="1" operator="greaterThan">
      <formula>1.75</formula>
    </cfRule>
    <cfRule type="cellIs" dxfId="314" priority="328" stopIfTrue="1" operator="between">
      <formula>1.25</formula>
      <formula>1.75</formula>
    </cfRule>
  </conditionalFormatting>
  <conditionalFormatting sqref="Q36">
    <cfRule type="cellIs" dxfId="313" priority="325" stopIfTrue="1" operator="greaterThan">
      <formula>1.75</formula>
    </cfRule>
    <cfRule type="cellIs" dxfId="312" priority="326" stopIfTrue="1" operator="between">
      <formula>1.25</formula>
      <formula>1.75</formula>
    </cfRule>
  </conditionalFormatting>
  <conditionalFormatting sqref="Q36">
    <cfRule type="cellIs" dxfId="311" priority="323" stopIfTrue="1" operator="greaterThan">
      <formula>1.75</formula>
    </cfRule>
    <cfRule type="cellIs" dxfId="310" priority="324" stopIfTrue="1" operator="between">
      <formula>1.25</formula>
      <formula>1.75</formula>
    </cfRule>
  </conditionalFormatting>
  <conditionalFormatting sqref="Q36">
    <cfRule type="cellIs" dxfId="309" priority="321" stopIfTrue="1" operator="greaterThan">
      <formula>1.75</formula>
    </cfRule>
    <cfRule type="cellIs" dxfId="308" priority="322" stopIfTrue="1" operator="between">
      <formula>1.25</formula>
      <formula>1.75</formula>
    </cfRule>
  </conditionalFormatting>
  <conditionalFormatting sqref="Q36">
    <cfRule type="cellIs" dxfId="307" priority="319" stopIfTrue="1" operator="greaterThan">
      <formula>1.75</formula>
    </cfRule>
    <cfRule type="cellIs" dxfId="306" priority="320" stopIfTrue="1" operator="between">
      <formula>1.25</formula>
      <formula>1.75</formula>
    </cfRule>
  </conditionalFormatting>
  <conditionalFormatting sqref="Q36">
    <cfRule type="cellIs" dxfId="305" priority="317" stopIfTrue="1" operator="greaterThan">
      <formula>1.75</formula>
    </cfRule>
    <cfRule type="cellIs" dxfId="304" priority="318" stopIfTrue="1" operator="between">
      <formula>1.25</formula>
      <formula>1.75</formula>
    </cfRule>
  </conditionalFormatting>
  <conditionalFormatting sqref="T18:U18 C18:J18 M18:Q18 M17 I17:J17 D17:G17 O17:U17">
    <cfRule type="cellIs" dxfId="303" priority="315" stopIfTrue="1" operator="greaterThan">
      <formula>1.75</formula>
    </cfRule>
    <cfRule type="cellIs" dxfId="302" priority="316" stopIfTrue="1" operator="between">
      <formula>1.25</formula>
      <formula>1.75</formula>
    </cfRule>
  </conditionalFormatting>
  <conditionalFormatting sqref="X16">
    <cfRule type="cellIs" dxfId="301" priority="313" operator="lessThan">
      <formula>1000</formula>
    </cfRule>
    <cfRule type="cellIs" dxfId="300" priority="314" operator="lessThan">
      <formula>2000</formula>
    </cfRule>
  </conditionalFormatting>
  <conditionalFormatting sqref="C18">
    <cfRule type="cellIs" dxfId="299" priority="311" stopIfTrue="1" operator="greaterThan">
      <formula>1.75</formula>
    </cfRule>
    <cfRule type="cellIs" dxfId="298" priority="312" stopIfTrue="1" operator="between">
      <formula>1.25</formula>
      <formula>1.75</formula>
    </cfRule>
  </conditionalFormatting>
  <conditionalFormatting sqref="C18">
    <cfRule type="cellIs" dxfId="297" priority="309" stopIfTrue="1" operator="greaterThan">
      <formula>1.75</formula>
    </cfRule>
    <cfRule type="cellIs" dxfId="296" priority="310" stopIfTrue="1" operator="between">
      <formula>1.25</formula>
      <formula>1.75</formula>
    </cfRule>
  </conditionalFormatting>
  <conditionalFormatting sqref="C18">
    <cfRule type="cellIs" dxfId="295" priority="307" stopIfTrue="1" operator="greaterThan">
      <formula>1.75</formula>
    </cfRule>
    <cfRule type="cellIs" dxfId="294" priority="308" stopIfTrue="1" operator="between">
      <formula>1.25</formula>
      <formula>1.75</formula>
    </cfRule>
  </conditionalFormatting>
  <conditionalFormatting sqref="D18">
    <cfRule type="cellIs" dxfId="293" priority="305" stopIfTrue="1" operator="greaterThan">
      <formula>1.75</formula>
    </cfRule>
    <cfRule type="cellIs" dxfId="292" priority="306" stopIfTrue="1" operator="between">
      <formula>1.25</formula>
      <formula>1.75</formula>
    </cfRule>
  </conditionalFormatting>
  <conditionalFormatting sqref="D18">
    <cfRule type="cellIs" dxfId="291" priority="303" stopIfTrue="1" operator="greaterThan">
      <formula>1.75</formula>
    </cfRule>
    <cfRule type="cellIs" dxfId="290" priority="304" stopIfTrue="1" operator="between">
      <formula>1.25</formula>
      <formula>1.75</formula>
    </cfRule>
  </conditionalFormatting>
  <conditionalFormatting sqref="D18">
    <cfRule type="cellIs" dxfId="289" priority="301" stopIfTrue="1" operator="greaterThan">
      <formula>1.75</formula>
    </cfRule>
    <cfRule type="cellIs" dxfId="288" priority="302" stopIfTrue="1" operator="between">
      <formula>1.25</formula>
      <formula>1.75</formula>
    </cfRule>
  </conditionalFormatting>
  <conditionalFormatting sqref="E18">
    <cfRule type="cellIs" dxfId="287" priority="299" stopIfTrue="1" operator="greaterThan">
      <formula>1.75</formula>
    </cfRule>
    <cfRule type="cellIs" dxfId="286" priority="300" stopIfTrue="1" operator="between">
      <formula>1.25</formula>
      <formula>1.75</formula>
    </cfRule>
  </conditionalFormatting>
  <conditionalFormatting sqref="E18">
    <cfRule type="cellIs" dxfId="285" priority="297" stopIfTrue="1" operator="greaterThan">
      <formula>1.75</formula>
    </cfRule>
    <cfRule type="cellIs" dxfId="284" priority="298" stopIfTrue="1" operator="between">
      <formula>1.25</formula>
      <formula>1.75</formula>
    </cfRule>
  </conditionalFormatting>
  <conditionalFormatting sqref="E18">
    <cfRule type="cellIs" dxfId="283" priority="295" stopIfTrue="1" operator="greaterThan">
      <formula>1.75</formula>
    </cfRule>
    <cfRule type="cellIs" dxfId="282" priority="296" stopIfTrue="1" operator="between">
      <formula>1.25</formula>
      <formula>1.75</formula>
    </cfRule>
  </conditionalFormatting>
  <conditionalFormatting sqref="F18">
    <cfRule type="cellIs" dxfId="281" priority="293" stopIfTrue="1" operator="greaterThan">
      <formula>1.75</formula>
    </cfRule>
    <cfRule type="cellIs" dxfId="280" priority="294" stopIfTrue="1" operator="between">
      <formula>1.25</formula>
      <formula>1.75</formula>
    </cfRule>
  </conditionalFormatting>
  <conditionalFormatting sqref="F18">
    <cfRule type="cellIs" dxfId="279" priority="291" stopIfTrue="1" operator="greaterThan">
      <formula>1.75</formula>
    </cfRule>
    <cfRule type="cellIs" dxfId="278" priority="292" stopIfTrue="1" operator="between">
      <formula>1.25</formula>
      <formula>1.75</formula>
    </cfRule>
  </conditionalFormatting>
  <conditionalFormatting sqref="F18">
    <cfRule type="cellIs" dxfId="277" priority="289" stopIfTrue="1" operator="greaterThan">
      <formula>1.75</formula>
    </cfRule>
    <cfRule type="cellIs" dxfId="276" priority="290" stopIfTrue="1" operator="between">
      <formula>1.25</formula>
      <formula>1.75</formula>
    </cfRule>
  </conditionalFormatting>
  <conditionalFormatting sqref="D18">
    <cfRule type="cellIs" dxfId="275" priority="287" stopIfTrue="1" operator="greaterThan">
      <formula>1.75</formula>
    </cfRule>
    <cfRule type="cellIs" dxfId="274" priority="288" stopIfTrue="1" operator="between">
      <formula>1.25</formula>
      <formula>1.75</formula>
    </cfRule>
  </conditionalFormatting>
  <conditionalFormatting sqref="D18">
    <cfRule type="cellIs" dxfId="273" priority="285" stopIfTrue="1" operator="greaterThan">
      <formula>1.75</formula>
    </cfRule>
    <cfRule type="cellIs" dxfId="272" priority="286" stopIfTrue="1" operator="between">
      <formula>1.25</formula>
      <formula>1.75</formula>
    </cfRule>
  </conditionalFormatting>
  <conditionalFormatting sqref="D18">
    <cfRule type="cellIs" dxfId="271" priority="283" stopIfTrue="1" operator="greaterThan">
      <formula>1.75</formula>
    </cfRule>
    <cfRule type="cellIs" dxfId="270" priority="284" stopIfTrue="1" operator="between">
      <formula>1.25</formula>
      <formula>1.75</formula>
    </cfRule>
  </conditionalFormatting>
  <conditionalFormatting sqref="D18">
    <cfRule type="cellIs" dxfId="269" priority="281" stopIfTrue="1" operator="greaterThan">
      <formula>1.75</formula>
    </cfRule>
    <cfRule type="cellIs" dxfId="268" priority="282" stopIfTrue="1" operator="between">
      <formula>1.25</formula>
      <formula>1.75</formula>
    </cfRule>
  </conditionalFormatting>
  <conditionalFormatting sqref="D18">
    <cfRule type="cellIs" dxfId="267" priority="279" stopIfTrue="1" operator="greaterThan">
      <formula>1.75</formula>
    </cfRule>
    <cfRule type="cellIs" dxfId="266" priority="280" stopIfTrue="1" operator="between">
      <formula>1.25</formula>
      <formula>1.75</formula>
    </cfRule>
  </conditionalFormatting>
  <conditionalFormatting sqref="D18">
    <cfRule type="cellIs" dxfId="265" priority="277" stopIfTrue="1" operator="greaterThan">
      <formula>1.75</formula>
    </cfRule>
    <cfRule type="cellIs" dxfId="264" priority="278" stopIfTrue="1" operator="between">
      <formula>1.25</formula>
      <formula>1.75</formula>
    </cfRule>
  </conditionalFormatting>
  <conditionalFormatting sqref="E18:G18">
    <cfRule type="cellIs" dxfId="263" priority="275" stopIfTrue="1" operator="greaterThan">
      <formula>1.75</formula>
    </cfRule>
    <cfRule type="cellIs" dxfId="262" priority="276" stopIfTrue="1" operator="between">
      <formula>1.25</formula>
      <formula>1.75</formula>
    </cfRule>
  </conditionalFormatting>
  <conditionalFormatting sqref="E18:G18">
    <cfRule type="cellIs" dxfId="261" priority="273" stopIfTrue="1" operator="greaterThan">
      <formula>1.75</formula>
    </cfRule>
    <cfRule type="cellIs" dxfId="260" priority="274" stopIfTrue="1" operator="between">
      <formula>1.25</formula>
      <formula>1.75</formula>
    </cfRule>
  </conditionalFormatting>
  <conditionalFormatting sqref="E18:G18">
    <cfRule type="cellIs" dxfId="259" priority="271" stopIfTrue="1" operator="greaterThan">
      <formula>1.75</formula>
    </cfRule>
    <cfRule type="cellIs" dxfId="258" priority="272" stopIfTrue="1" operator="between">
      <formula>1.25</formula>
      <formula>1.75</formula>
    </cfRule>
  </conditionalFormatting>
  <conditionalFormatting sqref="E18:G18">
    <cfRule type="cellIs" dxfId="257" priority="269" stopIfTrue="1" operator="greaterThan">
      <formula>1.75</formula>
    </cfRule>
    <cfRule type="cellIs" dxfId="256" priority="270" stopIfTrue="1" operator="between">
      <formula>1.25</formula>
      <formula>1.75</formula>
    </cfRule>
  </conditionalFormatting>
  <conditionalFormatting sqref="E18:G18">
    <cfRule type="cellIs" dxfId="255" priority="267" stopIfTrue="1" operator="greaterThan">
      <formula>1.75</formula>
    </cfRule>
    <cfRule type="cellIs" dxfId="254" priority="268" stopIfTrue="1" operator="between">
      <formula>1.25</formula>
      <formula>1.75</formula>
    </cfRule>
  </conditionalFormatting>
  <conditionalFormatting sqref="E18:G18">
    <cfRule type="cellIs" dxfId="253" priority="265" stopIfTrue="1" operator="greaterThan">
      <formula>1.75</formula>
    </cfRule>
    <cfRule type="cellIs" dxfId="252" priority="266" stopIfTrue="1" operator="between">
      <formula>1.25</formula>
      <formula>1.75</formula>
    </cfRule>
  </conditionalFormatting>
  <conditionalFormatting sqref="E18:G18">
    <cfRule type="cellIs" dxfId="251" priority="263" stopIfTrue="1" operator="greaterThan">
      <formula>1.75</formula>
    </cfRule>
    <cfRule type="cellIs" dxfId="250" priority="264" stopIfTrue="1" operator="between">
      <formula>1.25</formula>
      <formula>1.75</formula>
    </cfRule>
  </conditionalFormatting>
  <conditionalFormatting sqref="E18:G18">
    <cfRule type="cellIs" dxfId="249" priority="261" stopIfTrue="1" operator="greaterThan">
      <formula>1.75</formula>
    </cfRule>
    <cfRule type="cellIs" dxfId="248" priority="262" stopIfTrue="1" operator="between">
      <formula>1.25</formula>
      <formula>1.75</formula>
    </cfRule>
  </conditionalFormatting>
  <conditionalFormatting sqref="E18:G18">
    <cfRule type="cellIs" dxfId="247" priority="259" stopIfTrue="1" operator="greaterThan">
      <formula>1.75</formula>
    </cfRule>
    <cfRule type="cellIs" dxfId="246" priority="260" stopIfTrue="1" operator="between">
      <formula>1.25</formula>
      <formula>1.75</formula>
    </cfRule>
  </conditionalFormatting>
  <conditionalFormatting sqref="H18">
    <cfRule type="cellIs" dxfId="245" priority="257" stopIfTrue="1" operator="greaterThan">
      <formula>1.75</formula>
    </cfRule>
    <cfRule type="cellIs" dxfId="244" priority="258" stopIfTrue="1" operator="between">
      <formula>1.25</formula>
      <formula>1.75</formula>
    </cfRule>
  </conditionalFormatting>
  <conditionalFormatting sqref="H18">
    <cfRule type="cellIs" dxfId="243" priority="255" stopIfTrue="1" operator="greaterThan">
      <formula>1.75</formula>
    </cfRule>
    <cfRule type="cellIs" dxfId="242" priority="256" stopIfTrue="1" operator="between">
      <formula>1.25</formula>
      <formula>1.75</formula>
    </cfRule>
  </conditionalFormatting>
  <conditionalFormatting sqref="H18">
    <cfRule type="cellIs" dxfId="241" priority="253" stopIfTrue="1" operator="greaterThan">
      <formula>1.75</formula>
    </cfRule>
    <cfRule type="cellIs" dxfId="240" priority="254" stopIfTrue="1" operator="between">
      <formula>1.25</formula>
      <formula>1.75</formula>
    </cfRule>
  </conditionalFormatting>
  <conditionalFormatting sqref="N18">
    <cfRule type="cellIs" dxfId="239" priority="251" stopIfTrue="1" operator="greaterThan">
      <formula>1.75</formula>
    </cfRule>
    <cfRule type="cellIs" dxfId="238" priority="252" stopIfTrue="1" operator="between">
      <formula>1.25</formula>
      <formula>1.75</formula>
    </cfRule>
  </conditionalFormatting>
  <conditionalFormatting sqref="N18">
    <cfRule type="cellIs" dxfId="237" priority="249" stopIfTrue="1" operator="greaterThan">
      <formula>1.75</formula>
    </cfRule>
    <cfRule type="cellIs" dxfId="236" priority="250" stopIfTrue="1" operator="between">
      <formula>1.25</formula>
      <formula>1.75</formula>
    </cfRule>
  </conditionalFormatting>
  <conditionalFormatting sqref="N18">
    <cfRule type="cellIs" dxfId="235" priority="247" stopIfTrue="1" operator="greaterThan">
      <formula>1.75</formula>
    </cfRule>
    <cfRule type="cellIs" dxfId="234" priority="248" stopIfTrue="1" operator="between">
      <formula>1.25</formula>
      <formula>1.75</formula>
    </cfRule>
  </conditionalFormatting>
  <conditionalFormatting sqref="I18">
    <cfRule type="cellIs" dxfId="233" priority="245" stopIfTrue="1" operator="greaterThan">
      <formula>1.75</formula>
    </cfRule>
    <cfRule type="cellIs" dxfId="232" priority="246" stopIfTrue="1" operator="between">
      <formula>1.25</formula>
      <formula>1.75</formula>
    </cfRule>
  </conditionalFormatting>
  <conditionalFormatting sqref="I18">
    <cfRule type="cellIs" dxfId="231" priority="243" stopIfTrue="1" operator="greaterThan">
      <formula>1.75</formula>
    </cfRule>
    <cfRule type="cellIs" dxfId="230" priority="244" stopIfTrue="1" operator="between">
      <formula>1.25</formula>
      <formula>1.75</formula>
    </cfRule>
  </conditionalFormatting>
  <conditionalFormatting sqref="I18">
    <cfRule type="cellIs" dxfId="229" priority="241" stopIfTrue="1" operator="greaterThan">
      <formula>1.75</formula>
    </cfRule>
    <cfRule type="cellIs" dxfId="228" priority="242" stopIfTrue="1" operator="between">
      <formula>1.25</formula>
      <formula>1.75</formula>
    </cfRule>
  </conditionalFormatting>
  <conditionalFormatting sqref="I18">
    <cfRule type="cellIs" dxfId="227" priority="239" stopIfTrue="1" operator="greaterThan">
      <formula>1.75</formula>
    </cfRule>
    <cfRule type="cellIs" dxfId="226" priority="240" stopIfTrue="1" operator="between">
      <formula>1.25</formula>
      <formula>1.75</formula>
    </cfRule>
  </conditionalFormatting>
  <conditionalFormatting sqref="I18">
    <cfRule type="cellIs" dxfId="225" priority="237" stopIfTrue="1" operator="greaterThan">
      <formula>1.75</formula>
    </cfRule>
    <cfRule type="cellIs" dxfId="224" priority="238" stopIfTrue="1" operator="between">
      <formula>1.25</formula>
      <formula>1.75</formula>
    </cfRule>
  </conditionalFormatting>
  <conditionalFormatting sqref="I18">
    <cfRule type="cellIs" dxfId="223" priority="235" stopIfTrue="1" operator="greaterThan">
      <formula>1.75</formula>
    </cfRule>
    <cfRule type="cellIs" dxfId="222" priority="236" stopIfTrue="1" operator="between">
      <formula>1.25</formula>
      <formula>1.75</formula>
    </cfRule>
  </conditionalFormatting>
  <conditionalFormatting sqref="I18">
    <cfRule type="cellIs" dxfId="221" priority="233" stopIfTrue="1" operator="greaterThan">
      <formula>1.75</formula>
    </cfRule>
    <cfRule type="cellIs" dxfId="220" priority="234" stopIfTrue="1" operator="between">
      <formula>1.25</formula>
      <formula>1.75</formula>
    </cfRule>
  </conditionalFormatting>
  <conditionalFormatting sqref="I18">
    <cfRule type="cellIs" dxfId="219" priority="231" stopIfTrue="1" operator="greaterThan">
      <formula>1.75</formula>
    </cfRule>
    <cfRule type="cellIs" dxfId="218" priority="232" stopIfTrue="1" operator="between">
      <formula>1.25</formula>
      <formula>1.75</formula>
    </cfRule>
  </conditionalFormatting>
  <conditionalFormatting sqref="I18">
    <cfRule type="cellIs" dxfId="217" priority="229" stopIfTrue="1" operator="greaterThan">
      <formula>1.75</formula>
    </cfRule>
    <cfRule type="cellIs" dxfId="216" priority="230" stopIfTrue="1" operator="between">
      <formula>1.25</formula>
      <formula>1.75</formula>
    </cfRule>
  </conditionalFormatting>
  <conditionalFormatting sqref="J18">
    <cfRule type="cellIs" dxfId="215" priority="227" stopIfTrue="1" operator="greaterThan">
      <formula>1.75</formula>
    </cfRule>
    <cfRule type="cellIs" dxfId="214" priority="228" stopIfTrue="1" operator="between">
      <formula>1.25</formula>
      <formula>1.75</formula>
    </cfRule>
  </conditionalFormatting>
  <conditionalFormatting sqref="J18">
    <cfRule type="cellIs" dxfId="213" priority="225" stopIfTrue="1" operator="greaterThan">
      <formula>1.75</formula>
    </cfRule>
    <cfRule type="cellIs" dxfId="212" priority="226" stopIfTrue="1" operator="between">
      <formula>1.25</formula>
      <formula>1.75</formula>
    </cfRule>
  </conditionalFormatting>
  <conditionalFormatting sqref="J18">
    <cfRule type="cellIs" dxfId="211" priority="223" stopIfTrue="1" operator="greaterThan">
      <formula>1.75</formula>
    </cfRule>
    <cfRule type="cellIs" dxfId="210" priority="224" stopIfTrue="1" operator="between">
      <formula>1.25</formula>
      <formula>1.75</formula>
    </cfRule>
  </conditionalFormatting>
  <conditionalFormatting sqref="J18">
    <cfRule type="cellIs" dxfId="209" priority="221" stopIfTrue="1" operator="greaterThan">
      <formula>1.75</formula>
    </cfRule>
    <cfRule type="cellIs" dxfId="208" priority="222" stopIfTrue="1" operator="between">
      <formula>1.25</formula>
      <formula>1.75</formula>
    </cfRule>
  </conditionalFormatting>
  <conditionalFormatting sqref="J18">
    <cfRule type="cellIs" dxfId="207" priority="219" stopIfTrue="1" operator="greaterThan">
      <formula>1.75</formula>
    </cfRule>
    <cfRule type="cellIs" dxfId="206" priority="220" stopIfTrue="1" operator="between">
      <formula>1.25</formula>
      <formula>1.75</formula>
    </cfRule>
  </conditionalFormatting>
  <conditionalFormatting sqref="J18">
    <cfRule type="cellIs" dxfId="205" priority="217" stopIfTrue="1" operator="greaterThan">
      <formula>1.75</formula>
    </cfRule>
    <cfRule type="cellIs" dxfId="204" priority="218" stopIfTrue="1" operator="between">
      <formula>1.25</formula>
      <formula>1.75</formula>
    </cfRule>
  </conditionalFormatting>
  <conditionalFormatting sqref="J18">
    <cfRule type="cellIs" dxfId="203" priority="215" stopIfTrue="1" operator="greaterThan">
      <formula>1.75</formula>
    </cfRule>
    <cfRule type="cellIs" dxfId="202" priority="216" stopIfTrue="1" operator="between">
      <formula>1.25</formula>
      <formula>1.75</formula>
    </cfRule>
  </conditionalFormatting>
  <conditionalFormatting sqref="J18">
    <cfRule type="cellIs" dxfId="201" priority="213" stopIfTrue="1" operator="greaterThan">
      <formula>1.75</formula>
    </cfRule>
    <cfRule type="cellIs" dxfId="200" priority="214" stopIfTrue="1" operator="between">
      <formula>1.25</formula>
      <formula>1.75</formula>
    </cfRule>
  </conditionalFormatting>
  <conditionalFormatting sqref="J18">
    <cfRule type="cellIs" dxfId="199" priority="211" stopIfTrue="1" operator="greaterThan">
      <formula>1.75</formula>
    </cfRule>
    <cfRule type="cellIs" dxfId="198" priority="212" stopIfTrue="1" operator="between">
      <formula>1.25</formula>
      <formula>1.75</formula>
    </cfRule>
  </conditionalFormatting>
  <conditionalFormatting sqref="M18">
    <cfRule type="cellIs" dxfId="197" priority="209" stopIfTrue="1" operator="greaterThan">
      <formula>1.75</formula>
    </cfRule>
    <cfRule type="cellIs" dxfId="196" priority="210" stopIfTrue="1" operator="between">
      <formula>1.25</formula>
      <formula>1.75</formula>
    </cfRule>
  </conditionalFormatting>
  <conditionalFormatting sqref="M18">
    <cfRule type="cellIs" dxfId="195" priority="207" stopIfTrue="1" operator="greaterThan">
      <formula>1.75</formula>
    </cfRule>
    <cfRule type="cellIs" dxfId="194" priority="208" stopIfTrue="1" operator="between">
      <formula>1.25</formula>
      <formula>1.75</formula>
    </cfRule>
  </conditionalFormatting>
  <conditionalFormatting sqref="M18">
    <cfRule type="cellIs" dxfId="193" priority="205" stopIfTrue="1" operator="greaterThan">
      <formula>1.75</formula>
    </cfRule>
    <cfRule type="cellIs" dxfId="192" priority="206" stopIfTrue="1" operator="between">
      <formula>1.25</formula>
      <formula>1.75</formula>
    </cfRule>
  </conditionalFormatting>
  <conditionalFormatting sqref="M18">
    <cfRule type="cellIs" dxfId="191" priority="203" stopIfTrue="1" operator="greaterThan">
      <formula>1.75</formula>
    </cfRule>
    <cfRule type="cellIs" dxfId="190" priority="204" stopIfTrue="1" operator="between">
      <formula>1.25</formula>
      <formula>1.75</formula>
    </cfRule>
  </conditionalFormatting>
  <conditionalFormatting sqref="M18">
    <cfRule type="cellIs" dxfId="189" priority="201" stopIfTrue="1" operator="greaterThan">
      <formula>1.75</formula>
    </cfRule>
    <cfRule type="cellIs" dxfId="188" priority="202" stopIfTrue="1" operator="between">
      <formula>1.25</formula>
      <formula>1.75</formula>
    </cfRule>
  </conditionalFormatting>
  <conditionalFormatting sqref="M18">
    <cfRule type="cellIs" dxfId="187" priority="199" stopIfTrue="1" operator="greaterThan">
      <formula>1.75</formula>
    </cfRule>
    <cfRule type="cellIs" dxfId="186" priority="200" stopIfTrue="1" operator="between">
      <formula>1.25</formula>
      <formula>1.75</formula>
    </cfRule>
  </conditionalFormatting>
  <conditionalFormatting sqref="M18">
    <cfRule type="cellIs" dxfId="185" priority="197" stopIfTrue="1" operator="greaterThan">
      <formula>1.75</formula>
    </cfRule>
    <cfRule type="cellIs" dxfId="184" priority="198" stopIfTrue="1" operator="between">
      <formula>1.25</formula>
      <formula>1.75</formula>
    </cfRule>
  </conditionalFormatting>
  <conditionalFormatting sqref="M18">
    <cfRule type="cellIs" dxfId="183" priority="195" stopIfTrue="1" operator="greaterThan">
      <formula>1.75</formula>
    </cfRule>
    <cfRule type="cellIs" dxfId="182" priority="196" stopIfTrue="1" operator="between">
      <formula>1.25</formula>
      <formula>1.75</formula>
    </cfRule>
  </conditionalFormatting>
  <conditionalFormatting sqref="M18">
    <cfRule type="cellIs" dxfId="181" priority="193" stopIfTrue="1" operator="greaterThan">
      <formula>1.75</formula>
    </cfRule>
    <cfRule type="cellIs" dxfId="180" priority="194" stopIfTrue="1" operator="between">
      <formula>1.25</formula>
      <formula>1.75</formula>
    </cfRule>
  </conditionalFormatting>
  <conditionalFormatting sqref="O18">
    <cfRule type="cellIs" dxfId="179" priority="191" stopIfTrue="1" operator="greaterThan">
      <formula>1.75</formula>
    </cfRule>
    <cfRule type="cellIs" dxfId="178" priority="192" stopIfTrue="1" operator="between">
      <formula>1.25</formula>
      <formula>1.75</formula>
    </cfRule>
  </conditionalFormatting>
  <conditionalFormatting sqref="O18">
    <cfRule type="cellIs" dxfId="177" priority="189" stopIfTrue="1" operator="greaterThan">
      <formula>1.75</formula>
    </cfRule>
    <cfRule type="cellIs" dxfId="176" priority="190" stopIfTrue="1" operator="between">
      <formula>1.25</formula>
      <formula>1.75</formula>
    </cfRule>
  </conditionalFormatting>
  <conditionalFormatting sqref="O18">
    <cfRule type="cellIs" dxfId="175" priority="187" stopIfTrue="1" operator="greaterThan">
      <formula>1.75</formula>
    </cfRule>
    <cfRule type="cellIs" dxfId="174" priority="188" stopIfTrue="1" operator="between">
      <formula>1.25</formula>
      <formula>1.75</formula>
    </cfRule>
  </conditionalFormatting>
  <conditionalFormatting sqref="O18">
    <cfRule type="cellIs" dxfId="173" priority="185" stopIfTrue="1" operator="greaterThan">
      <formula>1.75</formula>
    </cfRule>
    <cfRule type="cellIs" dxfId="172" priority="186" stopIfTrue="1" operator="between">
      <formula>1.25</formula>
      <formula>1.75</formula>
    </cfRule>
  </conditionalFormatting>
  <conditionalFormatting sqref="O18">
    <cfRule type="cellIs" dxfId="171" priority="183" stopIfTrue="1" operator="greaterThan">
      <formula>1.75</formula>
    </cfRule>
    <cfRule type="cellIs" dxfId="170" priority="184" stopIfTrue="1" operator="between">
      <formula>1.25</formula>
      <formula>1.75</formula>
    </cfRule>
  </conditionalFormatting>
  <conditionalFormatting sqref="O18">
    <cfRule type="cellIs" dxfId="169" priority="181" stopIfTrue="1" operator="greaterThan">
      <formula>1.75</formula>
    </cfRule>
    <cfRule type="cellIs" dxfId="168" priority="182" stopIfTrue="1" operator="between">
      <formula>1.25</formula>
      <formula>1.75</formula>
    </cfRule>
  </conditionalFormatting>
  <conditionalFormatting sqref="O18">
    <cfRule type="cellIs" dxfId="167" priority="179" stopIfTrue="1" operator="greaterThan">
      <formula>1.75</formula>
    </cfRule>
    <cfRule type="cellIs" dxfId="166" priority="180" stopIfTrue="1" operator="between">
      <formula>1.25</formula>
      <formula>1.75</formula>
    </cfRule>
  </conditionalFormatting>
  <conditionalFormatting sqref="O18">
    <cfRule type="cellIs" dxfId="165" priority="177" stopIfTrue="1" operator="greaterThan">
      <formula>1.75</formula>
    </cfRule>
    <cfRule type="cellIs" dxfId="164" priority="178" stopIfTrue="1" operator="between">
      <formula>1.25</formula>
      <formula>1.75</formula>
    </cfRule>
  </conditionalFormatting>
  <conditionalFormatting sqref="O18">
    <cfRule type="cellIs" dxfId="163" priority="175" stopIfTrue="1" operator="greaterThan">
      <formula>1.75</formula>
    </cfRule>
    <cfRule type="cellIs" dxfId="162" priority="176" stopIfTrue="1" operator="between">
      <formula>1.25</formula>
      <formula>1.75</formula>
    </cfRule>
  </conditionalFormatting>
  <conditionalFormatting sqref="P18">
    <cfRule type="cellIs" dxfId="161" priority="173" stopIfTrue="1" operator="greaterThan">
      <formula>1.75</formula>
    </cfRule>
    <cfRule type="cellIs" dxfId="160" priority="174" stopIfTrue="1" operator="between">
      <formula>1.25</formula>
      <formula>1.75</formula>
    </cfRule>
  </conditionalFormatting>
  <conditionalFormatting sqref="P18">
    <cfRule type="cellIs" dxfId="159" priority="171" stopIfTrue="1" operator="greaterThan">
      <formula>1.75</formula>
    </cfRule>
    <cfRule type="cellIs" dxfId="158" priority="172" stopIfTrue="1" operator="between">
      <formula>1.25</formula>
      <formula>1.75</formula>
    </cfRule>
  </conditionalFormatting>
  <conditionalFormatting sqref="P18">
    <cfRule type="cellIs" dxfId="157" priority="169" stopIfTrue="1" operator="greaterThan">
      <formula>1.75</formula>
    </cfRule>
    <cfRule type="cellIs" dxfId="156" priority="170" stopIfTrue="1" operator="between">
      <formula>1.25</formula>
      <formula>1.75</formula>
    </cfRule>
  </conditionalFormatting>
  <conditionalFormatting sqref="P18">
    <cfRule type="cellIs" dxfId="155" priority="167" stopIfTrue="1" operator="greaterThan">
      <formula>1.75</formula>
    </cfRule>
    <cfRule type="cellIs" dxfId="154" priority="168" stopIfTrue="1" operator="between">
      <formula>1.25</formula>
      <formula>1.75</formula>
    </cfRule>
  </conditionalFormatting>
  <conditionalFormatting sqref="P18">
    <cfRule type="cellIs" dxfId="153" priority="165" stopIfTrue="1" operator="greaterThan">
      <formula>1.75</formula>
    </cfRule>
    <cfRule type="cellIs" dxfId="152" priority="166" stopIfTrue="1" operator="between">
      <formula>1.25</formula>
      <formula>1.75</formula>
    </cfRule>
  </conditionalFormatting>
  <conditionalFormatting sqref="P18">
    <cfRule type="cellIs" dxfId="151" priority="163" stopIfTrue="1" operator="greaterThan">
      <formula>1.75</formula>
    </cfRule>
    <cfRule type="cellIs" dxfId="150" priority="164" stopIfTrue="1" operator="between">
      <formula>1.25</formula>
      <formula>1.75</formula>
    </cfRule>
  </conditionalFormatting>
  <conditionalFormatting sqref="P18">
    <cfRule type="cellIs" dxfId="149" priority="161" stopIfTrue="1" operator="greaterThan">
      <formula>1.75</formula>
    </cfRule>
    <cfRule type="cellIs" dxfId="148" priority="162" stopIfTrue="1" operator="between">
      <formula>1.25</formula>
      <formula>1.75</formula>
    </cfRule>
  </conditionalFormatting>
  <conditionalFormatting sqref="P18">
    <cfRule type="cellIs" dxfId="147" priority="159" stopIfTrue="1" operator="greaterThan">
      <formula>1.75</formula>
    </cfRule>
    <cfRule type="cellIs" dxfId="146" priority="160" stopIfTrue="1" operator="between">
      <formula>1.25</formula>
      <formula>1.75</formula>
    </cfRule>
  </conditionalFormatting>
  <conditionalFormatting sqref="P18">
    <cfRule type="cellIs" dxfId="145" priority="157" stopIfTrue="1" operator="greaterThan">
      <formula>1.75</formula>
    </cfRule>
    <cfRule type="cellIs" dxfId="144" priority="158" stopIfTrue="1" operator="between">
      <formula>1.25</formula>
      <formula>1.75</formula>
    </cfRule>
  </conditionalFormatting>
  <conditionalFormatting sqref="Q18">
    <cfRule type="cellIs" dxfId="143" priority="155" stopIfTrue="1" operator="greaterThan">
      <formula>1.75</formula>
    </cfRule>
    <cfRule type="cellIs" dxfId="142" priority="156" stopIfTrue="1" operator="between">
      <formula>1.25</formula>
      <formula>1.75</formula>
    </cfRule>
  </conditionalFormatting>
  <conditionalFormatting sqref="Q18">
    <cfRule type="cellIs" dxfId="141" priority="153" stopIfTrue="1" operator="greaterThan">
      <formula>1.75</formula>
    </cfRule>
    <cfRule type="cellIs" dxfId="140" priority="154" stopIfTrue="1" operator="between">
      <formula>1.25</formula>
      <formula>1.75</formula>
    </cfRule>
  </conditionalFormatting>
  <conditionalFormatting sqref="Q18">
    <cfRule type="cellIs" dxfId="139" priority="151" stopIfTrue="1" operator="greaterThan">
      <formula>1.75</formula>
    </cfRule>
    <cfRule type="cellIs" dxfId="138" priority="152" stopIfTrue="1" operator="between">
      <formula>1.25</formula>
      <formula>1.75</formula>
    </cfRule>
  </conditionalFormatting>
  <conditionalFormatting sqref="Q18">
    <cfRule type="cellIs" dxfId="137" priority="149" stopIfTrue="1" operator="greaterThan">
      <formula>1.75</formula>
    </cfRule>
    <cfRule type="cellIs" dxfId="136" priority="150" stopIfTrue="1" operator="between">
      <formula>1.25</formula>
      <formula>1.75</formula>
    </cfRule>
  </conditionalFormatting>
  <conditionalFormatting sqref="Q18">
    <cfRule type="cellIs" dxfId="135" priority="147" stopIfTrue="1" operator="greaterThan">
      <formula>1.75</formula>
    </cfRule>
    <cfRule type="cellIs" dxfId="134" priority="148" stopIfTrue="1" operator="between">
      <formula>1.25</formula>
      <formula>1.75</formula>
    </cfRule>
  </conditionalFormatting>
  <conditionalFormatting sqref="Q18">
    <cfRule type="cellIs" dxfId="133" priority="145" stopIfTrue="1" operator="greaterThan">
      <formula>1.75</formula>
    </cfRule>
    <cfRule type="cellIs" dxfId="132" priority="146" stopIfTrue="1" operator="between">
      <formula>1.25</formula>
      <formula>1.75</formula>
    </cfRule>
  </conditionalFormatting>
  <conditionalFormatting sqref="Q18">
    <cfRule type="cellIs" dxfId="131" priority="143" stopIfTrue="1" operator="greaterThan">
      <formula>1.75</formula>
    </cfRule>
    <cfRule type="cellIs" dxfId="130" priority="144" stopIfTrue="1" operator="between">
      <formula>1.25</formula>
      <formula>1.75</formula>
    </cfRule>
  </conditionalFormatting>
  <conditionalFormatting sqref="Q18">
    <cfRule type="cellIs" dxfId="129" priority="141" stopIfTrue="1" operator="greaterThan">
      <formula>1.75</formula>
    </cfRule>
    <cfRule type="cellIs" dxfId="128" priority="142" stopIfTrue="1" operator="between">
      <formula>1.25</formula>
      <formula>1.75</formula>
    </cfRule>
  </conditionalFormatting>
  <conditionalFormatting sqref="Q18">
    <cfRule type="cellIs" dxfId="127" priority="139" stopIfTrue="1" operator="greaterThan">
      <formula>1.75</formula>
    </cfRule>
    <cfRule type="cellIs" dxfId="126" priority="140" stopIfTrue="1" operator="between">
      <formula>1.25</formula>
      <formula>1.75</formula>
    </cfRule>
  </conditionalFormatting>
  <conditionalFormatting sqref="T18">
    <cfRule type="cellIs" dxfId="125" priority="137" stopIfTrue="1" operator="greaterThan">
      <formula>1.75</formula>
    </cfRule>
    <cfRule type="cellIs" dxfId="124" priority="138" stopIfTrue="1" operator="between">
      <formula>1.25</formula>
      <formula>1.75</formula>
    </cfRule>
  </conditionalFormatting>
  <conditionalFormatting sqref="T18">
    <cfRule type="cellIs" dxfId="123" priority="135" stopIfTrue="1" operator="greaterThan">
      <formula>1.75</formula>
    </cfRule>
    <cfRule type="cellIs" dxfId="122" priority="136" stopIfTrue="1" operator="between">
      <formula>1.25</formula>
      <formula>1.75</formula>
    </cfRule>
  </conditionalFormatting>
  <conditionalFormatting sqref="T18">
    <cfRule type="cellIs" dxfId="121" priority="133" stopIfTrue="1" operator="greaterThan">
      <formula>1.75</formula>
    </cfRule>
    <cfRule type="cellIs" dxfId="120" priority="134" stopIfTrue="1" operator="between">
      <formula>1.25</formula>
      <formula>1.75</formula>
    </cfRule>
  </conditionalFormatting>
  <conditionalFormatting sqref="T18">
    <cfRule type="cellIs" dxfId="119" priority="131" stopIfTrue="1" operator="greaterThan">
      <formula>1.75</formula>
    </cfRule>
    <cfRule type="cellIs" dxfId="118" priority="132" stopIfTrue="1" operator="between">
      <formula>1.25</formula>
      <formula>1.75</formula>
    </cfRule>
  </conditionalFormatting>
  <conditionalFormatting sqref="T18">
    <cfRule type="cellIs" dxfId="117" priority="129" stopIfTrue="1" operator="greaterThan">
      <formula>1.75</formula>
    </cfRule>
    <cfRule type="cellIs" dxfId="116" priority="130" stopIfTrue="1" operator="between">
      <formula>1.25</formula>
      <formula>1.75</formula>
    </cfRule>
  </conditionalFormatting>
  <conditionalFormatting sqref="T18">
    <cfRule type="cellIs" dxfId="115" priority="127" stopIfTrue="1" operator="greaterThan">
      <formula>1.75</formula>
    </cfRule>
    <cfRule type="cellIs" dxfId="114" priority="128" stopIfTrue="1" operator="between">
      <formula>1.25</formula>
      <formula>1.75</formula>
    </cfRule>
  </conditionalFormatting>
  <conditionalFormatting sqref="T18">
    <cfRule type="cellIs" dxfId="113" priority="125" stopIfTrue="1" operator="greaterThan">
      <formula>1.75</formula>
    </cfRule>
    <cfRule type="cellIs" dxfId="112" priority="126" stopIfTrue="1" operator="between">
      <formula>1.25</formula>
      <formula>1.75</formula>
    </cfRule>
  </conditionalFormatting>
  <conditionalFormatting sqref="T18">
    <cfRule type="cellIs" dxfId="111" priority="123" stopIfTrue="1" operator="greaterThan">
      <formula>1.75</formula>
    </cfRule>
    <cfRule type="cellIs" dxfId="110" priority="124" stopIfTrue="1" operator="between">
      <formula>1.25</formula>
      <formula>1.75</formula>
    </cfRule>
  </conditionalFormatting>
  <conditionalFormatting sqref="T18">
    <cfRule type="cellIs" dxfId="109" priority="121" stopIfTrue="1" operator="greaterThan">
      <formula>1.75</formula>
    </cfRule>
    <cfRule type="cellIs" dxfId="108" priority="122" stopIfTrue="1" operator="between">
      <formula>1.25</formula>
      <formula>1.75</formula>
    </cfRule>
  </conditionalFormatting>
  <conditionalFormatting sqref="U18">
    <cfRule type="cellIs" dxfId="107" priority="119" stopIfTrue="1" operator="greaterThan">
      <formula>1.75</formula>
    </cfRule>
    <cfRule type="cellIs" dxfId="106" priority="120" stopIfTrue="1" operator="between">
      <formula>1.25</formula>
      <formula>1.75</formula>
    </cfRule>
  </conditionalFormatting>
  <conditionalFormatting sqref="U18">
    <cfRule type="cellIs" dxfId="105" priority="117" stopIfTrue="1" operator="greaterThan">
      <formula>1.75</formula>
    </cfRule>
    <cfRule type="cellIs" dxfId="104" priority="118" stopIfTrue="1" operator="between">
      <formula>1.25</formula>
      <formula>1.75</formula>
    </cfRule>
  </conditionalFormatting>
  <conditionalFormatting sqref="U18">
    <cfRule type="cellIs" dxfId="103" priority="115" stopIfTrue="1" operator="greaterThan">
      <formula>1.75</formula>
    </cfRule>
    <cfRule type="cellIs" dxfId="102" priority="116" stopIfTrue="1" operator="between">
      <formula>1.25</formula>
      <formula>1.75</formula>
    </cfRule>
  </conditionalFormatting>
  <conditionalFormatting sqref="U18">
    <cfRule type="cellIs" dxfId="101" priority="113" stopIfTrue="1" operator="greaterThan">
      <formula>1.75</formula>
    </cfRule>
    <cfRule type="cellIs" dxfId="100" priority="114" stopIfTrue="1" operator="between">
      <formula>1.25</formula>
      <formula>1.75</formula>
    </cfRule>
  </conditionalFormatting>
  <conditionalFormatting sqref="U18">
    <cfRule type="cellIs" dxfId="99" priority="111" stopIfTrue="1" operator="greaterThan">
      <formula>1.75</formula>
    </cfRule>
    <cfRule type="cellIs" dxfId="98" priority="112" stopIfTrue="1" operator="between">
      <formula>1.25</formula>
      <formula>1.75</formula>
    </cfRule>
  </conditionalFormatting>
  <conditionalFormatting sqref="U18">
    <cfRule type="cellIs" dxfId="97" priority="109" stopIfTrue="1" operator="greaterThan">
      <formula>1.75</formula>
    </cfRule>
    <cfRule type="cellIs" dxfId="96" priority="110" stopIfTrue="1" operator="between">
      <formula>1.25</formula>
      <formula>1.75</formula>
    </cfRule>
  </conditionalFormatting>
  <conditionalFormatting sqref="U18">
    <cfRule type="cellIs" dxfId="95" priority="107" stopIfTrue="1" operator="greaterThan">
      <formula>1.75</formula>
    </cfRule>
    <cfRule type="cellIs" dxfId="94" priority="108" stopIfTrue="1" operator="between">
      <formula>1.25</formula>
      <formula>1.75</formula>
    </cfRule>
  </conditionalFormatting>
  <conditionalFormatting sqref="U18">
    <cfRule type="cellIs" dxfId="93" priority="105" stopIfTrue="1" operator="greaterThan">
      <formula>1.75</formula>
    </cfRule>
    <cfRule type="cellIs" dxfId="92" priority="106" stopIfTrue="1" operator="between">
      <formula>1.25</formula>
      <formula>1.75</formula>
    </cfRule>
  </conditionalFormatting>
  <conditionalFormatting sqref="U18">
    <cfRule type="cellIs" dxfId="91" priority="103" stopIfTrue="1" operator="greaterThan">
      <formula>1.75</formula>
    </cfRule>
    <cfRule type="cellIs" dxfId="90" priority="104" stopIfTrue="1" operator="between">
      <formula>1.25</formula>
      <formula>1.75</formula>
    </cfRule>
  </conditionalFormatting>
  <conditionalFormatting sqref="K18">
    <cfRule type="cellIs" dxfId="89" priority="101" stopIfTrue="1" operator="greaterThan">
      <formula>1.75</formula>
    </cfRule>
    <cfRule type="cellIs" dxfId="88" priority="102" stopIfTrue="1" operator="between">
      <formula>1.25</formula>
      <formula>1.75</formula>
    </cfRule>
  </conditionalFormatting>
  <conditionalFormatting sqref="K18">
    <cfRule type="cellIs" dxfId="87" priority="99" stopIfTrue="1" operator="greaterThan">
      <formula>1.75</formula>
    </cfRule>
    <cfRule type="cellIs" dxfId="86" priority="100" stopIfTrue="1" operator="between">
      <formula>1.25</formula>
      <formula>1.75</formula>
    </cfRule>
  </conditionalFormatting>
  <conditionalFormatting sqref="K18">
    <cfRule type="cellIs" dxfId="85" priority="97" stopIfTrue="1" operator="greaterThan">
      <formula>1.75</formula>
    </cfRule>
    <cfRule type="cellIs" dxfId="84" priority="98" stopIfTrue="1" operator="between">
      <formula>1.25</formula>
      <formula>1.75</formula>
    </cfRule>
  </conditionalFormatting>
  <conditionalFormatting sqref="K18">
    <cfRule type="cellIs" dxfId="83" priority="95" stopIfTrue="1" operator="greaterThan">
      <formula>1.75</formula>
    </cfRule>
    <cfRule type="cellIs" dxfId="82" priority="96" stopIfTrue="1" operator="between">
      <formula>1.25</formula>
      <formula>1.75</formula>
    </cfRule>
  </conditionalFormatting>
  <conditionalFormatting sqref="K18">
    <cfRule type="cellIs" dxfId="81" priority="93" stopIfTrue="1" operator="greaterThan">
      <formula>1.75</formula>
    </cfRule>
    <cfRule type="cellIs" dxfId="80" priority="94" stopIfTrue="1" operator="between">
      <formula>1.25</formula>
      <formula>1.75</formula>
    </cfRule>
  </conditionalFormatting>
  <conditionalFormatting sqref="K18">
    <cfRule type="cellIs" dxfId="79" priority="91" stopIfTrue="1" operator="greaterThan">
      <formula>1.75</formula>
    </cfRule>
    <cfRule type="cellIs" dxfId="78" priority="92" stopIfTrue="1" operator="between">
      <formula>1.25</formula>
      <formula>1.75</formula>
    </cfRule>
  </conditionalFormatting>
  <conditionalFormatting sqref="K18">
    <cfRule type="cellIs" dxfId="77" priority="89" stopIfTrue="1" operator="greaterThan">
      <formula>1.75</formula>
    </cfRule>
    <cfRule type="cellIs" dxfId="76" priority="90" stopIfTrue="1" operator="between">
      <formula>1.25</formula>
      <formula>1.75</formula>
    </cfRule>
  </conditionalFormatting>
  <conditionalFormatting sqref="K18">
    <cfRule type="cellIs" dxfId="75" priority="87" stopIfTrue="1" operator="greaterThan">
      <formula>1.75</formula>
    </cfRule>
    <cfRule type="cellIs" dxfId="74" priority="88" stopIfTrue="1" operator="between">
      <formula>1.25</formula>
      <formula>1.75</formula>
    </cfRule>
  </conditionalFormatting>
  <conditionalFormatting sqref="K18">
    <cfRule type="cellIs" dxfId="73" priority="85" stopIfTrue="1" operator="greaterThan">
      <formula>1.75</formula>
    </cfRule>
    <cfRule type="cellIs" dxfId="72" priority="86" stopIfTrue="1" operator="between">
      <formula>1.25</formula>
      <formula>1.75</formula>
    </cfRule>
  </conditionalFormatting>
  <conditionalFormatting sqref="K18">
    <cfRule type="cellIs" dxfId="71" priority="83" stopIfTrue="1" operator="greaterThan">
      <formula>1.75</formula>
    </cfRule>
    <cfRule type="cellIs" dxfId="70" priority="84" stopIfTrue="1" operator="between">
      <formula>1.25</formula>
      <formula>1.75</formula>
    </cfRule>
  </conditionalFormatting>
  <conditionalFormatting sqref="R18">
    <cfRule type="cellIs" dxfId="69" priority="81" stopIfTrue="1" operator="greaterThan">
      <formula>1.75</formula>
    </cfRule>
    <cfRule type="cellIs" dxfId="68" priority="82" stopIfTrue="1" operator="between">
      <formula>1.25</formula>
      <formula>1.75</formula>
    </cfRule>
  </conditionalFormatting>
  <conditionalFormatting sqref="R18">
    <cfRule type="cellIs" dxfId="67" priority="79" stopIfTrue="1" operator="greaterThan">
      <formula>1.75</formula>
    </cfRule>
    <cfRule type="cellIs" dxfId="66" priority="80" stopIfTrue="1" operator="between">
      <formula>1.25</formula>
      <formula>1.75</formula>
    </cfRule>
  </conditionalFormatting>
  <conditionalFormatting sqref="R18">
    <cfRule type="cellIs" dxfId="65" priority="77" stopIfTrue="1" operator="greaterThan">
      <formula>1.75</formula>
    </cfRule>
    <cfRule type="cellIs" dxfId="64" priority="78" stopIfTrue="1" operator="between">
      <formula>1.25</formula>
      <formula>1.75</formula>
    </cfRule>
  </conditionalFormatting>
  <conditionalFormatting sqref="R18">
    <cfRule type="cellIs" dxfId="63" priority="75" stopIfTrue="1" operator="greaterThan">
      <formula>1.75</formula>
    </cfRule>
    <cfRule type="cellIs" dxfId="62" priority="76" stopIfTrue="1" operator="between">
      <formula>1.25</formula>
      <formula>1.75</formula>
    </cfRule>
  </conditionalFormatting>
  <conditionalFormatting sqref="R18">
    <cfRule type="cellIs" dxfId="61" priority="73" stopIfTrue="1" operator="greaterThan">
      <formula>1.75</formula>
    </cfRule>
    <cfRule type="cellIs" dxfId="60" priority="74" stopIfTrue="1" operator="between">
      <formula>1.25</formula>
      <formula>1.75</formula>
    </cfRule>
  </conditionalFormatting>
  <conditionalFormatting sqref="R18">
    <cfRule type="cellIs" dxfId="59" priority="71" stopIfTrue="1" operator="greaterThan">
      <formula>1.75</formula>
    </cfRule>
    <cfRule type="cellIs" dxfId="58" priority="72" stopIfTrue="1" operator="between">
      <formula>1.25</formula>
      <formula>1.75</formula>
    </cfRule>
  </conditionalFormatting>
  <conditionalFormatting sqref="R18">
    <cfRule type="cellIs" dxfId="57" priority="69" stopIfTrue="1" operator="greaterThan">
      <formula>1.75</formula>
    </cfRule>
    <cfRule type="cellIs" dxfId="56" priority="70" stopIfTrue="1" operator="between">
      <formula>1.25</formula>
      <formula>1.75</formula>
    </cfRule>
  </conditionalFormatting>
  <conditionalFormatting sqref="R18">
    <cfRule type="cellIs" dxfId="55" priority="67" stopIfTrue="1" operator="greaterThan">
      <formula>1.75</formula>
    </cfRule>
    <cfRule type="cellIs" dxfId="54" priority="68" stopIfTrue="1" operator="between">
      <formula>1.25</formula>
      <formula>1.75</formula>
    </cfRule>
  </conditionalFormatting>
  <conditionalFormatting sqref="R18">
    <cfRule type="cellIs" dxfId="53" priority="65" stopIfTrue="1" operator="greaterThan">
      <formula>1.75</formula>
    </cfRule>
    <cfRule type="cellIs" dxfId="52" priority="66" stopIfTrue="1" operator="between">
      <formula>1.25</formula>
      <formula>1.75</formula>
    </cfRule>
  </conditionalFormatting>
  <conditionalFormatting sqref="R18">
    <cfRule type="cellIs" dxfId="51" priority="63" stopIfTrue="1" operator="greaterThan">
      <formula>1.75</formula>
    </cfRule>
    <cfRule type="cellIs" dxfId="50" priority="64" stopIfTrue="1" operator="between">
      <formula>1.25</formula>
      <formula>1.75</formula>
    </cfRule>
  </conditionalFormatting>
  <conditionalFormatting sqref="L18">
    <cfRule type="cellIs" dxfId="49" priority="61" stopIfTrue="1" operator="greaterThan">
      <formula>1.75</formula>
    </cfRule>
    <cfRule type="cellIs" dxfId="48" priority="62" stopIfTrue="1" operator="between">
      <formula>1.25</formula>
      <formula>1.75</formula>
    </cfRule>
  </conditionalFormatting>
  <conditionalFormatting sqref="L18">
    <cfRule type="cellIs" dxfId="47" priority="59" stopIfTrue="1" operator="greaterThan">
      <formula>1.75</formula>
    </cfRule>
    <cfRule type="cellIs" dxfId="46" priority="60" stopIfTrue="1" operator="between">
      <formula>1.25</formula>
      <formula>1.75</formula>
    </cfRule>
  </conditionalFormatting>
  <conditionalFormatting sqref="L18">
    <cfRule type="cellIs" dxfId="45" priority="57" stopIfTrue="1" operator="greaterThan">
      <formula>1.75</formula>
    </cfRule>
    <cfRule type="cellIs" dxfId="44" priority="58" stopIfTrue="1" operator="between">
      <formula>1.25</formula>
      <formula>1.75</formula>
    </cfRule>
  </conditionalFormatting>
  <conditionalFormatting sqref="L18">
    <cfRule type="cellIs" dxfId="43" priority="55" stopIfTrue="1" operator="greaterThan">
      <formula>1.75</formula>
    </cfRule>
    <cfRule type="cellIs" dxfId="42" priority="56" stopIfTrue="1" operator="between">
      <formula>1.25</formula>
      <formula>1.75</formula>
    </cfRule>
  </conditionalFormatting>
  <conditionalFormatting sqref="L18">
    <cfRule type="cellIs" dxfId="41" priority="53" stopIfTrue="1" operator="greaterThan">
      <formula>1.75</formula>
    </cfRule>
    <cfRule type="cellIs" dxfId="40" priority="54" stopIfTrue="1" operator="between">
      <formula>1.25</formula>
      <formula>1.75</formula>
    </cfRule>
  </conditionalFormatting>
  <conditionalFormatting sqref="L18">
    <cfRule type="cellIs" dxfId="39" priority="51" stopIfTrue="1" operator="greaterThan">
      <formula>1.75</formula>
    </cfRule>
    <cfRule type="cellIs" dxfId="38" priority="52" stopIfTrue="1" operator="between">
      <formula>1.25</formula>
      <formula>1.75</formula>
    </cfRule>
  </conditionalFormatting>
  <conditionalFormatting sqref="L18">
    <cfRule type="cellIs" dxfId="37" priority="49" stopIfTrue="1" operator="greaterThan">
      <formula>1.75</formula>
    </cfRule>
    <cfRule type="cellIs" dxfId="36" priority="50" stopIfTrue="1" operator="between">
      <formula>1.25</formula>
      <formula>1.75</formula>
    </cfRule>
  </conditionalFormatting>
  <conditionalFormatting sqref="L18">
    <cfRule type="cellIs" dxfId="35" priority="47" stopIfTrue="1" operator="greaterThan">
      <formula>1.75</formula>
    </cfRule>
    <cfRule type="cellIs" dxfId="34" priority="48" stopIfTrue="1" operator="between">
      <formula>1.25</formula>
      <formula>1.75</formula>
    </cfRule>
  </conditionalFormatting>
  <conditionalFormatting sqref="L18">
    <cfRule type="cellIs" dxfId="33" priority="45" stopIfTrue="1" operator="greaterThan">
      <formula>1.75</formula>
    </cfRule>
    <cfRule type="cellIs" dxfId="32" priority="46" stopIfTrue="1" operator="between">
      <formula>1.25</formula>
      <formula>1.75</formula>
    </cfRule>
  </conditionalFormatting>
  <conditionalFormatting sqref="L18">
    <cfRule type="cellIs" dxfId="31" priority="43" stopIfTrue="1" operator="greaterThan">
      <formula>1.75</formula>
    </cfRule>
    <cfRule type="cellIs" dxfId="30" priority="44" stopIfTrue="1" operator="between">
      <formula>1.25</formula>
      <formula>1.75</formula>
    </cfRule>
  </conditionalFormatting>
  <conditionalFormatting sqref="S18">
    <cfRule type="cellIs" dxfId="29" priority="41" stopIfTrue="1" operator="greaterThan">
      <formula>1.75</formula>
    </cfRule>
    <cfRule type="cellIs" dxfId="28" priority="42" stopIfTrue="1" operator="between">
      <formula>1.25</formula>
      <formula>1.75</formula>
    </cfRule>
  </conditionalFormatting>
  <conditionalFormatting sqref="S18">
    <cfRule type="cellIs" dxfId="27" priority="39" stopIfTrue="1" operator="greaterThan">
      <formula>1.75</formula>
    </cfRule>
    <cfRule type="cellIs" dxfId="26" priority="40" stopIfTrue="1" operator="between">
      <formula>1.25</formula>
      <formula>1.75</formula>
    </cfRule>
  </conditionalFormatting>
  <conditionalFormatting sqref="S18">
    <cfRule type="cellIs" dxfId="25" priority="37" stopIfTrue="1" operator="greaterThan">
      <formula>1.75</formula>
    </cfRule>
    <cfRule type="cellIs" dxfId="24" priority="38" stopIfTrue="1" operator="between">
      <formula>1.25</formula>
      <formula>1.75</formula>
    </cfRule>
  </conditionalFormatting>
  <conditionalFormatting sqref="S18">
    <cfRule type="cellIs" dxfId="23" priority="35" stopIfTrue="1" operator="greaterThan">
      <formula>1.75</formula>
    </cfRule>
    <cfRule type="cellIs" dxfId="22" priority="36" stopIfTrue="1" operator="between">
      <formula>1.25</formula>
      <formula>1.75</formula>
    </cfRule>
  </conditionalFormatting>
  <conditionalFormatting sqref="S18">
    <cfRule type="cellIs" dxfId="21" priority="33" stopIfTrue="1" operator="greaterThan">
      <formula>1.75</formula>
    </cfRule>
    <cfRule type="cellIs" dxfId="20" priority="34" stopIfTrue="1" operator="between">
      <formula>1.25</formula>
      <formula>1.75</formula>
    </cfRule>
  </conditionalFormatting>
  <conditionalFormatting sqref="S18">
    <cfRule type="cellIs" dxfId="19" priority="31" stopIfTrue="1" operator="greaterThan">
      <formula>1.75</formula>
    </cfRule>
    <cfRule type="cellIs" dxfId="18" priority="32" stopIfTrue="1" operator="between">
      <formula>1.25</formula>
      <formula>1.75</formula>
    </cfRule>
  </conditionalFormatting>
  <conditionalFormatting sqref="S18">
    <cfRule type="cellIs" dxfId="17" priority="29" stopIfTrue="1" operator="greaterThan">
      <formula>1.75</formula>
    </cfRule>
    <cfRule type="cellIs" dxfId="16" priority="30" stopIfTrue="1" operator="between">
      <formula>1.25</formula>
      <formula>1.75</formula>
    </cfRule>
  </conditionalFormatting>
  <conditionalFormatting sqref="S18">
    <cfRule type="cellIs" dxfId="15" priority="27" stopIfTrue="1" operator="greaterThan">
      <formula>1.75</formula>
    </cfRule>
    <cfRule type="cellIs" dxfId="14" priority="28" stopIfTrue="1" operator="between">
      <formula>1.25</formula>
      <formula>1.75</formula>
    </cfRule>
  </conditionalFormatting>
  <conditionalFormatting sqref="S18">
    <cfRule type="cellIs" dxfId="13" priority="25" stopIfTrue="1" operator="greaterThan">
      <formula>1.75</formula>
    </cfRule>
    <cfRule type="cellIs" dxfId="12" priority="26" stopIfTrue="1" operator="between">
      <formula>1.25</formula>
      <formula>1.75</formula>
    </cfRule>
  </conditionalFormatting>
  <conditionalFormatting sqref="S18">
    <cfRule type="cellIs" dxfId="11" priority="23" stopIfTrue="1" operator="greaterThan">
      <formula>1.75</formula>
    </cfRule>
    <cfRule type="cellIs" dxfId="10" priority="24" stopIfTrue="1" operator="between">
      <formula>1.25</formula>
      <formula>1.75</formula>
    </cfRule>
  </conditionalFormatting>
  <conditionalFormatting sqref="L17">
    <cfRule type="cellIs" dxfId="9" priority="9" stopIfTrue="1" operator="greaterThan">
      <formula>1.75</formula>
    </cfRule>
    <cfRule type="cellIs" dxfId="8" priority="10" stopIfTrue="1" operator="between">
      <formula>1.25</formula>
      <formula>1.75</formula>
    </cfRule>
  </conditionalFormatting>
  <conditionalFormatting sqref="N17">
    <cfRule type="cellIs" dxfId="7" priority="5" stopIfTrue="1" operator="greaterThan">
      <formula>1.75</formula>
    </cfRule>
    <cfRule type="cellIs" dxfId="6" priority="6" stopIfTrue="1" operator="between">
      <formula>1.25</formula>
      <formula>1.75</formula>
    </cfRule>
  </conditionalFormatting>
  <conditionalFormatting sqref="K17">
    <cfRule type="cellIs" dxfId="5" priority="13" stopIfTrue="1" operator="greaterThan">
      <formula>1.75</formula>
    </cfRule>
    <cfRule type="cellIs" dxfId="4" priority="14" stopIfTrue="1" operator="between">
      <formula>1.25</formula>
      <formula>1.75</formula>
    </cfRule>
  </conditionalFormatting>
  <conditionalFormatting sqref="H17">
    <cfRule type="cellIs" dxfId="3" priority="3" stopIfTrue="1" operator="greaterThan">
      <formula>1.75</formula>
    </cfRule>
    <cfRule type="cellIs" dxfId="2" priority="4" stopIfTrue="1" operator="between">
      <formula>1.25</formula>
      <formula>1.75</formula>
    </cfRule>
  </conditionalFormatting>
  <conditionalFormatting sqref="C17">
    <cfRule type="cellIs" dxfId="1" priority="1" stopIfTrue="1" operator="greaterThan">
      <formula>1.75</formula>
    </cfRule>
    <cfRule type="cellIs" dxfId="0" priority="2" stopIfTrue="1" operator="between">
      <formula>1.25</formula>
      <formula>1.75</formula>
    </cfRule>
  </conditionalFormatting>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sheetPr codeName="Sheet2"/>
  <dimension ref="A1:AA259"/>
  <sheetViews>
    <sheetView showGridLines="0" zoomScale="55" zoomScaleNormal="55" workbookViewId="0">
      <selection activeCell="A3" sqref="A3"/>
    </sheetView>
  </sheetViews>
  <sheetFormatPr defaultRowHeight="15"/>
  <cols>
    <col min="1" max="1" width="13" style="5" customWidth="1"/>
    <col min="2" max="5" width="23.42578125" style="34" bestFit="1" customWidth="1"/>
    <col min="6" max="8" width="18.5703125" style="34" bestFit="1" customWidth="1"/>
    <col min="9" max="11" width="18.5703125" style="372" bestFit="1" customWidth="1"/>
    <col min="12" max="12" width="23.140625" style="34" bestFit="1" customWidth="1"/>
    <col min="13" max="14" width="23.140625" style="34" customWidth="1"/>
    <col min="15" max="15" width="22.7109375" style="34" bestFit="1" customWidth="1"/>
    <col min="16" max="16" width="23.140625" style="34" bestFit="1" customWidth="1"/>
    <col min="17" max="18" width="19.28515625" customWidth="1"/>
    <col min="20" max="25" width="9.140625" style="32"/>
  </cols>
  <sheetData>
    <row r="1" spans="1:27">
      <c r="B1" s="38" t="s">
        <v>102</v>
      </c>
      <c r="C1" s="38" t="s">
        <v>103</v>
      </c>
      <c r="D1" s="38" t="s">
        <v>104</v>
      </c>
      <c r="E1" s="38" t="s">
        <v>105</v>
      </c>
      <c r="F1" s="38" t="s">
        <v>100</v>
      </c>
      <c r="G1" s="38" t="s">
        <v>107</v>
      </c>
      <c r="H1" s="38" t="s">
        <v>106</v>
      </c>
      <c r="I1" s="38" t="s">
        <v>200</v>
      </c>
      <c r="J1" s="38" t="s">
        <v>205</v>
      </c>
      <c r="K1" s="38" t="s">
        <v>207</v>
      </c>
      <c r="L1" s="38" t="s">
        <v>108</v>
      </c>
      <c r="M1" s="38" t="s">
        <v>110</v>
      </c>
      <c r="N1" s="38" t="s">
        <v>101</v>
      </c>
      <c r="O1" s="38" t="s">
        <v>109</v>
      </c>
      <c r="P1" s="38" t="s">
        <v>111</v>
      </c>
    </row>
    <row r="2" spans="1:27" ht="17.25" customHeight="1">
      <c r="B2" s="176" t="s">
        <v>179</v>
      </c>
      <c r="C2" s="176" t="s">
        <v>180</v>
      </c>
      <c r="D2" s="176" t="s">
        <v>181</v>
      </c>
      <c r="E2" s="176" t="s">
        <v>182</v>
      </c>
      <c r="F2" s="176" t="s">
        <v>183</v>
      </c>
      <c r="G2" s="176" t="s">
        <v>184</v>
      </c>
      <c r="H2" s="176" t="s">
        <v>185</v>
      </c>
      <c r="I2" s="372" t="s">
        <v>210</v>
      </c>
      <c r="J2" s="372" t="s">
        <v>211</v>
      </c>
      <c r="K2" s="372" t="s">
        <v>212</v>
      </c>
      <c r="L2" s="176" t="s">
        <v>186</v>
      </c>
      <c r="M2" s="176" t="s">
        <v>187</v>
      </c>
      <c r="N2" s="176" t="s">
        <v>188</v>
      </c>
      <c r="O2" s="176" t="s">
        <v>189</v>
      </c>
      <c r="P2" s="176" t="s">
        <v>190</v>
      </c>
      <c r="T2" s="32" t="s">
        <v>99</v>
      </c>
      <c r="U2" s="32" t="s">
        <v>3</v>
      </c>
      <c r="V2" s="32">
        <f>MATCH(U2,Table!$B:$B,0)</f>
        <v>6</v>
      </c>
      <c r="X2" s="32" t="s">
        <v>99</v>
      </c>
      <c r="Y2" s="32" t="s">
        <v>0</v>
      </c>
      <c r="Z2" s="32">
        <f>MATCH(Y2,Table!$A:$A,0)</f>
        <v>3</v>
      </c>
      <c r="AA2" t="s">
        <v>117</v>
      </c>
    </row>
    <row r="3" spans="1:27" ht="15.75" customHeight="1">
      <c r="A3" s="5">
        <v>41443</v>
      </c>
      <c r="B3" s="33">
        <f ca="1">IF(ISERROR(MATCH(B$1,INDIRECT("Table!A"&amp;$X3):INDIRECT("Table!" &amp; $AA$171 &amp; $X3),0)),"",INDIRECT(CONCATENATE("Table!",ADDRESS($T3,MATCH(B$1,INDIRECT("Table!A" &amp; $X3):INDIRECT("Table!" &amp; $AA$171 &amp; $X3),0)))))</f>
        <v>0.29161697777145473</v>
      </c>
      <c r="C3" s="33">
        <f ca="1">IF(ISERROR(MATCH(C$1,INDIRECT("Table!A"&amp;$X3):INDIRECT("Table!" &amp; $AA$171 &amp; $X3),0)),"",INDIRECT(CONCATENATE("Table!",ADDRESS($T3,MATCH(C$1,INDIRECT("Table!A" &amp; $X3):INDIRECT("Table!" &amp; $AA$171 &amp; $X3),0)))))</f>
        <v>0.51951755231012298</v>
      </c>
      <c r="D3" s="33">
        <f ca="1">IF(ISERROR(MATCH(D$1,INDIRECT("Table!A"&amp;$X3):INDIRECT("Table!" &amp; $AA$171 &amp; $X3),0)),"",INDIRECT(CONCATENATE("Table!",ADDRESS($T3,MATCH(D$1,INDIRECT("Table!A" &amp; $X3):INDIRECT("Table!" &amp; $AA$171 &amp; $X3),0)))))</f>
        <v>0.52950985876565793</v>
      </c>
      <c r="E3" s="33">
        <f ca="1">IF(ISERROR(MATCH(E$1,INDIRECT("Table!A"&amp;$X3):INDIRECT("Table!" &amp; $AA$171 &amp; $X3),0)),"",INDIRECT(CONCATENATE("Table!",ADDRESS($T3,MATCH(E$1,INDIRECT("Table!A" &amp; $X3):INDIRECT("Table!" &amp; $AA$171 &amp; $X3),0)))))</f>
        <v>0.87609905174677949</v>
      </c>
      <c r="F3" s="33">
        <f ca="1">IF(ISERROR(MATCH(F$1,INDIRECT("Table!A"&amp;$X3):INDIRECT("Table!" &amp; $AA$171 &amp; $X3),0)),"",INDIRECT(CONCATENATE("Table!",ADDRESS($T3,MATCH(F$1,INDIRECT("Table!A" &amp; $X3):INDIRECT("Table!" &amp; $AA$171 &amp; $X3),0)))))</f>
        <v>0.60585364379504691</v>
      </c>
      <c r="G3" s="33">
        <f ca="1">IF(ISERROR(MATCH(G$1,INDIRECT("Table!A"&amp;$X3):INDIRECT("Table!" &amp; $AA$171 &amp; $X3),0)),"",INDIRECT(CONCATENATE("Table!",ADDRESS($T3,MATCH(G$1,INDIRECT("Table!A" &amp; $X3):INDIRECT("Table!" &amp; $AA$171 &amp; $X3),0)))))</f>
        <v>0.39464701964701965</v>
      </c>
      <c r="H3" s="33">
        <f ca="1">IF(ISERROR(MATCH(H$1,INDIRECT("Table!A"&amp;$X3):INDIRECT("Table!" &amp; $AA$171 &amp; $X3),0)),"",INDIRECT(CONCATENATE("Table!",ADDRESS($T3,MATCH(H$1,INDIRECT("Table!A" &amp; $X3):INDIRECT("Table!" &amp; $AA$171 &amp; $X3),0)))))</f>
        <v>0.50159912404967921</v>
      </c>
      <c r="I3" s="33">
        <f ca="1">IF(ISERROR(MATCH(I$1,INDIRECT("Table!A"&amp;$X3):INDIRECT("Table!" &amp; $AA$171 &amp; $X3),0)),"",INDIRECT(CONCATENATE("Table!",ADDRESS($T3,MATCH(I$1,INDIRECT("Table!A" &amp; $X3):INDIRECT("Table!" &amp; $AA$171 &amp; $X3),0)))))</f>
        <v>8.6121633281731044E-2</v>
      </c>
      <c r="J3" s="33">
        <f ca="1">IF(ISERROR(MATCH(J$1,INDIRECT("Table!A"&amp;$X3):INDIRECT("Table!" &amp; $AA$171 &amp; $X3),0)),"",INDIRECT(CONCATENATE("Table!",ADDRESS($T3,MATCH(J$1,INDIRECT("Table!A" &amp; $X3):INDIRECT("Table!" &amp; $AA$171 &amp; $X3),0)))))</f>
        <v>2.8407835512319535E-5</v>
      </c>
      <c r="K3" s="33">
        <f ca="1">IF(ISERROR(MATCH(K$1,INDIRECT("Table!A"&amp;$X3):INDIRECT("Table!" &amp; $AA$171 &amp; $X3),0)),"",INDIRECT(CONCATENATE("Table!",ADDRESS($T3,MATCH(K$1,INDIRECT("Table!A" &amp; $X3):INDIRECT("Table!" &amp; $AA$171 &amp; $X3),0)))))</f>
        <v>5.6493032726293656E-5</v>
      </c>
      <c r="L3" s="33">
        <f ca="1">IF(ISERROR(MATCH(L$1,INDIRECT("Table!A"&amp;$X3):INDIRECT("Table!" &amp; $AA$171 &amp; $X3),0)),"",INDIRECT(CONCATENATE("Table!",ADDRESS($T3,MATCH(L$1,INDIRECT("Table!A" &amp; $X3):INDIRECT("Table!" &amp; $AA$171 &amp; $X3),0)))))</f>
        <v>0.82796707196402575</v>
      </c>
      <c r="M3" s="33">
        <f ca="1">IF(ISERROR(MATCH(M$1,INDIRECT("Table!A"&amp;$X3):INDIRECT("Table!" &amp; $AA$171 &amp; $X3),0)),"",INDIRECT(CONCATENATE("Table!",ADDRESS($T3,MATCH(M$1,INDIRECT("Table!A" &amp; $X3):INDIRECT("Table!" &amp; $AA$171 &amp; $X3),0)))))</f>
        <v>0.46060839068750836</v>
      </c>
      <c r="N3" s="33">
        <f ca="1">IF(ISERROR(MATCH(N$1,INDIRECT("Table!A"&amp;$X3):INDIRECT("Table!" &amp; $AA$171 &amp; $X3),0)),"",INDIRECT(CONCATENATE("Table!",ADDRESS($T3,MATCH(N$1,INDIRECT("Table!A" &amp; $X3):INDIRECT("Table!" &amp; $AA$171 &amp; $X3),0)))))</f>
        <v>0.62255050691255387</v>
      </c>
      <c r="O3" s="33">
        <f ca="1">IF(ISERROR(MATCH(O$1,INDIRECT("Table!A"&amp;$X3):INDIRECT("Table!" &amp; $AA$171 &amp; $X3),0)),"",INDIRECT(CONCATENATE("Table!",ADDRESS($T3,MATCH(O$1,INDIRECT("Table!A" &amp; $X3):INDIRECT("Table!" &amp; $AA$171 &amp; $X3),0)))))</f>
        <v>0.5679019419412159</v>
      </c>
      <c r="P3" s="33">
        <f ca="1">IF(ISERROR(MATCH(P$1,INDIRECT("Table!A"&amp;$X3):INDIRECT("Table!" &amp; $AA$171 &amp; $X3),0)),"",INDIRECT(CONCATENATE("Table!",ADDRESS($T3,MATCH(P$1,INDIRECT("Table!A" &amp; $X3):INDIRECT("Table!" &amp; $AA$171 &amp; $X3),0)))))</f>
        <v>0.13387064604449603</v>
      </c>
      <c r="T3" s="31">
        <f>MATCH($A3,Table!$A:$A,0)+$V$2-1</f>
        <v>6</v>
      </c>
      <c r="U3" s="213"/>
      <c r="V3" s="213"/>
      <c r="W3" s="213"/>
      <c r="X3" s="31">
        <f>MATCH($A3,Table!$A:$A,0)+$Z$2-1</f>
        <v>3</v>
      </c>
      <c r="Y3" s="213"/>
      <c r="AA3" t="s">
        <v>209</v>
      </c>
    </row>
    <row r="4" spans="1:27" ht="15.75" customHeight="1">
      <c r="A4" s="5">
        <v>41430</v>
      </c>
      <c r="B4" s="33">
        <f ca="1">IF(ISERROR(MATCH(B$1,INDIRECT("Table!A"&amp;$X4):INDIRECT("Table!" &amp; $AA$171 &amp; $X4),0)),"",INDIRECT(CONCATENATE("Table!",ADDRESS($T4,MATCH(B$1,INDIRECT("Table!A" &amp; $X4):INDIRECT("Table!" &amp; $AA$171 &amp; $X4),0)))))</f>
        <v>0.29161697777145473</v>
      </c>
      <c r="C4" s="33">
        <f ca="1">IF(ISERROR(MATCH(C$1,INDIRECT("Table!A"&amp;$X4):INDIRECT("Table!" &amp; $AA$171 &amp; $X4),0)),"",INDIRECT(CONCATENATE("Table!",ADDRESS($T4,MATCH(C$1,INDIRECT("Table!A" &amp; $X4):INDIRECT("Table!" &amp; $AA$171 &amp; $X4),0)))))</f>
        <v>0.51951755231012298</v>
      </c>
      <c r="D4" s="33">
        <f ca="1">IF(ISERROR(MATCH(D$1,INDIRECT("Table!A"&amp;$X4):INDIRECT("Table!" &amp; $AA$171 &amp; $X4),0)),"",INDIRECT(CONCATENATE("Table!",ADDRESS($T4,MATCH(D$1,INDIRECT("Table!A" &amp; $X4):INDIRECT("Table!" &amp; $AA$171 &amp; $X4),0)))))</f>
        <v>0.52950985876565793</v>
      </c>
      <c r="E4" s="33">
        <f ca="1">IF(ISERROR(MATCH(E$1,INDIRECT("Table!A"&amp;$X4):INDIRECT("Table!" &amp; $AA$171 &amp; $X4),0)),"",INDIRECT(CONCATENATE("Table!",ADDRESS($T4,MATCH(E$1,INDIRECT("Table!A" &amp; $X4):INDIRECT("Table!" &amp; $AA$171 &amp; $X4),0)))))</f>
        <v>0.87609905174677949</v>
      </c>
      <c r="F4" s="33">
        <f ca="1">IF(ISERROR(MATCH(F$1,INDIRECT("Table!A"&amp;$X4):INDIRECT("Table!" &amp; $AA$171 &amp; $X4),0)),"",INDIRECT(CONCATENATE("Table!",ADDRESS($T4,MATCH(F$1,INDIRECT("Table!A" &amp; $X4):INDIRECT("Table!" &amp; $AA$171 &amp; $X4),0)))))</f>
        <v>0.60585364379504691</v>
      </c>
      <c r="G4" s="33">
        <f ca="1">IF(ISERROR(MATCH(G$1,INDIRECT("Table!A"&amp;$X4):INDIRECT("Table!" &amp; $AA$171 &amp; $X4),0)),"",INDIRECT(CONCATENATE("Table!",ADDRESS($T4,MATCH(G$1,INDIRECT("Table!A" &amp; $X4):INDIRECT("Table!" &amp; $AA$171 &amp; $X4),0)))))</f>
        <v>0.39464701964701965</v>
      </c>
      <c r="H4" s="33">
        <f ca="1">IF(ISERROR(MATCH(H$1,INDIRECT("Table!A"&amp;$X4):INDIRECT("Table!" &amp; $AA$171 &amp; $X4),0)),"",INDIRECT(CONCATENATE("Table!",ADDRESS($T4,MATCH(H$1,INDIRECT("Table!A" &amp; $X4):INDIRECT("Table!" &amp; $AA$171 &amp; $X4),0)))))</f>
        <v>0.50159912404967921</v>
      </c>
      <c r="I4" s="33">
        <f ca="1">IF(ISERROR(MATCH(I$1,INDIRECT("Table!A"&amp;$X4):INDIRECT("Table!" &amp; $AA$171 &amp; $X4),0)),"",INDIRECT(CONCATENATE("Table!",ADDRESS($T4,MATCH(I$1,INDIRECT("Table!A" &amp; $X4):INDIRECT("Table!" &amp; $AA$171 &amp; $X4),0)))))</f>
        <v>8.6121633281731044E-2</v>
      </c>
      <c r="J4" s="33">
        <f ca="1">IF(ISERROR(MATCH(J$1,INDIRECT("Table!A"&amp;$X4):INDIRECT("Table!" &amp; $AA$171 &amp; $X4),0)),"",INDIRECT(CONCATENATE("Table!",ADDRESS($T4,MATCH(J$1,INDIRECT("Table!A" &amp; $X4):INDIRECT("Table!" &amp; $AA$171 &amp; $X4),0)))))</f>
        <v>2.8407835512319535E-5</v>
      </c>
      <c r="K4" s="33" t="str">
        <f ca="1">IF(ISERROR(MATCH(K$1,INDIRECT("Table!A"&amp;$X4):INDIRECT("Table!" &amp; $AA$171 &amp; $X4),0)),"",INDIRECT(CONCATENATE("Table!",ADDRESS($T4,MATCH(K$1,INDIRECT("Table!A" &amp; $X4):INDIRECT("Table!" &amp; $AA$171 &amp; $X4),0)))))</f>
        <v/>
      </c>
      <c r="L4" s="33">
        <f ca="1">IF(ISERROR(MATCH(L$1,INDIRECT("Table!A"&amp;$X4):INDIRECT("Table!" &amp; $AA$171 &amp; $X4),0)),"",INDIRECT(CONCATENATE("Table!",ADDRESS($T4,MATCH(L$1,INDIRECT("Table!A" &amp; $X4):INDIRECT("Table!" &amp; $AA$171 &amp; $X4),0)))))</f>
        <v>0.82796707196402575</v>
      </c>
      <c r="M4" s="33">
        <f ca="1">IF(ISERROR(MATCH(M$1,INDIRECT("Table!A"&amp;$X4):INDIRECT("Table!" &amp; $AA$171 &amp; $X4),0)),"",INDIRECT(CONCATENATE("Table!",ADDRESS($T4,MATCH(M$1,INDIRECT("Table!A" &amp; $X4):INDIRECT("Table!" &amp; $AA$171 &amp; $X4),0)))))</f>
        <v>0.46060839068750836</v>
      </c>
      <c r="N4" s="33">
        <f ca="1">IF(ISERROR(MATCH(N$1,INDIRECT("Table!A"&amp;$X4):INDIRECT("Table!" &amp; $AA$171 &amp; $X4),0)),"",INDIRECT(CONCATENATE("Table!",ADDRESS($T4,MATCH(N$1,INDIRECT("Table!A" &amp; $X4):INDIRECT("Table!" &amp; $AA$171 &amp; $X4),0)))))</f>
        <v>0.62255050691255387</v>
      </c>
      <c r="O4" s="33">
        <f ca="1">IF(ISERROR(MATCH(O$1,INDIRECT("Table!A"&amp;$X4):INDIRECT("Table!" &amp; $AA$171 &amp; $X4),0)),"",INDIRECT(CONCATENATE("Table!",ADDRESS($T4,MATCH(O$1,INDIRECT("Table!A" &amp; $X4):INDIRECT("Table!" &amp; $AA$171 &amp; $X4),0)))))</f>
        <v>0.5679019419412159</v>
      </c>
      <c r="P4" s="33">
        <f ca="1">IF(ISERROR(MATCH(P$1,INDIRECT("Table!A"&amp;$X4):INDIRECT("Table!" &amp; $AA$171 &amp; $X4),0)),"",INDIRECT(CONCATENATE("Table!",ADDRESS($T4,MATCH(P$1,INDIRECT("Table!A" &amp; $X4):INDIRECT("Table!" &amp; $AA$171 &amp; $X4),0)))))</f>
        <v>0.13387064604449603</v>
      </c>
      <c r="T4" s="31">
        <f>MATCH($A4,Table!$A:$A,0)+$V$2-1</f>
        <v>24</v>
      </c>
      <c r="U4" s="372"/>
      <c r="V4" s="372"/>
      <c r="W4" s="372"/>
      <c r="X4" s="31">
        <f>MATCH($A4,Table!$A:$A,0)+$Z$2-1</f>
        <v>21</v>
      </c>
      <c r="Y4" s="372"/>
      <c r="AA4" t="s">
        <v>209</v>
      </c>
    </row>
    <row r="5" spans="1:27" ht="15.75" customHeight="1">
      <c r="A5" s="5">
        <v>41414</v>
      </c>
      <c r="B5" s="33">
        <f ca="1">IF(ISERROR(MATCH(B$1,INDIRECT("Table!A"&amp;$X5):INDIRECT("Table!" &amp; $AA$171 &amp; $X5),0)),"",INDIRECT(CONCATENATE("Table!",ADDRESS($T5,MATCH(B$1,INDIRECT("Table!A" &amp; $X5):INDIRECT("Table!" &amp; $AA$171 &amp; $X5),0)))))</f>
        <v>0.28230405837974448</v>
      </c>
      <c r="C5" s="33">
        <f ca="1">IF(ISERROR(MATCH(C$1,INDIRECT("Table!A"&amp;$X5):INDIRECT("Table!" &amp; $AA$171 &amp; $X5),0)),"",INDIRECT(CONCATENATE("Table!",ADDRESS($T5,MATCH(C$1,INDIRECT("Table!A" &amp; $X5):INDIRECT("Table!" &amp; $AA$171 &amp; $X5),0)))))</f>
        <v>0.51951755231012298</v>
      </c>
      <c r="D5" s="33">
        <f ca="1">IF(ISERROR(MATCH(D$1,INDIRECT("Table!A"&amp;$X5):INDIRECT("Table!" &amp; $AA$171 &amp; $X5),0)),"",INDIRECT(CONCATENATE("Table!",ADDRESS($T5,MATCH(D$1,INDIRECT("Table!A" &amp; $X5):INDIRECT("Table!" &amp; $AA$171 &amp; $X5),0)))))</f>
        <v>0.52950985876565793</v>
      </c>
      <c r="E5" s="33">
        <f ca="1">IF(ISERROR(MATCH(E$1,INDIRECT("Table!A"&amp;$X5):INDIRECT("Table!" &amp; $AA$171 &amp; $X5),0)),"",INDIRECT(CONCATENATE("Table!",ADDRESS($T5,MATCH(E$1,INDIRECT("Table!A" &amp; $X5):INDIRECT("Table!" &amp; $AA$171 &amp; $X5),0)))))</f>
        <v>0.87609905174677949</v>
      </c>
      <c r="F5" s="33">
        <f ca="1">IF(ISERROR(MATCH(F$1,INDIRECT("Table!A"&amp;$X5):INDIRECT("Table!" &amp; $AA$171 &amp; $X5),0)),"",INDIRECT(CONCATENATE("Table!",ADDRESS($T5,MATCH(F$1,INDIRECT("Table!A" &amp; $X5):INDIRECT("Table!" &amp; $AA$171 &amp; $X5),0)))))</f>
        <v>0.60585364379504691</v>
      </c>
      <c r="G5" s="33">
        <f ca="1">IF(ISERROR(MATCH(G$1,INDIRECT("Table!A"&amp;$X5):INDIRECT("Table!" &amp; $AA$171 &amp; $X5),0)),"",INDIRECT(CONCATENATE("Table!",ADDRESS($T5,MATCH(G$1,INDIRECT("Table!A" &amp; $X5):INDIRECT("Table!" &amp; $AA$171 &amp; $X5),0)))))</f>
        <v>0.42291950473768652</v>
      </c>
      <c r="H5" s="33">
        <f ca="1">IF(ISERROR(MATCH(H$1,INDIRECT("Table!A"&amp;$X5):INDIRECT("Table!" &amp; $AA$171 &amp; $X5),0)),"",INDIRECT(CONCATENATE("Table!",ADDRESS($T5,MATCH(H$1,INDIRECT("Table!A" &amp; $X5):INDIRECT("Table!" &amp; $AA$171 &amp; $X5),0)))))</f>
        <v>0.50159912404967921</v>
      </c>
      <c r="I5" s="33">
        <f ca="1">IF(ISERROR(MATCH(I$1,INDIRECT("Table!A"&amp;$X5):INDIRECT("Table!" &amp; $AA$171 &amp; $X5),0)),"",INDIRECT(CONCATENATE("Table!",ADDRESS($T5,MATCH(I$1,INDIRECT("Table!A" &amp; $X5):INDIRECT("Table!" &amp; $AA$171 &amp; $X5),0)))))</f>
        <v>8.6121633281731044E-2</v>
      </c>
      <c r="J5" s="33" t="str">
        <f ca="1">IF(ISERROR(MATCH(J$1,INDIRECT("Table!A"&amp;$X5):INDIRECT("Table!" &amp; $AA$171 &amp; $X5),0)),"",INDIRECT(CONCATENATE("Table!",ADDRESS($T5,MATCH(J$1,INDIRECT("Table!A" &amp; $X5):INDIRECT("Table!" &amp; $AA$171 &amp; $X5),0)))))</f>
        <v/>
      </c>
      <c r="K5" s="33" t="str">
        <f ca="1">IF(ISERROR(MATCH(K$1,INDIRECT("Table!A"&amp;$X5):INDIRECT("Table!" &amp; $AA$171 &amp; $X5),0)),"",INDIRECT(CONCATENATE("Table!",ADDRESS($T5,MATCH(K$1,INDIRECT("Table!A" &amp; $X5):INDIRECT("Table!" &amp; $AA$171 &amp; $X5),0)))))</f>
        <v/>
      </c>
      <c r="L5" s="33">
        <f ca="1">IF(ISERROR(MATCH(L$1,INDIRECT("Table!A"&amp;$X5):INDIRECT("Table!" &amp; $AA$171 &amp; $X5),0)),"",INDIRECT(CONCATENATE("Table!",ADDRESS($T5,MATCH(L$1,INDIRECT("Table!A" &amp; $X5):INDIRECT("Table!" &amp; $AA$171 &amp; $X5),0)))))</f>
        <v>0.82796707196402575</v>
      </c>
      <c r="M5" s="33">
        <f ca="1">IF(ISERROR(MATCH(M$1,INDIRECT("Table!A"&amp;$X5):INDIRECT("Table!" &amp; $AA$171 &amp; $X5),0)),"",INDIRECT(CONCATENATE("Table!",ADDRESS($T5,MATCH(M$1,INDIRECT("Table!A" &amp; $X5):INDIRECT("Table!" &amp; $AA$171 &amp; $X5),0)))))</f>
        <v>0.48381999240154927</v>
      </c>
      <c r="N5" s="33">
        <f ca="1">IF(ISERROR(MATCH(N$1,INDIRECT("Table!A"&amp;$X5):INDIRECT("Table!" &amp; $AA$171 &amp; $X5),0)),"",INDIRECT(CONCATENATE("Table!",ADDRESS($T5,MATCH(N$1,INDIRECT("Table!A" &amp; $X5):INDIRECT("Table!" &amp; $AA$171 &amp; $X5),0)))))</f>
        <v>0.62255050691255387</v>
      </c>
      <c r="O5" s="33">
        <f ca="1">IF(ISERROR(MATCH(O$1,INDIRECT("Table!A"&amp;$X5):INDIRECT("Table!" &amp; $AA$171 &amp; $X5),0)),"",INDIRECT(CONCATENATE("Table!",ADDRESS($T5,MATCH(O$1,INDIRECT("Table!A" &amp; $X5):INDIRECT("Table!" &amp; $AA$171 &amp; $X5),0)))))</f>
        <v>0.5679019419412159</v>
      </c>
      <c r="P5" s="33">
        <f ca="1">IF(ISERROR(MATCH(P$1,INDIRECT("Table!A"&amp;$X5):INDIRECT("Table!" &amp; $AA$171 &amp; $X5),0)),"",INDIRECT(CONCATENATE("Table!",ADDRESS($T5,MATCH(P$1,INDIRECT("Table!A" &amp; $X5):INDIRECT("Table!" &amp; $AA$171 &amp; $X5),0)))))</f>
        <v>0.13387064604449603</v>
      </c>
      <c r="T5" s="31">
        <f>MATCH($A5,Table!$A:$A,0)+$V$2-1</f>
        <v>42</v>
      </c>
      <c r="U5" s="372"/>
      <c r="V5" s="372"/>
      <c r="W5" s="372"/>
      <c r="X5" s="31">
        <f>MATCH($A5,Table!$A:$A,0)+$Z$2-1</f>
        <v>39</v>
      </c>
      <c r="Y5" s="372"/>
      <c r="AA5" t="s">
        <v>209</v>
      </c>
    </row>
    <row r="6" spans="1:27" ht="15.75" customHeight="1">
      <c r="A6" s="5">
        <v>41408</v>
      </c>
      <c r="B6" s="33">
        <f ca="1">IF(ISERROR(MATCH(B$1,INDIRECT("Table!A"&amp;$X6):INDIRECT("Table!" &amp; $AA$171 &amp; $X6),0)),"",INDIRECT(CONCATENATE("Table!",ADDRESS($T6,MATCH(B$1,INDIRECT("Table!A" &amp; $X6):INDIRECT("Table!" &amp; $AA$171 &amp; $X6),0)))))</f>
        <v>0.27845796354334473</v>
      </c>
      <c r="C6" s="33">
        <f ca="1">IF(ISERROR(MATCH(C$1,INDIRECT("Table!A"&amp;$X6):INDIRECT("Table!" &amp; $AA$171 &amp; $X6),0)),"",INDIRECT(CONCATENATE("Table!",ADDRESS($T6,MATCH(C$1,INDIRECT("Table!A" &amp; $X6):INDIRECT("Table!" &amp; $AA$171 &amp; $X6),0)))))</f>
        <v>0.5189103070906842</v>
      </c>
      <c r="D6" s="33">
        <f ca="1">IF(ISERROR(MATCH(D$1,INDIRECT("Table!A"&amp;$X6):INDIRECT("Table!" &amp; $AA$171 &amp; $X6),0)),"",INDIRECT(CONCATENATE("Table!",ADDRESS($T6,MATCH(D$1,INDIRECT("Table!A" &amp; $X6):INDIRECT("Table!" &amp; $AA$171 &amp; $X6),0)))))</f>
        <v>0.52901356535327193</v>
      </c>
      <c r="E6" s="33">
        <f ca="1">IF(ISERROR(MATCH(E$1,INDIRECT("Table!A"&amp;$X6):INDIRECT("Table!" &amp; $AA$171 &amp; $X6),0)),"",INDIRECT(CONCATENATE("Table!",ADDRESS($T6,MATCH(E$1,INDIRECT("Table!A" &amp; $X6):INDIRECT("Table!" &amp; $AA$171 &amp; $X6),0)))))</f>
        <v>0.87468804567967307</v>
      </c>
      <c r="F6" s="33">
        <f ca="1">IF(ISERROR(MATCH(F$1,INDIRECT("Table!A"&amp;$X6):INDIRECT("Table!" &amp; $AA$171 &amp; $X6),0)),"",INDIRECT(CONCATENATE("Table!",ADDRESS($T6,MATCH(F$1,INDIRECT("Table!A" &amp; $X6):INDIRECT("Table!" &amp; $AA$171 &amp; $X6),0)))))</f>
        <v>0.6010716066544779</v>
      </c>
      <c r="G6" s="33">
        <f ca="1">IF(ISERROR(MATCH(G$1,INDIRECT("Table!A"&amp;$X6):INDIRECT("Table!" &amp; $AA$171 &amp; $X6),0)),"",INDIRECT(CONCATENATE("Table!",ADDRESS($T6,MATCH(G$1,INDIRECT("Table!A" &amp; $X6):INDIRECT("Table!" &amp; $AA$171 &amp; $X6),0)))))</f>
        <v>0.42195229013410834</v>
      </c>
      <c r="H6" s="33">
        <f ca="1">IF(ISERROR(MATCH(H$1,INDIRECT("Table!A"&amp;$X6):INDIRECT("Table!" &amp; $AA$171 &amp; $X6),0)),"",INDIRECT(CONCATENATE("Table!",ADDRESS($T6,MATCH(H$1,INDIRECT("Table!A" &amp; $X6):INDIRECT("Table!" &amp; $AA$171 &amp; $X6),0)))))</f>
        <v>0.49927998474573693</v>
      </c>
      <c r="I6" s="33">
        <f ca="1">IF(ISERROR(MATCH(I$1,INDIRECT("Table!A"&amp;$X6):INDIRECT("Table!" &amp; $AA$171 &amp; $X6),0)),"",INDIRECT(CONCATENATE("Table!",ADDRESS($T6,MATCH(I$1,INDIRECT("Table!A" &amp; $X6):INDIRECT("Table!" &amp; $AA$171 &amp; $X6),0)))))</f>
        <v>8.5373189328622298E-2</v>
      </c>
      <c r="J6" s="33" t="str">
        <f ca="1">IF(ISERROR(MATCH(J$1,INDIRECT("Table!A"&amp;$X6):INDIRECT("Table!" &amp; $AA$171 &amp; $X6),0)),"",INDIRECT(CONCATENATE("Table!",ADDRESS($T6,MATCH(J$1,INDIRECT("Table!A" &amp; $X6):INDIRECT("Table!" &amp; $AA$171 &amp; $X6),0)))))</f>
        <v/>
      </c>
      <c r="K6" s="33" t="str">
        <f ca="1">IF(ISERROR(MATCH(K$1,INDIRECT("Table!A"&amp;$X6):INDIRECT("Table!" &amp; $AA$171 &amp; $X6),0)),"",INDIRECT(CONCATENATE("Table!",ADDRESS($T6,MATCH(K$1,INDIRECT("Table!A" &amp; $X6):INDIRECT("Table!" &amp; $AA$171 &amp; $X6),0)))))</f>
        <v/>
      </c>
      <c r="L6" s="33">
        <f ca="1">IF(ISERROR(MATCH(L$1,INDIRECT("Table!A"&amp;$X6):INDIRECT("Table!" &amp; $AA$171 &amp; $X6),0)),"",INDIRECT(CONCATENATE("Table!",ADDRESS($T6,MATCH(L$1,INDIRECT("Table!A" &amp; $X6):INDIRECT("Table!" &amp; $AA$171 &amp; $X6),0)))))</f>
        <v>0.82496904578116004</v>
      </c>
      <c r="M6" s="33">
        <f ca="1">IF(ISERROR(MATCH(M$1,INDIRECT("Table!A"&amp;$X6):INDIRECT("Table!" &amp; $AA$171 &amp; $X6),0)),"",INDIRECT(CONCATENATE("Table!",ADDRESS($T6,MATCH(M$1,INDIRECT("Table!A" &amp; $X6):INDIRECT("Table!" &amp; $AA$171 &amp; $X6),0)))))</f>
        <v>0.48442544663602055</v>
      </c>
      <c r="N6" s="33">
        <f ca="1">IF(ISERROR(MATCH(N$1,INDIRECT("Table!A"&amp;$X6):INDIRECT("Table!" &amp; $AA$171 &amp; $X6),0)),"",INDIRECT(CONCATENATE("Table!",ADDRESS($T6,MATCH(N$1,INDIRECT("Table!A" &amp; $X6):INDIRECT("Table!" &amp; $AA$171 &amp; $X6),0)))))</f>
        <v>0.61796792555692681</v>
      </c>
      <c r="O6" s="33">
        <f ca="1">IF(ISERROR(MATCH(O$1,INDIRECT("Table!A"&amp;$X6):INDIRECT("Table!" &amp; $AA$171 &amp; $X6),0)),"",INDIRECT(CONCATENATE("Table!",ADDRESS($T6,MATCH(O$1,INDIRECT("Table!A" &amp; $X6):INDIRECT("Table!" &amp; $AA$171 &amp; $X6),0)))))</f>
        <v>0.56538086344762561</v>
      </c>
      <c r="P6" s="33">
        <f ca="1">IF(ISERROR(MATCH(P$1,INDIRECT("Table!A"&amp;$X6):INDIRECT("Table!" &amp; $AA$171 &amp; $X6),0)),"",INDIRECT(CONCATENATE("Table!",ADDRESS($T6,MATCH(P$1,INDIRECT("Table!A" &amp; $X6):INDIRECT("Table!" &amp; $AA$171 &amp; $X6),0)))))</f>
        <v>0.12786168881797247</v>
      </c>
      <c r="T6" s="31">
        <f>MATCH($A6,Table!$A:$A,0)+$V$2-1</f>
        <v>60</v>
      </c>
      <c r="U6" s="372"/>
      <c r="V6" s="372"/>
      <c r="W6" s="372"/>
      <c r="X6" s="31">
        <f>MATCH($A6,Table!$A:$A,0)+$Z$2-1</f>
        <v>57</v>
      </c>
      <c r="Y6" s="372"/>
      <c r="AA6" t="s">
        <v>209</v>
      </c>
    </row>
    <row r="7" spans="1:27" ht="15.75" customHeight="1">
      <c r="A7" s="5">
        <v>41401</v>
      </c>
      <c r="B7" s="33">
        <f ca="1">IF(ISERROR(MATCH(B$1,INDIRECT("Table!A"&amp;$X7):INDIRECT("Table!" &amp; $AA$171 &amp; $X7),0)),"",INDIRECT(CONCATENATE("Table!",ADDRESS($T7,MATCH(B$1,INDIRECT("Table!A" &amp; $X7):INDIRECT("Table!" &amp; $AA$171 &amp; $X7),0)))))</f>
        <v>0.27719848080997428</v>
      </c>
      <c r="C7" s="33">
        <f ca="1">IF(ISERROR(MATCH(C$1,INDIRECT("Table!A"&amp;$X7):INDIRECT("Table!" &amp; $AA$171 &amp; $X7),0)),"",INDIRECT(CONCATENATE("Table!",ADDRESS($T7,MATCH(C$1,INDIRECT("Table!A" &amp; $X7):INDIRECT("Table!" &amp; $AA$171 &amp; $X7),0)))))</f>
        <v>0.51861930774044984</v>
      </c>
      <c r="D7" s="33">
        <f ca="1">IF(ISERROR(MATCH(D$1,INDIRECT("Table!A"&amp;$X7):INDIRECT("Table!" &amp; $AA$171 &amp; $X7),0)),"",INDIRECT(CONCATENATE("Table!",ADDRESS($T7,MATCH(D$1,INDIRECT("Table!A" &amp; $X7):INDIRECT("Table!" &amp; $AA$171 &amp; $X7),0)))))</f>
        <v>0.52886673691399844</v>
      </c>
      <c r="E7" s="33">
        <f ca="1">IF(ISERROR(MATCH(E$1,INDIRECT("Table!A"&amp;$X7):INDIRECT("Table!" &amp; $AA$171 &amp; $X7),0)),"",INDIRECT(CONCATENATE("Table!",ADDRESS($T7,MATCH(E$1,INDIRECT("Table!A" &amp; $X7):INDIRECT("Table!" &amp; $AA$171 &amp; $X7),0)))))</f>
        <v>0.87133635681310428</v>
      </c>
      <c r="F7" s="33">
        <f ca="1">IF(ISERROR(MATCH(F$1,INDIRECT("Table!A"&amp;$X7):INDIRECT("Table!" &amp; $AA$171 &amp; $X7),0)),"",INDIRECT(CONCATENATE("Table!",ADDRESS($T7,MATCH(F$1,INDIRECT("Table!A" &amp; $X7):INDIRECT("Table!" &amp; $AA$171 &amp; $X7),0)))))</f>
        <v>0.59451202006618209</v>
      </c>
      <c r="G7" s="33">
        <f ca="1">IF(ISERROR(MATCH(G$1,INDIRECT("Table!A"&amp;$X7):INDIRECT("Table!" &amp; $AA$171 &amp; $X7),0)),"",INDIRECT(CONCATENATE("Table!",ADDRESS($T7,MATCH(G$1,INDIRECT("Table!A" &amp; $X7):INDIRECT("Table!" &amp; $AA$171 &amp; $X7),0)))))</f>
        <v>0.38604955650410194</v>
      </c>
      <c r="H7" s="33">
        <f ca="1">IF(ISERROR(MATCH(H$1,INDIRECT("Table!A"&amp;$X7):INDIRECT("Table!" &amp; $AA$171 &amp; $X7),0)),"",INDIRECT(CONCATENATE("Table!",ADDRESS($T7,MATCH(H$1,INDIRECT("Table!A" &amp; $X7):INDIRECT("Table!" &amp; $AA$171 &amp; $X7),0)))))</f>
        <v>0.69532884206778434</v>
      </c>
      <c r="I7" s="33">
        <f ca="1">IF(ISERROR(MATCH(I$1,INDIRECT("Table!A"&amp;$X7):INDIRECT("Table!" &amp; $AA$171 &amp; $X7),0)),"",INDIRECT(CONCATENATE("Table!",ADDRESS($T7,MATCH(I$1,INDIRECT("Table!A" &amp; $X7):INDIRECT("Table!" &amp; $AA$171 &amp; $X7),0)))))</f>
        <v>8.2987561861030276E-2</v>
      </c>
      <c r="J7" s="33" t="str">
        <f ca="1">IF(ISERROR(MATCH(J$1,INDIRECT("Table!A"&amp;$X7):INDIRECT("Table!" &amp; $AA$171 &amp; $X7),0)),"",INDIRECT(CONCATENATE("Table!",ADDRESS($T7,MATCH(J$1,INDIRECT("Table!A" &amp; $X7):INDIRECT("Table!" &amp; $AA$171 &amp; $X7),0)))))</f>
        <v/>
      </c>
      <c r="K7" s="33" t="str">
        <f ca="1">IF(ISERROR(MATCH(K$1,INDIRECT("Table!A"&amp;$X7):INDIRECT("Table!" &amp; $AA$171 &amp; $X7),0)),"",INDIRECT(CONCATENATE("Table!",ADDRESS($T7,MATCH(K$1,INDIRECT("Table!A" &amp; $X7):INDIRECT("Table!" &amp; $AA$171 &amp; $X7),0)))))</f>
        <v/>
      </c>
      <c r="L7" s="33">
        <f ca="1">IF(ISERROR(MATCH(L$1,INDIRECT("Table!A"&amp;$X7):INDIRECT("Table!" &amp; $AA$171 &amp; $X7),0)),"",INDIRECT(CONCATENATE("Table!",ADDRESS($T7,MATCH(L$1,INDIRECT("Table!A" &amp; $X7):INDIRECT("Table!" &amp; $AA$171 &amp; $X7),0)))))</f>
        <v>0.82352727856724706</v>
      </c>
      <c r="M7" s="33">
        <f ca="1">IF(ISERROR(MATCH(M$1,INDIRECT("Table!A"&amp;$X7):INDIRECT("Table!" &amp; $AA$171 &amp; $X7),0)),"",INDIRECT(CONCATENATE("Table!",ADDRESS($T7,MATCH(M$1,INDIRECT("Table!A" &amp; $X7):INDIRECT("Table!" &amp; $AA$171 &amp; $X7),0)))))</f>
        <v>0.47882575178495473</v>
      </c>
      <c r="N7" s="33">
        <f ca="1">IF(ISERROR(MATCH(N$1,INDIRECT("Table!A"&amp;$X7):INDIRECT("Table!" &amp; $AA$171 &amp; $X7),0)),"",INDIRECT(CONCATENATE("Table!",ADDRESS($T7,MATCH(N$1,INDIRECT("Table!A" &amp; $X7):INDIRECT("Table!" &amp; $AA$171 &amp; $X7),0)))))</f>
        <v>0.61271083077570254</v>
      </c>
      <c r="O7" s="33">
        <f ca="1">IF(ISERROR(MATCH(O$1,INDIRECT("Table!A"&amp;$X7):INDIRECT("Table!" &amp; $AA$171 &amp; $X7),0)),"",INDIRECT(CONCATENATE("Table!",ADDRESS($T7,MATCH(O$1,INDIRECT("Table!A" &amp; $X7):INDIRECT("Table!" &amp; $AA$171 &amp; $X7),0)))))</f>
        <v>0.87670802860563657</v>
      </c>
      <c r="P7" s="33">
        <f ca="1">IF(ISERROR(MATCH(P$1,INDIRECT("Table!A"&amp;$X7):INDIRECT("Table!" &amp; $AA$171 &amp; $X7),0)),"",INDIRECT(CONCATENATE("Table!",ADDRESS($T7,MATCH(P$1,INDIRECT("Table!A" &amp; $X7):INDIRECT("Table!" &amp; $AA$171 &amp; $X7),0)))))</f>
        <v>0.12721800148682708</v>
      </c>
      <c r="T7" s="31">
        <f>MATCH($A7,Table!$A:$A,0)+$V$2-1</f>
        <v>78</v>
      </c>
      <c r="U7" s="372"/>
      <c r="V7" s="372"/>
      <c r="W7" s="372"/>
      <c r="X7" s="31">
        <f>MATCH($A7,Table!$A:$A,0)+$Z$2-1</f>
        <v>75</v>
      </c>
      <c r="Y7" s="372"/>
      <c r="AA7" t="s">
        <v>209</v>
      </c>
    </row>
    <row r="8" spans="1:27" ht="15.75" customHeight="1">
      <c r="A8" s="5">
        <v>41393</v>
      </c>
      <c r="B8" s="33">
        <f ca="1">IF(ISERROR(MATCH(B$1,INDIRECT("Table!A"&amp;$X8):INDIRECT("Table!" &amp; $AA$171 &amp; $X8),0)),"",INDIRECT(CONCATENATE("Table!",ADDRESS($T8,MATCH(B$1,INDIRECT("Table!A" &amp; $X8):INDIRECT("Table!" &amp; $AA$171 &amp; $X8),0)))))</f>
        <v>0.29606143151440595</v>
      </c>
      <c r="C8" s="33">
        <f ca="1">IF(ISERROR(MATCH(C$1,INDIRECT("Table!A"&amp;$X8):INDIRECT("Table!" &amp; $AA$171 &amp; $X8),0)),"",INDIRECT(CONCATENATE("Table!",ADDRESS($T8,MATCH(C$1,INDIRECT("Table!A" &amp; $X8):INDIRECT("Table!" &amp; $AA$171 &amp; $X8),0)))))</f>
        <v>0.51687929107774733</v>
      </c>
      <c r="D8" s="33">
        <f ca="1">IF(ISERROR(MATCH(D$1,INDIRECT("Table!A"&amp;$X8):INDIRECT("Table!" &amp; $AA$171 &amp; $X8),0)),"",INDIRECT(CONCATENATE("Table!",ADDRESS($T8,MATCH(D$1,INDIRECT("Table!A" &amp; $X8):INDIRECT("Table!" &amp; $AA$171 &amp; $X8),0)))))</f>
        <v>0.52730676779447738</v>
      </c>
      <c r="E8" s="33">
        <f ca="1">IF(ISERROR(MATCH(E$1,INDIRECT("Table!A"&amp;$X8):INDIRECT("Table!" &amp; $AA$171 &amp; $X8),0)),"",INDIRECT(CONCATENATE("Table!",ADDRESS($T8,MATCH(E$1,INDIRECT("Table!A" &amp; $X8):INDIRECT("Table!" &amp; $AA$171 &amp; $X8),0)))))</f>
        <v>0.86698960097319866</v>
      </c>
      <c r="F8" s="33">
        <f ca="1">IF(ISERROR(MATCH(F$1,INDIRECT("Table!A"&amp;$X8):INDIRECT("Table!" &amp; $AA$171 &amp; $X8),0)),"",INDIRECT(CONCATENATE("Table!",ADDRESS($T8,MATCH(F$1,INDIRECT("Table!A" &amp; $X8):INDIRECT("Table!" &amp; $AA$171 &amp; $X8),0)))))</f>
        <v>0.58897931430470984</v>
      </c>
      <c r="G8" s="33">
        <f ca="1">IF(ISERROR(MATCH(G$1,INDIRECT("Table!A"&amp;$X8):INDIRECT("Table!" &amp; $AA$171 &amp; $X8),0)),"",INDIRECT(CONCATENATE("Table!",ADDRESS($T8,MATCH(G$1,INDIRECT("Table!A" &amp; $X8):INDIRECT("Table!" &amp; $AA$171 &amp; $X8),0)))))</f>
        <v>0.38990025126388766</v>
      </c>
      <c r="H8" s="33">
        <f ca="1">IF(ISERROR(MATCH(H$1,INDIRECT("Table!A"&amp;$X8):INDIRECT("Table!" &amp; $AA$171 &amp; $X8),0)),"",INDIRECT(CONCATENATE("Table!",ADDRESS($T8,MATCH(H$1,INDIRECT("Table!A" &amp; $X8):INDIRECT("Table!" &amp; $AA$171 &amp; $X8),0)))))</f>
        <v>0.6927837549595407</v>
      </c>
      <c r="I8" s="33">
        <f ca="1">IF(ISERROR(MATCH(I$1,INDIRECT("Table!A"&amp;$X8):INDIRECT("Table!" &amp; $AA$171 &amp; $X8),0)),"",INDIRECT(CONCATENATE("Table!",ADDRESS($T8,MATCH(I$1,INDIRECT("Table!A" &amp; $X8):INDIRECT("Table!" &amp; $AA$171 &amp; $X8),0)))))</f>
        <v>8.283582583835658E-2</v>
      </c>
      <c r="J8" s="33" t="str">
        <f ca="1">IF(ISERROR(MATCH(J$1,INDIRECT("Table!A"&amp;$X8):INDIRECT("Table!" &amp; $AA$171 &amp; $X8),0)),"",INDIRECT(CONCATENATE("Table!",ADDRESS($T8,MATCH(J$1,INDIRECT("Table!A" &amp; $X8):INDIRECT("Table!" &amp; $AA$171 &amp; $X8),0)))))</f>
        <v/>
      </c>
      <c r="K8" s="33" t="str">
        <f ca="1">IF(ISERROR(MATCH(K$1,INDIRECT("Table!A"&amp;$X8):INDIRECT("Table!" &amp; $AA$171 &amp; $X8),0)),"",INDIRECT(CONCATENATE("Table!",ADDRESS($T8,MATCH(K$1,INDIRECT("Table!A" &amp; $X8):INDIRECT("Table!" &amp; $AA$171 &amp; $X8),0)))))</f>
        <v/>
      </c>
      <c r="L8" s="33">
        <f ca="1">IF(ISERROR(MATCH(L$1,INDIRECT("Table!A"&amp;$X8):INDIRECT("Table!" &amp; $AA$171 &amp; $X8),0)),"",INDIRECT(CONCATENATE("Table!",ADDRESS($T8,MATCH(L$1,INDIRECT("Table!A" &amp; $X8):INDIRECT("Table!" &amp; $AA$171 &amp; $X8),0)))))</f>
        <v>0.82151823320053674</v>
      </c>
      <c r="M8" s="33">
        <f ca="1">IF(ISERROR(MATCH(M$1,INDIRECT("Table!A"&amp;$X8):INDIRECT("Table!" &amp; $AA$171 &amp; $X8),0)),"",INDIRECT(CONCATENATE("Table!",ADDRESS($T8,MATCH(M$1,INDIRECT("Table!A" &amp; $X8):INDIRECT("Table!" &amp; $AA$171 &amp; $X8),0)))))</f>
        <v>0.49179155421615622</v>
      </c>
      <c r="N8" s="33">
        <f ca="1">IF(ISERROR(MATCH(N$1,INDIRECT("Table!A"&amp;$X8):INDIRECT("Table!" &amp; $AA$171 &amp; $X8),0)),"",INDIRECT(CONCATENATE("Table!",ADDRESS($T8,MATCH(N$1,INDIRECT("Table!A" &amp; $X8):INDIRECT("Table!" &amp; $AA$171 &amp; $X8),0)))))</f>
        <v>0.607152743444346</v>
      </c>
      <c r="O8" s="33">
        <f ca="1">IF(ISERROR(MATCH(O$1,INDIRECT("Table!A"&amp;$X8):INDIRECT("Table!" &amp; $AA$171 &amp; $X8),0)),"",INDIRECT(CONCATENATE("Table!",ADDRESS($T8,MATCH(O$1,INDIRECT("Table!A" &amp; $X8):INDIRECT("Table!" &amp; $AA$171 &amp; $X8),0)))))</f>
        <v>0.87552434317924632</v>
      </c>
      <c r="P8" s="33">
        <f ca="1">IF(ISERROR(MATCH(P$1,INDIRECT("Table!A"&amp;$X8):INDIRECT("Table!" &amp; $AA$171 &amp; $X8),0)),"",INDIRECT(CONCATENATE("Table!",ADDRESS($T8,MATCH(P$1,INDIRECT("Table!A" &amp; $X8):INDIRECT("Table!" &amp; $AA$171 &amp; $X8),0)))))</f>
        <v>0.12686442675563453</v>
      </c>
      <c r="T8" s="31">
        <f>MATCH($A8,Table!$A:$A,0)+$V$2-1</f>
        <v>96</v>
      </c>
      <c r="U8" s="372"/>
      <c r="V8" s="372"/>
      <c r="W8" s="372"/>
      <c r="X8" s="31">
        <f>MATCH($A8,Table!$A:$A,0)+$Z$2-1</f>
        <v>93</v>
      </c>
      <c r="Y8" s="372"/>
      <c r="AA8" t="s">
        <v>209</v>
      </c>
    </row>
    <row r="9" spans="1:27" ht="15.75" customHeight="1">
      <c r="A9" s="5">
        <v>41374</v>
      </c>
      <c r="B9" s="33">
        <f ca="1">IF(ISERROR(MATCH(B$1,INDIRECT("Table!A"&amp;$X9):INDIRECT("Table!" &amp; $AA$171 &amp; $X9),0)),"",INDIRECT(CONCATENATE("Table!",ADDRESS($T9,MATCH(B$1,INDIRECT("Table!A" &amp; $X9):INDIRECT("Table!" &amp; $AA$171 &amp; $X9),0)))))</f>
        <v>0.27254481066613107</v>
      </c>
      <c r="C9" s="33">
        <f ca="1">IF(ISERROR(MATCH(C$1,INDIRECT("Table!A"&amp;$X9):INDIRECT("Table!" &amp; $AA$171 &amp; $X9),0)),"",INDIRECT(CONCATENATE("Table!",ADDRESS($T9,MATCH(C$1,INDIRECT("Table!A" &amp; $X9):INDIRECT("Table!" &amp; $AA$171 &amp; $X9),0)))))</f>
        <v>0.51547810927490678</v>
      </c>
      <c r="D9" s="33">
        <f ca="1">IF(ISERROR(MATCH(D$1,INDIRECT("Table!A"&amp;$X9):INDIRECT("Table!" &amp; $AA$171 &amp; $X9),0)),"",INDIRECT(CONCATENATE("Table!",ADDRESS($T9,MATCH(D$1,INDIRECT("Table!A" &amp; $X9):INDIRECT("Table!" &amp; $AA$171 &amp; $X9),0)))))</f>
        <v>0.52485254039775231</v>
      </c>
      <c r="E9" s="33">
        <f ca="1">IF(ISERROR(MATCH(E$1,INDIRECT("Table!A"&amp;$X9):INDIRECT("Table!" &amp; $AA$171 &amp; $X9),0)),"",INDIRECT(CONCATENATE("Table!",ADDRESS($T9,MATCH(E$1,INDIRECT("Table!A" &amp; $X9):INDIRECT("Table!" &amp; $AA$171 &amp; $X9),0)))))</f>
        <v>0.86976106304581713</v>
      </c>
      <c r="F9" s="33">
        <f ca="1">IF(ISERROR(MATCH(F$1,INDIRECT("Table!A"&amp;$X9):INDIRECT("Table!" &amp; $AA$171 &amp; $X9),0)),"",INDIRECT(CONCATENATE("Table!",ADDRESS($T9,MATCH(F$1,INDIRECT("Table!A" &amp; $X9):INDIRECT("Table!" &amp; $AA$171 &amp; $X9),0)))))</f>
        <v>0.56729091431075385</v>
      </c>
      <c r="G9" s="33">
        <f ca="1">IF(ISERROR(MATCH(G$1,INDIRECT("Table!A"&amp;$X9):INDIRECT("Table!" &amp; $AA$171 &amp; $X9),0)),"",INDIRECT(CONCATENATE("Table!",ADDRESS($T9,MATCH(G$1,INDIRECT("Table!A" &amp; $X9):INDIRECT("Table!" &amp; $AA$171 &amp; $X9),0)))))</f>
        <v>0.38039233493778946</v>
      </c>
      <c r="H9" s="33">
        <f ca="1">IF(ISERROR(MATCH(H$1,INDIRECT("Table!A"&amp;$X9):INDIRECT("Table!" &amp; $AA$171 &amp; $X9),0)),"",INDIRECT(CONCATENATE("Table!",ADDRESS($T9,MATCH(H$1,INDIRECT("Table!A" &amp; $X9):INDIRECT("Table!" &amp; $AA$171 &amp; $X9),0)))))</f>
        <v>0.62978543135435228</v>
      </c>
      <c r="I9" s="33">
        <f ca="1">IF(ISERROR(MATCH(I$1,INDIRECT("Table!A"&amp;$X9):INDIRECT("Table!" &amp; $AA$171 &amp; $X9),0)),"",INDIRECT(CONCATENATE("Table!",ADDRESS($T9,MATCH(I$1,INDIRECT("Table!A" &amp; $X9):INDIRECT("Table!" &amp; $AA$171 &amp; $X9),0)))))</f>
        <v>7.8026636897504123E-2</v>
      </c>
      <c r="J9" s="33" t="str">
        <f ca="1">IF(ISERROR(MATCH(J$1,INDIRECT("Table!A"&amp;$X9):INDIRECT("Table!" &amp; $AA$171 &amp; $X9),0)),"",INDIRECT(CONCATENATE("Table!",ADDRESS($T9,MATCH(J$1,INDIRECT("Table!A" &amp; $X9):INDIRECT("Table!" &amp; $AA$171 &amp; $X9),0)))))</f>
        <v/>
      </c>
      <c r="K9" s="33" t="str">
        <f ca="1">IF(ISERROR(MATCH(K$1,INDIRECT("Table!A"&amp;$X9):INDIRECT("Table!" &amp; $AA$171 &amp; $X9),0)),"",INDIRECT(CONCATENATE("Table!",ADDRESS($T9,MATCH(K$1,INDIRECT("Table!A" &amp; $X9):INDIRECT("Table!" &amp; $AA$171 &amp; $X9),0)))))</f>
        <v/>
      </c>
      <c r="L9" s="33">
        <f ca="1">IF(ISERROR(MATCH(L$1,INDIRECT("Table!A"&amp;$X9):INDIRECT("Table!" &amp; $AA$171 &amp; $X9),0)),"",INDIRECT(CONCATENATE("Table!",ADDRESS($T9,MATCH(L$1,INDIRECT("Table!A" &amp; $X9):INDIRECT("Table!" &amp; $AA$171 &amp; $X9),0)))))</f>
        <v>0.81258684018297966</v>
      </c>
      <c r="M9" s="33">
        <f ca="1">IF(ISERROR(MATCH(M$1,INDIRECT("Table!A"&amp;$X9):INDIRECT("Table!" &amp; $AA$171 &amp; $X9),0)),"",INDIRECT(CONCATENATE("Table!",ADDRESS($T9,MATCH(M$1,INDIRECT("Table!A" &amp; $X9):INDIRECT("Table!" &amp; $AA$171 &amp; $X9),0)))))</f>
        <v>0.42306871451470568</v>
      </c>
      <c r="N9" s="33">
        <f ca="1">IF(ISERROR(MATCH(N$1,INDIRECT("Table!A"&amp;$X9):INDIRECT("Table!" &amp; $AA$171 &amp; $X9),0)),"",INDIRECT(CONCATENATE("Table!",ADDRESS($T9,MATCH(N$1,INDIRECT("Table!A" &amp; $X9):INDIRECT("Table!" &amp; $AA$171 &amp; $X9),0)))))</f>
        <v>0.58787713218166415</v>
      </c>
      <c r="O9" s="33">
        <f ca="1">IF(ISERROR(MATCH(O$1,INDIRECT("Table!A"&amp;$X9):INDIRECT("Table!" &amp; $AA$171 &amp; $X9),0)),"",INDIRECT(CONCATENATE("Table!",ADDRESS($T9,MATCH(O$1,INDIRECT("Table!A" &amp; $X9):INDIRECT("Table!" &amp; $AA$171 &amp; $X9),0)))))</f>
        <v>0.78343826335385836</v>
      </c>
      <c r="P9" s="33">
        <f ca="1">IF(ISERROR(MATCH(P$1,INDIRECT("Table!A"&amp;$X9):INDIRECT("Table!" &amp; $AA$171 &amp; $X9),0)),"",INDIRECT(CONCATENATE("Table!",ADDRESS($T9,MATCH(P$1,INDIRECT("Table!A" &amp; $X9):INDIRECT("Table!" &amp; $AA$171 &amp; $X9),0)))))</f>
        <v>0.12576743848706279</v>
      </c>
      <c r="T9" s="31">
        <f>MATCH($A9,Table!$A:$A,0)+$V$2-1</f>
        <v>114</v>
      </c>
      <c r="U9" s="372"/>
      <c r="V9" s="372"/>
      <c r="W9" s="372"/>
      <c r="X9" s="31">
        <f>MATCH($A9,Table!$A:$A,0)+$Z$2-1</f>
        <v>111</v>
      </c>
      <c r="Y9" s="372"/>
      <c r="AA9" t="s">
        <v>209</v>
      </c>
    </row>
    <row r="10" spans="1:27" ht="15.75" customHeight="1">
      <c r="A10" s="5">
        <v>41361</v>
      </c>
      <c r="B10" s="33">
        <f ca="1">IF(ISERROR(MATCH(B$1,INDIRECT("Table!A"&amp;$X10):INDIRECT("Table!" &amp; $AA$171 &amp; $X10),0)),"",INDIRECT(CONCATENATE("Table!",ADDRESS($T10,MATCH(B$1,INDIRECT("Table!A" &amp; $X10):INDIRECT("Table!" &amp; $AA$171 &amp; $X10),0)))))</f>
        <v>0.32784070542191274</v>
      </c>
      <c r="C10" s="33">
        <f ca="1">IF(ISERROR(MATCH(C$1,INDIRECT("Table!A"&amp;$X10):INDIRECT("Table!" &amp; $AA$171 &amp; $X10),0)),"",INDIRECT(CONCATENATE("Table!",ADDRESS($T10,MATCH(C$1,INDIRECT("Table!A" &amp; $X10):INDIRECT("Table!" &amp; $AA$171 &amp; $X10),0)))))</f>
        <v>0.51455328942210721</v>
      </c>
      <c r="D10" s="33">
        <f ca="1">IF(ISERROR(MATCH(D$1,INDIRECT("Table!A"&amp;$X10):INDIRECT("Table!" &amp; $AA$171 &amp; $X10),0)),"",INDIRECT(CONCATENATE("Table!",ADDRESS($T10,MATCH(D$1,INDIRECT("Table!A" &amp; $X10):INDIRECT("Table!" &amp; $AA$171 &amp; $X10),0)))))</f>
        <v>0.52393303560157811</v>
      </c>
      <c r="E10" s="33">
        <f ca="1">IF(ISERROR(MATCH(E$1,INDIRECT("Table!A"&amp;$X10):INDIRECT("Table!" &amp; $AA$171 &amp; $X10),0)),"",INDIRECT(CONCATENATE("Table!",ADDRESS($T10,MATCH(E$1,INDIRECT("Table!A" &amp; $X10):INDIRECT("Table!" &amp; $AA$171 &amp; $X10),0)))))</f>
        <v>0.86513738078152602</v>
      </c>
      <c r="F10" s="33">
        <f ca="1">IF(ISERROR(MATCH(F$1,INDIRECT("Table!A"&amp;$X10):INDIRECT("Table!" &amp; $AA$171 &amp; $X10),0)),"",INDIRECT(CONCATENATE("Table!",ADDRESS($T10,MATCH(F$1,INDIRECT("Table!A" &amp; $X10):INDIRECT("Table!" &amp; $AA$171 &amp; $X10),0)))))</f>
        <v>0.53301279823514303</v>
      </c>
      <c r="G10" s="33">
        <f ca="1">IF(ISERROR(MATCH(G$1,INDIRECT("Table!A"&amp;$X10):INDIRECT("Table!" &amp; $AA$171 &amp; $X10),0)),"",INDIRECT(CONCATENATE("Table!",ADDRESS($T10,MATCH(G$1,INDIRECT("Table!A" &amp; $X10):INDIRECT("Table!" &amp; $AA$171 &amp; $X10),0)))))</f>
        <v>0.37043865225683409</v>
      </c>
      <c r="H10" s="33">
        <f ca="1">IF(ISERROR(MATCH(H$1,INDIRECT("Table!A"&amp;$X10):INDIRECT("Table!" &amp; $AA$171 &amp; $X10),0)),"",INDIRECT(CONCATENATE("Table!",ADDRESS($T10,MATCH(H$1,INDIRECT("Table!A" &amp; $X10):INDIRECT("Table!" &amp; $AA$171 &amp; $X10),0)))))</f>
        <v>0.56124857621827096</v>
      </c>
      <c r="I10" s="33">
        <f ca="1">IF(ISERROR(MATCH(I$1,INDIRECT("Table!A"&amp;$X10):INDIRECT("Table!" &amp; $AA$171 &amp; $X10),0)),"",INDIRECT(CONCATENATE("Table!",ADDRESS($T10,MATCH(I$1,INDIRECT("Table!A" &amp; $X10):INDIRECT("Table!" &amp; $AA$171 &amp; $X10),0)))))</f>
        <v>4.8819861041113841E-2</v>
      </c>
      <c r="J10" s="33" t="str">
        <f ca="1">IF(ISERROR(MATCH(J$1,INDIRECT("Table!A"&amp;$X10):INDIRECT("Table!" &amp; $AA$171 &amp; $X10),0)),"",INDIRECT(CONCATENATE("Table!",ADDRESS($T10,MATCH(J$1,INDIRECT("Table!A" &amp; $X10):INDIRECT("Table!" &amp; $AA$171 &amp; $X10),0)))))</f>
        <v/>
      </c>
      <c r="K10" s="33" t="str">
        <f ca="1">IF(ISERROR(MATCH(K$1,INDIRECT("Table!A"&amp;$X10):INDIRECT("Table!" &amp; $AA$171 &amp; $X10),0)),"",INDIRECT(CONCATENATE("Table!",ADDRESS($T10,MATCH(K$1,INDIRECT("Table!A" &amp; $X10):INDIRECT("Table!" &amp; $AA$171 &amp; $X10),0)))))</f>
        <v/>
      </c>
      <c r="L10" s="33">
        <f ca="1">IF(ISERROR(MATCH(L$1,INDIRECT("Table!A"&amp;$X10):INDIRECT("Table!" &amp; $AA$171 &amp; $X10),0)),"",INDIRECT(CONCATENATE("Table!",ADDRESS($T10,MATCH(L$1,INDIRECT("Table!A" &amp; $X10):INDIRECT("Table!" &amp; $AA$171 &amp; $X10),0)))))</f>
        <v>0.80695913006988662</v>
      </c>
      <c r="M10" s="33">
        <f ca="1">IF(ISERROR(MATCH(M$1,INDIRECT("Table!A"&amp;$X10):INDIRECT("Table!" &amp; $AA$171 &amp; $X10),0)),"",INDIRECT(CONCATENATE("Table!",ADDRESS($T10,MATCH(M$1,INDIRECT("Table!A" &amp; $X10):INDIRECT("Table!" &amp; $AA$171 &amp; $X10),0)))))</f>
        <v>0.49197243366870447</v>
      </c>
      <c r="N10" s="33">
        <f ca="1">IF(ISERROR(MATCH(N$1,INDIRECT("Table!A"&amp;$X10):INDIRECT("Table!" &amp; $AA$171 &amp; $X10),0)),"",INDIRECT(CONCATENATE("Table!",ADDRESS($T10,MATCH(N$1,INDIRECT("Table!A" &amp; $X10):INDIRECT("Table!" &amp; $AA$171 &amp; $X10),0)))))</f>
        <v>0.5530792504922859</v>
      </c>
      <c r="O10" s="33">
        <f ca="1">IF(ISERROR(MATCH(O$1,INDIRECT("Table!A"&amp;$X10):INDIRECT("Table!" &amp; $AA$171 &amp; $X10),0)),"",INDIRECT(CONCATENATE("Table!",ADDRESS($T10,MATCH(O$1,INDIRECT("Table!A" &amp; $X10):INDIRECT("Table!" &amp; $AA$171 &amp; $X10),0)))))</f>
        <v>0.75008371925406836</v>
      </c>
      <c r="P10" s="33">
        <f ca="1">IF(ISERROR(MATCH(P$1,INDIRECT("Table!A"&amp;$X10):INDIRECT("Table!" &amp; $AA$171 &amp; $X10),0)),"",INDIRECT(CONCATENATE("Table!",ADDRESS($T10,MATCH(P$1,INDIRECT("Table!A" &amp; $X10):INDIRECT("Table!" &amp; $AA$171 &amp; $X10),0)))))</f>
        <v>7.986437235952204E-2</v>
      </c>
      <c r="T10" s="31">
        <f>MATCH($A10,Table!$A:$A,0)+$V$2-1</f>
        <v>132</v>
      </c>
      <c r="U10" s="372"/>
      <c r="V10" s="372"/>
      <c r="W10" s="372"/>
      <c r="X10" s="31">
        <f>MATCH($A10,Table!$A:$A,0)+$Z$2-1</f>
        <v>129</v>
      </c>
      <c r="Y10" s="372"/>
      <c r="AA10" t="s">
        <v>209</v>
      </c>
    </row>
    <row r="11" spans="1:27" ht="15.75" customHeight="1">
      <c r="A11" s="5">
        <v>41355</v>
      </c>
      <c r="B11" s="33">
        <f ca="1">IF(ISERROR(MATCH(B$1,INDIRECT("Table!A"&amp;$X11):INDIRECT("Table!" &amp; $AA$171 &amp; $X11),0)),"",INDIRECT(CONCATENATE("Table!",ADDRESS($T11,MATCH(B$1,INDIRECT("Table!A" &amp; $X11):INDIRECT("Table!" &amp; $AA$171 &amp; $X11),0)))))</f>
        <v>0.26990659185088167</v>
      </c>
      <c r="C11" s="33">
        <f ca="1">IF(ISERROR(MATCH(C$1,INDIRECT("Table!A"&amp;$X11):INDIRECT("Table!" &amp; $AA$171 &amp; $X11),0)),"",INDIRECT(CONCATENATE("Table!",ADDRESS($T11,MATCH(C$1,INDIRECT("Table!A" &amp; $X11):INDIRECT("Table!" &amp; $AA$171 &amp; $X11),0)))))</f>
        <v>0.51455328942210721</v>
      </c>
      <c r="D11" s="33">
        <f ca="1">IF(ISERROR(MATCH(D$1,INDIRECT("Table!A"&amp;$X11):INDIRECT("Table!" &amp; $AA$171 &amp; $X11),0)),"",INDIRECT(CONCATENATE("Table!",ADDRESS($T11,MATCH(D$1,INDIRECT("Table!A" &amp; $X11):INDIRECT("Table!" &amp; $AA$171 &amp; $X11),0)))))</f>
        <v>0.52393303560157811</v>
      </c>
      <c r="E11" s="33">
        <f ca="1">IF(ISERROR(MATCH(E$1,INDIRECT("Table!A"&amp;$X11):INDIRECT("Table!" &amp; $AA$171 &amp; $X11),0)),"",INDIRECT(CONCATENATE("Table!",ADDRESS($T11,MATCH(E$1,INDIRECT("Table!A" &amp; $X11):INDIRECT("Table!" &amp; $AA$171 &amp; $X11),0)))))</f>
        <v>0.86513738078152602</v>
      </c>
      <c r="F11" s="33">
        <f ca="1">IF(ISERROR(MATCH(F$1,INDIRECT("Table!A"&amp;$X11):INDIRECT("Table!" &amp; $AA$171 &amp; $X11),0)),"",INDIRECT(CONCATENATE("Table!",ADDRESS($T11,MATCH(F$1,INDIRECT("Table!A" &amp; $X11):INDIRECT("Table!" &amp; $AA$171 &amp; $X11),0)))))</f>
        <v>0.53301279823514303</v>
      </c>
      <c r="G11" s="33">
        <f ca="1">IF(ISERROR(MATCH(G$1,INDIRECT("Table!A"&amp;$X11):INDIRECT("Table!" &amp; $AA$171 &amp; $X11),0)),"",INDIRECT(CONCATENATE("Table!",ADDRESS($T11,MATCH(G$1,INDIRECT("Table!A" &amp; $X11):INDIRECT("Table!" &amp; $AA$171 &amp; $X11),0)))))</f>
        <v>0.34652014652014651</v>
      </c>
      <c r="H11" s="33">
        <f ca="1">IF(ISERROR(MATCH(H$1,INDIRECT("Table!A"&amp;$X11):INDIRECT("Table!" &amp; $AA$171 &amp; $X11),0)),"",INDIRECT(CONCATENATE("Table!",ADDRESS($T11,MATCH(H$1,INDIRECT("Table!A" &amp; $X11):INDIRECT("Table!" &amp; $AA$171 &amp; $X11),0)))))</f>
        <v>0.56124857621827096</v>
      </c>
      <c r="I11" s="33">
        <f ca="1">IF(ISERROR(MATCH(I$1,INDIRECT("Table!A"&amp;$X11):INDIRECT("Table!" &amp; $AA$171 &amp; $X11),0)),"",INDIRECT(CONCATENATE("Table!",ADDRESS($T11,MATCH(I$1,INDIRECT("Table!A" &amp; $X11):INDIRECT("Table!" &amp; $AA$171 &amp; $X11),0)))))</f>
        <v>4.8819861041113841E-2</v>
      </c>
      <c r="J11" s="33" t="str">
        <f ca="1">IF(ISERROR(MATCH(J$1,INDIRECT("Table!A"&amp;$X11):INDIRECT("Table!" &amp; $AA$171 &amp; $X11),0)),"",INDIRECT(CONCATENATE("Table!",ADDRESS($T11,MATCH(J$1,INDIRECT("Table!A" &amp; $X11):INDIRECT("Table!" &amp; $AA$171 &amp; $X11),0)))))</f>
        <v/>
      </c>
      <c r="K11" s="33" t="str">
        <f ca="1">IF(ISERROR(MATCH(K$1,INDIRECT("Table!A"&amp;$X11):INDIRECT("Table!" &amp; $AA$171 &amp; $X11),0)),"",INDIRECT(CONCATENATE("Table!",ADDRESS($T11,MATCH(K$1,INDIRECT("Table!A" &amp; $X11):INDIRECT("Table!" &amp; $AA$171 &amp; $X11),0)))))</f>
        <v/>
      </c>
      <c r="L11" s="33">
        <f ca="1">IF(ISERROR(MATCH(L$1,INDIRECT("Table!A"&amp;$X11):INDIRECT("Table!" &amp; $AA$171 &amp; $X11),0)),"",INDIRECT(CONCATENATE("Table!",ADDRESS($T11,MATCH(L$1,INDIRECT("Table!A" &amp; $X11):INDIRECT("Table!" &amp; $AA$171 &amp; $X11),0)))))</f>
        <v>0.80695913006988662</v>
      </c>
      <c r="M11" s="33">
        <f ca="1">IF(ISERROR(MATCH(M$1,INDIRECT("Table!A"&amp;$X11):INDIRECT("Table!" &amp; $AA$171 &amp; $X11),0)),"",INDIRECT(CONCATENATE("Table!",ADDRESS($T11,MATCH(M$1,INDIRECT("Table!A" &amp; $X11):INDIRECT("Table!" &amp; $AA$171 &amp; $X11),0)))))</f>
        <v>0.42537473833024797</v>
      </c>
      <c r="N11" s="33">
        <f ca="1">IF(ISERROR(MATCH(N$1,INDIRECT("Table!A"&amp;$X11):INDIRECT("Table!" &amp; $AA$171 &amp; $X11),0)),"",INDIRECT(CONCATENATE("Table!",ADDRESS($T11,MATCH(N$1,INDIRECT("Table!A" &amp; $X11):INDIRECT("Table!" &amp; $AA$171 &amp; $X11),0)))))</f>
        <v>0.5530792504922859</v>
      </c>
      <c r="O11" s="33">
        <f ca="1">IF(ISERROR(MATCH(O$1,INDIRECT("Table!A"&amp;$X11):INDIRECT("Table!" &amp; $AA$171 &amp; $X11),0)),"",INDIRECT(CONCATENATE("Table!",ADDRESS($T11,MATCH(O$1,INDIRECT("Table!A" &amp; $X11):INDIRECT("Table!" &amp; $AA$171 &amp; $X11),0)))))</f>
        <v>0.75008371925406836</v>
      </c>
      <c r="P11" s="33">
        <f ca="1">IF(ISERROR(MATCH(P$1,INDIRECT("Table!A"&amp;$X11):INDIRECT("Table!" &amp; $AA$171 &amp; $X11),0)),"",INDIRECT(CONCATENATE("Table!",ADDRESS($T11,MATCH(P$1,INDIRECT("Table!A" &amp; $X11):INDIRECT("Table!" &amp; $AA$171 &amp; $X11),0)))))</f>
        <v>7.986437235952204E-2</v>
      </c>
      <c r="T11" s="31">
        <f>MATCH($A11,Table!$A:$A,0)+$V$2-1</f>
        <v>150</v>
      </c>
      <c r="U11" s="372"/>
      <c r="V11" s="372"/>
      <c r="W11" s="372"/>
      <c r="X11" s="31">
        <f>MATCH($A11,Table!$A:$A,0)+$Z$2-1</f>
        <v>147</v>
      </c>
      <c r="Y11" s="372"/>
      <c r="AA11" t="s">
        <v>209</v>
      </c>
    </row>
    <row r="12" spans="1:27" ht="15.75" customHeight="1">
      <c r="A12" s="5">
        <v>41351</v>
      </c>
      <c r="B12" s="33">
        <f ca="1">IF(ISERROR(MATCH(B$1,INDIRECT("Table!A"&amp;$X12):INDIRECT("Table!" &amp; $AA$171 &amp; $X12),0)),"",INDIRECT(CONCATENATE("Table!",ADDRESS($T12,MATCH(B$1,INDIRECT("Table!A" &amp; $X12):INDIRECT("Table!" &amp; $AA$171 &amp; $X12),0)))))</f>
        <v>0.27657292377130693</v>
      </c>
      <c r="C12" s="33">
        <f ca="1">IF(ISERROR(MATCH(C$1,INDIRECT("Table!A"&amp;$X12):INDIRECT("Table!" &amp; $AA$171 &amp; $X12),0)),"",INDIRECT(CONCATENATE("Table!",ADDRESS($T12,MATCH(C$1,INDIRECT("Table!A" &amp; $X12):INDIRECT("Table!" &amp; $AA$171 &amp; $X12),0)))))</f>
        <v>0.51431809816643836</v>
      </c>
      <c r="D12" s="33">
        <f ca="1">IF(ISERROR(MATCH(D$1,INDIRECT("Table!A"&amp;$X12):INDIRECT("Table!" &amp; $AA$171 &amp; $X12),0)),"",INDIRECT(CONCATENATE("Table!",ADDRESS($T12,MATCH(D$1,INDIRECT("Table!A" &amp; $X12):INDIRECT("Table!" &amp; $AA$171 &amp; $X12),0)))))</f>
        <v>0.5236985087279874</v>
      </c>
      <c r="E12" s="33">
        <f ca="1">IF(ISERROR(MATCH(E$1,INDIRECT("Table!A"&amp;$X12):INDIRECT("Table!" &amp; $AA$171 &amp; $X12),0)),"",INDIRECT(CONCATENATE("Table!",ADDRESS($T12,MATCH(E$1,INDIRECT("Table!A" &amp; $X12):INDIRECT("Table!" &amp; $AA$171 &amp; $X12),0)))))</f>
        <v>0.86085491143299542</v>
      </c>
      <c r="F12" s="33">
        <f ca="1">IF(ISERROR(MATCH(F$1,INDIRECT("Table!A"&amp;$X12):INDIRECT("Table!" &amp; $AA$171 &amp; $X12),0)),"",INDIRECT(CONCATENATE("Table!",ADDRESS($T12,MATCH(F$1,INDIRECT("Table!A" &amp; $X12):INDIRECT("Table!" &amp; $AA$171 &amp; $X12),0)))))</f>
        <v>0.53057886704643331</v>
      </c>
      <c r="G12" s="33">
        <f ca="1">IF(ISERROR(MATCH(G$1,INDIRECT("Table!A"&amp;$X12):INDIRECT("Table!" &amp; $AA$171 &amp; $X12),0)),"",INDIRECT(CONCATENATE("Table!",ADDRESS($T12,MATCH(G$1,INDIRECT("Table!A" &amp; $X12):INDIRECT("Table!" &amp; $AA$171 &amp; $X12),0)))))</f>
        <v>0.35431992250174066</v>
      </c>
      <c r="H12" s="33">
        <f ca="1">IF(ISERROR(MATCH(H$1,INDIRECT("Table!A"&amp;$X12):INDIRECT("Table!" &amp; $AA$171 &amp; $X12),0)),"",INDIRECT(CONCATENATE("Table!",ADDRESS($T12,MATCH(H$1,INDIRECT("Table!A" &amp; $X12):INDIRECT("Table!" &amp; $AA$171 &amp; $X12),0)))))</f>
        <v>0.56082082355985807</v>
      </c>
      <c r="I12" s="33">
        <f ca="1">IF(ISERROR(MATCH(I$1,INDIRECT("Table!A"&amp;$X12):INDIRECT("Table!" &amp; $AA$171 &amp; $X12),0)),"",INDIRECT(CONCATENATE("Table!",ADDRESS($T12,MATCH(I$1,INDIRECT("Table!A" &amp; $X12):INDIRECT("Table!" &amp; $AA$171 &amp; $X12),0)))))</f>
        <v>4.8787948306186435E-2</v>
      </c>
      <c r="J12" s="33" t="str">
        <f ca="1">IF(ISERROR(MATCH(J$1,INDIRECT("Table!A"&amp;$X12):INDIRECT("Table!" &amp; $AA$171 &amp; $X12),0)),"",INDIRECT(CONCATENATE("Table!",ADDRESS($T12,MATCH(J$1,INDIRECT("Table!A" &amp; $X12):INDIRECT("Table!" &amp; $AA$171 &amp; $X12),0)))))</f>
        <v/>
      </c>
      <c r="K12" s="33" t="str">
        <f ca="1">IF(ISERROR(MATCH(K$1,INDIRECT("Table!A"&amp;$X12):INDIRECT("Table!" &amp; $AA$171 &amp; $X12),0)),"",INDIRECT(CONCATENATE("Table!",ADDRESS($T12,MATCH(K$1,INDIRECT("Table!A" &amp; $X12):INDIRECT("Table!" &amp; $AA$171 &amp; $X12),0)))))</f>
        <v/>
      </c>
      <c r="L12" s="33">
        <f ca="1">IF(ISERROR(MATCH(L$1,INDIRECT("Table!A"&amp;$X12):INDIRECT("Table!" &amp; $AA$171 &amp; $X12),0)),"",INDIRECT(CONCATENATE("Table!",ADDRESS($T12,MATCH(L$1,INDIRECT("Table!A" &amp; $X12):INDIRECT("Table!" &amp; $AA$171 &amp; $X12),0)))))</f>
        <v>0.80660322131100837</v>
      </c>
      <c r="M12" s="33">
        <f ca="1">IF(ISERROR(MATCH(M$1,INDIRECT("Table!A"&amp;$X12):INDIRECT("Table!" &amp; $AA$171 &amp; $X12),0)),"",INDIRECT(CONCATENATE("Table!",ADDRESS($T12,MATCH(M$1,INDIRECT("Table!A" &amp; $X12):INDIRECT("Table!" &amp; $AA$171 &amp; $X12),0)))))</f>
        <v>0.44094929169422742</v>
      </c>
      <c r="N12" s="33">
        <f ca="1">IF(ISERROR(MATCH(N$1,INDIRECT("Table!A"&amp;$X12):INDIRECT("Table!" &amp; $AA$171 &amp; $X12),0)),"",INDIRECT(CONCATENATE("Table!",ADDRESS($T12,MATCH(N$1,INDIRECT("Table!A" &amp; $X12):INDIRECT("Table!" &amp; $AA$171 &amp; $X12),0)))))</f>
        <v>0.54108064787135401</v>
      </c>
      <c r="O12" s="33">
        <f ca="1">IF(ISERROR(MATCH(O$1,INDIRECT("Table!A"&amp;$X12):INDIRECT("Table!" &amp; $AA$171 &amp; $X12),0)),"",INDIRECT(CONCATENATE("Table!",ADDRESS($T12,MATCH(O$1,INDIRECT("Table!A" &amp; $X12):INDIRECT("Table!" &amp; $AA$171 &amp; $X12),0)))))</f>
        <v>0.74945759556035796</v>
      </c>
      <c r="P12" s="33">
        <f ca="1">IF(ISERROR(MATCH(P$1,INDIRECT("Table!A"&amp;$X12):INDIRECT("Table!" &amp; $AA$171 &amp; $X12),0)),"",INDIRECT(CONCATENATE("Table!",ADDRESS($T12,MATCH(P$1,INDIRECT("Table!A" &amp; $X12):INDIRECT("Table!" &amp; $AA$171 &amp; $X12),0)))))</f>
        <v>7.8506282750992723E-2</v>
      </c>
      <c r="T12" s="31">
        <f>MATCH($A12,Table!$A:$A,0)+$V$2-1</f>
        <v>168</v>
      </c>
      <c r="U12" s="372"/>
      <c r="V12" s="372"/>
      <c r="W12" s="372"/>
      <c r="X12" s="31">
        <f>MATCH($A12,Table!$A:$A,0)+$Z$2-1</f>
        <v>165</v>
      </c>
      <c r="Y12" s="372"/>
      <c r="AA12" t="s">
        <v>209</v>
      </c>
    </row>
    <row r="13" spans="1:27" ht="15.75" customHeight="1">
      <c r="A13" s="5">
        <v>41345</v>
      </c>
      <c r="B13" s="33">
        <f ca="1">IF(ISERROR(MATCH(B$1,INDIRECT("Table!A"&amp;$X13):INDIRECT("Table!" &amp; $AA$171 &amp; $X13),0)),"",INDIRECT(CONCATENATE("Table!",ADDRESS($T13,MATCH(B$1,INDIRECT("Table!A" &amp; $X13):INDIRECT("Table!" &amp; $AA$171 &amp; $X13),0)))))</f>
        <v>0.29319098249416636</v>
      </c>
      <c r="C13" s="33">
        <f ca="1">IF(ISERROR(MATCH(C$1,INDIRECT("Table!A"&amp;$X13):INDIRECT("Table!" &amp; $AA$171 &amp; $X13),0)),"",INDIRECT(CONCATENATE("Table!",ADDRESS($T13,MATCH(C$1,INDIRECT("Table!A" &amp; $X13):INDIRECT("Table!" &amp; $AA$171 &amp; $X13),0)))))</f>
        <v>0.51296142996283456</v>
      </c>
      <c r="D13" s="33">
        <f ca="1">IF(ISERROR(MATCH(D$1,INDIRECT("Table!A"&amp;$X13):INDIRECT("Table!" &amp; $AA$171 &amp; $X13),0)),"",INDIRECT(CONCATENATE("Table!",ADDRESS($T13,MATCH(D$1,INDIRECT("Table!A" &amp; $X13):INDIRECT("Table!" &amp; $AA$171 &amp; $X13),0)))))</f>
        <v>0.52229599816099048</v>
      </c>
      <c r="E13" s="33">
        <f ca="1">IF(ISERROR(MATCH(E$1,INDIRECT("Table!A"&amp;$X13):INDIRECT("Table!" &amp; $AA$171 &amp; $X13),0)),"",INDIRECT(CONCATENATE("Table!",ADDRESS($T13,MATCH(E$1,INDIRECT("Table!A" &amp; $X13):INDIRECT("Table!" &amp; $AA$171 &amp; $X13),0)))))</f>
        <v>0.85957797292055182</v>
      </c>
      <c r="F13" s="33">
        <f ca="1">IF(ISERROR(MATCH(F$1,INDIRECT("Table!A"&amp;$X13):INDIRECT("Table!" &amp; $AA$171 &amp; $X13),0)),"",INDIRECT(CONCATENATE("Table!",ADDRESS($T13,MATCH(F$1,INDIRECT("Table!A" &amp; $X13):INDIRECT("Table!" &amp; $AA$171 &amp; $X13),0)))))</f>
        <v>0.51726447167616085</v>
      </c>
      <c r="G13" s="33">
        <f ca="1">IF(ISERROR(MATCH(G$1,INDIRECT("Table!A"&amp;$X13):INDIRECT("Table!" &amp; $AA$171 &amp; $X13),0)),"",INDIRECT(CONCATENATE("Table!",ADDRESS($T13,MATCH(G$1,INDIRECT("Table!A" &amp; $X13):INDIRECT("Table!" &amp; $AA$171 &amp; $X13),0)))))</f>
        <v>0.35446825901371354</v>
      </c>
      <c r="H13" s="33">
        <f ca="1">IF(ISERROR(MATCH(H$1,INDIRECT("Table!A"&amp;$X13):INDIRECT("Table!" &amp; $AA$171 &amp; $X13),0)),"",INDIRECT(CONCATENATE("Table!",ADDRESS($T13,MATCH(H$1,INDIRECT("Table!A" &amp; $X13):INDIRECT("Table!" &amp; $AA$171 &amp; $X13),0)))))</f>
        <v>0.5582600769130599</v>
      </c>
      <c r="I13" s="33">
        <f ca="1">IF(ISERROR(MATCH(I$1,INDIRECT("Table!A"&amp;$X13):INDIRECT("Table!" &amp; $AA$171 &amp; $X13),0)),"",INDIRECT(CONCATENATE("Table!",ADDRESS($T13,MATCH(I$1,INDIRECT("Table!A" &amp; $X13):INDIRECT("Table!" &amp; $AA$171 &amp; $X13),0)))))</f>
        <v>4.5894125588052358E-2</v>
      </c>
      <c r="J13" s="33" t="str">
        <f ca="1">IF(ISERROR(MATCH(J$1,INDIRECT("Table!A"&amp;$X13):INDIRECT("Table!" &amp; $AA$171 &amp; $X13),0)),"",INDIRECT(CONCATENATE("Table!",ADDRESS($T13,MATCH(J$1,INDIRECT("Table!A" &amp; $X13):INDIRECT("Table!" &amp; $AA$171 &amp; $X13),0)))))</f>
        <v/>
      </c>
      <c r="K13" s="33" t="str">
        <f ca="1">IF(ISERROR(MATCH(K$1,INDIRECT("Table!A"&amp;$X13):INDIRECT("Table!" &amp; $AA$171 &amp; $X13),0)),"",INDIRECT(CONCATENATE("Table!",ADDRESS($T13,MATCH(K$1,INDIRECT("Table!A" &amp; $X13):INDIRECT("Table!" &amp; $AA$171 &amp; $X13),0)))))</f>
        <v/>
      </c>
      <c r="L13" s="33">
        <f ca="1">IF(ISERROR(MATCH(L$1,INDIRECT("Table!A"&amp;$X13):INDIRECT("Table!" &amp; $AA$171 &amp; $X13),0)),"",INDIRECT(CONCATENATE("Table!",ADDRESS($T13,MATCH(L$1,INDIRECT("Table!A" &amp; $X13):INDIRECT("Table!" &amp; $AA$171 &amp; $X13),0)))))</f>
        <v>0.80452475560413828</v>
      </c>
      <c r="M13" s="33">
        <f ca="1">IF(ISERROR(MATCH(M$1,INDIRECT("Table!A"&amp;$X13):INDIRECT("Table!" &amp; $AA$171 &amp; $X13),0)),"",INDIRECT(CONCATENATE("Table!",ADDRESS($T13,MATCH(M$1,INDIRECT("Table!A" &amp; $X13):INDIRECT("Table!" &amp; $AA$171 &amp; $X13),0)))))</f>
        <v>0.41286302657489993</v>
      </c>
      <c r="N13" s="33">
        <f ca="1">IF(ISERROR(MATCH(N$1,INDIRECT("Table!A"&amp;$X13):INDIRECT("Table!" &amp; $AA$171 &amp; $X13),0)),"",INDIRECT(CONCATENATE("Table!",ADDRESS($T13,MATCH(N$1,INDIRECT("Table!A" &amp; $X13):INDIRECT("Table!" &amp; $AA$171 &amp; $X13),0)))))</f>
        <v>0.53708917236719156</v>
      </c>
      <c r="O13" s="33">
        <f ca="1">IF(ISERROR(MATCH(O$1,INDIRECT("Table!A"&amp;$X13):INDIRECT("Table!" &amp; $AA$171 &amp; $X13),0)),"",INDIRECT(CONCATENATE("Table!",ADDRESS($T13,MATCH(O$1,INDIRECT("Table!A" &amp; $X13):INDIRECT("Table!" &amp; $AA$171 &amp; $X13),0)))))</f>
        <v>0.748365137206083</v>
      </c>
      <c r="P13" s="33">
        <f ca="1">IF(ISERROR(MATCH(P$1,INDIRECT("Table!A"&amp;$X13):INDIRECT("Table!" &amp; $AA$171 &amp; $X13),0)),"",INDIRECT(CONCATENATE("Table!",ADDRESS($T13,MATCH(P$1,INDIRECT("Table!A" &amp; $X13):INDIRECT("Table!" &amp; $AA$171 &amp; $X13),0)))))</f>
        <v>7.8321335968522782E-2</v>
      </c>
      <c r="T13" s="31">
        <f>MATCH($A13,Table!$A:$A,0)+$V$2-1</f>
        <v>186</v>
      </c>
      <c r="U13" s="372"/>
      <c r="V13" s="372"/>
      <c r="W13" s="372"/>
      <c r="X13" s="31">
        <f>MATCH($A13,Table!$A:$A,0)+$Z$2-1</f>
        <v>183</v>
      </c>
      <c r="Y13" s="372"/>
      <c r="AA13" t="s">
        <v>209</v>
      </c>
    </row>
    <row r="14" spans="1:27" ht="15.75" customHeight="1">
      <c r="A14" s="5">
        <v>41289</v>
      </c>
      <c r="B14" s="33">
        <f ca="1">IF(ISERROR(MATCH(B$1,INDIRECT("Table!A"&amp;$X14):INDIRECT("Table!" &amp; $AA$171 &amp; $X14),0)),"",INDIRECT(CONCATENATE("Table!",ADDRESS($T14,MATCH(B$1,INDIRECT("Table!A" &amp; $X14):INDIRECT("Table!" &amp; $AA$171 &amp; $X14),0)))))</f>
        <v>0.30244741345763576</v>
      </c>
      <c r="C14" s="33">
        <f ca="1">IF(ISERROR(MATCH(C$1,INDIRECT("Table!A"&amp;$X14):INDIRECT("Table!" &amp; $AA$171 &amp; $X14),0)),"",INDIRECT(CONCATENATE("Table!",ADDRESS($T14,MATCH(C$1,INDIRECT("Table!A" &amp; $X14):INDIRECT("Table!" &amp; $AA$171 &amp; $X14),0)))))</f>
        <v>0.50613025343518758</v>
      </c>
      <c r="D14" s="33">
        <f ca="1">IF(ISERROR(MATCH(D$1,INDIRECT("Table!A"&amp;$X14):INDIRECT("Table!" &amp; $AA$171 &amp; $X14),0)),"",INDIRECT(CONCATENATE("Table!",ADDRESS($T14,MATCH(D$1,INDIRECT("Table!A" &amp; $X14):INDIRECT("Table!" &amp; $AA$171 &amp; $X14),0)))))</f>
        <v>0.51552660916661242</v>
      </c>
      <c r="E14" s="33">
        <f ca="1">IF(ISERROR(MATCH(E$1,INDIRECT("Table!A"&amp;$X14):INDIRECT("Table!" &amp; $AA$171 &amp; $X14),0)),"",INDIRECT(CONCATENATE("Table!",ADDRESS($T14,MATCH(E$1,INDIRECT("Table!A" &amp; $X14):INDIRECT("Table!" &amp; $AA$171 &amp; $X14),0)))))</f>
        <v>0.89201957386298081</v>
      </c>
      <c r="F14" s="33">
        <f ca="1">IF(ISERROR(MATCH(F$1,INDIRECT("Table!A"&amp;$X14):INDIRECT("Table!" &amp; $AA$171 &amp; $X14),0)),"",INDIRECT(CONCATENATE("Table!",ADDRESS($T14,MATCH(F$1,INDIRECT("Table!A" &amp; $X14):INDIRECT("Table!" &amp; $AA$171 &amp; $X14),0)))))</f>
        <v>0.45706229884710114</v>
      </c>
      <c r="G14" s="33">
        <f ca="1">IF(ISERROR(MATCH(G$1,INDIRECT("Table!A"&amp;$X14):INDIRECT("Table!" &amp; $AA$171 &amp; $X14),0)),"",INDIRECT(CONCATENATE("Table!",ADDRESS($T14,MATCH(G$1,INDIRECT("Table!A" &amp; $X14):INDIRECT("Table!" &amp; $AA$171 &amp; $X14),0)))))</f>
        <v>0.26121000211909301</v>
      </c>
      <c r="H14" s="33">
        <f ca="1">IF(ISERROR(MATCH(H$1,INDIRECT("Table!A"&amp;$X14):INDIRECT("Table!" &amp; $AA$171 &amp; $X14),0)),"",INDIRECT(CONCATENATE("Table!",ADDRESS($T14,MATCH(H$1,INDIRECT("Table!A" &amp; $X14):INDIRECT("Table!" &amp; $AA$171 &amp; $X14),0)))))</f>
        <v>0.44254927397434146</v>
      </c>
      <c r="I14" s="33" t="str">
        <f ca="1">IF(ISERROR(MATCH(I$1,INDIRECT("Table!A"&amp;$X14):INDIRECT("Table!" &amp; $AA$171 &amp; $X14),0)),"",INDIRECT(CONCATENATE("Table!",ADDRESS($T14,MATCH(I$1,INDIRECT("Table!A" &amp; $X14):INDIRECT("Table!" &amp; $AA$171 &amp; $X14),0)))))</f>
        <v/>
      </c>
      <c r="J14" s="33" t="str">
        <f ca="1">IF(ISERROR(MATCH(J$1,INDIRECT("Table!A"&amp;$X14):INDIRECT("Table!" &amp; $AA$171 &amp; $X14),0)),"",INDIRECT(CONCATENATE("Table!",ADDRESS($T14,MATCH(J$1,INDIRECT("Table!A" &amp; $X14):INDIRECT("Table!" &amp; $AA$171 &amp; $X14),0)))))</f>
        <v/>
      </c>
      <c r="K14" s="33" t="str">
        <f ca="1">IF(ISERROR(MATCH(K$1,INDIRECT("Table!A"&amp;$X14):INDIRECT("Table!" &amp; $AA$171 &amp; $X14),0)),"",INDIRECT(CONCATENATE("Table!",ADDRESS($T14,MATCH(K$1,INDIRECT("Table!A" &amp; $X14):INDIRECT("Table!" &amp; $AA$171 &amp; $X14),0)))))</f>
        <v/>
      </c>
      <c r="L14" s="33">
        <f ca="1">IF(ISERROR(MATCH(L$1,INDIRECT("Table!A"&amp;$X14):INDIRECT("Table!" &amp; $AA$171 &amp; $X14),0)),"",INDIRECT(CONCATENATE("Table!",ADDRESS($T14,MATCH(L$1,INDIRECT("Table!A" &amp; $X14):INDIRECT("Table!" &amp; $AA$171 &amp; $X14),0)))))</f>
        <v>0.78172690867080763</v>
      </c>
      <c r="M14" s="33">
        <f ca="1">IF(ISERROR(MATCH(M$1,INDIRECT("Table!A"&amp;$X14):INDIRECT("Table!" &amp; $AA$171 &amp; $X14),0)),"",INDIRECT(CONCATENATE("Table!",ADDRESS($T14,MATCH(M$1,INDIRECT("Table!A" &amp; $X14):INDIRECT("Table!" &amp; $AA$171 &amp; $X14),0)))))</f>
        <v>0.31443811576587688</v>
      </c>
      <c r="N14" s="33">
        <f ca="1">IF(ISERROR(MATCH(N$1,INDIRECT("Table!A"&amp;$X14):INDIRECT("Table!" &amp; $AA$171 &amp; $X14),0)),"",INDIRECT(CONCATENATE("Table!",ADDRESS($T14,MATCH(N$1,INDIRECT("Table!A" &amp; $X14):INDIRECT("Table!" &amp; $AA$171 &amp; $X14),0)))))</f>
        <v>0.47165049083544169</v>
      </c>
      <c r="O14" s="33">
        <f ca="1">IF(ISERROR(MATCH(O$1,INDIRECT("Table!A"&amp;$X14):INDIRECT("Table!" &amp; $AA$171 &amp; $X14),0)),"",INDIRECT(CONCATENATE("Table!",ADDRESS($T14,MATCH(O$1,INDIRECT("Table!A" &amp; $X14):INDIRECT("Table!" &amp; $AA$171 &amp; $X14),0)))))</f>
        <v>0.61196989846596861</v>
      </c>
      <c r="P14" s="33" t="str">
        <f ca="1">IF(ISERROR(MATCH(P$1,INDIRECT("Table!A"&amp;$X14):INDIRECT("Table!" &amp; $AA$171 &amp; $X14),0)),"",INDIRECT(CONCATENATE("Table!",ADDRESS($T14,MATCH(P$1,INDIRECT("Table!A" &amp; $X14):INDIRECT("Table!" &amp; $AA$171 &amp; $X14),0)))))</f>
        <v/>
      </c>
      <c r="T14" s="31">
        <f>MATCH($A14,Table!$A:$A,0)+$V$2-1</f>
        <v>204</v>
      </c>
      <c r="U14" s="372"/>
      <c r="V14" s="372"/>
      <c r="W14" s="372"/>
      <c r="X14" s="31">
        <f>MATCH($A14,Table!$A:$A,0)+$Z$2-1</f>
        <v>201</v>
      </c>
      <c r="Y14" s="372"/>
      <c r="AA14" t="s">
        <v>209</v>
      </c>
    </row>
    <row r="15" spans="1:27" ht="15.75" customHeight="1">
      <c r="A15" s="5">
        <v>41242</v>
      </c>
      <c r="B15" s="33">
        <f ca="1">IF(ISERROR(MATCH(B$1,INDIRECT("Table!A"&amp;$X15):INDIRECT("Table!" &amp; $AA$171 &amp; $X15),0)),"",INDIRECT(CONCATENATE("Table!",ADDRESS($T15,MATCH(B$1,INDIRECT("Table!A" &amp; $X15):INDIRECT("Table!" &amp; $AA$171 &amp; $X15),0)))))</f>
        <v>0.31606042727568162</v>
      </c>
      <c r="C15" s="33">
        <f ca="1">IF(ISERROR(MATCH(C$1,INDIRECT("Table!A"&amp;$X15):INDIRECT("Table!" &amp; $AA$171 &amp; $X15),0)),"",INDIRECT(CONCATENATE("Table!",ADDRESS($T15,MATCH(C$1,INDIRECT("Table!A" &amp; $X15):INDIRECT("Table!" &amp; $AA$171 &amp; $X15),0)))))</f>
        <v>0.49820085333234126</v>
      </c>
      <c r="D15" s="33">
        <f ca="1">IF(ISERROR(MATCH(D$1,INDIRECT("Table!A"&amp;$X15):INDIRECT("Table!" &amp; $AA$171 &amp; $X15),0)),"",INDIRECT(CONCATENATE("Table!",ADDRESS($T15,MATCH(D$1,INDIRECT("Table!A" &amp; $X15):INDIRECT("Table!" &amp; $AA$171 &amp; $X15),0)))))</f>
        <v>0.50760783917701668</v>
      </c>
      <c r="E15" s="33">
        <f ca="1">IF(ISERROR(MATCH(E$1,INDIRECT("Table!A"&amp;$X15):INDIRECT("Table!" &amp; $AA$171 &amp; $X15),0)),"",INDIRECT(CONCATENATE("Table!",ADDRESS($T15,MATCH(E$1,INDIRECT("Table!A" &amp; $X15):INDIRECT("Table!" &amp; $AA$171 &amp; $X15),0)))))</f>
        <v>0.87756335516143613</v>
      </c>
      <c r="F15" s="33">
        <f ca="1">IF(ISERROR(MATCH(F$1,INDIRECT("Table!A"&amp;$X15):INDIRECT("Table!" &amp; $AA$171 &amp; $X15),0)),"",INDIRECT(CONCATENATE("Table!",ADDRESS($T15,MATCH(F$1,INDIRECT("Table!A" &amp; $X15):INDIRECT("Table!" &amp; $AA$171 &amp; $X15),0)))))</f>
        <v>0.38361705021078557</v>
      </c>
      <c r="G15" s="33">
        <f ca="1">IF(ISERROR(MATCH(G$1,INDIRECT("Table!A"&amp;$X15):INDIRECT("Table!" &amp; $AA$171 &amp; $X15),0)),"",INDIRECT(CONCATENATE("Table!",ADDRESS($T15,MATCH(G$1,INDIRECT("Table!A" &amp; $X15):INDIRECT("Table!" &amp; $AA$171 &amp; $X15),0)))))</f>
        <v>0.20652907698362244</v>
      </c>
      <c r="H15" s="33">
        <f ca="1">IF(ISERROR(MATCH(H$1,INDIRECT("Table!A"&amp;$X15):INDIRECT("Table!" &amp; $AA$171 &amp; $X15),0)),"",INDIRECT(CONCATENATE("Table!",ADDRESS($T15,MATCH(H$1,INDIRECT("Table!A" &amp; $X15):INDIRECT("Table!" &amp; $AA$171 &amp; $X15),0)))))</f>
        <v>0.40494412841480959</v>
      </c>
      <c r="I15" s="33" t="str">
        <f ca="1">IF(ISERROR(MATCH(I$1,INDIRECT("Table!A"&amp;$X15):INDIRECT("Table!" &amp; $AA$171 &amp; $X15),0)),"",INDIRECT(CONCATENATE("Table!",ADDRESS($T15,MATCH(I$1,INDIRECT("Table!A" &amp; $X15):INDIRECT("Table!" &amp; $AA$171 &amp; $X15),0)))))</f>
        <v/>
      </c>
      <c r="J15" s="33" t="str">
        <f ca="1">IF(ISERROR(MATCH(J$1,INDIRECT("Table!A"&amp;$X15):INDIRECT("Table!" &amp; $AA$171 &amp; $X15),0)),"",INDIRECT(CONCATENATE("Table!",ADDRESS($T15,MATCH(J$1,INDIRECT("Table!A" &amp; $X15):INDIRECT("Table!" &amp; $AA$171 &amp; $X15),0)))))</f>
        <v/>
      </c>
      <c r="K15" s="33" t="str">
        <f ca="1">IF(ISERROR(MATCH(K$1,INDIRECT("Table!A"&amp;$X15):INDIRECT("Table!" &amp; $AA$171 &amp; $X15),0)),"",INDIRECT(CONCATENATE("Table!",ADDRESS($T15,MATCH(K$1,INDIRECT("Table!A" &amp; $X15):INDIRECT("Table!" &amp; $AA$171 &amp; $X15),0)))))</f>
        <v/>
      </c>
      <c r="L15" s="33">
        <f ca="1">IF(ISERROR(MATCH(L$1,INDIRECT("Table!A"&amp;$X15):INDIRECT("Table!" &amp; $AA$171 &amp; $X15),0)),"",INDIRECT(CONCATENATE("Table!",ADDRESS($T15,MATCH(L$1,INDIRECT("Table!A" &amp; $X15):INDIRECT("Table!" &amp; $AA$171 &amp; $X15),0)))))</f>
        <v>0.76662124987696023</v>
      </c>
      <c r="M15" s="33">
        <f ca="1">IF(ISERROR(MATCH(M$1,INDIRECT("Table!A"&amp;$X15):INDIRECT("Table!" &amp; $AA$171 &amp; $X15),0)),"",INDIRECT(CONCATENATE("Table!",ADDRESS($T15,MATCH(M$1,INDIRECT("Table!A" &amp; $X15):INDIRECT("Table!" &amp; $AA$171 &amp; $X15),0)))))</f>
        <v>0.2834812407573627</v>
      </c>
      <c r="N15" s="33">
        <f ca="1">IF(ISERROR(MATCH(N$1,INDIRECT("Table!A"&amp;$X15):INDIRECT("Table!" &amp; $AA$171 &amp; $X15),0)),"",INDIRECT(CONCATENATE("Table!",ADDRESS($T15,MATCH(N$1,INDIRECT("Table!A" &amp; $X15):INDIRECT("Table!" &amp; $AA$171 &amp; $X15),0)))))</f>
        <v>0.40228077407064011</v>
      </c>
      <c r="O15" s="33">
        <f ca="1">IF(ISERROR(MATCH(O$1,INDIRECT("Table!A"&amp;$X15):INDIRECT("Table!" &amp; $AA$171 &amp; $X15),0)),"",INDIRECT(CONCATENATE("Table!",ADDRESS($T15,MATCH(O$1,INDIRECT("Table!A" &amp; $X15):INDIRECT("Table!" &amp; $AA$171 &amp; $X15),0)))))</f>
        <v>0.56417484546643948</v>
      </c>
      <c r="P15" s="33">
        <f ca="1">IF(ISERROR(MATCH(P$1,INDIRECT("Table!A"&amp;$X15):INDIRECT("Table!" &amp; $AA$171 &amp; $X15),0)),"",INDIRECT(CONCATENATE("Table!",ADDRESS($T15,MATCH(P$1,INDIRECT("Table!A" &amp; $X15):INDIRECT("Table!" &amp; $AA$171 &amp; $X15),0)))))</f>
        <v>0.37863476630068643</v>
      </c>
      <c r="T15" s="31">
        <f>MATCH($A15,Table!$A:$A,0)+$V$2-1</f>
        <v>221</v>
      </c>
      <c r="U15" s="372"/>
      <c r="V15" s="372"/>
      <c r="W15" s="372"/>
      <c r="X15" s="31">
        <f>MATCH($A15,Table!$A:$A,0)+$Z$2-1</f>
        <v>218</v>
      </c>
      <c r="Y15" s="372"/>
      <c r="AA15" t="s">
        <v>209</v>
      </c>
    </row>
    <row r="16" spans="1:27" ht="15.75" customHeight="1">
      <c r="A16" s="5">
        <v>41241</v>
      </c>
      <c r="B16" s="33">
        <f ca="1">IF(ISERROR(MATCH(B$1,INDIRECT("Table!A"&amp;$X16):INDIRECT("Table!" &amp; $AA$171 &amp; $X16),0)),"",INDIRECT(CONCATENATE("Table!",ADDRESS($T16,MATCH(B$1,INDIRECT("Table!A" &amp; $X16):INDIRECT("Table!" &amp; $AA$171 &amp; $X16),0)))))</f>
        <v>0.32554420672812046</v>
      </c>
      <c r="C16" s="33">
        <f ca="1">IF(ISERROR(MATCH(C$1,INDIRECT("Table!A"&amp;$X16):INDIRECT("Table!" &amp; $AA$171 &amp; $X16),0)),"",INDIRECT(CONCATENATE("Table!",ADDRESS($T16,MATCH(C$1,INDIRECT("Table!A" &amp; $X16):INDIRECT("Table!" &amp; $AA$171 &amp; $X16),0)))))</f>
        <v>0.49810451793100796</v>
      </c>
      <c r="D16" s="33">
        <f ca="1">IF(ISERROR(MATCH(D$1,INDIRECT("Table!A"&amp;$X16):INDIRECT("Table!" &amp; $AA$171 &amp; $X16),0)),"",INDIRECT(CONCATENATE("Table!",ADDRESS($T16,MATCH(D$1,INDIRECT("Table!A" &amp; $X16):INDIRECT("Table!" &amp; $AA$171 &amp; $X16),0)))))</f>
        <v>0.50751216815776157</v>
      </c>
      <c r="E16" s="33">
        <f ca="1">IF(ISERROR(MATCH(E$1,INDIRECT("Table!A"&amp;$X16):INDIRECT("Table!" &amp; $AA$171 &amp; $X16),0)),"",INDIRECT(CONCATENATE("Table!",ADDRESS($T16,MATCH(E$1,INDIRECT("Table!A" &amp; $X16):INDIRECT("Table!" &amp; $AA$171 &amp; $X16),0)))))</f>
        <v>0.87727873633637332</v>
      </c>
      <c r="F16" s="33">
        <f ca="1">IF(ISERROR(MATCH(F$1,INDIRECT("Table!A"&amp;$X16):INDIRECT("Table!" &amp; $AA$171 &amp; $X16),0)),"",INDIRECT(CONCATENATE("Table!",ADDRESS($T16,MATCH(F$1,INDIRECT("Table!A" &amp; $X16):INDIRECT("Table!" &amp; $AA$171 &amp; $X16),0)))))</f>
        <v>0.38307671386047354</v>
      </c>
      <c r="G16" s="33">
        <f ca="1">IF(ISERROR(MATCH(G$1,INDIRECT("Table!A"&amp;$X16):INDIRECT("Table!" &amp; $AA$171 &amp; $X16),0)),"",INDIRECT(CONCATENATE("Table!",ADDRESS($T16,MATCH(G$1,INDIRECT("Table!A" &amp; $X16):INDIRECT("Table!" &amp; $AA$171 &amp; $X16),0)))))</f>
        <v>0.21431144612962796</v>
      </c>
      <c r="H16" s="33">
        <f ca="1">IF(ISERROR(MATCH(H$1,INDIRECT("Table!A"&amp;$X16):INDIRECT("Table!" &amp; $AA$171 &amp; $X16),0)),"",INDIRECT(CONCATENATE("Table!",ADDRESS($T16,MATCH(H$1,INDIRECT("Table!A" &amp; $X16):INDIRECT("Table!" &amp; $AA$171 &amp; $X16),0)))))</f>
        <v>0.40466143253458697</v>
      </c>
      <c r="I16" s="33" t="str">
        <f ca="1">IF(ISERROR(MATCH(I$1,INDIRECT("Table!A"&amp;$X16):INDIRECT("Table!" &amp; $AA$171 &amp; $X16),0)),"",INDIRECT(CONCATENATE("Table!",ADDRESS($T16,MATCH(I$1,INDIRECT("Table!A" &amp; $X16):INDIRECT("Table!" &amp; $AA$171 &amp; $X16),0)))))</f>
        <v/>
      </c>
      <c r="J16" s="33" t="str">
        <f ca="1">IF(ISERROR(MATCH(J$1,INDIRECT("Table!A"&amp;$X16):INDIRECT("Table!" &amp; $AA$171 &amp; $X16),0)),"",INDIRECT(CONCATENATE("Table!",ADDRESS($T16,MATCH(J$1,INDIRECT("Table!A" &amp; $X16):INDIRECT("Table!" &amp; $AA$171 &amp; $X16),0)))))</f>
        <v/>
      </c>
      <c r="K16" s="33" t="str">
        <f ca="1">IF(ISERROR(MATCH(K$1,INDIRECT("Table!A"&amp;$X16):INDIRECT("Table!" &amp; $AA$171 &amp; $X16),0)),"",INDIRECT(CONCATENATE("Table!",ADDRESS($T16,MATCH(K$1,INDIRECT("Table!A" &amp; $X16):INDIRECT("Table!" &amp; $AA$171 &amp; $X16),0)))))</f>
        <v/>
      </c>
      <c r="L16" s="33">
        <f ca="1">IF(ISERROR(MATCH(L$1,INDIRECT("Table!A"&amp;$X16):INDIRECT("Table!" &amp; $AA$171 &amp; $X16),0)),"",INDIRECT(CONCATENATE("Table!",ADDRESS($T16,MATCH(L$1,INDIRECT("Table!A" &amp; $X16):INDIRECT("Table!" &amp; $AA$171 &amp; $X16),0)))))</f>
        <v>0.76627984686080197</v>
      </c>
      <c r="M16" s="33">
        <f ca="1">IF(ISERROR(MATCH(M$1,INDIRECT("Table!A"&amp;$X16):INDIRECT("Table!" &amp; $AA$171 &amp; $X16),0)),"",INDIRECT(CONCATENATE("Table!",ADDRESS($T16,MATCH(M$1,INDIRECT("Table!A" &amp; $X16):INDIRECT("Table!" &amp; $AA$171 &amp; $X16),0)))))</f>
        <v>0.28605820534283088</v>
      </c>
      <c r="N16" s="33">
        <f ca="1">IF(ISERROR(MATCH(N$1,INDIRECT("Table!A"&amp;$X16):INDIRECT("Table!" &amp; $AA$171 &amp; $X16),0)),"",INDIRECT(CONCATENATE("Table!",ADDRESS($T16,MATCH(N$1,INDIRECT("Table!A" &amp; $X16):INDIRECT("Table!" &amp; $AA$171 &amp; $X16),0)))))</f>
        <v>0.40156637006610951</v>
      </c>
      <c r="O16" s="33">
        <f ca="1">IF(ISERROR(MATCH(O$1,INDIRECT("Table!A"&amp;$X16):INDIRECT("Table!" &amp; $AA$171 &amp; $X16),0)),"",INDIRECT(CONCATENATE("Table!",ADDRESS($T16,MATCH(O$1,INDIRECT("Table!A" &amp; $X16):INDIRECT("Table!" &amp; $AA$171 &amp; $X16),0)))))</f>
        <v>0.56380087113354449</v>
      </c>
      <c r="P16" s="33">
        <f ca="1">IF(ISERROR(MATCH(P$1,INDIRECT("Table!A"&amp;$X16):INDIRECT("Table!" &amp; $AA$171 &amp; $X16),0)),"",INDIRECT(CONCATENATE("Table!",ADDRESS($T16,MATCH(P$1,INDIRECT("Table!A" &amp; $X16):INDIRECT("Table!" &amp; $AA$171 &amp; $X16),0)))))</f>
        <v>0.37863476630068643</v>
      </c>
      <c r="T16" s="31">
        <f>MATCH($A16,Table!$A:$A,0)+$V$2-1</f>
        <v>238</v>
      </c>
      <c r="U16" s="270"/>
      <c r="V16" s="270"/>
      <c r="W16" s="270"/>
      <c r="X16" s="31">
        <f>MATCH($A16,Table!$A:$A,0)+$Z$2-1</f>
        <v>235</v>
      </c>
      <c r="Y16" s="270"/>
      <c r="AA16" t="s">
        <v>209</v>
      </c>
    </row>
    <row r="17" spans="1:27" ht="15.75" customHeight="1">
      <c r="A17" s="5">
        <v>41239</v>
      </c>
      <c r="B17" s="33">
        <f ca="1">IF(ISERROR(MATCH(B$1,INDIRECT("Table!A"&amp;$X17):INDIRECT("Table!" &amp; $AA$171 &amp; $X17),0)),"",INDIRECT(CONCATENATE("Table!",ADDRESS($T17,MATCH(B$1,INDIRECT("Table!A" &amp; $X17):INDIRECT("Table!" &amp; $AA$171 &amp; $X17),0)))))</f>
        <v>0.34118801441082564</v>
      </c>
      <c r="C17" s="33">
        <f ca="1">IF(ISERROR(MATCH(C$1,INDIRECT("Table!A"&amp;$X17):INDIRECT("Table!" &amp; $AA$171 &amp; $X17),0)),"",INDIRECT(CONCATENATE("Table!",ADDRESS($T17,MATCH(C$1,INDIRECT("Table!A" &amp; $X17):INDIRECT("Table!" &amp; $AA$171 &amp; $X17),0)))))</f>
        <v>0.49784939521299426</v>
      </c>
      <c r="D17" s="33">
        <f ca="1">IF(ISERROR(MATCH(D$1,INDIRECT("Table!A"&amp;$X17):INDIRECT("Table!" &amp; $AA$171 &amp; $X17),0)),"",INDIRECT(CONCATENATE("Table!",ADDRESS($T17,MATCH(D$1,INDIRECT("Table!A" &amp; $X17):INDIRECT("Table!" &amp; $AA$171 &amp; $X17),0)))))</f>
        <v>0.50725704543974792</v>
      </c>
      <c r="E17" s="33">
        <f ca="1">IF(ISERROR(MATCH(E$1,INDIRECT("Table!A"&amp;$X17):INDIRECT("Table!" &amp; $AA$171 &amp; $X17),0)),"",INDIRECT(CONCATENATE("Table!",ADDRESS($T17,MATCH(E$1,INDIRECT("Table!A" &amp; $X17):INDIRECT("Table!" &amp; $AA$171 &amp; $X17),0)))))</f>
        <v>0.8768710391004727</v>
      </c>
      <c r="F17" s="33">
        <f ca="1">IF(ISERROR(MATCH(F$1,INDIRECT("Table!A"&amp;$X17):INDIRECT("Table!" &amp; $AA$171 &amp; $X17),0)),"",INDIRECT(CONCATENATE("Table!",ADDRESS($T17,MATCH(F$1,INDIRECT("Table!A" &amp; $X17):INDIRECT("Table!" &amp; $AA$171 &amp; $X17),0)))))</f>
        <v>0.38187878696302568</v>
      </c>
      <c r="G17" s="33">
        <f ca="1">IF(ISERROR(MATCH(G$1,INDIRECT("Table!A"&amp;$X17):INDIRECT("Table!" &amp; $AA$171 &amp; $X17),0)),"",INDIRECT(CONCATENATE("Table!",ADDRESS($T17,MATCH(G$1,INDIRECT("Table!A" &amp; $X17):INDIRECT("Table!" &amp; $AA$171 &amp; $X17),0)))))</f>
        <v>0.22276738413102051</v>
      </c>
      <c r="H17" s="33">
        <f ca="1">IF(ISERROR(MATCH(H$1,INDIRECT("Table!A"&amp;$X17):INDIRECT("Table!" &amp; $AA$171 &amp; $X17),0)),"",INDIRECT(CONCATENATE("Table!",ADDRESS($T17,MATCH(H$1,INDIRECT("Table!A" &amp; $X17):INDIRECT("Table!" &amp; $AA$171 &amp; $X17),0)))))</f>
        <v>0.40062044740125835</v>
      </c>
      <c r="I17" s="33" t="str">
        <f ca="1">IF(ISERROR(MATCH(I$1,INDIRECT("Table!A"&amp;$X17):INDIRECT("Table!" &amp; $AA$171 &amp; $X17),0)),"",INDIRECT(CONCATENATE("Table!",ADDRESS($T17,MATCH(I$1,INDIRECT("Table!A" &amp; $X17):INDIRECT("Table!" &amp; $AA$171 &amp; $X17),0)))))</f>
        <v/>
      </c>
      <c r="J17" s="33" t="str">
        <f ca="1">IF(ISERROR(MATCH(J$1,INDIRECT("Table!A"&amp;$X17):INDIRECT("Table!" &amp; $AA$171 &amp; $X17),0)),"",INDIRECT(CONCATENATE("Table!",ADDRESS($T17,MATCH(J$1,INDIRECT("Table!A" &amp; $X17):INDIRECT("Table!" &amp; $AA$171 &amp; $X17),0)))))</f>
        <v/>
      </c>
      <c r="K17" s="33" t="str">
        <f ca="1">IF(ISERROR(MATCH(K$1,INDIRECT("Table!A"&amp;$X17):INDIRECT("Table!" &amp; $AA$171 &amp; $X17),0)),"",INDIRECT(CONCATENATE("Table!",ADDRESS($T17,MATCH(K$1,INDIRECT("Table!A" &amp; $X17):INDIRECT("Table!" &amp; $AA$171 &amp; $X17),0)))))</f>
        <v/>
      </c>
      <c r="L17" s="33">
        <f ca="1">IF(ISERROR(MATCH(L$1,INDIRECT("Table!A"&amp;$X17):INDIRECT("Table!" &amp; $AA$171 &amp; $X17),0)),"",INDIRECT(CONCATENATE("Table!",ADDRESS($T17,MATCH(L$1,INDIRECT("Table!A" &amp; $X17):INDIRECT("Table!" &amp; $AA$171 &amp; $X17),0)))))</f>
        <v>0.76551415087008545</v>
      </c>
      <c r="M17" s="33">
        <f ca="1">IF(ISERROR(MATCH(M$1,INDIRECT("Table!A"&amp;$X17):INDIRECT("Table!" &amp; $AA$171 &amp; $X17),0)),"",INDIRECT(CONCATENATE("Table!",ADDRESS($T17,MATCH(M$1,INDIRECT("Table!A" &amp; $X17):INDIRECT("Table!" &amp; $AA$171 &amp; $X17),0)))))</f>
        <v>0.27999079709563601</v>
      </c>
      <c r="N17" s="33">
        <f ca="1">IF(ISERROR(MATCH(N$1,INDIRECT("Table!A"&amp;$X17):INDIRECT("Table!" &amp; $AA$171 &amp; $X17),0)),"",INDIRECT(CONCATENATE("Table!",ADDRESS($T17,MATCH(N$1,INDIRECT("Table!A" &amp; $X17):INDIRECT("Table!" &amp; $AA$171 &amp; $X17),0)))))</f>
        <v>0.3974552228251475</v>
      </c>
      <c r="O17" s="33">
        <f ca="1">IF(ISERROR(MATCH(O$1,INDIRECT("Table!A"&amp;$X17):INDIRECT("Table!" &amp; $AA$171 &amp; $X17),0)),"",INDIRECT(CONCATENATE("Table!",ADDRESS($T17,MATCH(O$1,INDIRECT("Table!A" &amp; $X17):INDIRECT("Table!" &amp; $AA$171 &amp; $X17),0)))))</f>
        <v>0.55847683653978542</v>
      </c>
      <c r="P17" s="33">
        <f ca="1">IF(ISERROR(MATCH(P$1,INDIRECT("Table!A"&amp;$X17):INDIRECT("Table!" &amp; $AA$171 &amp; $X17),0)),"",INDIRECT(CONCATENATE("Table!",ADDRESS($T17,MATCH(P$1,INDIRECT("Table!A" &amp; $X17):INDIRECT("Table!" &amp; $AA$171 &amp; $X17),0)))))</f>
        <v>0.37863476630068643</v>
      </c>
      <c r="T17" s="31">
        <f>MATCH($A17,Table!$A:$A,0)+$V$2-1</f>
        <v>250</v>
      </c>
      <c r="U17" s="269"/>
      <c r="V17" s="269"/>
      <c r="W17" s="269"/>
      <c r="X17" s="31">
        <f>MATCH($A17,Table!$A:$A,0)+$Z$2-1</f>
        <v>247</v>
      </c>
      <c r="Y17" s="269"/>
      <c r="AA17" t="s">
        <v>209</v>
      </c>
    </row>
    <row r="18" spans="1:27" ht="15.75" customHeight="1">
      <c r="A18" s="5">
        <v>41234</v>
      </c>
      <c r="B18" s="33">
        <f ca="1">IF(ISERROR(MATCH(B$1,INDIRECT("Table!A"&amp;$X18):INDIRECT("Table!" &amp; $AA$171 &amp; $X18),0)),"",INDIRECT(CONCATENATE("Table!",ADDRESS($T18,MATCH(B$1,INDIRECT("Table!A" &amp; $X18):INDIRECT("Table!" &amp; $AA$171 &amp; $X18),0)))))</f>
        <v>0.34911382906462129</v>
      </c>
      <c r="C18" s="33">
        <f ca="1">IF(ISERROR(MATCH(C$1,INDIRECT("Table!A"&amp;$X18):INDIRECT("Table!" &amp; $AA$171 &amp; $X18),0)),"",INDIRECT(CONCATENATE("Table!",ADDRESS($T18,MATCH(C$1,INDIRECT("Table!A" &amp; $X18):INDIRECT("Table!" &amp; $AA$171 &amp; $X18),0)))))</f>
        <v>0.49606021427650787</v>
      </c>
      <c r="D18" s="33">
        <f ca="1">IF(ISERROR(MATCH(D$1,INDIRECT("Table!A"&amp;$X18):INDIRECT("Table!" &amp; $AA$171 &amp; $X18),0)),"",INDIRECT(CONCATENATE("Table!",ADDRESS($T18,MATCH(D$1,INDIRECT("Table!A" &amp; $X18):INDIRECT("Table!" &amp; $AA$171 &amp; $X18),0)))))</f>
        <v>0.5055329739469212</v>
      </c>
      <c r="E18" s="33">
        <f ca="1">IF(ISERROR(MATCH(E$1,INDIRECT("Table!A"&amp;$X18):INDIRECT("Table!" &amp; $AA$171 &amp; $X18),0)),"",INDIRECT(CONCATENATE("Table!",ADDRESS($T18,MATCH(E$1,INDIRECT("Table!A" &amp; $X18):INDIRECT("Table!" &amp; $AA$171 &amp; $X18),0)))))</f>
        <v>0.87461826461638559</v>
      </c>
      <c r="F18" s="33">
        <f ca="1">IF(ISERROR(MATCH(F$1,INDIRECT("Table!A"&amp;$X18):INDIRECT("Table!" &amp; $AA$171 &amp; $X18),0)),"",INDIRECT(CONCATENATE("Table!",ADDRESS($T18,MATCH(F$1,INDIRECT("Table!A" &amp; $X18):INDIRECT("Table!" &amp; $AA$171 &amp; $X18),0)))))</f>
        <v>0.37581360209123466</v>
      </c>
      <c r="G18" s="33">
        <f ca="1">IF(ISERROR(MATCH(G$1,INDIRECT("Table!A"&amp;$X18):INDIRECT("Table!" &amp; $AA$171 &amp; $X18),0)),"",INDIRECT(CONCATENATE("Table!",ADDRESS($T18,MATCH(G$1,INDIRECT("Table!A" &amp; $X18):INDIRECT("Table!" &amp; $AA$171 &amp; $X18),0)))))</f>
        <v>0.22523310023310023</v>
      </c>
      <c r="H18" s="33">
        <f ca="1">IF(ISERROR(MATCH(H$1,INDIRECT("Table!A"&amp;$X18):INDIRECT("Table!" &amp; $AA$171 &amp; $X18),0)),"",INDIRECT(CONCATENATE("Table!",ADDRESS($T18,MATCH(H$1,INDIRECT("Table!A" &amp; $X18):INDIRECT("Table!" &amp; $AA$171 &amp; $X18),0)))))</f>
        <v>0.39854184970469408</v>
      </c>
      <c r="I18" s="33" t="str">
        <f ca="1">IF(ISERROR(MATCH(I$1,INDIRECT("Table!A"&amp;$X18):INDIRECT("Table!" &amp; $AA$171 &amp; $X18),0)),"",INDIRECT(CONCATENATE("Table!",ADDRESS($T18,MATCH(I$1,INDIRECT("Table!A" &amp; $X18):INDIRECT("Table!" &amp; $AA$171 &amp; $X18),0)))))</f>
        <v/>
      </c>
      <c r="J18" s="33" t="str">
        <f ca="1">IF(ISERROR(MATCH(J$1,INDIRECT("Table!A"&amp;$X18):INDIRECT("Table!" &amp; $AA$171 &amp; $X18),0)),"",INDIRECT(CONCATENATE("Table!",ADDRESS($T18,MATCH(J$1,INDIRECT("Table!A" &amp; $X18):INDIRECT("Table!" &amp; $AA$171 &amp; $X18),0)))))</f>
        <v/>
      </c>
      <c r="K18" s="33" t="str">
        <f ca="1">IF(ISERROR(MATCH(K$1,INDIRECT("Table!A"&amp;$X18):INDIRECT("Table!" &amp; $AA$171 &amp; $X18),0)),"",INDIRECT(CONCATENATE("Table!",ADDRESS($T18,MATCH(K$1,INDIRECT("Table!A" &amp; $X18):INDIRECT("Table!" &amp; $AA$171 &amp; $X18),0)))))</f>
        <v/>
      </c>
      <c r="L18" s="33">
        <f ca="1">IF(ISERROR(MATCH(L$1,INDIRECT("Table!A"&amp;$X18):INDIRECT("Table!" &amp; $AA$171 &amp; $X18),0)),"",INDIRECT(CONCATENATE("Table!",ADDRESS($T18,MATCH(L$1,INDIRECT("Table!A" &amp; $X18):INDIRECT("Table!" &amp; $AA$171 &amp; $X18),0)))))</f>
        <v>0.76344397415905541</v>
      </c>
      <c r="M18" s="33">
        <f ca="1">IF(ISERROR(MATCH(M$1,INDIRECT("Table!A"&amp;$X18):INDIRECT("Table!" &amp; $AA$171 &amp; $X18),0)),"",INDIRECT(CONCATENATE("Table!",ADDRESS($T18,MATCH(M$1,INDIRECT("Table!A" &amp; $X18):INDIRECT("Table!" &amp; $AA$171 &amp; $X18),0)))))</f>
        <v>0.2909192460278418</v>
      </c>
      <c r="N18" s="33">
        <f ca="1">IF(ISERROR(MATCH(N$1,INDIRECT("Table!A"&amp;$X18):INDIRECT("Table!" &amp; $AA$171 &amp; $X18),0)),"",INDIRECT(CONCATENATE("Table!",ADDRESS($T18,MATCH(N$1,INDIRECT("Table!A" &amp; $X18):INDIRECT("Table!" &amp; $AA$171 &amp; $X18),0)))))</f>
        <v>0.38773159200882906</v>
      </c>
      <c r="O18" s="33">
        <f ca="1">IF(ISERROR(MATCH(O$1,INDIRECT("Table!A"&amp;$X18):INDIRECT("Table!" &amp; $AA$171 &amp; $X18),0)),"",INDIRECT(CONCATENATE("Table!",ADDRESS($T18,MATCH(O$1,INDIRECT("Table!A" &amp; $X18):INDIRECT("Table!" &amp; $AA$171 &amp; $X18),0)))))</f>
        <v>0.55797650421259415</v>
      </c>
      <c r="P18" s="33">
        <f ca="1">IF(ISERROR(MATCH(P$1,INDIRECT("Table!A"&amp;$X18):INDIRECT("Table!" &amp; $AA$171 &amp; $X18),0)),"",INDIRECT(CONCATENATE("Table!",ADDRESS($T18,MATCH(P$1,INDIRECT("Table!A" &amp; $X18):INDIRECT("Table!" &amp; $AA$171 &amp; $X18),0)))))</f>
        <v>0.37863476630068643</v>
      </c>
      <c r="T18" s="31">
        <f>MATCH($A18,Table!$A:$A,0)+$V$2-1</f>
        <v>262</v>
      </c>
      <c r="U18" s="268"/>
      <c r="V18" s="268"/>
      <c r="W18" s="268"/>
      <c r="X18" s="31">
        <f>MATCH($A18,Table!$A:$A,0)+$Z$2-1</f>
        <v>259</v>
      </c>
      <c r="Y18" s="268"/>
      <c r="AA18" t="s">
        <v>209</v>
      </c>
    </row>
    <row r="19" spans="1:27" ht="15.75" customHeight="1">
      <c r="A19" s="5">
        <v>41232</v>
      </c>
      <c r="B19" s="33">
        <f ca="1">IF(ISERROR(MATCH(B$1,INDIRECT("Table!A"&amp;$X19):INDIRECT("Table!" &amp; $AA$171 &amp; $X19),0)),"",INDIRECT(CONCATENATE("Table!",ADDRESS($T19,MATCH(B$1,INDIRECT("Table!A" &amp; $X19):INDIRECT("Table!" &amp; $AA$171 &amp; $X19),0)))))</f>
        <v>0.3774047681812539</v>
      </c>
      <c r="C19" s="33">
        <f ca="1">IF(ISERROR(MATCH(C$1,INDIRECT("Table!A"&amp;$X19):INDIRECT("Table!" &amp; $AA$171 &amp; $X19),0)),"",INDIRECT(CONCATENATE("Table!",ADDRESS($T19,MATCH(C$1,INDIRECT("Table!A" &amp; $X19):INDIRECT("Table!" &amp; $AA$171 &amp; $X19),0)))))</f>
        <v>0.49567819458156553</v>
      </c>
      <c r="D19" s="33">
        <f ca="1">IF(ISERROR(MATCH(D$1,INDIRECT("Table!A"&amp;$X19):INDIRECT("Table!" &amp; $AA$171 &amp; $X19),0)),"",INDIRECT(CONCATENATE("Table!",ADDRESS($T19,MATCH(D$1,INDIRECT("Table!A" &amp; $X19):INDIRECT("Table!" &amp; $AA$171 &amp; $X19),0)))))</f>
        <v>0.50515892683691677</v>
      </c>
      <c r="E19" s="33">
        <f ca="1">IF(ISERROR(MATCH(E$1,INDIRECT("Table!A"&amp;$X19):INDIRECT("Table!" &amp; $AA$171 &amp; $X19),0)),"",INDIRECT(CONCATENATE("Table!",ADDRESS($T19,MATCH(E$1,INDIRECT("Table!A" &amp; $X19):INDIRECT("Table!" &amp; $AA$171 &amp; $X19),0)))))</f>
        <v>0.87282648471574942</v>
      </c>
      <c r="F19" s="33">
        <f ca="1">IF(ISERROR(MATCH(F$1,INDIRECT("Table!A"&amp;$X19):INDIRECT("Table!" &amp; $AA$171 &amp; $X19),0)),"",INDIRECT(CONCATENATE("Table!",ADDRESS($T19,MATCH(F$1,INDIRECT("Table!A" &amp; $X19):INDIRECT("Table!" &amp; $AA$171 &amp; $X19),0)))))</f>
        <v>0.36811532010697934</v>
      </c>
      <c r="G19" s="33">
        <f ca="1">IF(ISERROR(MATCH(G$1,INDIRECT("Table!A"&amp;$X19):INDIRECT("Table!" &amp; $AA$171 &amp; $X19),0)),"",INDIRECT(CONCATENATE("Table!",ADDRESS($T19,MATCH(G$1,INDIRECT("Table!A" &amp; $X19):INDIRECT("Table!" &amp; $AA$171 &amp; $X19),0)))))</f>
        <v>0.23180682953410225</v>
      </c>
      <c r="H19" s="33">
        <f ca="1">IF(ISERROR(MATCH(H$1,INDIRECT("Table!A"&amp;$X19):INDIRECT("Table!" &amp; $AA$171 &amp; $X19),0)),"",INDIRECT(CONCATENATE("Table!",ADDRESS($T19,MATCH(H$1,INDIRECT("Table!A" &amp; $X19):INDIRECT("Table!" &amp; $AA$171 &amp; $X19),0)))))</f>
        <v>0.39677809115170137</v>
      </c>
      <c r="I19" s="33" t="str">
        <f ca="1">IF(ISERROR(MATCH(I$1,INDIRECT("Table!A"&amp;$X19):INDIRECT("Table!" &amp; $AA$171 &amp; $X19),0)),"",INDIRECT(CONCATENATE("Table!",ADDRESS($T19,MATCH(I$1,INDIRECT("Table!A" &amp; $X19):INDIRECT("Table!" &amp; $AA$171 &amp; $X19),0)))))</f>
        <v/>
      </c>
      <c r="J19" s="33" t="str">
        <f ca="1">IF(ISERROR(MATCH(J$1,INDIRECT("Table!A"&amp;$X19):INDIRECT("Table!" &amp; $AA$171 &amp; $X19),0)),"",INDIRECT(CONCATENATE("Table!",ADDRESS($T19,MATCH(J$1,INDIRECT("Table!A" &amp; $X19):INDIRECT("Table!" &amp; $AA$171 &amp; $X19),0)))))</f>
        <v/>
      </c>
      <c r="K19" s="33" t="str">
        <f ca="1">IF(ISERROR(MATCH(K$1,INDIRECT("Table!A"&amp;$X19):INDIRECT("Table!" &amp; $AA$171 &amp; $X19),0)),"",INDIRECT(CONCATENATE("Table!",ADDRESS($T19,MATCH(K$1,INDIRECT("Table!A" &amp; $X19):INDIRECT("Table!" &amp; $AA$171 &amp; $X19),0)))))</f>
        <v/>
      </c>
      <c r="L19" s="33">
        <f ca="1">IF(ISERROR(MATCH(L$1,INDIRECT("Table!A"&amp;$X19):INDIRECT("Table!" &amp; $AA$171 &amp; $X19),0)),"",INDIRECT(CONCATENATE("Table!",ADDRESS($T19,MATCH(L$1,INDIRECT("Table!A" &amp; $X19):INDIRECT("Table!" &amp; $AA$171 &amp; $X19),0)))))</f>
        <v>0.76272283152097897</v>
      </c>
      <c r="M19" s="33">
        <f ca="1">IF(ISERROR(MATCH(M$1,INDIRECT("Table!A"&amp;$X19):INDIRECT("Table!" &amp; $AA$171 &amp; $X19),0)),"",INDIRECT(CONCATENATE("Table!",ADDRESS($T19,MATCH(M$1,INDIRECT("Table!A" &amp; $X19):INDIRECT("Table!" &amp; $AA$171 &amp; $X19),0)))))</f>
        <v>0.28355086799432683</v>
      </c>
      <c r="N19" s="33">
        <f ca="1">IF(ISERROR(MATCH(N$1,INDIRECT("Table!A"&amp;$X19):INDIRECT("Table!" &amp; $AA$171 &amp; $X19),0)),"",INDIRECT(CONCATENATE("Table!",ADDRESS($T19,MATCH(N$1,INDIRECT("Table!A" &amp; $X19):INDIRECT("Table!" &amp; $AA$171 &amp; $X19),0)))))</f>
        <v>0.38692894520847665</v>
      </c>
      <c r="O19" s="33">
        <f ca="1">IF(ISERROR(MATCH(O$1,INDIRECT("Table!A"&amp;$X19):INDIRECT("Table!" &amp; $AA$171 &amp; $X19),0)),"",INDIRECT(CONCATENATE("Table!",ADDRESS($T19,MATCH(O$1,INDIRECT("Table!A" &amp; $X19):INDIRECT("Table!" &amp; $AA$171 &amp; $X19),0)))))</f>
        <v>0.55776968507394775</v>
      </c>
      <c r="P19" s="33">
        <f ca="1">IF(ISERROR(MATCH(P$1,INDIRECT("Table!A"&amp;$X19):INDIRECT("Table!" &amp; $AA$171 &amp; $X19),0)),"",INDIRECT(CONCATENATE("Table!",ADDRESS($T19,MATCH(P$1,INDIRECT("Table!A" &amp; $X19):INDIRECT("Table!" &amp; $AA$171 &amp; $X19),0)))))</f>
        <v>0.37863476630068643</v>
      </c>
      <c r="T19" s="31">
        <f>MATCH($A19,Table!$A:$A,0)+$V$2-1</f>
        <v>274</v>
      </c>
      <c r="U19" s="267"/>
      <c r="V19" s="267"/>
      <c r="W19" s="267"/>
      <c r="X19" s="31">
        <f>MATCH($A19,Table!$A:$A,0)+$Z$2-1</f>
        <v>271</v>
      </c>
      <c r="Y19" s="267"/>
      <c r="AA19" t="s">
        <v>209</v>
      </c>
    </row>
    <row r="20" spans="1:27" ht="15.75" customHeight="1">
      <c r="A20" s="5">
        <v>41227</v>
      </c>
      <c r="B20" s="33">
        <f ca="1">IF(ISERROR(MATCH(B$1,INDIRECT("Table!A"&amp;$X20):INDIRECT("Table!" &amp; $AA$171 &amp; $X20),0)),"",INDIRECT(CONCATENATE("Table!",ADDRESS($T20,MATCH(B$1,INDIRECT("Table!A" &amp; $X20):INDIRECT("Table!" &amp; $AA$171 &amp; $X20),0)))))</f>
        <v>0.38794090613017995</v>
      </c>
      <c r="C20" s="33">
        <f ca="1">IF(ISERROR(MATCH(C$1,INDIRECT("Table!A"&amp;$X20):INDIRECT("Table!" &amp; $AA$171 &amp; $X20),0)),"",INDIRECT(CONCATENATE("Table!",ADDRESS($T20,MATCH(C$1,INDIRECT("Table!A" &amp; $X20):INDIRECT("Table!" &amp; $AA$171 &amp; $X20),0)))))</f>
        <v>0.490586370334543</v>
      </c>
      <c r="D20" s="33">
        <f ca="1">IF(ISERROR(MATCH(D$1,INDIRECT("Table!A"&amp;$X20):INDIRECT("Table!" &amp; $AA$171 &amp; $X20),0)),"",INDIRECT(CONCATENATE("Table!",ADDRESS($T20,MATCH(D$1,INDIRECT("Table!A" &amp; $X20):INDIRECT("Table!" &amp; $AA$171 &amp; $X20),0)))))</f>
        <v>0.50006710258989429</v>
      </c>
      <c r="E20" s="33">
        <f ca="1">IF(ISERROR(MATCH(E$1,INDIRECT("Table!A"&amp;$X20):INDIRECT("Table!" &amp; $AA$171 &amp; $X20),0)),"",INDIRECT(CONCATENATE("Table!",ADDRESS($T20,MATCH(E$1,INDIRECT("Table!A" &amp; $X20):INDIRECT("Table!" &amp; $AA$171 &amp; $X20),0)))))</f>
        <v>0.87136492858704895</v>
      </c>
      <c r="F20" s="33">
        <f ca="1">IF(ISERROR(MATCH(F$1,INDIRECT("Table!A"&amp;$X20):INDIRECT("Table!" &amp; $AA$171 &amp; $X20),0)),"",INDIRECT(CONCATENATE("Table!",ADDRESS($T20,MATCH(F$1,INDIRECT("Table!A" &amp; $X20):INDIRECT("Table!" &amp; $AA$171 &amp; $X20),0)))))</f>
        <v>0.36552726613378461</v>
      </c>
      <c r="G20" s="33">
        <f ca="1">IF(ISERROR(MATCH(G$1,INDIRECT("Table!A"&amp;$X20):INDIRECT("Table!" &amp; $AA$171 &amp; $X20),0)),"",INDIRECT(CONCATENATE("Table!",ADDRESS($T20,MATCH(G$1,INDIRECT("Table!A" &amp; $X20):INDIRECT("Table!" &amp; $AA$171 &amp; $X20),0)))))</f>
        <v>0.25882602246238606</v>
      </c>
      <c r="H20" s="33">
        <f ca="1">IF(ISERROR(MATCH(H$1,INDIRECT("Table!A"&amp;$X20):INDIRECT("Table!" &amp; $AA$171 &amp; $X20),0)),"",INDIRECT(CONCATENATE("Table!",ADDRESS($T20,MATCH(H$1,INDIRECT("Table!A" &amp; $X20):INDIRECT("Table!" &amp; $AA$171 &amp; $X20),0)))))</f>
        <v>0.39598769654781352</v>
      </c>
      <c r="I20" s="33" t="str">
        <f ca="1">IF(ISERROR(MATCH(I$1,INDIRECT("Table!A"&amp;$X20):INDIRECT("Table!" &amp; $AA$171 &amp; $X20),0)),"",INDIRECT(CONCATENATE("Table!",ADDRESS($T20,MATCH(I$1,INDIRECT("Table!A" &amp; $X20):INDIRECT("Table!" &amp; $AA$171 &amp; $X20),0)))))</f>
        <v/>
      </c>
      <c r="J20" s="33" t="str">
        <f ca="1">IF(ISERROR(MATCH(J$1,INDIRECT("Table!A"&amp;$X20):INDIRECT("Table!" &amp; $AA$171 &amp; $X20),0)),"",INDIRECT(CONCATENATE("Table!",ADDRESS($T20,MATCH(J$1,INDIRECT("Table!A" &amp; $X20):INDIRECT("Table!" &amp; $AA$171 &amp; $X20),0)))))</f>
        <v/>
      </c>
      <c r="K20" s="33" t="str">
        <f ca="1">IF(ISERROR(MATCH(K$1,INDIRECT("Table!A"&amp;$X20):INDIRECT("Table!" &amp; $AA$171 &amp; $X20),0)),"",INDIRECT(CONCATENATE("Table!",ADDRESS($T20,MATCH(K$1,INDIRECT("Table!A" &amp; $X20):INDIRECT("Table!" &amp; $AA$171 &amp; $X20),0)))))</f>
        <v/>
      </c>
      <c r="L20" s="33">
        <f ca="1">IF(ISERROR(MATCH(L$1,INDIRECT("Table!A"&amp;$X20):INDIRECT("Table!" &amp; $AA$171 &amp; $X20),0)),"",INDIRECT(CONCATENATE("Table!",ADDRESS($T20,MATCH(L$1,INDIRECT("Table!A" &amp; $X20):INDIRECT("Table!" &amp; $AA$171 &amp; $X20),0)))))</f>
        <v>0.76163127438130418</v>
      </c>
      <c r="M20" s="33">
        <f ca="1">IF(ISERROR(MATCH(M$1,INDIRECT("Table!A"&amp;$X20):INDIRECT("Table!" &amp; $AA$171 &amp; $X20),0)),"",INDIRECT(CONCATENATE("Table!",ADDRESS($T20,MATCH(M$1,INDIRECT("Table!A" &amp; $X20):INDIRECT("Table!" &amp; $AA$171 &amp; $X20),0)))))</f>
        <v>0.28289092287875323</v>
      </c>
      <c r="N20" s="33">
        <f ca="1">IF(ISERROR(MATCH(N$1,INDIRECT("Table!A"&amp;$X20):INDIRECT("Table!" &amp; $AA$171 &amp; $X20),0)),"",INDIRECT(CONCATENATE("Table!",ADDRESS($T20,MATCH(N$1,INDIRECT("Table!A" &amp; $X20):INDIRECT("Table!" &amp; $AA$171 &amp; $X20),0)))))</f>
        <v>0.38035062610076842</v>
      </c>
      <c r="O20" s="33">
        <f ca="1">IF(ISERROR(MATCH(O$1,INDIRECT("Table!A"&amp;$X20):INDIRECT("Table!" &amp; $AA$171 &amp; $X20),0)),"",INDIRECT(CONCATENATE("Table!",ADDRESS($T20,MATCH(O$1,INDIRECT("Table!A" &amp; $X20):INDIRECT("Table!" &amp; $AA$171 &amp; $X20),0)))))</f>
        <v>0.55668515950855235</v>
      </c>
      <c r="P20" s="33">
        <f ca="1">IF(ISERROR(MATCH(P$1,INDIRECT("Table!A"&amp;$X20):INDIRECT("Table!" &amp; $AA$171 &amp; $X20),0)),"",INDIRECT(CONCATENATE("Table!",ADDRESS($T20,MATCH(P$1,INDIRECT("Table!A" &amp; $X20):INDIRECT("Table!" &amp; $AA$171 &amp; $X20),0)))))</f>
        <v>0.37863476630068643</v>
      </c>
      <c r="T20" s="31">
        <f>MATCH($A20,Table!$A:$A,0)+$V$2-1</f>
        <v>286</v>
      </c>
      <c r="U20" s="266"/>
      <c r="V20" s="266"/>
      <c r="W20" s="266"/>
      <c r="X20" s="31">
        <f>MATCH($A20,Table!$A:$A,0)+$Z$2-1</f>
        <v>283</v>
      </c>
      <c r="Y20" s="266"/>
      <c r="AA20" t="s">
        <v>209</v>
      </c>
    </row>
    <row r="21" spans="1:27" ht="15.75" customHeight="1">
      <c r="A21" s="5">
        <v>41225</v>
      </c>
      <c r="B21" s="33">
        <f ca="1">IF(ISERROR(MATCH(B$1,INDIRECT("Table!A"&amp;$X21):INDIRECT("Table!" &amp; $AA$171 &amp; $X21),0)),"",INDIRECT(CONCATENATE("Table!",ADDRESS($T21,MATCH(B$1,INDIRECT("Table!A" &amp; $X21):INDIRECT("Table!" &amp; $AA$171 &amp; $X21),0)))))</f>
        <v>0.38902883141481887</v>
      </c>
      <c r="C21" s="33">
        <f ca="1">IF(ISERROR(MATCH(C$1,INDIRECT("Table!A"&amp;$X21):INDIRECT("Table!" &amp; $AA$171 &amp; $X21),0)),"",INDIRECT(CONCATENATE("Table!",ADDRESS($T21,MATCH(C$1,INDIRECT("Table!A" &amp; $X21):INDIRECT("Table!" &amp; $AA$171 &amp; $X21),0)))))</f>
        <v>0.48990670746858472</v>
      </c>
      <c r="D21" s="33">
        <f ca="1">IF(ISERROR(MATCH(D$1,INDIRECT("Table!A"&amp;$X21):INDIRECT("Table!" &amp; $AA$171 &amp; $X21),0)),"",INDIRECT(CONCATENATE("Table!",ADDRESS($T21,MATCH(D$1,INDIRECT("Table!A" &amp; $X21):INDIRECT("Table!" &amp; $AA$171 &amp; $X21),0)))))</f>
        <v>0.49938743972393596</v>
      </c>
      <c r="E21" s="33">
        <f ca="1">IF(ISERROR(MATCH(E$1,INDIRECT("Table!A"&amp;$X21):INDIRECT("Table!" &amp; $AA$171 &amp; $X21),0)),"",INDIRECT(CONCATENATE("Table!",ADDRESS($T21,MATCH(E$1,INDIRECT("Table!A" &amp; $X21):INDIRECT("Table!" &amp; $AA$171 &amp; $X21),0)))))</f>
        <v>0.87061272169224035</v>
      </c>
      <c r="F21" s="33">
        <f ca="1">IF(ISERROR(MATCH(F$1,INDIRECT("Table!A"&amp;$X21):INDIRECT("Table!" &amp; $AA$171 &amp; $X21),0)),"",INDIRECT(CONCATENATE("Table!",ADDRESS($T21,MATCH(F$1,INDIRECT("Table!A" &amp; $X21):INDIRECT("Table!" &amp; $AA$171 &amp; $X21),0)))))</f>
        <v>0.36453906710385159</v>
      </c>
      <c r="G21" s="33">
        <f ca="1">IF(ISERROR(MATCH(G$1,INDIRECT("Table!A"&amp;$X21):INDIRECT("Table!" &amp; $AA$171 &amp; $X21),0)),"",INDIRECT(CONCATENATE("Table!",ADDRESS($T21,MATCH(G$1,INDIRECT("Table!A" &amp; $X21):INDIRECT("Table!" &amp; $AA$171 &amp; $X21),0)))))</f>
        <v>0.2766778675869585</v>
      </c>
      <c r="H21" s="33">
        <f ca="1">IF(ISERROR(MATCH(H$1,INDIRECT("Table!A"&amp;$X21):INDIRECT("Table!" &amp; $AA$171 &amp; $X21),0)),"",INDIRECT(CONCATENATE("Table!",ADDRESS($T21,MATCH(H$1,INDIRECT("Table!A" &amp; $X21):INDIRECT("Table!" &amp; $AA$171 &amp; $X21),0)))))</f>
        <v>0.39542560153232703</v>
      </c>
      <c r="I21" s="33" t="str">
        <f ca="1">IF(ISERROR(MATCH(I$1,INDIRECT("Table!A"&amp;$X21):INDIRECT("Table!" &amp; $AA$171 &amp; $X21),0)),"",INDIRECT(CONCATENATE("Table!",ADDRESS($T21,MATCH(I$1,INDIRECT("Table!A" &amp; $X21):INDIRECT("Table!" &amp; $AA$171 &amp; $X21),0)))))</f>
        <v/>
      </c>
      <c r="J21" s="33" t="str">
        <f ca="1">IF(ISERROR(MATCH(J$1,INDIRECT("Table!A"&amp;$X21):INDIRECT("Table!" &amp; $AA$171 &amp; $X21),0)),"",INDIRECT(CONCATENATE("Table!",ADDRESS($T21,MATCH(J$1,INDIRECT("Table!A" &amp; $X21):INDIRECT("Table!" &amp; $AA$171 &amp; $X21),0)))))</f>
        <v/>
      </c>
      <c r="K21" s="33" t="str">
        <f ca="1">IF(ISERROR(MATCH(K$1,INDIRECT("Table!A"&amp;$X21):INDIRECT("Table!" &amp; $AA$171 &amp; $X21),0)),"",INDIRECT(CONCATENATE("Table!",ADDRESS($T21,MATCH(K$1,INDIRECT("Table!A" &amp; $X21):INDIRECT("Table!" &amp; $AA$171 &amp; $X21),0)))))</f>
        <v/>
      </c>
      <c r="L21" s="33">
        <f ca="1">IF(ISERROR(MATCH(L$1,INDIRECT("Table!A"&amp;$X21):INDIRECT("Table!" &amp; $AA$171 &amp; $X21),0)),"",INDIRECT(CONCATENATE("Table!",ADDRESS($T21,MATCH(L$1,INDIRECT("Table!A" &amp; $X21):INDIRECT("Table!" &amp; $AA$171 &amp; $X21),0)))))</f>
        <v>0.76114895843586639</v>
      </c>
      <c r="M21" s="33">
        <f ca="1">IF(ISERROR(MATCH(M$1,INDIRECT("Table!A"&amp;$X21):INDIRECT("Table!" &amp; $AA$171 &amp; $X21),0)),"",INDIRECT(CONCATENATE("Table!",ADDRESS($T21,MATCH(M$1,INDIRECT("Table!A" &amp; $X21):INDIRECT("Table!" &amp; $AA$171 &amp; $X21),0)))))</f>
        <v>0.28069539446100195</v>
      </c>
      <c r="N21" s="33">
        <f ca="1">IF(ISERROR(MATCH(N$1,INDIRECT("Table!A"&amp;$X21):INDIRECT("Table!" &amp; $AA$171 &amp; $X21),0)),"",INDIRECT(CONCATENATE("Table!",ADDRESS($T21,MATCH(N$1,INDIRECT("Table!A" &amp; $X21):INDIRECT("Table!" &amp; $AA$171 &amp; $X21),0)))))</f>
        <v>0.3793448999894834</v>
      </c>
      <c r="O21" s="33">
        <f ca="1">IF(ISERROR(MATCH(O$1,INDIRECT("Table!A"&amp;$X21):INDIRECT("Table!" &amp; $AA$171 &amp; $X21),0)),"",INDIRECT(CONCATENATE("Table!",ADDRESS($T21,MATCH(O$1,INDIRECT("Table!A" &amp; $X21):INDIRECT("Table!" &amp; $AA$171 &amp; $X21),0)))))</f>
        <v>0.55594967665385897</v>
      </c>
      <c r="P21" s="33">
        <f ca="1">IF(ISERROR(MATCH(P$1,INDIRECT("Table!A"&amp;$X21):INDIRECT("Table!" &amp; $AA$171 &amp; $X21),0)),"",INDIRECT(CONCATENATE("Table!",ADDRESS($T21,MATCH(P$1,INDIRECT("Table!A" &amp; $X21):INDIRECT("Table!" &amp; $AA$171 &amp; $X21),0)))))</f>
        <v>0.37863476630068643</v>
      </c>
      <c r="T21" s="31">
        <f>MATCH($A21,Table!$A:$A,0)+$V$2-1</f>
        <v>298</v>
      </c>
      <c r="U21" s="265"/>
      <c r="V21" s="265"/>
      <c r="W21" s="265"/>
      <c r="X21" s="31">
        <f>MATCH($A21,Table!$A:$A,0)+$Z$2-1</f>
        <v>295</v>
      </c>
      <c r="Y21" s="265"/>
      <c r="AA21" t="s">
        <v>209</v>
      </c>
    </row>
    <row r="22" spans="1:27" ht="15.75" customHeight="1">
      <c r="A22" s="5">
        <v>41221</v>
      </c>
      <c r="B22" s="33">
        <f ca="1">IF(ISERROR(MATCH(B$1,INDIRECT("Table!A"&amp;$X22):INDIRECT("Table!" &amp; $AA$171 &amp; $X22),0)),"",INDIRECT(CONCATENATE("Table!",ADDRESS($T22,MATCH(B$1,INDIRECT("Table!A" &amp; $X22):INDIRECT("Table!" &amp; $AA$171 &amp; $X22),0)))))</f>
        <v>0.43556832240526328</v>
      </c>
      <c r="C22" s="33">
        <f ca="1">IF(ISERROR(MATCH(C$1,INDIRECT("Table!A"&amp;$X22):INDIRECT("Table!" &amp; $AA$171 &amp; $X22),0)),"",INDIRECT(CONCATENATE("Table!",ADDRESS($T22,MATCH(C$1,INDIRECT("Table!A" &amp; $X22):INDIRECT("Table!" &amp; $AA$171 &amp; $X22),0)))))</f>
        <v>0.48874736074219455</v>
      </c>
      <c r="D22" s="33">
        <f ca="1">IF(ISERROR(MATCH(D$1,INDIRECT("Table!A"&amp;$X22):INDIRECT("Table!" &amp; $AA$171 &amp; $X22),0)),"",INDIRECT(CONCATENATE("Table!",ADDRESS($T22,MATCH(D$1,INDIRECT("Table!A" &amp; $X22):INDIRECT("Table!" &amp; $AA$171 &amp; $X22),0)))))</f>
        <v>0.49822875737962397</v>
      </c>
      <c r="E22" s="33">
        <f ca="1">IF(ISERROR(MATCH(E$1,INDIRECT("Table!A"&amp;$X22):INDIRECT("Table!" &amp; $AA$171 &amp; $X22),0)),"",INDIRECT(CONCATENATE("Table!",ADDRESS($T22,MATCH(E$1,INDIRECT("Table!A" &amp; $X22):INDIRECT("Table!" &amp; $AA$171 &amp; $X22),0)))))</f>
        <v>0.86959183023091491</v>
      </c>
      <c r="F22" s="33">
        <f ca="1">IF(ISERROR(MATCH(F$1,INDIRECT("Table!A"&amp;$X22):INDIRECT("Table!" &amp; $AA$171 &amp; $X22),0)),"",INDIRECT(CONCATENATE("Table!",ADDRESS($T22,MATCH(F$1,INDIRECT("Table!A" &amp; $X22):INDIRECT("Table!" &amp; $AA$171 &amp; $X22),0)))))</f>
        <v>0.36267206600081592</v>
      </c>
      <c r="G22" s="33">
        <f ca="1">IF(ISERROR(MATCH(G$1,INDIRECT("Table!A"&amp;$X22):INDIRECT("Table!" &amp; $AA$171 &amp; $X22),0)),"",INDIRECT(CONCATENATE("Table!",ADDRESS($T22,MATCH(G$1,INDIRECT("Table!A" &amp; $X22):INDIRECT("Table!" &amp; $AA$171 &amp; $X22),0)))))</f>
        <v>0.2882806587352042</v>
      </c>
      <c r="H22" s="33">
        <f ca="1">IF(ISERROR(MATCH(H$1,INDIRECT("Table!A"&amp;$X22):INDIRECT("Table!" &amp; $AA$171 &amp; $X22),0)),"",INDIRECT(CONCATENATE("Table!",ADDRESS($T22,MATCH(H$1,INDIRECT("Table!A" &amp; $X22):INDIRECT("Table!" &amp; $AA$171 &amp; $X22),0)))))</f>
        <v>0.39403849609088465</v>
      </c>
      <c r="I22" s="33" t="str">
        <f ca="1">IF(ISERROR(MATCH(I$1,INDIRECT("Table!A"&amp;$X22):INDIRECT("Table!" &amp; $AA$171 &amp; $X22),0)),"",INDIRECT(CONCATENATE("Table!",ADDRESS($T22,MATCH(I$1,INDIRECT("Table!A" &amp; $X22):INDIRECT("Table!" &amp; $AA$171 &amp; $X22),0)))))</f>
        <v/>
      </c>
      <c r="J22" s="33" t="str">
        <f ca="1">IF(ISERROR(MATCH(J$1,INDIRECT("Table!A"&amp;$X22):INDIRECT("Table!" &amp; $AA$171 &amp; $X22),0)),"",INDIRECT(CONCATENATE("Table!",ADDRESS($T22,MATCH(J$1,INDIRECT("Table!A" &amp; $X22):INDIRECT("Table!" &amp; $AA$171 &amp; $X22),0)))))</f>
        <v/>
      </c>
      <c r="K22" s="33" t="str">
        <f ca="1">IF(ISERROR(MATCH(K$1,INDIRECT("Table!A"&amp;$X22):INDIRECT("Table!" &amp; $AA$171 &amp; $X22),0)),"",INDIRECT(CONCATENATE("Table!",ADDRESS($T22,MATCH(K$1,INDIRECT("Table!A" &amp; $X22):INDIRECT("Table!" &amp; $AA$171 &amp; $X22),0)))))</f>
        <v/>
      </c>
      <c r="L22" s="33">
        <f ca="1">IF(ISERROR(MATCH(L$1,INDIRECT("Table!A"&amp;$X22):INDIRECT("Table!" &amp; $AA$171 &amp; $X22),0)),"",INDIRECT(CONCATENATE("Table!",ADDRESS($T22,MATCH(L$1,INDIRECT("Table!A" &amp; $X22):INDIRECT("Table!" &amp; $AA$171 &amp; $X22),0)))))</f>
        <v>0.85736888158926006</v>
      </c>
      <c r="M22" s="33">
        <f ca="1">IF(ISERROR(MATCH(M$1,INDIRECT("Table!A"&amp;$X22):INDIRECT("Table!" &amp; $AA$171 &amp; $X22),0)),"",INDIRECT(CONCATENATE("Table!",ADDRESS($T22,MATCH(M$1,INDIRECT("Table!A" &amp; $X22):INDIRECT("Table!" &amp; $AA$171 &amp; $X22),0)))))</f>
        <v>0.31518282447427654</v>
      </c>
      <c r="N22" s="33">
        <f ca="1">IF(ISERROR(MATCH(N$1,INDIRECT("Table!A"&amp;$X22):INDIRECT("Table!" &amp; $AA$171 &amp; $X22),0)),"",INDIRECT(CONCATENATE("Table!",ADDRESS($T22,MATCH(N$1,INDIRECT("Table!A" &amp; $X22):INDIRECT("Table!" &amp; $AA$171 &amp; $X22),0)))))</f>
        <v>0.37742894339526845</v>
      </c>
      <c r="O22" s="33">
        <f ca="1">IF(ISERROR(MATCH(O$1,INDIRECT("Table!A"&amp;$X22):INDIRECT("Table!" &amp; $AA$171 &amp; $X22),0)),"",INDIRECT(CONCATENATE("Table!",ADDRESS($T22,MATCH(O$1,INDIRECT("Table!A" &amp; $X22):INDIRECT("Table!" &amp; $AA$171 &amp; $X22),0)))))</f>
        <v>0.55447417792225528</v>
      </c>
      <c r="P22" s="33">
        <f ca="1">IF(ISERROR(MATCH(P$1,INDIRECT("Table!A"&amp;$X22):INDIRECT("Table!" &amp; $AA$171 &amp; $X22),0)),"",INDIRECT(CONCATENATE("Table!",ADDRESS($T22,MATCH(P$1,INDIRECT("Table!A" &amp; $X22):INDIRECT("Table!" &amp; $AA$171 &amp; $X22),0)))))</f>
        <v>0.37863476630068643</v>
      </c>
      <c r="T22" s="31">
        <f>MATCH($A22,Table!$A:$A,0)+$V$2-1</f>
        <v>310</v>
      </c>
      <c r="U22" s="264"/>
      <c r="V22" s="264"/>
      <c r="W22" s="264"/>
      <c r="X22" s="31">
        <f>MATCH($A22,Table!$A:$A,0)+$Z$2-1</f>
        <v>307</v>
      </c>
      <c r="Y22" s="264"/>
      <c r="AA22" t="s">
        <v>209</v>
      </c>
    </row>
    <row r="23" spans="1:27" ht="15.75" customHeight="1">
      <c r="A23" s="5">
        <v>41220</v>
      </c>
      <c r="B23" s="33">
        <f ca="1">IF(ISERROR(MATCH(B$1,INDIRECT("Table!A"&amp;$X23):INDIRECT("Table!" &amp; $AA$171 &amp; $X23),0)),"",INDIRECT(CONCATENATE("Table!",ADDRESS($T23,MATCH(B$1,INDIRECT("Table!A" &amp; $X23):INDIRECT("Table!" &amp; $AA$171 &amp; $X23),0)))))</f>
        <v>0.44576762194875308</v>
      </c>
      <c r="C23" s="33">
        <f ca="1">IF(ISERROR(MATCH(C$1,INDIRECT("Table!A"&amp;$X23):INDIRECT("Table!" &amp; $AA$171 &amp; $X23),0)),"",INDIRECT(CONCATENATE("Table!",ADDRESS($T23,MATCH(C$1,INDIRECT("Table!A" &amp; $X23):INDIRECT("Table!" &amp; $AA$171 &amp; $X23),0)))))</f>
        <v>0.4885825939868107</v>
      </c>
      <c r="D23" s="33">
        <f ca="1">IF(ISERROR(MATCH(D$1,INDIRECT("Table!A"&amp;$X23):INDIRECT("Table!" &amp; $AA$171 &amp; $X23),0)),"",INDIRECT(CONCATENATE("Table!",ADDRESS($T23,MATCH(D$1,INDIRECT("Table!A" &amp; $X23):INDIRECT("Table!" &amp; $AA$171 &amp; $X23),0)))))</f>
        <v>0.49806531938839643</v>
      </c>
      <c r="E23" s="33">
        <f ca="1">IF(ISERROR(MATCH(E$1,INDIRECT("Table!A"&amp;$X23):INDIRECT("Table!" &amp; $AA$171 &amp; $X23),0)),"",INDIRECT(CONCATENATE("Table!",ADDRESS($T23,MATCH(E$1,INDIRECT("Table!A" &amp; $X23):INDIRECT("Table!" &amp; $AA$171 &amp; $X23),0)))))</f>
        <v>0.86844016795807433</v>
      </c>
      <c r="F23" s="33">
        <f ca="1">IF(ISERROR(MATCH(F$1,INDIRECT("Table!A"&amp;$X23):INDIRECT("Table!" &amp; $AA$171 &amp; $X23),0)),"",INDIRECT(CONCATENATE("Table!",ADDRESS($T23,MATCH(F$1,INDIRECT("Table!A" &amp; $X23):INDIRECT("Table!" &amp; $AA$171 &amp; $X23),0)))))</f>
        <v>0.36087759326694974</v>
      </c>
      <c r="G23" s="33">
        <f ca="1">IF(ISERROR(MATCH(G$1,INDIRECT("Table!A"&amp;$X23):INDIRECT("Table!" &amp; $AA$171 &amp; $X23),0)),"",INDIRECT(CONCATENATE("Table!",ADDRESS($T23,MATCH(G$1,INDIRECT("Table!A" &amp; $X23):INDIRECT("Table!" &amp; $AA$171 &amp; $X23),0)))))</f>
        <v>0.29534253625162715</v>
      </c>
      <c r="H23" s="33">
        <f ca="1">IF(ISERROR(MATCH(H$1,INDIRECT("Table!A"&amp;$X23):INDIRECT("Table!" &amp; $AA$171 &amp; $X23),0)),"",INDIRECT(CONCATENATE("Table!",ADDRESS($T23,MATCH(H$1,INDIRECT("Table!A" &amp; $X23):INDIRECT("Table!" &amp; $AA$171 &amp; $X23),0)))))</f>
        <v>0.39366596391053288</v>
      </c>
      <c r="I23" s="33" t="str">
        <f ca="1">IF(ISERROR(MATCH(I$1,INDIRECT("Table!A"&amp;$X23):INDIRECT("Table!" &amp; $AA$171 &amp; $X23),0)),"",INDIRECT(CONCATENATE("Table!",ADDRESS($T23,MATCH(I$1,INDIRECT("Table!A" &amp; $X23):INDIRECT("Table!" &amp; $AA$171 &amp; $X23),0)))))</f>
        <v/>
      </c>
      <c r="J23" s="33" t="str">
        <f ca="1">IF(ISERROR(MATCH(J$1,INDIRECT("Table!A"&amp;$X23):INDIRECT("Table!" &amp; $AA$171 &amp; $X23),0)),"",INDIRECT(CONCATENATE("Table!",ADDRESS($T23,MATCH(J$1,INDIRECT("Table!A" &amp; $X23):INDIRECT("Table!" &amp; $AA$171 &amp; $X23),0)))))</f>
        <v/>
      </c>
      <c r="K23" s="33" t="str">
        <f ca="1">IF(ISERROR(MATCH(K$1,INDIRECT("Table!A"&amp;$X23):INDIRECT("Table!" &amp; $AA$171 &amp; $X23),0)),"",INDIRECT(CONCATENATE("Table!",ADDRESS($T23,MATCH(K$1,INDIRECT("Table!A" &amp; $X23):INDIRECT("Table!" &amp; $AA$171 &amp; $X23),0)))))</f>
        <v/>
      </c>
      <c r="L23" s="33">
        <f ca="1">IF(ISERROR(MATCH(L$1,INDIRECT("Table!A"&amp;$X23):INDIRECT("Table!" &amp; $AA$171 &amp; $X23),0)),"",INDIRECT(CONCATENATE("Table!",ADDRESS($T23,MATCH(L$1,INDIRECT("Table!A" &amp; $X23):INDIRECT("Table!" &amp; $AA$171 &amp; $X23),0)))))</f>
        <v>0.8569120698892656</v>
      </c>
      <c r="M23" s="33">
        <f ca="1">IF(ISERROR(MATCH(M$1,INDIRECT("Table!A"&amp;$X23):INDIRECT("Table!" &amp; $AA$171 &amp; $X23),0)),"",INDIRECT(CONCATENATE("Table!",ADDRESS($T23,MATCH(M$1,INDIRECT("Table!A" &amp; $X23):INDIRECT("Table!" &amp; $AA$171 &amp; $X23),0)))))</f>
        <v>0.2919401932307189</v>
      </c>
      <c r="N23" s="33">
        <f ca="1">IF(ISERROR(MATCH(N$1,INDIRECT("Table!A"&amp;$X23):INDIRECT("Table!" &amp; $AA$171 &amp; $X23),0)),"",INDIRECT(CONCATENATE("Table!",ADDRESS($T23,MATCH(N$1,INDIRECT("Table!A" &amp; $X23):INDIRECT("Table!" &amp; $AA$171 &amp; $X23),0)))))</f>
        <v>0.37555650379625344</v>
      </c>
      <c r="O23" s="33">
        <f ca="1">IF(ISERROR(MATCH(O$1,INDIRECT("Table!A"&amp;$X23):INDIRECT("Table!" &amp; $AA$171 &amp; $X23),0)),"",INDIRECT(CONCATENATE("Table!",ADDRESS($T23,MATCH(O$1,INDIRECT("Table!A" &amp; $X23):INDIRECT("Table!" &amp; $AA$171 &amp; $X23),0)))))</f>
        <v>0.55402540872278128</v>
      </c>
      <c r="P23" s="33">
        <f ca="1">IF(ISERROR(MATCH(P$1,INDIRECT("Table!A"&amp;$X23):INDIRECT("Table!" &amp; $AA$171 &amp; $X23),0)),"",INDIRECT(CONCATENATE("Table!",ADDRESS($T23,MATCH(P$1,INDIRECT("Table!A" &amp; $X23):INDIRECT("Table!" &amp; $AA$171 &amp; $X23),0)))))</f>
        <v>0.37863476630068643</v>
      </c>
      <c r="T23" s="31">
        <f>MATCH($A23,Table!$A:$A,0)+$V$2-1</f>
        <v>322</v>
      </c>
      <c r="U23" s="263"/>
      <c r="V23" s="263"/>
      <c r="W23" s="263"/>
      <c r="X23" s="31">
        <f>MATCH($A23,Table!$A:$A,0)+$Z$2-1</f>
        <v>319</v>
      </c>
      <c r="Y23" s="263"/>
      <c r="AA23" t="s">
        <v>209</v>
      </c>
    </row>
    <row r="24" spans="1:27" ht="15.75" customHeight="1">
      <c r="A24" s="5">
        <v>41219</v>
      </c>
      <c r="B24" s="33">
        <f ca="1">IF(ISERROR(MATCH(B$1,INDIRECT("Table!A"&amp;$X24):INDIRECT("Table!" &amp; $AA$171 &amp; $X24),0)),"",INDIRECT(CONCATENATE("Table!",ADDRESS($T24,MATCH(B$1,INDIRECT("Table!A" &amp; $X24):INDIRECT("Table!" &amp; $AA$171 &amp; $X24),0)))))</f>
        <v>0.45899219064914265</v>
      </c>
      <c r="C24" s="33">
        <f ca="1">IF(ISERROR(MATCH(C$1,INDIRECT("Table!A"&amp;$X24):INDIRECT("Table!" &amp; $AA$171 &amp; $X24),0)),"",INDIRECT(CONCATENATE("Table!",ADDRESS($T24,MATCH(C$1,INDIRECT("Table!A" &amp; $X24):INDIRECT("Table!" &amp; $AA$171 &amp; $X24),0)))))</f>
        <v>0.48852346398185442</v>
      </c>
      <c r="D24" s="33">
        <f ca="1">IF(ISERROR(MATCH(D$1,INDIRECT("Table!A"&amp;$X24):INDIRECT("Table!" &amp; $AA$171 &amp; $X24),0)),"",INDIRECT(CONCATENATE("Table!",ADDRESS($T24,MATCH(D$1,INDIRECT("Table!A" &amp; $X24):INDIRECT("Table!" &amp; $AA$171 &amp; $X24),0)))))</f>
        <v>0.49803409343072291</v>
      </c>
      <c r="E24" s="33">
        <f ca="1">IF(ISERROR(MATCH(E$1,INDIRECT("Table!A"&amp;$X24):INDIRECT("Table!" &amp; $AA$171 &amp; $X24),0)),"",INDIRECT(CONCATENATE("Table!",ADDRESS($T24,MATCH(E$1,INDIRECT("Table!A" &amp; $X24):INDIRECT("Table!" &amp; $AA$171 &amp; $X24),0)))))</f>
        <v>0.86809895504231382</v>
      </c>
      <c r="F24" s="33">
        <f ca="1">IF(ISERROR(MATCH(F$1,INDIRECT("Table!A"&amp;$X24):INDIRECT("Table!" &amp; $AA$171 &amp; $X24),0)),"",INDIRECT(CONCATENATE("Table!",ADDRESS($T24,MATCH(F$1,INDIRECT("Table!A" &amp; $X24):INDIRECT("Table!" &amp; $AA$171 &amp; $X24),0)))))</f>
        <v>0.36041764252580044</v>
      </c>
      <c r="G24" s="33">
        <f ca="1">IF(ISERROR(MATCH(G$1,INDIRECT("Table!A"&amp;$X24):INDIRECT("Table!" &amp; $AA$171 &amp; $X24),0)),"",INDIRECT(CONCATENATE("Table!",ADDRESS($T24,MATCH(G$1,INDIRECT("Table!A" &amp; $X24):INDIRECT("Table!" &amp; $AA$171 &amp; $X24),0)))))</f>
        <v>0.30136454454636274</v>
      </c>
      <c r="H24" s="33">
        <f ca="1">IF(ISERROR(MATCH(H$1,INDIRECT("Table!A"&amp;$X24):INDIRECT("Table!" &amp; $AA$171 &amp; $X24),0)),"",INDIRECT(CONCATENATE("Table!",ADDRESS($T24,MATCH(H$1,INDIRECT("Table!A" &amp; $X24):INDIRECT("Table!" &amp; $AA$171 &amp; $X24),0)))))</f>
        <v>0.39358272110032155</v>
      </c>
      <c r="I24" s="33" t="str">
        <f ca="1">IF(ISERROR(MATCH(I$1,INDIRECT("Table!A"&amp;$X24):INDIRECT("Table!" &amp; $AA$171 &amp; $X24),0)),"",INDIRECT(CONCATENATE("Table!",ADDRESS($T24,MATCH(I$1,INDIRECT("Table!A" &amp; $X24):INDIRECT("Table!" &amp; $AA$171 &amp; $X24),0)))))</f>
        <v/>
      </c>
      <c r="J24" s="33" t="str">
        <f ca="1">IF(ISERROR(MATCH(J$1,INDIRECT("Table!A"&amp;$X24):INDIRECT("Table!" &amp; $AA$171 &amp; $X24),0)),"",INDIRECT(CONCATENATE("Table!",ADDRESS($T24,MATCH(J$1,INDIRECT("Table!A" &amp; $X24):INDIRECT("Table!" &amp; $AA$171 &amp; $X24),0)))))</f>
        <v/>
      </c>
      <c r="K24" s="33" t="str">
        <f ca="1">IF(ISERROR(MATCH(K$1,INDIRECT("Table!A"&amp;$X24):INDIRECT("Table!" &amp; $AA$171 &amp; $X24),0)),"",INDIRECT(CONCATENATE("Table!",ADDRESS($T24,MATCH(K$1,INDIRECT("Table!A" &amp; $X24):INDIRECT("Table!" &amp; $AA$171 &amp; $X24),0)))))</f>
        <v/>
      </c>
      <c r="L24" s="33">
        <f ca="1">IF(ISERROR(MATCH(L$1,INDIRECT("Table!A"&amp;$X24):INDIRECT("Table!" &amp; $AA$171 &amp; $X24),0)),"",INDIRECT(CONCATENATE("Table!",ADDRESS($T24,MATCH(L$1,INDIRECT("Table!A" &amp; $X24):INDIRECT("Table!" &amp; $AA$171 &amp; $X24),0)))))</f>
        <v>0.85684773021321003</v>
      </c>
      <c r="M24" s="33">
        <f ca="1">IF(ISERROR(MATCH(M$1,INDIRECT("Table!A"&amp;$X24):INDIRECT("Table!" &amp; $AA$171 &amp; $X24),0)),"",INDIRECT(CONCATENATE("Table!",ADDRESS($T24,MATCH(M$1,INDIRECT("Table!A" &amp; $X24):INDIRECT("Table!" &amp; $AA$171 &amp; $X24),0)))))</f>
        <v>0.29018513276854546</v>
      </c>
      <c r="N24" s="33">
        <f ca="1">IF(ISERROR(MATCH(N$1,INDIRECT("Table!A"&amp;$X24):INDIRECT("Table!" &amp; $AA$171 &amp; $X24),0)),"",INDIRECT(CONCATENATE("Table!",ADDRESS($T24,MATCH(N$1,INDIRECT("Table!A" &amp; $X24):INDIRECT("Table!" &amp; $AA$171 &amp; $X24),0)))))</f>
        <v>0.3750947401249663</v>
      </c>
      <c r="O24" s="33">
        <f ca="1">IF(ISERROR(MATCH(O$1,INDIRECT("Table!A"&amp;$X24):INDIRECT("Table!" &amp; $AA$171 &amp; $X24),0)),"",INDIRECT(CONCATENATE("Table!",ADDRESS($T24,MATCH(O$1,INDIRECT("Table!A" &amp; $X24):INDIRECT("Table!" &amp; $AA$171 &amp; $X24),0)))))</f>
        <v>0.55391038328402731</v>
      </c>
      <c r="P24" s="33">
        <f ca="1">IF(ISERROR(MATCH(P$1,INDIRECT("Table!A"&amp;$X24):INDIRECT("Table!" &amp; $AA$171 &amp; $X24),0)),"",INDIRECT(CONCATENATE("Table!",ADDRESS($T24,MATCH(P$1,INDIRECT("Table!A" &amp; $X24):INDIRECT("Table!" &amp; $AA$171 &amp; $X24),0)))))</f>
        <v>0.37863476630068643</v>
      </c>
      <c r="T24" s="31">
        <f>MATCH($A24,Table!$A:$A,0)+$V$2-1</f>
        <v>334</v>
      </c>
      <c r="U24" s="263"/>
      <c r="V24" s="263"/>
      <c r="W24" s="263"/>
      <c r="X24" s="31">
        <f>MATCH($A24,Table!$A:$A,0)+$Z$2-1</f>
        <v>331</v>
      </c>
      <c r="Y24" s="263"/>
      <c r="AA24" t="s">
        <v>209</v>
      </c>
    </row>
    <row r="25" spans="1:27" ht="15.75" customHeight="1">
      <c r="A25" s="5">
        <v>41215</v>
      </c>
      <c r="B25" s="33">
        <f ca="1">IF(ISERROR(MATCH(B$1,INDIRECT("Table!A"&amp;$X25):INDIRECT("Table!" &amp; $AA$171 &amp; $X25),0)),"",INDIRECT(CONCATENATE("Table!",ADDRESS($T25,MATCH(B$1,INDIRECT("Table!A" &amp; $X25):INDIRECT("Table!" &amp; $AA$171 &amp; $X25),0)))))</f>
        <v>0.47138547284998761</v>
      </c>
      <c r="C25" s="33">
        <f ca="1">IF(ISERROR(MATCH(C$1,INDIRECT("Table!A"&amp;$X25):INDIRECT("Table!" &amp; $AA$171 &amp; $X25),0)),"",INDIRECT(CONCATENATE("Table!",ADDRESS($T25,MATCH(C$1,INDIRECT("Table!A" &amp; $X25):INDIRECT("Table!" &amp; $AA$171 &amp; $X25),0)))))</f>
        <v>0.48817732091913274</v>
      </c>
      <c r="D25" s="33">
        <f ca="1">IF(ISERROR(MATCH(D$1,INDIRECT("Table!A"&amp;$X25):INDIRECT("Table!" &amp; $AA$171 &amp; $X25),0)),"",INDIRECT(CONCATENATE("Table!",ADDRESS($T25,MATCH(D$1,INDIRECT("Table!A" &amp; $X25):INDIRECT("Table!" &amp; $AA$171 &amp; $X25),0)))))</f>
        <v>0.49776435430698968</v>
      </c>
      <c r="E25" s="33">
        <f ca="1">IF(ISERROR(MATCH(E$1,INDIRECT("Table!A"&amp;$X25):INDIRECT("Table!" &amp; $AA$171 &amp; $X25),0)),"",INDIRECT(CONCATENATE("Table!",ADDRESS($T25,MATCH(E$1,INDIRECT("Table!A" &amp; $X25):INDIRECT("Table!" &amp; $AA$171 &amp; $X25),0)))))</f>
        <v>0.88812886749180486</v>
      </c>
      <c r="F25" s="33">
        <f ca="1">IF(ISERROR(MATCH(F$1,INDIRECT("Table!A"&amp;$X25):INDIRECT("Table!" &amp; $AA$171 &amp; $X25),0)),"",INDIRECT(CONCATENATE("Table!",ADDRESS($T25,MATCH(F$1,INDIRECT("Table!A" &amp; $X25):INDIRECT("Table!" &amp; $AA$171 &amp; $X25),0)))))</f>
        <v>0.35766579531889814</v>
      </c>
      <c r="G25" s="33">
        <f ca="1">IF(ISERROR(MATCH(G$1,INDIRECT("Table!A"&amp;$X25):INDIRECT("Table!" &amp; $AA$171 &amp; $X25),0)),"",INDIRECT(CONCATENATE("Table!",ADDRESS($T25,MATCH(G$1,INDIRECT("Table!A" &amp; $X25):INDIRECT("Table!" &amp; $AA$171 &amp; $X25),0)))))</f>
        <v>0.30862924953834048</v>
      </c>
      <c r="H25" s="33">
        <f ca="1">IF(ISERROR(MATCH(H$1,INDIRECT("Table!A"&amp;$X25):INDIRECT("Table!" &amp; $AA$171 &amp; $X25),0)),"",INDIRECT(CONCATENATE("Table!",ADDRESS($T25,MATCH(H$1,INDIRECT("Table!A" &amp; $X25):INDIRECT("Table!" &amp; $AA$171 &amp; $X25),0)))))</f>
        <v>0.39045493432059852</v>
      </c>
      <c r="I25" s="33" t="str">
        <f ca="1">IF(ISERROR(MATCH(I$1,INDIRECT("Table!A"&amp;$X25):INDIRECT("Table!" &amp; $AA$171 &amp; $X25),0)),"",INDIRECT(CONCATENATE("Table!",ADDRESS($T25,MATCH(I$1,INDIRECT("Table!A" &amp; $X25):INDIRECT("Table!" &amp; $AA$171 &amp; $X25),0)))))</f>
        <v/>
      </c>
      <c r="J25" s="33" t="str">
        <f ca="1">IF(ISERROR(MATCH(J$1,INDIRECT("Table!A"&amp;$X25):INDIRECT("Table!" &amp; $AA$171 &amp; $X25),0)),"",INDIRECT(CONCATENATE("Table!",ADDRESS($T25,MATCH(J$1,INDIRECT("Table!A" &amp; $X25):INDIRECT("Table!" &amp; $AA$171 &amp; $X25),0)))))</f>
        <v/>
      </c>
      <c r="K25" s="33" t="str">
        <f ca="1">IF(ISERROR(MATCH(K$1,INDIRECT("Table!A"&amp;$X25):INDIRECT("Table!" &amp; $AA$171 &amp; $X25),0)),"",INDIRECT(CONCATENATE("Table!",ADDRESS($T25,MATCH(K$1,INDIRECT("Table!A" &amp; $X25):INDIRECT("Table!" &amp; $AA$171 &amp; $X25),0)))))</f>
        <v/>
      </c>
      <c r="L25" s="33">
        <f ca="1">IF(ISERROR(MATCH(L$1,INDIRECT("Table!A"&amp;$X25):INDIRECT("Table!" &amp; $AA$171 &amp; $X25),0)),"",INDIRECT(CONCATENATE("Table!",ADDRESS($T25,MATCH(L$1,INDIRECT("Table!A" &amp; $X25):INDIRECT("Table!" &amp; $AA$171 &amp; $X25),0)))))</f>
        <v>0.85488010593820107</v>
      </c>
      <c r="M25" s="33">
        <f ca="1">IF(ISERROR(MATCH(M$1,INDIRECT("Table!A"&amp;$X25):INDIRECT("Table!" &amp; $AA$171 &amp; $X25),0)),"",INDIRECT(CONCATENATE("Table!",ADDRESS($T25,MATCH(M$1,INDIRECT("Table!A" &amp; $X25):INDIRECT("Table!" &amp; $AA$171 &amp; $X25),0)))))</f>
        <v>0.29398814217881786</v>
      </c>
      <c r="N25" s="33">
        <f ca="1">IF(ISERROR(MATCH(N$1,INDIRECT("Table!A"&amp;$X25):INDIRECT("Table!" &amp; $AA$171 &amp; $X25),0)),"",INDIRECT(CONCATENATE("Table!",ADDRESS($T25,MATCH(N$1,INDIRECT("Table!A" &amp; $X25):INDIRECT("Table!" &amp; $AA$171 &amp; $X25),0)))))</f>
        <v>0.3721416284784887</v>
      </c>
      <c r="O25" s="33">
        <f ca="1">IF(ISERROR(MATCH(O$1,INDIRECT("Table!A"&amp;$X25):INDIRECT("Table!" &amp; $AA$171 &amp; $X25),0)),"",INDIRECT(CONCATENATE("Table!",ADDRESS($T25,MATCH(O$1,INDIRECT("Table!A" &amp; $X25):INDIRECT("Table!" &amp; $AA$171 &amp; $X25),0)))))</f>
        <v>0.55297998047400676</v>
      </c>
      <c r="P25" s="33">
        <f ca="1">IF(ISERROR(MATCH(P$1,INDIRECT("Table!A"&amp;$X25):INDIRECT("Table!" &amp; $AA$171 &amp; $X25),0)),"",INDIRECT(CONCATENATE("Table!",ADDRESS($T25,MATCH(P$1,INDIRECT("Table!A" &amp; $X25):INDIRECT("Table!" &amp; $AA$171 &amp; $X25),0)))))</f>
        <v>0.41978478177746215</v>
      </c>
      <c r="T25" s="31">
        <f>MATCH($A25,Table!$A:$A,0)+$V$2-1</f>
        <v>346</v>
      </c>
      <c r="U25" s="262"/>
      <c r="V25" s="262"/>
      <c r="W25" s="262"/>
      <c r="X25" s="31">
        <f>MATCH($A25,Table!$A:$A,0)+$Z$2-1</f>
        <v>343</v>
      </c>
      <c r="Y25" s="262"/>
      <c r="AA25" t="s">
        <v>209</v>
      </c>
    </row>
    <row r="26" spans="1:27" ht="15.75" customHeight="1">
      <c r="A26" s="5">
        <v>41214</v>
      </c>
      <c r="B26" s="33">
        <f ca="1">IF(ISERROR(MATCH(B$1,INDIRECT("Table!A"&amp;$X26):INDIRECT("Table!" &amp; $AA$171 &amp; $X26),0)),"",INDIRECT(CONCATENATE("Table!",ADDRESS($T26,MATCH(B$1,INDIRECT("Table!A" &amp; $X26):INDIRECT("Table!" &amp; $AA$171 &amp; $X26),0)))))</f>
        <v>0.48053171650898718</v>
      </c>
      <c r="C26" s="33">
        <f ca="1">IF(ISERROR(MATCH(C$1,INDIRECT("Table!A"&amp;$X26):INDIRECT("Table!" &amp; $AA$171 &amp; $X26),0)),"",INDIRECT(CONCATENATE("Table!",ADDRESS($T26,MATCH(C$1,INDIRECT("Table!A" &amp; $X26):INDIRECT("Table!" &amp; $AA$171 &amp; $X26),0)))))</f>
        <v>0.48810224574430067</v>
      </c>
      <c r="D26" s="33">
        <f ca="1">IF(ISERROR(MATCH(D$1,INDIRECT("Table!A"&amp;$X26):INDIRECT("Table!" &amp; $AA$171 &amp; $X26),0)),"",INDIRECT(CONCATENATE("Table!",ADDRESS($T26,MATCH(D$1,INDIRECT("Table!A" &amp; $X26):INDIRECT("Table!" &amp; $AA$171 &amp; $X26),0)))))</f>
        <v>0.49768861475007942</v>
      </c>
      <c r="E26" s="33">
        <f ca="1">IF(ISERROR(MATCH(E$1,INDIRECT("Table!A"&amp;$X26):INDIRECT("Table!" &amp; $AA$171 &amp; $X26),0)),"",INDIRECT(CONCATENATE("Table!",ADDRESS($T26,MATCH(E$1,INDIRECT("Table!A" &amp; $X26):INDIRECT("Table!" &amp; $AA$171 &amp; $X26),0)))))</f>
        <v>0.88778655566166198</v>
      </c>
      <c r="F26" s="33">
        <f ca="1">IF(ISERROR(MATCH(F$1,INDIRECT("Table!A"&amp;$X26):INDIRECT("Table!" &amp; $AA$171 &amp; $X26),0)),"",INDIRECT(CONCATENATE("Table!",ADDRESS($T26,MATCH(F$1,INDIRECT("Table!A" &amp; $X26):INDIRECT("Table!" &amp; $AA$171 &amp; $X26),0)))))</f>
        <v>0.35537631646545081</v>
      </c>
      <c r="G26" s="33">
        <f ca="1">IF(ISERROR(MATCH(G$1,INDIRECT("Table!A"&amp;$X26):INDIRECT("Table!" &amp; $AA$171 &amp; $X26),0)),"",INDIRECT(CONCATENATE("Table!",ADDRESS($T26,MATCH(G$1,INDIRECT("Table!A" &amp; $X26):INDIRECT("Table!" &amp; $AA$171 &amp; $X26),0)))))</f>
        <v>0.31387022068840253</v>
      </c>
      <c r="H26" s="33">
        <f ca="1">IF(ISERROR(MATCH(H$1,INDIRECT("Table!A"&amp;$X26):INDIRECT("Table!" &amp; $AA$171 &amp; $X26),0)),"",INDIRECT(CONCATENATE("Table!",ADDRESS($T26,MATCH(H$1,INDIRECT("Table!A" &amp; $X26):INDIRECT("Table!" &amp; $AA$171 &amp; $X26),0)))))</f>
        <v>0.39032800963968223</v>
      </c>
      <c r="I26" s="33" t="str">
        <f ca="1">IF(ISERROR(MATCH(I$1,INDIRECT("Table!A"&amp;$X26):INDIRECT("Table!" &amp; $AA$171 &amp; $X26),0)),"",INDIRECT(CONCATENATE("Table!",ADDRESS($T26,MATCH(I$1,INDIRECT("Table!A" &amp; $X26):INDIRECT("Table!" &amp; $AA$171 &amp; $X26),0)))))</f>
        <v/>
      </c>
      <c r="J26" s="33" t="str">
        <f ca="1">IF(ISERROR(MATCH(J$1,INDIRECT("Table!A"&amp;$X26):INDIRECT("Table!" &amp; $AA$171 &amp; $X26),0)),"",INDIRECT(CONCATENATE("Table!",ADDRESS($T26,MATCH(J$1,INDIRECT("Table!A" &amp; $X26):INDIRECT("Table!" &amp; $AA$171 &amp; $X26),0)))))</f>
        <v/>
      </c>
      <c r="K26" s="33" t="str">
        <f ca="1">IF(ISERROR(MATCH(K$1,INDIRECT("Table!A"&amp;$X26):INDIRECT("Table!" &amp; $AA$171 &amp; $X26),0)),"",INDIRECT(CONCATENATE("Table!",ADDRESS($T26,MATCH(K$1,INDIRECT("Table!A" &amp; $X26):INDIRECT("Table!" &amp; $AA$171 &amp; $X26),0)))))</f>
        <v/>
      </c>
      <c r="L26" s="33">
        <f ca="1">IF(ISERROR(MATCH(L$1,INDIRECT("Table!A"&amp;$X26):INDIRECT("Table!" &amp; $AA$171 &amp; $X26),0)),"",INDIRECT(CONCATENATE("Table!",ADDRESS($T26,MATCH(L$1,INDIRECT("Table!A" &amp; $X26):INDIRECT("Table!" &amp; $AA$171 &amp; $X26),0)))))</f>
        <v>0.85462099251554091</v>
      </c>
      <c r="M26" s="33">
        <f ca="1">IF(ISERROR(MATCH(M$1,INDIRECT("Table!A"&amp;$X26):INDIRECT("Table!" &amp; $AA$171 &amp; $X26),0)),"",INDIRECT(CONCATENATE("Table!",ADDRESS($T26,MATCH(M$1,INDIRECT("Table!A" &amp; $X26):INDIRECT("Table!" &amp; $AA$171 &amp; $X26),0)))))</f>
        <v>0.29708125649917277</v>
      </c>
      <c r="N26" s="33">
        <f ca="1">IF(ISERROR(MATCH(N$1,INDIRECT("Table!A"&amp;$X26):INDIRECT("Table!" &amp; $AA$171 &amp; $X26),0)),"",INDIRECT(CONCATENATE("Table!",ADDRESS($T26,MATCH(N$1,INDIRECT("Table!A" &amp; $X26):INDIRECT("Table!" &amp; $AA$171 &amp; $X26),0)))))</f>
        <v>0.36983764534374192</v>
      </c>
      <c r="O26" s="33">
        <f ca="1">IF(ISERROR(MATCH(O$1,INDIRECT("Table!A"&amp;$X26):INDIRECT("Table!" &amp; $AA$171 &amp; $X26),0)),"",INDIRECT(CONCATENATE("Table!",ADDRESS($T26,MATCH(O$1,INDIRECT("Table!A" &amp; $X26):INDIRECT("Table!" &amp; $AA$171 &amp; $X26),0)))))</f>
        <v>0.55280375923532443</v>
      </c>
      <c r="P26" s="33">
        <f ca="1">IF(ISERROR(MATCH(P$1,INDIRECT("Table!A"&amp;$X26):INDIRECT("Table!" &amp; $AA$171 &amp; $X26),0)),"",INDIRECT(CONCATENATE("Table!",ADDRESS($T26,MATCH(P$1,INDIRECT("Table!A" &amp; $X26):INDIRECT("Table!" &amp; $AA$171 &amp; $X26),0)))))</f>
        <v>0.41978478177746215</v>
      </c>
      <c r="T26" s="31">
        <f>MATCH($A26,Table!$A:$A,0)+$V$2-1</f>
        <v>358</v>
      </c>
      <c r="U26" s="261"/>
      <c r="V26" s="261"/>
      <c r="W26" s="261"/>
      <c r="X26" s="31">
        <f>MATCH($A26,Table!$A:$A,0)+$Z$2-1</f>
        <v>355</v>
      </c>
      <c r="Y26" s="261"/>
      <c r="AA26" t="s">
        <v>209</v>
      </c>
    </row>
    <row r="27" spans="1:27" ht="15.75" customHeight="1">
      <c r="A27" s="5">
        <v>41213</v>
      </c>
      <c r="B27" s="33">
        <f ca="1">IF(ISERROR(MATCH(B$1,INDIRECT("Table!A"&amp;$X27):INDIRECT("Table!" &amp; $AA$171 &amp; $X27),0)),"",INDIRECT(CONCATENATE("Table!",ADDRESS($T27,MATCH(B$1,INDIRECT("Table!A" &amp; $X27):INDIRECT("Table!" &amp; $AA$171 &amp; $X27),0)))))</f>
        <v>0.48993878328109891</v>
      </c>
      <c r="C27" s="33">
        <f ca="1">IF(ISERROR(MATCH(C$1,INDIRECT("Table!A"&amp;$X27):INDIRECT("Table!" &amp; $AA$171 &amp; $X27),0)),"",INDIRECT(CONCATENATE("Table!",ADDRESS($T27,MATCH(C$1,INDIRECT("Table!A" &amp; $X27):INDIRECT("Table!" &amp; $AA$171 &amp; $X27),0)))))</f>
        <v>0.48802119113076503</v>
      </c>
      <c r="D27" s="33">
        <f ca="1">IF(ISERROR(MATCH(D$1,INDIRECT("Table!A"&amp;$X27):INDIRECT("Table!" &amp; $AA$171 &amp; $X27),0)),"",INDIRECT(CONCATENATE("Table!",ADDRESS($T27,MATCH(D$1,INDIRECT("Table!A" &amp; $X27):INDIRECT("Table!" &amp; $AA$171 &amp; $X27),0)))))</f>
        <v>0.49760822451862197</v>
      </c>
      <c r="E27" s="33">
        <f ca="1">IF(ISERROR(MATCH(E$1,INDIRECT("Table!A"&amp;$X27):INDIRECT("Table!" &amp; $AA$171 &amp; $X27),0)),"",INDIRECT(CONCATENATE("Table!",ADDRESS($T27,MATCH(E$1,INDIRECT("Table!A" &amp; $X27):INDIRECT("Table!" &amp; $AA$171 &amp; $X27),0)))))</f>
        <v>0.88756952007112189</v>
      </c>
      <c r="F27" s="33">
        <f ca="1">IF(ISERROR(MATCH(F$1,INDIRECT("Table!A"&amp;$X27):INDIRECT("Table!" &amp; $AA$171 &amp; $X27),0)),"",INDIRECT(CONCATENATE("Table!",ADDRESS($T27,MATCH(F$1,INDIRECT("Table!A" &amp; $X27):INDIRECT("Table!" &amp; $AA$171 &amp; $X27),0)))))</f>
        <v>0.35354799715930557</v>
      </c>
      <c r="G27" s="33">
        <f ca="1">IF(ISERROR(MATCH(G$1,INDIRECT("Table!A"&amp;$X27):INDIRECT("Table!" &amp; $AA$171 &amp; $X27),0)),"",INDIRECT(CONCATENATE("Table!",ADDRESS($T27,MATCH(G$1,INDIRECT("Table!A" &amp; $X27):INDIRECT("Table!" &amp; $AA$171 &amp; $X27),0)))))</f>
        <v>0.30865649502013137</v>
      </c>
      <c r="H27" s="33">
        <f ca="1">IF(ISERROR(MATCH(H$1,INDIRECT("Table!A"&amp;$X27):INDIRECT("Table!" &amp; $AA$171 &amp; $X27),0)),"",INDIRECT(CONCATENATE("Table!",ADDRESS($T27,MATCH(H$1,INDIRECT("Table!A" &amp; $X27):INDIRECT("Table!" &amp; $AA$171 &amp; $X27),0)))))</f>
        <v>0.39002800584842556</v>
      </c>
      <c r="I27" s="33" t="str">
        <f ca="1">IF(ISERROR(MATCH(I$1,INDIRECT("Table!A"&amp;$X27):INDIRECT("Table!" &amp; $AA$171 &amp; $X27),0)),"",INDIRECT(CONCATENATE("Table!",ADDRESS($T27,MATCH(I$1,INDIRECT("Table!A" &amp; $X27):INDIRECT("Table!" &amp; $AA$171 &amp; $X27),0)))))</f>
        <v/>
      </c>
      <c r="J27" s="33" t="str">
        <f ca="1">IF(ISERROR(MATCH(J$1,INDIRECT("Table!A"&amp;$X27):INDIRECT("Table!" &amp; $AA$171 &amp; $X27),0)),"",INDIRECT(CONCATENATE("Table!",ADDRESS($T27,MATCH(J$1,INDIRECT("Table!A" &amp; $X27):INDIRECT("Table!" &amp; $AA$171 &amp; $X27),0)))))</f>
        <v/>
      </c>
      <c r="K27" s="33" t="str">
        <f ca="1">IF(ISERROR(MATCH(K$1,INDIRECT("Table!A"&amp;$X27):INDIRECT("Table!" &amp; $AA$171 &amp; $X27),0)),"",INDIRECT(CONCATENATE("Table!",ADDRESS($T27,MATCH(K$1,INDIRECT("Table!A" &amp; $X27):INDIRECT("Table!" &amp; $AA$171 &amp; $X27),0)))))</f>
        <v/>
      </c>
      <c r="L27" s="33">
        <f ca="1">IF(ISERROR(MATCH(L$1,INDIRECT("Table!A"&amp;$X27):INDIRECT("Table!" &amp; $AA$171 &amp; $X27),0)),"",INDIRECT(CONCATENATE("Table!",ADDRESS($T27,MATCH(L$1,INDIRECT("Table!A" &amp; $X27):INDIRECT("Table!" &amp; $AA$171 &amp; $X27),0)))))</f>
        <v>0.85448353957124035</v>
      </c>
      <c r="M27" s="33">
        <f ca="1">IF(ISERROR(MATCH(M$1,INDIRECT("Table!A"&amp;$X27):INDIRECT("Table!" &amp; $AA$171 &amp; $X27),0)),"",INDIRECT(CONCATENATE("Table!",ADDRESS($T27,MATCH(M$1,INDIRECT("Table!A" &amp; $X27):INDIRECT("Table!" &amp; $AA$171 &amp; $X27),0)))))</f>
        <v>0.29618442741436224</v>
      </c>
      <c r="N27" s="33">
        <f ca="1">IF(ISERROR(MATCH(N$1,INDIRECT("Table!A"&amp;$X27):INDIRECT("Table!" &amp; $AA$171 &amp; $X27),0)),"",INDIRECT(CONCATENATE("Table!",ADDRESS($T27,MATCH(N$1,INDIRECT("Table!A" &amp; $X27):INDIRECT("Table!" &amp; $AA$171 &amp; $X27),0)))))</f>
        <v>0.36801597557246002</v>
      </c>
      <c r="O27" s="33">
        <f ca="1">IF(ISERROR(MATCH(O$1,INDIRECT("Table!A"&amp;$X27):INDIRECT("Table!" &amp; $AA$171 &amp; $X27),0)),"",INDIRECT(CONCATENATE("Table!",ADDRESS($T27,MATCH(O$1,INDIRECT("Table!A" &amp; $X27):INDIRECT("Table!" &amp; $AA$171 &amp; $X27),0)))))</f>
        <v>0.55239068758580867</v>
      </c>
      <c r="P27" s="33">
        <f ca="1">IF(ISERROR(MATCH(P$1,INDIRECT("Table!A"&amp;$X27):INDIRECT("Table!" &amp; $AA$171 &amp; $X27),0)),"",INDIRECT(CONCATENATE("Table!",ADDRESS($T27,MATCH(P$1,INDIRECT("Table!A" &amp; $X27):INDIRECT("Table!" &amp; $AA$171 &amp; $X27),0)))))</f>
        <v>0.41978478177746215</v>
      </c>
      <c r="T27" s="31">
        <f>MATCH($A27,Table!$A:$A,0)+$V$2-1</f>
        <v>370</v>
      </c>
      <c r="U27" s="260"/>
      <c r="V27" s="260"/>
      <c r="W27" s="260"/>
      <c r="X27" s="31">
        <f>MATCH($A27,Table!$A:$A,0)+$Z$2-1</f>
        <v>367</v>
      </c>
      <c r="Y27" s="260"/>
      <c r="AA27" t="s">
        <v>209</v>
      </c>
    </row>
    <row r="28" spans="1:27" ht="15.75" customHeight="1">
      <c r="A28" s="5">
        <v>41211</v>
      </c>
      <c r="B28" s="33">
        <f ca="1">IF(ISERROR(MATCH(B$1,INDIRECT("Table!A"&amp;$X28):INDIRECT("Table!" &amp; $AA$171 &amp; $X28),0)),"",INDIRECT(CONCATENATE("Table!",ADDRESS($T28,MATCH(B$1,INDIRECT("Table!A" &amp; $X28):INDIRECT("Table!" &amp; $AA$171 &amp; $X28),0)))))</f>
        <v>0.50189061887606157</v>
      </c>
      <c r="C28" s="33">
        <f ca="1">IF(ISERROR(MATCH(C$1,INDIRECT("Table!A"&amp;$X28):INDIRECT("Table!" &amp; $AA$171 &amp; $X28),0)),"",INDIRECT(CONCATENATE("Table!",ADDRESS($T28,MATCH(C$1,INDIRECT("Table!A" &amp; $X28):INDIRECT("Table!" &amp; $AA$171 &amp; $X28),0)))))</f>
        <v>0.48693691957920698</v>
      </c>
      <c r="D28" s="33">
        <f ca="1">IF(ISERROR(MATCH(D$1,INDIRECT("Table!A"&amp;$X28):INDIRECT("Table!" &amp; $AA$171 &amp; $X28),0)),"",INDIRECT(CONCATENATE("Table!",ADDRESS($T28,MATCH(D$1,INDIRECT("Table!A" &amp; $X28):INDIRECT("Table!" &amp; $AA$171 &amp; $X28),0)))))</f>
        <v>0.49644954217430998</v>
      </c>
      <c r="E28" s="33">
        <f ca="1">IF(ISERROR(MATCH(E$1,INDIRECT("Table!A"&amp;$X28):INDIRECT("Table!" &amp; $AA$171 &amp; $X28),0)),"",INDIRECT(CONCATENATE("Table!",ADDRESS($T28,MATCH(E$1,INDIRECT("Table!A" &amp; $X28):INDIRECT("Table!" &amp; $AA$171 &amp; $X28),0)))))</f>
        <v>0.88702995310932331</v>
      </c>
      <c r="F28" s="33">
        <f ca="1">IF(ISERROR(MATCH(F$1,INDIRECT("Table!A"&amp;$X28):INDIRECT("Table!" &amp; $AA$171 &amp; $X28),0)),"",INDIRECT(CONCATENATE("Table!",ADDRESS($T28,MATCH(F$1,INDIRECT("Table!A" &amp; $X28):INDIRECT("Table!" &amp; $AA$171 &amp; $X28),0)))))</f>
        <v>0.35140236623804416</v>
      </c>
      <c r="G28" s="33">
        <f ca="1">IF(ISERROR(MATCH(G$1,INDIRECT("Table!A"&amp;$X28):INDIRECT("Table!" &amp; $AA$171 &amp; $X28),0)),"",INDIRECT(CONCATENATE("Table!",ADDRESS($T28,MATCH(G$1,INDIRECT("Table!A" &amp; $X28):INDIRECT("Table!" &amp; $AA$171 &amp; $X28),0)))))</f>
        <v>0.30014455241727966</v>
      </c>
      <c r="H28" s="33">
        <f ca="1">IF(ISERROR(MATCH(H$1,INDIRECT("Table!A"&amp;$X28):INDIRECT("Table!" &amp; $AA$171 &amp; $X28),0)),"",INDIRECT(CONCATENATE("Table!",ADDRESS($T28,MATCH(H$1,INDIRECT("Table!A" &amp; $X28):INDIRECT("Table!" &amp; $AA$171 &amp; $X28),0)))))</f>
        <v>0.38963157226712203</v>
      </c>
      <c r="I28" s="33" t="str">
        <f ca="1">IF(ISERROR(MATCH(I$1,INDIRECT("Table!A"&amp;$X28):INDIRECT("Table!" &amp; $AA$171 &amp; $X28),0)),"",INDIRECT(CONCATENATE("Table!",ADDRESS($T28,MATCH(I$1,INDIRECT("Table!A" &amp; $X28):INDIRECT("Table!" &amp; $AA$171 &amp; $X28),0)))))</f>
        <v/>
      </c>
      <c r="J28" s="33" t="str">
        <f ca="1">IF(ISERROR(MATCH(J$1,INDIRECT("Table!A"&amp;$X28):INDIRECT("Table!" &amp; $AA$171 &amp; $X28),0)),"",INDIRECT(CONCATENATE("Table!",ADDRESS($T28,MATCH(J$1,INDIRECT("Table!A" &amp; $X28):INDIRECT("Table!" &amp; $AA$171 &amp; $X28),0)))))</f>
        <v/>
      </c>
      <c r="K28" s="33" t="str">
        <f ca="1">IF(ISERROR(MATCH(K$1,INDIRECT("Table!A"&amp;$X28):INDIRECT("Table!" &amp; $AA$171 &amp; $X28),0)),"",INDIRECT(CONCATENATE("Table!",ADDRESS($T28,MATCH(K$1,INDIRECT("Table!A" &amp; $X28):INDIRECT("Table!" &amp; $AA$171 &amp; $X28),0)))))</f>
        <v/>
      </c>
      <c r="L28" s="33">
        <f ca="1">IF(ISERROR(MATCH(L$1,INDIRECT("Table!A"&amp;$X28):INDIRECT("Table!" &amp; $AA$171 &amp; $X28),0)),"",INDIRECT(CONCATENATE("Table!",ADDRESS($T28,MATCH(L$1,INDIRECT("Table!A" &amp; $X28):INDIRECT("Table!" &amp; $AA$171 &amp; $X28),0)))))</f>
        <v>0.85382318053245176</v>
      </c>
      <c r="M28" s="33">
        <f ca="1">IF(ISERROR(MATCH(M$1,INDIRECT("Table!A"&amp;$X28):INDIRECT("Table!" &amp; $AA$171 &amp; $X28),0)),"",INDIRECT(CONCATENATE("Table!",ADDRESS($T28,MATCH(M$1,INDIRECT("Table!A" &amp; $X28):INDIRECT("Table!" &amp; $AA$171 &amp; $X28),0)))))</f>
        <v>0.29975509376215637</v>
      </c>
      <c r="N28" s="33">
        <f ca="1">IF(ISERROR(MATCH(N$1,INDIRECT("Table!A"&amp;$X28):INDIRECT("Table!" &amp; $AA$171 &amp; $X28),0)),"",INDIRECT(CONCATENATE("Table!",ADDRESS($T28,MATCH(N$1,INDIRECT("Table!A" &amp; $X28):INDIRECT("Table!" &amp; $AA$171 &amp; $X28),0)))))</f>
        <v>0.36586430192091268</v>
      </c>
      <c r="O28" s="33">
        <f ca="1">IF(ISERROR(MATCH(O$1,INDIRECT("Table!A"&amp;$X28):INDIRECT("Table!" &amp; $AA$171 &amp; $X28),0)),"",INDIRECT(CONCATENATE("Table!",ADDRESS($T28,MATCH(O$1,INDIRECT("Table!A" &amp; $X28):INDIRECT("Table!" &amp; $AA$171 &amp; $X28),0)))))</f>
        <v>0.55186315712531597</v>
      </c>
      <c r="P28" s="33">
        <f ca="1">IF(ISERROR(MATCH(P$1,INDIRECT("Table!A"&amp;$X28):INDIRECT("Table!" &amp; $AA$171 &amp; $X28),0)),"",INDIRECT(CONCATENATE("Table!",ADDRESS($T28,MATCH(P$1,INDIRECT("Table!A" &amp; $X28):INDIRECT("Table!" &amp; $AA$171 &amp; $X28),0)))))</f>
        <v>0.41978478177746215</v>
      </c>
      <c r="T28" s="31">
        <f>MATCH($A28,Table!$A:$A,0)+$V$2-1</f>
        <v>382</v>
      </c>
      <c r="U28" s="259"/>
      <c r="V28" s="259"/>
      <c r="W28" s="259"/>
      <c r="X28" s="31">
        <f>MATCH($A28,Table!$A:$A,0)+$Z$2-1</f>
        <v>379</v>
      </c>
      <c r="Y28" s="259"/>
      <c r="AA28" t="s">
        <v>209</v>
      </c>
    </row>
    <row r="29" spans="1:27" ht="15.75" customHeight="1">
      <c r="A29" s="5">
        <v>41208</v>
      </c>
      <c r="B29" s="33">
        <f ca="1">IF(ISERROR(MATCH(B$1,INDIRECT("Table!A"&amp;$X29):INDIRECT("Table!" &amp; $AA$171 &amp; $X29),0)),"",INDIRECT(CONCATENATE("Table!",ADDRESS($T29,MATCH(B$1,INDIRECT("Table!A" &amp; $X29):INDIRECT("Table!" &amp; $AA$171 &amp; $X29),0)))))</f>
        <v>0.43732713494876291</v>
      </c>
      <c r="C29" s="33">
        <f ca="1">IF(ISERROR(MATCH(C$1,INDIRECT("Table!A"&amp;$X29):INDIRECT("Table!" &amp; $AA$171 &amp; $X29),0)),"",INDIRECT(CONCATENATE("Table!",ADDRESS($T29,MATCH(C$1,INDIRECT("Table!A" &amp; $X29):INDIRECT("Table!" &amp; $AA$171 &amp; $X29),0)))))</f>
        <v>0.47872980776768953</v>
      </c>
      <c r="D29" s="33">
        <f ca="1">IF(ISERROR(MATCH(D$1,INDIRECT("Table!A"&amp;$X29):INDIRECT("Table!" &amp; $AA$171 &amp; $X29),0)),"",INDIRECT(CONCATENATE("Table!",ADDRESS($T29,MATCH(D$1,INDIRECT("Table!A" &amp; $X29):INDIRECT("Table!" &amp; $AA$171 &amp; $X29),0)))))</f>
        <v>0.48822582081083848</v>
      </c>
      <c r="E29" s="33">
        <f ca="1">IF(ISERROR(MATCH(E$1,INDIRECT("Table!A"&amp;$X29):INDIRECT("Table!" &amp; $AA$171 &amp; $X29),0)),"",INDIRECT(CONCATENATE("Table!",ADDRESS($T29,MATCH(E$1,INDIRECT("Table!A" &amp; $X29):INDIRECT("Table!" &amp; $AA$171 &amp; $X29),0)))))</f>
        <v>0.88631236201756292</v>
      </c>
      <c r="F29" s="33">
        <f ca="1">IF(ISERROR(MATCH(F$1,INDIRECT("Table!A"&amp;$X29):INDIRECT("Table!" &amp; $AA$171 &amp; $X29),0)),"",INDIRECT(CONCATENATE("Table!",ADDRESS($T29,MATCH(F$1,INDIRECT("Table!A" &amp; $X29):INDIRECT("Table!" &amp; $AA$171 &amp; $X29),0)))))</f>
        <v>0.34934074734440401</v>
      </c>
      <c r="G29" s="33">
        <f ca="1">IF(ISERROR(MATCH(G$1,INDIRECT("Table!A"&amp;$X29):INDIRECT("Table!" &amp; $AA$171 &amp; $X29),0)),"",INDIRECT(CONCATENATE("Table!",ADDRESS($T29,MATCH(G$1,INDIRECT("Table!A" &amp; $X29):INDIRECT("Table!" &amp; $AA$171 &amp; $X29),0)))))</f>
        <v>0.29254381981654709</v>
      </c>
      <c r="H29" s="33">
        <f ca="1">IF(ISERROR(MATCH(H$1,INDIRECT("Table!A"&amp;$X29):INDIRECT("Table!" &amp; $AA$171 &amp; $X29),0)),"",INDIRECT(CONCATENATE("Table!",ADDRESS($T29,MATCH(H$1,INDIRECT("Table!A" &amp; $X29):INDIRECT("Table!" &amp; $AA$171 &amp; $X29),0)))))</f>
        <v>0.3886112297023534</v>
      </c>
      <c r="I29" s="33" t="str">
        <f ca="1">IF(ISERROR(MATCH(I$1,INDIRECT("Table!A"&amp;$X29):INDIRECT("Table!" &amp; $AA$171 &amp; $X29),0)),"",INDIRECT(CONCATENATE("Table!",ADDRESS($T29,MATCH(I$1,INDIRECT("Table!A" &amp; $X29):INDIRECT("Table!" &amp; $AA$171 &amp; $X29),0)))))</f>
        <v/>
      </c>
      <c r="J29" s="33" t="str">
        <f ca="1">IF(ISERROR(MATCH(J$1,INDIRECT("Table!A"&amp;$X29):INDIRECT("Table!" &amp; $AA$171 &amp; $X29),0)),"",INDIRECT(CONCATENATE("Table!",ADDRESS($T29,MATCH(J$1,INDIRECT("Table!A" &amp; $X29):INDIRECT("Table!" &amp; $AA$171 &amp; $X29),0)))))</f>
        <v/>
      </c>
      <c r="K29" s="33" t="str">
        <f ca="1">IF(ISERROR(MATCH(K$1,INDIRECT("Table!A"&amp;$X29):INDIRECT("Table!" &amp; $AA$171 &amp; $X29),0)),"",INDIRECT(CONCATENATE("Table!",ADDRESS($T29,MATCH(K$1,INDIRECT("Table!A" &amp; $X29):INDIRECT("Table!" &amp; $AA$171 &amp; $X29),0)))))</f>
        <v/>
      </c>
      <c r="L29" s="33">
        <f ca="1">IF(ISERROR(MATCH(L$1,INDIRECT("Table!A"&amp;$X29):INDIRECT("Table!" &amp; $AA$171 &amp; $X29),0)),"",INDIRECT(CONCATENATE("Table!",ADDRESS($T29,MATCH(L$1,INDIRECT("Table!A" &amp; $X29):INDIRECT("Table!" &amp; $AA$171 &amp; $X29),0)))))</f>
        <v>0.85298033077612367</v>
      </c>
      <c r="M29" s="33">
        <f ca="1">IF(ISERROR(MATCH(M$1,INDIRECT("Table!A"&amp;$X29):INDIRECT("Table!" &amp; $AA$171 &amp; $X29),0)),"",INDIRECT(CONCATENATE("Table!",ADDRESS($T29,MATCH(M$1,INDIRECT("Table!A" &amp; $X29):INDIRECT("Table!" &amp; $AA$171 &amp; $X29),0)))))</f>
        <v>0.30781974416531321</v>
      </c>
      <c r="N29" s="33">
        <f ca="1">IF(ISERROR(MATCH(N$1,INDIRECT("Table!A"&amp;$X29):INDIRECT("Table!" &amp; $AA$171 &amp; $X29),0)),"",INDIRECT(CONCATENATE("Table!",ADDRESS($T29,MATCH(N$1,INDIRECT("Table!A" &amp; $X29):INDIRECT("Table!" &amp; $AA$171 &amp; $X29),0)))))</f>
        <v>0.3604379743805779</v>
      </c>
      <c r="O29" s="33">
        <f ca="1">IF(ISERROR(MATCH(O$1,INDIRECT("Table!A"&amp;$X29):INDIRECT("Table!" &amp; $AA$171 &amp; $X29),0)),"",INDIRECT(CONCATENATE("Table!",ADDRESS($T29,MATCH(O$1,INDIRECT("Table!A" &amp; $X29):INDIRECT("Table!" &amp; $AA$171 &amp; $X29),0)))))</f>
        <v>0.55045735361029713</v>
      </c>
      <c r="P29" s="33">
        <f ca="1">IF(ISERROR(MATCH(P$1,INDIRECT("Table!A"&amp;$X29):INDIRECT("Table!" &amp; $AA$171 &amp; $X29),0)),"",INDIRECT(CONCATENATE("Table!",ADDRESS($T29,MATCH(P$1,INDIRECT("Table!A" &amp; $X29):INDIRECT("Table!" &amp; $AA$171 &amp; $X29),0)))))</f>
        <v>0.4197811401831722</v>
      </c>
      <c r="T29" s="31">
        <f>MATCH($A29,Table!$A:$A,0)+$V$2-1</f>
        <v>394</v>
      </c>
      <c r="U29" s="258"/>
      <c r="V29" s="258"/>
      <c r="W29" s="258"/>
      <c r="X29" s="31">
        <f>MATCH($A29,Table!$A:$A,0)+$Z$2-1</f>
        <v>391</v>
      </c>
      <c r="Y29" s="258"/>
      <c r="AA29" t="s">
        <v>209</v>
      </c>
    </row>
    <row r="30" spans="1:27" ht="15.75" customHeight="1">
      <c r="A30" s="5">
        <v>41207</v>
      </c>
      <c r="B30" s="33">
        <f ca="1">IF(ISERROR(MATCH(B$1,INDIRECT("Table!A"&amp;$X30):INDIRECT("Table!" &amp; $AA$171 &amp; $X30),0)),"",INDIRECT(CONCATENATE("Table!",ADDRESS($T30,MATCH(B$1,INDIRECT("Table!A" &amp; $X30):INDIRECT("Table!" &amp; $AA$171 &amp; $X30),0)))))</f>
        <v>0.44808434489463161</v>
      </c>
      <c r="C30" s="33">
        <f ca="1">IF(ISERROR(MATCH(C$1,INDIRECT("Table!A"&amp;$X30):INDIRECT("Table!" &amp; $AA$171 &amp; $X30),0)),"",INDIRECT(CONCATENATE("Table!",ADDRESS($T30,MATCH(C$1,INDIRECT("Table!A" &amp; $X30):INDIRECT("Table!" &amp; $AA$171 &amp; $X30),0)))))</f>
        <v>0.47861686281440219</v>
      </c>
      <c r="D30" s="33">
        <f ca="1">IF(ISERROR(MATCH(D$1,INDIRECT("Table!A"&amp;$X30):INDIRECT("Table!" &amp; $AA$171 &amp; $X30),0)),"",INDIRECT(CONCATENATE("Table!",ADDRESS($T30,MATCH(D$1,INDIRECT("Table!A" &amp; $X30):INDIRECT("Table!" &amp; $AA$171 &amp; $X30),0)))))</f>
        <v>0.48806105405545464</v>
      </c>
      <c r="E30" s="33">
        <f ca="1">IF(ISERROR(MATCH(E$1,INDIRECT("Table!A"&amp;$X30):INDIRECT("Table!" &amp; $AA$171 &amp; $X30),0)),"",INDIRECT(CONCATENATE("Table!",ADDRESS($T30,MATCH(E$1,INDIRECT("Table!A" &amp; $X30):INDIRECT("Table!" &amp; $AA$171 &amp; $X30),0)))))</f>
        <v>0.88616071183278033</v>
      </c>
      <c r="F30" s="33">
        <f ca="1">IF(ISERROR(MATCH(F$1,INDIRECT("Table!A"&amp;$X30):INDIRECT("Table!" &amp; $AA$171 &amp; $X30),0)),"",INDIRECT(CONCATENATE("Table!",ADDRESS($T30,MATCH(F$1,INDIRECT("Table!A" &amp; $X30):INDIRECT("Table!" &amp; $AA$171 &amp; $X30),0)))))</f>
        <v>0.3455221287076351</v>
      </c>
      <c r="G30" s="33">
        <f ca="1">IF(ISERROR(MATCH(G$1,INDIRECT("Table!A"&amp;$X30):INDIRECT("Table!" &amp; $AA$171 &amp; $X30),0)),"",INDIRECT(CONCATENATE("Table!",ADDRESS($T30,MATCH(G$1,INDIRECT("Table!A" &amp; $X30):INDIRECT("Table!" &amp; $AA$171 &amp; $X30),0)))))</f>
        <v>0.29138361638361637</v>
      </c>
      <c r="H30" s="33">
        <f ca="1">IF(ISERROR(MATCH(H$1,INDIRECT("Table!A"&amp;$X30):INDIRECT("Table!" &amp; $AA$171 &amp; $X30),0)),"",INDIRECT(CONCATENATE("Table!",ADDRESS($T30,MATCH(H$1,INDIRECT("Table!A" &amp; $X30):INDIRECT("Table!" &amp; $AA$171 &amp; $X30),0)))))</f>
        <v>0.38855518503805264</v>
      </c>
      <c r="I30" s="33" t="str">
        <f ca="1">IF(ISERROR(MATCH(I$1,INDIRECT("Table!A"&amp;$X30):INDIRECT("Table!" &amp; $AA$171 &amp; $X30),0)),"",INDIRECT(CONCATENATE("Table!",ADDRESS($T30,MATCH(I$1,INDIRECT("Table!A" &amp; $X30):INDIRECT("Table!" &amp; $AA$171 &amp; $X30),0)))))</f>
        <v/>
      </c>
      <c r="J30" s="33" t="str">
        <f ca="1">IF(ISERROR(MATCH(J$1,INDIRECT("Table!A"&amp;$X30):INDIRECT("Table!" &amp; $AA$171 &amp; $X30),0)),"",INDIRECT(CONCATENATE("Table!",ADDRESS($T30,MATCH(J$1,INDIRECT("Table!A" &amp; $X30):INDIRECT("Table!" &amp; $AA$171 &amp; $X30),0)))))</f>
        <v/>
      </c>
      <c r="K30" s="33" t="str">
        <f ca="1">IF(ISERROR(MATCH(K$1,INDIRECT("Table!A"&amp;$X30):INDIRECT("Table!" &amp; $AA$171 &amp; $X30),0)),"",INDIRECT(CONCATENATE("Table!",ADDRESS($T30,MATCH(K$1,INDIRECT("Table!A" &amp; $X30):INDIRECT("Table!" &amp; $AA$171 &amp; $X30),0)))))</f>
        <v/>
      </c>
      <c r="L30" s="33">
        <f ca="1">IF(ISERROR(MATCH(L$1,INDIRECT("Table!A"&amp;$X30):INDIRECT("Table!" &amp; $AA$171 &amp; $X30),0)),"",INDIRECT(CONCATENATE("Table!",ADDRESS($T30,MATCH(L$1,INDIRECT("Table!A" &amp; $X30):INDIRECT("Table!" &amp; $AA$171 &amp; $X30),0)))))</f>
        <v>0.85281129289994129</v>
      </c>
      <c r="M30" s="33">
        <f ca="1">IF(ISERROR(MATCH(M$1,INDIRECT("Table!A"&amp;$X30):INDIRECT("Table!" &amp; $AA$171 &amp; $X30),0)),"",INDIRECT(CONCATENATE("Table!",ADDRESS($T30,MATCH(M$1,INDIRECT("Table!A" &amp; $X30):INDIRECT("Table!" &amp; $AA$171 &amp; $X30),0)))))</f>
        <v>0.30256591504568903</v>
      </c>
      <c r="N30" s="33">
        <f ca="1">IF(ISERROR(MATCH(N$1,INDIRECT("Table!A"&amp;$X30):INDIRECT("Table!" &amp; $AA$171 &amp; $X30),0)),"",INDIRECT(CONCATENATE("Table!",ADDRESS($T30,MATCH(N$1,INDIRECT("Table!A" &amp; $X30):INDIRECT("Table!" &amp; $AA$171 &amp; $X30),0)))))</f>
        <v>0.35645858693063753</v>
      </c>
      <c r="O30" s="33">
        <f ca="1">IF(ISERROR(MATCH(O$1,INDIRECT("Table!A"&amp;$X30):INDIRECT("Table!" &amp; $AA$171 &amp; $X30),0)),"",INDIRECT(CONCATENATE("Table!",ADDRESS($T30,MATCH(O$1,INDIRECT("Table!A" &amp; $X30):INDIRECT("Table!" &amp; $AA$171 &amp; $X30),0)))))</f>
        <v>0.55037915897705547</v>
      </c>
      <c r="P30" s="33">
        <f ca="1">IF(ISERROR(MATCH(P$1,INDIRECT("Table!A"&amp;$X30):INDIRECT("Table!" &amp; $AA$171 &amp; $X30),0)),"",INDIRECT(CONCATENATE("Table!",ADDRESS($T30,MATCH(P$1,INDIRECT("Table!A" &amp; $X30):INDIRECT("Table!" &amp; $AA$171 &amp; $X30),0)))))</f>
        <v>0.4197811401831722</v>
      </c>
      <c r="T30" s="31">
        <f>MATCH($A30,Table!$A:$A,0)+$V$2-1</f>
        <v>406</v>
      </c>
      <c r="U30" s="257"/>
      <c r="V30" s="257"/>
      <c r="W30" s="257"/>
      <c r="X30" s="31">
        <f>MATCH($A30,Table!$A:$A,0)+$Z$2-1</f>
        <v>403</v>
      </c>
      <c r="Y30" s="257"/>
      <c r="AA30" t="s">
        <v>209</v>
      </c>
    </row>
    <row r="31" spans="1:27" ht="15.75" customHeight="1">
      <c r="A31" s="5">
        <v>41205</v>
      </c>
      <c r="B31" s="33">
        <f ca="1">IF(ISERROR(MATCH(B$1,INDIRECT("Table!A"&amp;$X31):INDIRECT("Table!" &amp; $AA$171 &amp; $X31),0)),"",INDIRECT(CONCATENATE("Table!",ADDRESS($T31,MATCH(B$1,INDIRECT("Table!A" &amp; $X31):INDIRECT("Table!" &amp; $AA$171 &amp; $X31),0)))))</f>
        <v>0.46841948167334063</v>
      </c>
      <c r="C31" s="33">
        <f ca="1">IF(ISERROR(MATCH(C$1,INDIRECT("Table!A"&amp;$X31):INDIRECT("Table!" &amp; $AA$171 &amp; $X31),0)),"",INDIRECT(CONCATENATE("Table!",ADDRESS($T31,MATCH(C$1,INDIRECT("Table!A" &amp; $X31):INDIRECT("Table!" &amp; $AA$171 &amp; $X31),0)))))</f>
        <v>0.47838233594081159</v>
      </c>
      <c r="D31" s="33">
        <f ca="1">IF(ISERROR(MATCH(D$1,INDIRECT("Table!A"&amp;$X31):INDIRECT("Table!" &amp; $AA$171 &amp; $X31),0)),"",INDIRECT(CONCATENATE("Table!",ADDRESS($T31,MATCH(D$1,INDIRECT("Table!A" &amp; $X31):INDIRECT("Table!" &amp; $AA$171 &amp; $X31),0)))))</f>
        <v>0.48782586279978585</v>
      </c>
      <c r="E31" s="33">
        <f ca="1">IF(ISERROR(MATCH(E$1,INDIRECT("Table!A"&amp;$X31):INDIRECT("Table!" &amp; $AA$171 &amp; $X31),0)),"",INDIRECT(CONCATENATE("Table!",ADDRESS($T31,MATCH(E$1,INDIRECT("Table!A" &amp; $X31):INDIRECT("Table!" &amp; $AA$171 &amp; $X31),0)))))</f>
        <v>0.88581785054544615</v>
      </c>
      <c r="F31" s="33">
        <f ca="1">IF(ISERROR(MATCH(F$1,INDIRECT("Table!A"&amp;$X31):INDIRECT("Table!" &amp; $AA$171 &amp; $X31),0)),"",INDIRECT(CONCATENATE("Table!",ADDRESS($T31,MATCH(F$1,INDIRECT("Table!A" &amp; $X31):INDIRECT("Table!" &amp; $AA$171 &amp; $X31),0)))))</f>
        <v>0.33537359665160699</v>
      </c>
      <c r="G31" s="33">
        <f ca="1">IF(ISERROR(MATCH(G$1,INDIRECT("Table!A"&amp;$X31):INDIRECT("Table!" &amp; $AA$171 &amp; $X31),0)),"",INDIRECT(CONCATENATE("Table!",ADDRESS($T31,MATCH(G$1,INDIRECT("Table!A" &amp; $X31):INDIRECT("Table!" &amp; $AA$171 &amp; $X31),0)))))</f>
        <v>0.28824977128585955</v>
      </c>
      <c r="H31" s="33">
        <f ca="1">IF(ISERROR(MATCH(H$1,INDIRECT("Table!A"&amp;$X31):INDIRECT("Table!" &amp; $AA$171 &amp; $X31),0)),"",INDIRECT(CONCATENATE("Table!",ADDRESS($T31,MATCH(H$1,INDIRECT("Table!A" &amp; $X31):INDIRECT("Table!" &amp; $AA$171 &amp; $X31),0)))))</f>
        <v>0.38837056732035619</v>
      </c>
      <c r="I31" s="33" t="str">
        <f ca="1">IF(ISERROR(MATCH(I$1,INDIRECT("Table!A"&amp;$X31):INDIRECT("Table!" &amp; $AA$171 &amp; $X31),0)),"",INDIRECT(CONCATENATE("Table!",ADDRESS($T31,MATCH(I$1,INDIRECT("Table!A" &amp; $X31):INDIRECT("Table!" &amp; $AA$171 &amp; $X31),0)))))</f>
        <v/>
      </c>
      <c r="J31" s="33" t="str">
        <f ca="1">IF(ISERROR(MATCH(J$1,INDIRECT("Table!A"&amp;$X31):INDIRECT("Table!" &amp; $AA$171 &amp; $X31),0)),"",INDIRECT(CONCATENATE("Table!",ADDRESS($T31,MATCH(J$1,INDIRECT("Table!A" &amp; $X31):INDIRECT("Table!" &amp; $AA$171 &amp; $X31),0)))))</f>
        <v/>
      </c>
      <c r="K31" s="33" t="str">
        <f ca="1">IF(ISERROR(MATCH(K$1,INDIRECT("Table!A"&amp;$X31):INDIRECT("Table!" &amp; $AA$171 &amp; $X31),0)),"",INDIRECT(CONCATENATE("Table!",ADDRESS($T31,MATCH(K$1,INDIRECT("Table!A" &amp; $X31):INDIRECT("Table!" &amp; $AA$171 &amp; $X31),0)))))</f>
        <v/>
      </c>
      <c r="L31" s="33">
        <f ca="1">IF(ISERROR(MATCH(L$1,INDIRECT("Table!A"&amp;$X31):INDIRECT("Table!" &amp; $AA$171 &amp; $X31),0)),"",INDIRECT(CONCATENATE("Table!",ADDRESS($T31,MATCH(L$1,INDIRECT("Table!A" &amp; $X31):INDIRECT("Table!" &amp; $AA$171 &amp; $X31),0)))))</f>
        <v>0.85147419745027708</v>
      </c>
      <c r="M31" s="33">
        <f ca="1">IF(ISERROR(MATCH(M$1,INDIRECT("Table!A"&amp;$X31):INDIRECT("Table!" &amp; $AA$171 &amp; $X31),0)),"",INDIRECT(CONCATENATE("Table!",ADDRESS($T31,MATCH(M$1,INDIRECT("Table!A" &amp; $X31):INDIRECT("Table!" &amp; $AA$171 &amp; $X31),0)))))</f>
        <v>0.31591164000902122</v>
      </c>
      <c r="N31" s="33">
        <f ca="1">IF(ISERROR(MATCH(N$1,INDIRECT("Table!A"&amp;$X31):INDIRECT("Table!" &amp; $AA$171 &amp; $X31),0)),"",INDIRECT(CONCATENATE("Table!",ADDRESS($T31,MATCH(N$1,INDIRECT("Table!A" &amp; $X31):INDIRECT("Table!" &amp; $AA$171 &amp; $X31),0)))))</f>
        <v>0.35212501949198743</v>
      </c>
      <c r="O31" s="33">
        <f ca="1">IF(ISERROR(MATCH(O$1,INDIRECT("Table!A"&amp;$X31):INDIRECT("Table!" &amp; $AA$171 &amp; $X31),0)),"",INDIRECT(CONCATENATE("Table!",ADDRESS($T31,MATCH(O$1,INDIRECT("Table!A" &amp; $X31):INDIRECT("Table!" &amp; $AA$171 &amp; $X31),0)))))</f>
        <v>0.55012530973290863</v>
      </c>
      <c r="P31" s="33">
        <f ca="1">IF(ISERROR(MATCH(P$1,INDIRECT("Table!A"&amp;$X31):INDIRECT("Table!" &amp; $AA$171 &amp; $X31),0)),"",INDIRECT(CONCATENATE("Table!",ADDRESS($T31,MATCH(P$1,INDIRECT("Table!A" &amp; $X31):INDIRECT("Table!" &amp; $AA$171 &amp; $X31),0)))))</f>
        <v>0.4197811401831722</v>
      </c>
      <c r="T31" s="31">
        <f>MATCH($A31,Table!$A:$A,0)+$V$2-1</f>
        <v>418</v>
      </c>
      <c r="U31" s="257"/>
      <c r="V31" s="257"/>
      <c r="W31" s="257"/>
      <c r="X31" s="31">
        <f>MATCH($A31,Table!$A:$A,0)+$Z$2-1</f>
        <v>415</v>
      </c>
      <c r="Y31" s="257"/>
      <c r="AA31" t="s">
        <v>209</v>
      </c>
    </row>
    <row r="32" spans="1:27" ht="15.75" customHeight="1">
      <c r="A32" s="5">
        <v>41200</v>
      </c>
      <c r="B32" s="33">
        <f ca="1">IF(ISERROR(MATCH(B$1,INDIRECT("Table!A"&amp;$X32):INDIRECT("Table!" &amp; $AA$171 &amp; $X32),0)),"",INDIRECT(CONCATENATE("Table!",ADDRESS($T32,MATCH(B$1,INDIRECT("Table!A" &amp; $X32):INDIRECT("Table!" &amp; $AA$171 &amp; $X32),0)))))</f>
        <v>0.52521336585950973</v>
      </c>
      <c r="C32" s="33">
        <f ca="1">IF(ISERROR(MATCH(C$1,INDIRECT("Table!A"&amp;$X32):INDIRECT("Table!" &amp; $AA$171 &amp; $X32),0)),"",INDIRECT(CONCATENATE("Table!",ADDRESS($T32,MATCH(C$1,INDIRECT("Table!A" &amp; $X32):INDIRECT("Table!" &amp; $AA$171 &amp; $X32),0)))))</f>
        <v>0.47804017917055891</v>
      </c>
      <c r="D32" s="33">
        <f ca="1">IF(ISERROR(MATCH(D$1,INDIRECT("Table!A"&amp;$X32):INDIRECT("Table!" &amp; $AA$171 &amp; $X32),0)),"",INDIRECT(CONCATENATE("Table!",ADDRESS($T32,MATCH(D$1,INDIRECT("Table!A" &amp; $X32):INDIRECT("Table!" &amp; $AA$171 &amp; $X32),0)))))</f>
        <v>0.48746709647757913</v>
      </c>
      <c r="E32" s="33">
        <f ca="1">IF(ISERROR(MATCH(E$1,INDIRECT("Table!A"&amp;$X32):INDIRECT("Table!" &amp; $AA$171 &amp; $X32),0)),"",INDIRECT(CONCATENATE("Table!",ADDRESS($T32,MATCH(E$1,INDIRECT("Table!A" &amp; $X32):INDIRECT("Table!" &amp; $AA$171 &amp; $X32),0)))))</f>
        <v>0.88480794822794573</v>
      </c>
      <c r="F32" s="33">
        <f ca="1">IF(ISERROR(MATCH(F$1,INDIRECT("Table!A"&amp;$X32):INDIRECT("Table!" &amp; $AA$171 &amp; $X32),0)),"",INDIRECT(CONCATENATE("Table!",ADDRESS($T32,MATCH(F$1,INDIRECT("Table!A" &amp; $X32):INDIRECT("Table!" &amp; $AA$171 &amp; $X32),0)))))</f>
        <v>0.33537359665160699</v>
      </c>
      <c r="G32" s="33">
        <f ca="1">IF(ISERROR(MATCH(G$1,INDIRECT("Table!A"&amp;$X32):INDIRECT("Table!" &amp; $AA$171 &amp; $X32),0)),"",INDIRECT(CONCATENATE("Table!",ADDRESS($T32,MATCH(G$1,INDIRECT("Table!A" &amp; $X32):INDIRECT("Table!" &amp; $AA$171 &amp; $X32),0)))))</f>
        <v>0.21551549487198823</v>
      </c>
      <c r="H32" s="33">
        <f ca="1">IF(ISERROR(MATCH(H$1,INDIRECT("Table!A"&amp;$X32):INDIRECT("Table!" &amp; $AA$171 &amp; $X32),0)),"",INDIRECT(CONCATENATE("Table!",ADDRESS($T32,MATCH(H$1,INDIRECT("Table!A" &amp; $X32):INDIRECT("Table!" &amp; $AA$171 &amp; $X32),0)))))</f>
        <v>0.38744500617315492</v>
      </c>
      <c r="I32" s="33" t="str">
        <f ca="1">IF(ISERROR(MATCH(I$1,INDIRECT("Table!A"&amp;$X32):INDIRECT("Table!" &amp; $AA$171 &amp; $X32),0)),"",INDIRECT(CONCATENATE("Table!",ADDRESS($T32,MATCH(I$1,INDIRECT("Table!A" &amp; $X32):INDIRECT("Table!" &amp; $AA$171 &amp; $X32),0)))))</f>
        <v/>
      </c>
      <c r="J32" s="33" t="str">
        <f ca="1">IF(ISERROR(MATCH(J$1,INDIRECT("Table!A"&amp;$X32):INDIRECT("Table!" &amp; $AA$171 &amp; $X32),0)),"",INDIRECT(CONCATENATE("Table!",ADDRESS($T32,MATCH(J$1,INDIRECT("Table!A" &amp; $X32):INDIRECT("Table!" &amp; $AA$171 &amp; $X32),0)))))</f>
        <v/>
      </c>
      <c r="K32" s="33" t="str">
        <f ca="1">IF(ISERROR(MATCH(K$1,INDIRECT("Table!A"&amp;$X32):INDIRECT("Table!" &amp; $AA$171 &amp; $X32),0)),"",INDIRECT(CONCATENATE("Table!",ADDRESS($T32,MATCH(K$1,INDIRECT("Table!A" &amp; $X32):INDIRECT("Table!" &amp; $AA$171 &amp; $X32),0)))))</f>
        <v/>
      </c>
      <c r="L32" s="33">
        <f ca="1">IF(ISERROR(MATCH(L$1,INDIRECT("Table!A"&amp;$X32):INDIRECT("Table!" &amp; $AA$171 &amp; $X32),0)),"",INDIRECT(CONCATENATE("Table!",ADDRESS($T32,MATCH(L$1,INDIRECT("Table!A" &amp; $X32):INDIRECT("Table!" &amp; $AA$171 &amp; $X32),0)))))</f>
        <v>0.85002012077142097</v>
      </c>
      <c r="M32" s="33">
        <f ca="1">IF(ISERROR(MATCH(M$1,INDIRECT("Table!A"&amp;$X32):INDIRECT("Table!" &amp; $AA$171 &amp; $X32),0)),"",INDIRECT(CONCATENATE("Table!",ADDRESS($T32,MATCH(M$1,INDIRECT("Table!A" &amp; $X32):INDIRECT("Table!" &amp; $AA$171 &amp; $X32),0)))))</f>
        <v>0.33558209126919852</v>
      </c>
      <c r="N32" s="33">
        <f ca="1">IF(ISERROR(MATCH(N$1,INDIRECT("Table!A"&amp;$X32):INDIRECT("Table!" &amp; $AA$171 &amp; $X32),0)),"",INDIRECT(CONCATENATE("Table!",ADDRESS($T32,MATCH(N$1,INDIRECT("Table!A" &amp; $X32):INDIRECT("Table!" &amp; $AA$171 &amp; $X32),0)))))</f>
        <v>0.3466273724317418</v>
      </c>
      <c r="O32" s="33">
        <f ca="1">IF(ISERROR(MATCH(O$1,INDIRECT("Table!A"&amp;$X32):INDIRECT("Table!" &amp; $AA$171 &amp; $X32),0)),"",INDIRECT(CONCATENATE("Table!",ADDRESS($T32,MATCH(O$1,INDIRECT("Table!A" &amp; $X32):INDIRECT("Table!" &amp; $AA$171 &amp; $X32),0)))))</f>
        <v>0.54888212838992145</v>
      </c>
      <c r="P32" s="33">
        <f ca="1">IF(ISERROR(MATCH(P$1,INDIRECT("Table!A"&amp;$X32):INDIRECT("Table!" &amp; $AA$171 &amp; $X32),0)),"",INDIRECT(CONCATENATE("Table!",ADDRESS($T32,MATCH(P$1,INDIRECT("Table!A" &amp; $X32):INDIRECT("Table!" &amp; $AA$171 &amp; $X32),0)))))</f>
        <v>0.41977385699459224</v>
      </c>
      <c r="T32" s="31">
        <f>MATCH($A32,Table!$A:$A,0)+$V$2-1</f>
        <v>430</v>
      </c>
      <c r="U32" s="254"/>
      <c r="V32" s="254"/>
      <c r="W32" s="254"/>
      <c r="X32" s="31">
        <f>MATCH($A32,Table!$A:$A,0)+$Z$2-1</f>
        <v>427</v>
      </c>
      <c r="Y32" s="254"/>
      <c r="AA32" t="s">
        <v>209</v>
      </c>
    </row>
    <row r="33" spans="1:27" ht="15.75" customHeight="1">
      <c r="A33" s="5">
        <v>41198</v>
      </c>
      <c r="B33" s="33">
        <f ca="1">IF(ISERROR(MATCH(B$1,INDIRECT("Table!A"&amp;$X33):INDIRECT("Table!" &amp; $AA$171 &amp; $X33),0)),"",INDIRECT(CONCATENATE("Table!",ADDRESS($T33,MATCH(B$1,INDIRECT("Table!A" &amp; $X33):INDIRECT("Table!" &amp; $AA$171 &amp; $X33),0)))))</f>
        <v>0.5821850839864372</v>
      </c>
      <c r="C33" s="33">
        <f ca="1">IF(ISERROR(MATCH(C$1,INDIRECT("Table!A"&amp;$X33):INDIRECT("Table!" &amp; $AA$171 &amp; $X33),0)),"",INDIRECT(CONCATENATE("Table!",ADDRESS($T33,MATCH(C$1,INDIRECT("Table!A" &amp; $X33):INDIRECT("Table!" &amp; $AA$171 &amp; $X33),0)))))</f>
        <v>0.47715256471413636</v>
      </c>
      <c r="D33" s="33">
        <f ca="1">IF(ISERROR(MATCH(D$1,INDIRECT("Table!A"&amp;$X33):INDIRECT("Table!" &amp; $AA$171 &amp; $X33),0)),"",INDIRECT(CONCATENATE("Table!",ADDRESS($T33,MATCH(D$1,INDIRECT("Table!A" &amp; $X33):INDIRECT("Table!" &amp; $AA$171 &amp; $X33),0)))))</f>
        <v>0.48655622864842096</v>
      </c>
      <c r="E33" s="33">
        <f ca="1">IF(ISERROR(MATCH(E$1,INDIRECT("Table!A"&amp;$X33):INDIRECT("Table!" &amp; $AA$171 &amp; $X33),0)),"",INDIRECT(CONCATENATE("Table!",ADDRESS($T33,MATCH(E$1,INDIRECT("Table!A" &amp; $X33):INDIRECT("Table!" &amp; $AA$171 &amp; $X33),0)))))</f>
        <v>0.88433871178662615</v>
      </c>
      <c r="F33" s="33">
        <f ca="1">IF(ISERROR(MATCH(F$1,INDIRECT("Table!A"&amp;$X33):INDIRECT("Table!" &amp; $AA$171 &amp; $X33),0)),"",INDIRECT(CONCATENATE("Table!",ADDRESS($T33,MATCH(F$1,INDIRECT("Table!A" &amp; $X33):INDIRECT("Table!" &amp; $AA$171 &amp; $X33),0)))))</f>
        <v>0.33217630437738926</v>
      </c>
      <c r="G33" s="33">
        <f ca="1">IF(ISERROR(MATCH(G$1,INDIRECT("Table!A"&amp;$X33):INDIRECT("Table!" &amp; $AA$171 &amp; $X33),0)),"",INDIRECT(CONCATENATE("Table!",ADDRESS($T33,MATCH(G$1,INDIRECT("Table!A" &amp; $X33):INDIRECT("Table!" &amp; $AA$171 &amp; $X33),0)))))</f>
        <v>0.22763484595069225</v>
      </c>
      <c r="H33" s="33">
        <f ca="1">IF(ISERROR(MATCH(H$1,INDIRECT("Table!A"&amp;$X33):INDIRECT("Table!" &amp; $AA$171 &amp; $X33),0)),"",INDIRECT(CONCATENATE("Table!",ADDRESS($T33,MATCH(H$1,INDIRECT("Table!A" &amp; $X33):INDIRECT("Table!" &amp; $AA$171 &amp; $X33),0)))))</f>
        <v>0.3872562675242599</v>
      </c>
      <c r="I33" s="33" t="str">
        <f ca="1">IF(ISERROR(MATCH(I$1,INDIRECT("Table!A"&amp;$X33):INDIRECT("Table!" &amp; $AA$171 &amp; $X33),0)),"",INDIRECT(CONCATENATE("Table!",ADDRESS($T33,MATCH(I$1,INDIRECT("Table!A" &amp; $X33):INDIRECT("Table!" &amp; $AA$171 &amp; $X33),0)))))</f>
        <v/>
      </c>
      <c r="J33" s="33" t="str">
        <f ca="1">IF(ISERROR(MATCH(J$1,INDIRECT("Table!A"&amp;$X33):INDIRECT("Table!" &amp; $AA$171 &amp; $X33),0)),"",INDIRECT(CONCATENATE("Table!",ADDRESS($T33,MATCH(J$1,INDIRECT("Table!A" &amp; $X33):INDIRECT("Table!" &amp; $AA$171 &amp; $X33),0)))))</f>
        <v/>
      </c>
      <c r="K33" s="33" t="str">
        <f ca="1">IF(ISERROR(MATCH(K$1,INDIRECT("Table!A"&amp;$X33):INDIRECT("Table!" &amp; $AA$171 &amp; $X33),0)),"",INDIRECT(CONCATENATE("Table!",ADDRESS($T33,MATCH(K$1,INDIRECT("Table!A" &amp; $X33):INDIRECT("Table!" &amp; $AA$171 &amp; $X33),0)))))</f>
        <v/>
      </c>
      <c r="L33" s="33">
        <f ca="1">IF(ISERROR(MATCH(L$1,INDIRECT("Table!A"&amp;$X33):INDIRECT("Table!" &amp; $AA$171 &amp; $X33),0)),"",INDIRECT(CONCATENATE("Table!",ADDRESS($T33,MATCH(L$1,INDIRECT("Table!A" &amp; $X33):INDIRECT("Table!" &amp; $AA$171 &amp; $X33),0)))))</f>
        <v>0.84744185448003018</v>
      </c>
      <c r="M33" s="33">
        <f ca="1">IF(ISERROR(MATCH(M$1,INDIRECT("Table!A"&amp;$X33):INDIRECT("Table!" &amp; $AA$171 &amp; $X33),0)),"",INDIRECT(CONCATENATE("Table!",ADDRESS($T33,MATCH(M$1,INDIRECT("Table!A" &amp; $X33):INDIRECT("Table!" &amp; $AA$171 &amp; $X33),0)))))</f>
        <v>0.31686598724610648</v>
      </c>
      <c r="N33" s="33">
        <f ca="1">IF(ISERROR(MATCH(N$1,INDIRECT("Table!A"&amp;$X33):INDIRECT("Table!" &amp; $AA$171 &amp; $X33),0)),"",INDIRECT(CONCATENATE("Table!",ADDRESS($T33,MATCH(N$1,INDIRECT("Table!A" &amp; $X33):INDIRECT("Table!" &amp; $AA$171 &amp; $X33),0)))))</f>
        <v>0.34342766447913176</v>
      </c>
      <c r="O33" s="33">
        <f ca="1">IF(ISERROR(MATCH(O$1,INDIRECT("Table!A"&amp;$X33):INDIRECT("Table!" &amp; $AA$171 &amp; $X33),0)),"",INDIRECT(CONCATENATE("Table!",ADDRESS($T33,MATCH(O$1,INDIRECT("Table!A" &amp; $X33):INDIRECT("Table!" &amp; $AA$171 &amp; $X33),0)))))</f>
        <v>0.54861184694023835</v>
      </c>
      <c r="P33" s="33">
        <f ca="1">IF(ISERROR(MATCH(P$1,INDIRECT("Table!A"&amp;$X33):INDIRECT("Table!" &amp; $AA$171 &amp; $X33),0)),"",INDIRECT(CONCATENATE("Table!",ADDRESS($T33,MATCH(P$1,INDIRECT("Table!A" &amp; $X33):INDIRECT("Table!" &amp; $AA$171 &amp; $X33),0)))))</f>
        <v>0.41976839460315724</v>
      </c>
      <c r="T33" s="31">
        <f>MATCH($A33,Table!$A:$A,0)+$V$2-1</f>
        <v>443</v>
      </c>
      <c r="U33" s="254"/>
      <c r="V33" s="254"/>
      <c r="W33" s="254"/>
      <c r="X33" s="31">
        <f>MATCH($A33,Table!$A:$A,0)+$Z$2-1</f>
        <v>440</v>
      </c>
      <c r="Y33" s="254"/>
      <c r="AA33" t="s">
        <v>209</v>
      </c>
    </row>
    <row r="34" spans="1:27" ht="15.75" customHeight="1">
      <c r="A34" s="5">
        <v>41193</v>
      </c>
      <c r="B34" s="33">
        <f ca="1">IF(ISERROR(MATCH(B$1,INDIRECT("Table!A"&amp;$X34):INDIRECT("Table!" &amp; $AA$171 &amp; $X34),0)),"",INDIRECT(CONCATENATE("Table!",ADDRESS($T34,MATCH(B$1,INDIRECT("Table!A" &amp; $X34):INDIRECT("Table!" &amp; $AA$171 &amp; $X34),0)))))</f>
        <v>0.659982900046167</v>
      </c>
      <c r="C34" s="33">
        <f ca="1">IF(ISERROR(MATCH(C$1,INDIRECT("Table!A"&amp;$X34):INDIRECT("Table!" &amp; $AA$171 &amp; $X34),0)),"",INDIRECT(CONCATENATE("Table!",ADDRESS($T34,MATCH(C$1,INDIRECT("Table!A" &amp; $X34):INDIRECT("Table!" &amp; $AA$171 &amp; $X34),0)))))</f>
        <v>0.47408644142342538</v>
      </c>
      <c r="D34" s="33">
        <f ca="1">IF(ISERROR(MATCH(D$1,INDIRECT("Table!A"&amp;$X34):INDIRECT("Table!" &amp; $AA$171 &amp; $X34),0)),"",INDIRECT(CONCATENATE("Table!",ADDRESS($T34,MATCH(D$1,INDIRECT("Table!A" &amp; $X34):INDIRECT("Table!" &amp; $AA$171 &amp; $X34),0)))))</f>
        <v>0.48352930390032151</v>
      </c>
      <c r="E34" s="33">
        <f ca="1">IF(ISERROR(MATCH(E$1,INDIRECT("Table!A"&amp;$X34):INDIRECT("Table!" &amp; $AA$171 &amp; $X34),0)),"",INDIRECT(CONCATENATE("Table!",ADDRESS($T34,MATCH(E$1,INDIRECT("Table!A" &amp; $X34):INDIRECT("Table!" &amp; $AA$171 &amp; $X34),0)))))</f>
        <v>0.88805469077098742</v>
      </c>
      <c r="F34" s="33">
        <f ca="1">IF(ISERROR(MATCH(F$1,INDIRECT("Table!A"&amp;$X34):INDIRECT("Table!" &amp; $AA$171 &amp; $X34),0)),"",INDIRECT(CONCATENATE("Table!",ADDRESS($T34,MATCH(F$1,INDIRECT("Table!A" &amp; $X34):INDIRECT("Table!" &amp; $AA$171 &amp; $X34),0)))))</f>
        <v>0.32731267282150467</v>
      </c>
      <c r="G34" s="33">
        <f ca="1">IF(ISERROR(MATCH(G$1,INDIRECT("Table!A"&amp;$X34):INDIRECT("Table!" &amp; $AA$171 &amp; $X34),0)),"",INDIRECT(CONCATENATE("Table!",ADDRESS($T34,MATCH(G$1,INDIRECT("Table!A" &amp; $X34):INDIRECT("Table!" &amp; $AA$171 &amp; $X34),0)))))</f>
        <v>0.24870380178774057</v>
      </c>
      <c r="H34" s="33">
        <f ca="1">IF(ISERROR(MATCH(H$1,INDIRECT("Table!A"&amp;$X34):INDIRECT("Table!" &amp; $AA$171 &amp; $X34),0)),"",INDIRECT(CONCATENATE("Table!",ADDRESS($T34,MATCH(H$1,INDIRECT("Table!A" &amp; $X34):INDIRECT("Table!" &amp; $AA$171 &amp; $X34),0)))))</f>
        <v>0.38618894634382739</v>
      </c>
      <c r="I34" s="33" t="str">
        <f ca="1">IF(ISERROR(MATCH(I$1,INDIRECT("Table!A"&amp;$X34):INDIRECT("Table!" &amp; $AA$171 &amp; $X34),0)),"",INDIRECT(CONCATENATE("Table!",ADDRESS($T34,MATCH(I$1,INDIRECT("Table!A" &amp; $X34):INDIRECT("Table!" &amp; $AA$171 &amp; $X34),0)))))</f>
        <v/>
      </c>
      <c r="J34" s="33" t="str">
        <f ca="1">IF(ISERROR(MATCH(J$1,INDIRECT("Table!A"&amp;$X34):INDIRECT("Table!" &amp; $AA$171 &amp; $X34),0)),"",INDIRECT(CONCATENATE("Table!",ADDRESS($T34,MATCH(J$1,INDIRECT("Table!A" &amp; $X34):INDIRECT("Table!" &amp; $AA$171 &amp; $X34),0)))))</f>
        <v/>
      </c>
      <c r="K34" s="33" t="str">
        <f ca="1">IF(ISERROR(MATCH(K$1,INDIRECT("Table!A"&amp;$X34):INDIRECT("Table!" &amp; $AA$171 &amp; $X34),0)),"",INDIRECT(CONCATENATE("Table!",ADDRESS($T34,MATCH(K$1,INDIRECT("Table!A" &amp; $X34):INDIRECT("Table!" &amp; $AA$171 &amp; $X34),0)))))</f>
        <v/>
      </c>
      <c r="L34" s="33">
        <f ca="1">IF(ISERROR(MATCH(L$1,INDIRECT("Table!A"&amp;$X34):INDIRECT("Table!" &amp; $AA$171 &amp; $X34),0)),"",INDIRECT(CONCATENATE("Table!",ADDRESS($T34,MATCH(L$1,INDIRECT("Table!A" &amp; $X34):INDIRECT("Table!" &amp; $AA$171 &amp; $X34),0)))))</f>
        <v>0.84517534316443588</v>
      </c>
      <c r="M34" s="33">
        <f ca="1">IF(ISERROR(MATCH(M$1,INDIRECT("Table!A"&amp;$X34):INDIRECT("Table!" &amp; $AA$171 &amp; $X34),0)),"",INDIRECT(CONCATENATE("Table!",ADDRESS($T34,MATCH(M$1,INDIRECT("Table!A" &amp; $X34):INDIRECT("Table!" &amp; $AA$171 &amp; $X34),0)))))</f>
        <v>0.30424302327517438</v>
      </c>
      <c r="N34" s="33">
        <f ca="1">IF(ISERROR(MATCH(N$1,INDIRECT("Table!A"&amp;$X34):INDIRECT("Table!" &amp; $AA$171 &amp; $X34),0)),"",INDIRECT(CONCATENATE("Table!",ADDRESS($T34,MATCH(N$1,INDIRECT("Table!A" &amp; $X34):INDIRECT("Table!" &amp; $AA$171 &amp; $X34),0)))))</f>
        <v>0.33872420258128311</v>
      </c>
      <c r="O34" s="33">
        <f ca="1">IF(ISERROR(MATCH(O$1,INDIRECT("Table!A"&amp;$X34):INDIRECT("Table!" &amp; $AA$171 &amp; $X34),0)),"",INDIRECT(CONCATENATE("Table!",ADDRESS($T34,MATCH(O$1,INDIRECT("Table!A" &amp; $X34):INDIRECT("Table!" &amp; $AA$171 &amp; $X34),0)))))</f>
        <v>0.54714428099751422</v>
      </c>
      <c r="P34" s="33">
        <f ca="1">IF(ISERROR(MATCH(P$1,INDIRECT("Table!A"&amp;$X34):INDIRECT("Table!" &amp; $AA$171 &amp; $X34),0)),"",INDIRECT(CONCATENATE("Table!",ADDRESS($T34,MATCH(P$1,INDIRECT("Table!A" &amp; $X34):INDIRECT("Table!" &amp; $AA$171 &amp; $X34),0)))))</f>
        <v>0.41976839460315724</v>
      </c>
      <c r="T34" s="31">
        <f>MATCH($A34,Table!$A:$A,0)+$V$2-1</f>
        <v>456</v>
      </c>
      <c r="U34" s="254"/>
      <c r="V34" s="254"/>
      <c r="W34" s="254"/>
      <c r="X34" s="31">
        <f>MATCH($A34,Table!$A:$A,0)+$Z$2-1</f>
        <v>453</v>
      </c>
      <c r="Y34" s="254"/>
      <c r="AA34" t="s">
        <v>209</v>
      </c>
    </row>
    <row r="35" spans="1:27" ht="15.75" customHeight="1">
      <c r="A35" s="5">
        <v>41190</v>
      </c>
      <c r="B35" s="33">
        <f ca="1">IF(ISERROR(MATCH(B$1,INDIRECT("Table!A"&amp;$X35):INDIRECT("Table!" &amp; $AA$171 &amp; $X35),0)),"",INDIRECT(CONCATENATE("Table!",ADDRESS($T35,MATCH(B$1,INDIRECT("Table!A" &amp; $X35):INDIRECT("Table!" &amp; $AA$171 &amp; $X35),0)))))</f>
        <v>0.65234929096561733</v>
      </c>
      <c r="C35" s="33">
        <f ca="1">IF(ISERROR(MATCH(C$1,INDIRECT("Table!A"&amp;$X35):INDIRECT("Table!" &amp; $AA$171 &amp; $X35),0)),"",INDIRECT(CONCATENATE("Table!",ADDRESS($T35,MATCH(C$1,INDIRECT("Table!A" &amp; $X35):INDIRECT("Table!" &amp; $AA$171 &amp; $X35),0)))))</f>
        <v>0.47166078245606108</v>
      </c>
      <c r="D35" s="33">
        <f ca="1">IF(ISERROR(MATCH(D$1,INDIRECT("Table!A"&amp;$X35):INDIRECT("Table!" &amp; $AA$171 &amp; $X35),0)),"",INDIRECT(CONCATENATE("Table!",ADDRESS($T35,MATCH(D$1,INDIRECT("Table!A" &amp; $X35):INDIRECT("Table!" &amp; $AA$171 &amp; $X35),0)))))</f>
        <v>0.4833067359041377</v>
      </c>
      <c r="E35" s="33">
        <f ca="1">IF(ISERROR(MATCH(E$1,INDIRECT("Table!A"&amp;$X35):INDIRECT("Table!" &amp; $AA$171 &amp; $X35),0)),"",INDIRECT(CONCATENATE("Table!",ADDRESS($T35,MATCH(E$1,INDIRECT("Table!A" &amp; $X35):INDIRECT("Table!" &amp; $AA$171 &amp; $X35),0)))))</f>
        <v>0.88676511474314523</v>
      </c>
      <c r="F35" s="33">
        <f ca="1">IF(ISERROR(MATCH(F$1,INDIRECT("Table!A"&amp;$X35):INDIRECT("Table!" &amp; $AA$171 &amp; $X35),0)),"",INDIRECT(CONCATENATE("Table!",ADDRESS($T35,MATCH(F$1,INDIRECT("Table!A" &amp; $X35):INDIRECT("Table!" &amp; $AA$171 &amp; $X35),0)))))</f>
        <v>0.32436862543630346</v>
      </c>
      <c r="G35" s="33">
        <f ca="1">IF(ISERROR(MATCH(G$1,INDIRECT("Table!A"&amp;$X35):INDIRECT("Table!" &amp; $AA$171 &amp; $X35),0)),"",INDIRECT(CONCATENATE("Table!",ADDRESS($T35,MATCH(G$1,INDIRECT("Table!A" &amp; $X35):INDIRECT("Table!" &amp; $AA$171 &amp; $X35),0)))))</f>
        <v>0.25689117749398349</v>
      </c>
      <c r="H35" s="33">
        <f ca="1">IF(ISERROR(MATCH(H$1,INDIRECT("Table!A"&amp;$X35):INDIRECT("Table!" &amp; $AA$171 &amp; $X35),0)),"",INDIRECT(CONCATENATE("Table!",ADDRESS($T35,MATCH(H$1,INDIRECT("Table!A" &amp; $X35):INDIRECT("Table!" &amp; $AA$171 &amp; $X35),0)))))</f>
        <v>0.38505898700917651</v>
      </c>
      <c r="I35" s="33" t="str">
        <f ca="1">IF(ISERROR(MATCH(I$1,INDIRECT("Table!A"&amp;$X35):INDIRECT("Table!" &amp; $AA$171 &amp; $X35),0)),"",INDIRECT(CONCATENATE("Table!",ADDRESS($T35,MATCH(I$1,INDIRECT("Table!A" &amp; $X35):INDIRECT("Table!" &amp; $AA$171 &amp; $X35),0)))))</f>
        <v/>
      </c>
      <c r="J35" s="33" t="str">
        <f ca="1">IF(ISERROR(MATCH(J$1,INDIRECT("Table!A"&amp;$X35):INDIRECT("Table!" &amp; $AA$171 &amp; $X35),0)),"",INDIRECT(CONCATENATE("Table!",ADDRESS($T35,MATCH(J$1,INDIRECT("Table!A" &amp; $X35):INDIRECT("Table!" &amp; $AA$171 &amp; $X35),0)))))</f>
        <v/>
      </c>
      <c r="K35" s="33" t="str">
        <f ca="1">IF(ISERROR(MATCH(K$1,INDIRECT("Table!A"&amp;$X35):INDIRECT("Table!" &amp; $AA$171 &amp; $X35),0)),"",INDIRECT(CONCATENATE("Table!",ADDRESS($T35,MATCH(K$1,INDIRECT("Table!A" &amp; $X35):INDIRECT("Table!" &amp; $AA$171 &amp; $X35),0)))))</f>
        <v/>
      </c>
      <c r="L35" s="33">
        <f ca="1">IF(ISERROR(MATCH(L$1,INDIRECT("Table!A"&amp;$X35):INDIRECT("Table!" &amp; $AA$171 &amp; $X35),0)),"",INDIRECT(CONCATENATE("Table!",ADDRESS($T35,MATCH(L$1,INDIRECT("Table!A" &amp; $X35):INDIRECT("Table!" &amp; $AA$171 &amp; $X35),0)))))</f>
        <v>0.84322468116765981</v>
      </c>
      <c r="M35" s="33">
        <f ca="1">IF(ISERROR(MATCH(M$1,INDIRECT("Table!A"&amp;$X35):INDIRECT("Table!" &amp; $AA$171 &amp; $X35),0)),"",INDIRECT(CONCATENATE("Table!",ADDRESS($T35,MATCH(M$1,INDIRECT("Table!A" &amp; $X35):INDIRECT("Table!" &amp; $AA$171 &amp; $X35),0)))))</f>
        <v>0.30161686553315542</v>
      </c>
      <c r="N35" s="33">
        <f ca="1">IF(ISERROR(MATCH(N$1,INDIRECT("Table!A"&amp;$X35):INDIRECT("Table!" &amp; $AA$171 &amp; $X35),0)),"",INDIRECT(CONCATENATE("Table!",ADDRESS($T35,MATCH(N$1,INDIRECT("Table!A" &amp; $X35):INDIRECT("Table!" &amp; $AA$171 &amp; $X35),0)))))</f>
        <v>0.33573120035587228</v>
      </c>
      <c r="O35" s="33">
        <f ca="1">IF(ISERROR(MATCH(O$1,INDIRECT("Table!A"&amp;$X35):INDIRECT("Table!" &amp; $AA$171 &amp; $X35),0)),"",INDIRECT(CONCATENATE("Table!",ADDRESS($T35,MATCH(O$1,INDIRECT("Table!A" &amp; $X35):INDIRECT("Table!" &amp; $AA$171 &amp; $X35),0)))))</f>
        <v>0.54559002100489162</v>
      </c>
      <c r="P35" s="33">
        <f ca="1">IF(ISERROR(MATCH(P$1,INDIRECT("Table!A"&amp;$X35):INDIRECT("Table!" &amp; $AA$171 &amp; $X35),0)),"",INDIRECT(CONCATENATE("Table!",ADDRESS($T35,MATCH(P$1,INDIRECT("Table!A" &amp; $X35):INDIRECT("Table!" &amp; $AA$171 &amp; $X35),0)))))</f>
        <v>0.41976839460315724</v>
      </c>
      <c r="T35" s="31">
        <f>MATCH($A35,Table!$A:$A,0)+$V$2-1</f>
        <v>469</v>
      </c>
      <c r="U35" s="253"/>
      <c r="V35" s="253"/>
      <c r="W35" s="253"/>
      <c r="X35" s="31">
        <f>MATCH($A35,Table!$A:$A,0)+$Z$2-1</f>
        <v>466</v>
      </c>
      <c r="Y35" s="253"/>
      <c r="AA35" t="s">
        <v>209</v>
      </c>
    </row>
    <row r="36" spans="1:27" ht="15.75" customHeight="1">
      <c r="A36" s="5">
        <v>41184</v>
      </c>
      <c r="B36" s="33">
        <f ca="1">IF(ISERROR(MATCH(B$1,INDIRECT("Table!A"&amp;$X36):INDIRECT("Table!" &amp; $AA$171 &amp; $X36),0)),"",INDIRECT(CONCATENATE("Table!",ADDRESS($T36,MATCH(B$1,INDIRECT("Table!A" &amp; $X36):INDIRECT("Table!" &amp; $AA$171 &amp; $X36),0)))))</f>
        <v>0.64959600312987731</v>
      </c>
      <c r="C36" s="33">
        <f ca="1">IF(ISERROR(MATCH(C$1,INDIRECT("Table!A"&amp;$X36):INDIRECT("Table!" &amp; $AA$171 &amp; $X36),0)),"",INDIRECT(CONCATENATE("Table!",ADDRESS($T36,MATCH(C$1,INDIRECT("Table!A" &amp; $X36):INDIRECT("Table!" &amp; $AA$171 &amp; $X36),0)))))</f>
        <v>0.47166078245606108</v>
      </c>
      <c r="D36" s="33">
        <f ca="1">IF(ISERROR(MATCH(D$1,INDIRECT("Table!A"&amp;$X36):INDIRECT("Table!" &amp; $AA$171 &amp; $X36),0)),"",INDIRECT(CONCATENATE("Table!",ADDRESS($T36,MATCH(D$1,INDIRECT("Table!A" &amp; $X36):INDIRECT("Table!" &amp; $AA$171 &amp; $X36),0)))))</f>
        <v>0.48123984325898012</v>
      </c>
      <c r="E36" s="33">
        <f ca="1">IF(ISERROR(MATCH(E$1,INDIRECT("Table!A"&amp;$X36):INDIRECT("Table!" &amp; $AA$171 &amp; $X36),0)),"",INDIRECT(CONCATENATE("Table!",ADDRESS($T36,MATCH(E$1,INDIRECT("Table!A" &amp; $X36):INDIRECT("Table!" &amp; $AA$171 &amp; $X36),0)))))</f>
        <v>0.88529531675657613</v>
      </c>
      <c r="F36" s="33">
        <f ca="1">IF(ISERROR(MATCH(F$1,INDIRECT("Table!A"&amp;$X36):INDIRECT("Table!" &amp; $AA$171 &amp; $X36),0)),"",INDIRECT(CONCATENATE("Table!",ADDRESS($T36,MATCH(F$1,INDIRECT("Table!A" &amp; $X36):INDIRECT("Table!" &amp; $AA$171 &amp; $X36),0)))))</f>
        <v>0.29968903461718621</v>
      </c>
      <c r="G36" s="33">
        <f ca="1">IF(ISERROR(MATCH(G$1,INDIRECT("Table!A"&amp;$X36):INDIRECT("Table!" &amp; $AA$171 &amp; $X36),0)),"",INDIRECT(CONCATENATE("Table!",ADDRESS($T36,MATCH(G$1,INDIRECT("Table!A" &amp; $X36):INDIRECT("Table!" &amp; $AA$171 &amp; $X36),0)))))</f>
        <v>0.24601828441227963</v>
      </c>
      <c r="H36" s="33">
        <f ca="1">IF(ISERROR(MATCH(H$1,INDIRECT("Table!A"&amp;$X36):INDIRECT("Table!" &amp; $AA$171 &amp; $X36),0)),"",INDIRECT(CONCATENATE("Table!",ADDRESS($T36,MATCH(H$1,INDIRECT("Table!A" &amp; $X36):INDIRECT("Table!" &amp; $AA$171 &amp; $X36),0)))))</f>
        <v>0.380637227833099</v>
      </c>
      <c r="I36" s="33" t="str">
        <f ca="1">IF(ISERROR(MATCH(I$1,INDIRECT("Table!A"&amp;$X36):INDIRECT("Table!" &amp; $AA$171 &amp; $X36),0)),"",INDIRECT(CONCATENATE("Table!",ADDRESS($T36,MATCH(I$1,INDIRECT("Table!A" &amp; $X36):INDIRECT("Table!" &amp; $AA$171 &amp; $X36),0)))))</f>
        <v/>
      </c>
      <c r="J36" s="33" t="str">
        <f ca="1">IF(ISERROR(MATCH(J$1,INDIRECT("Table!A"&amp;$X36):INDIRECT("Table!" &amp; $AA$171 &amp; $X36),0)),"",INDIRECT(CONCATENATE("Table!",ADDRESS($T36,MATCH(J$1,INDIRECT("Table!A" &amp; $X36):INDIRECT("Table!" &amp; $AA$171 &amp; $X36),0)))))</f>
        <v/>
      </c>
      <c r="K36" s="33" t="str">
        <f ca="1">IF(ISERROR(MATCH(K$1,INDIRECT("Table!A"&amp;$X36):INDIRECT("Table!" &amp; $AA$171 &amp; $X36),0)),"",INDIRECT(CONCATENATE("Table!",ADDRESS($T36,MATCH(K$1,INDIRECT("Table!A" &amp; $X36):INDIRECT("Table!" &amp; $AA$171 &amp; $X36),0)))))</f>
        <v/>
      </c>
      <c r="L36" s="33">
        <f ca="1">IF(ISERROR(MATCH(L$1,INDIRECT("Table!A"&amp;$X36):INDIRECT("Table!" &amp; $AA$171 &amp; $X36),0)),"",INDIRECT(CONCATENATE("Table!",ADDRESS($T36,MATCH(L$1,INDIRECT("Table!A" &amp; $X36):INDIRECT("Table!" &amp; $AA$171 &amp; $X36),0)))))</f>
        <v>0.84033173536974259</v>
      </c>
      <c r="M36" s="33">
        <f ca="1">IF(ISERROR(MATCH(M$1,INDIRECT("Table!A"&amp;$X36):INDIRECT("Table!" &amp; $AA$171 &amp; $X36),0)),"",INDIRECT(CONCATENATE("Table!",ADDRESS($T36,MATCH(M$1,INDIRECT("Table!A" &amp; $X36):INDIRECT("Table!" &amp; $AA$171 &amp; $X36),0)))))</f>
        <v>0.29381483090420046</v>
      </c>
      <c r="N36" s="33">
        <f ca="1">IF(ISERROR(MATCH(N$1,INDIRECT("Table!A"&amp;$X36):INDIRECT("Table!" &amp; $AA$171 &amp; $X36),0)),"",INDIRECT(CONCATENATE("Table!",ADDRESS($T36,MATCH(N$1,INDIRECT("Table!A" &amp; $X36):INDIRECT("Table!" &amp; $AA$171 &amp; $X36),0)))))</f>
        <v>0.33173126321375429</v>
      </c>
      <c r="O36" s="33">
        <f ca="1">IF(ISERROR(MATCH(O$1,INDIRECT("Table!A"&amp;$X36):INDIRECT("Table!" &amp; $AA$171 &amp; $X36),0)),"",INDIRECT(CONCATENATE("Table!",ADDRESS($T36,MATCH(O$1,INDIRECT("Table!A" &amp; $X36):INDIRECT("Table!" &amp; $AA$171 &amp; $X36),0)))))</f>
        <v>0.53954466925086708</v>
      </c>
      <c r="P36" s="33">
        <f ca="1">IF(ISERROR(MATCH(P$1,INDIRECT("Table!A"&amp;$X36):INDIRECT("Table!" &amp; $AA$171 &amp; $X36),0)),"",INDIRECT(CONCATENATE("Table!",ADDRESS($T36,MATCH(P$1,INDIRECT("Table!A" &amp; $X36):INDIRECT("Table!" &amp; $AA$171 &amp; $X36),0)))))</f>
        <v>0.41976657380601229</v>
      </c>
      <c r="T36" s="31">
        <f>MATCH($A36,Table!$A:$A,0)+$V$2-1</f>
        <v>482</v>
      </c>
      <c r="U36" s="252"/>
      <c r="V36" s="252"/>
      <c r="W36" s="252"/>
      <c r="X36" s="31">
        <f>MATCH($A36,Table!$A:$A,0)+$Z$2-1</f>
        <v>479</v>
      </c>
      <c r="Y36" s="252"/>
      <c r="AA36" t="s">
        <v>209</v>
      </c>
    </row>
    <row r="37" spans="1:27" ht="15.75" customHeight="1">
      <c r="A37" s="5">
        <v>41178</v>
      </c>
      <c r="B37" s="33">
        <f ca="1">IF(ISERROR(MATCH(B$1,INDIRECT("Table!A"&amp;$X37):INDIRECT("Table!" &amp; $AA$171 &amp; $X37),0)),"",INDIRECT(CONCATENATE("Table!",ADDRESS($T37,MATCH(B$1,INDIRECT("Table!A" &amp; $X37):INDIRECT("Table!" &amp; $AA$171 &amp; $X37),0)))))</f>
        <v>0.64747873315284921</v>
      </c>
      <c r="C37" s="33">
        <f ca="1">IF(ISERROR(MATCH(C$1,INDIRECT("Table!A"&amp;$X37):INDIRECT("Table!" &amp; $AA$171 &amp; $X37),0)),"",INDIRECT(CONCATENATE("Table!",ADDRESS($T37,MATCH(C$1,INDIRECT("Table!A" &amp; $X37):INDIRECT("Table!" &amp; $AA$171 &amp; $X37),0)))))</f>
        <v>0.46925638371519807</v>
      </c>
      <c r="D37" s="33">
        <f ca="1">IF(ISERROR(MATCH(D$1,INDIRECT("Table!A"&amp;$X37):INDIRECT("Table!" &amp; $AA$171 &amp; $X37),0)),"",INDIRECT(CONCATENATE("Table!",ADDRESS($T37,MATCH(D$1,INDIRECT("Table!A" &amp; $X37):INDIRECT("Table!" &amp; $AA$171 &amp; $X37),0)))))</f>
        <v>0.47829795941688513</v>
      </c>
      <c r="E37" s="33">
        <f ca="1">IF(ISERROR(MATCH(E$1,INDIRECT("Table!A"&amp;$X37):INDIRECT("Table!" &amp; $AA$171 &amp; $X37),0)),"",INDIRECT(CONCATENATE("Table!",ADDRESS($T37,MATCH(E$1,INDIRECT("Table!A" &amp; $X37):INDIRECT("Table!" &amp; $AA$171 &amp; $X37),0)))))</f>
        <v>0.88290352960310514</v>
      </c>
      <c r="F37" s="33">
        <f ca="1">IF(ISERROR(MATCH(F$1,INDIRECT("Table!A"&amp;$X37):INDIRECT("Table!" &amp; $AA$171 &amp; $X37),0)),"",INDIRECT(CONCATENATE("Table!",ADDRESS($T37,MATCH(F$1,INDIRECT("Table!A" &amp; $X37):INDIRECT("Table!" &amp; $AA$171 &amp; $X37),0)))))</f>
        <v>0.27092186579229688</v>
      </c>
      <c r="G37" s="33">
        <f ca="1">IF(ISERROR(MATCH(G$1,INDIRECT("Table!A"&amp;$X37):INDIRECT("Table!" &amp; $AA$171 &amp; $X37),0)),"",INDIRECT(CONCATENATE("Table!",ADDRESS($T37,MATCH(G$1,INDIRECT("Table!A" &amp; $X37):INDIRECT("Table!" &amp; $AA$171 &amp; $X37),0)))))</f>
        <v>0.23552150912267344</v>
      </c>
      <c r="H37" s="33">
        <f ca="1">IF(ISERROR(MATCH(H$1,INDIRECT("Table!A"&amp;$X37):INDIRECT("Table!" &amp; $AA$171 &amp; $X37),0)),"",INDIRECT(CONCATENATE("Table!",ADDRESS($T37,MATCH(H$1,INDIRECT("Table!A" &amp; $X37):INDIRECT("Table!" &amp; $AA$171 &amp; $X37),0)))))</f>
        <v>0.38027458588762386</v>
      </c>
      <c r="I37" s="33" t="str">
        <f ca="1">IF(ISERROR(MATCH(I$1,INDIRECT("Table!A"&amp;$X37):INDIRECT("Table!" &amp; $AA$171 &amp; $X37),0)),"",INDIRECT(CONCATENATE("Table!",ADDRESS($T37,MATCH(I$1,INDIRECT("Table!A" &amp; $X37):INDIRECT("Table!" &amp; $AA$171 &amp; $X37),0)))))</f>
        <v/>
      </c>
      <c r="J37" s="33" t="str">
        <f ca="1">IF(ISERROR(MATCH(J$1,INDIRECT("Table!A"&amp;$X37):INDIRECT("Table!" &amp; $AA$171 &amp; $X37),0)),"",INDIRECT(CONCATENATE("Table!",ADDRESS($T37,MATCH(J$1,INDIRECT("Table!A" &amp; $X37):INDIRECT("Table!" &amp; $AA$171 &amp; $X37),0)))))</f>
        <v/>
      </c>
      <c r="K37" s="33" t="str">
        <f ca="1">IF(ISERROR(MATCH(K$1,INDIRECT("Table!A"&amp;$X37):INDIRECT("Table!" &amp; $AA$171 &amp; $X37),0)),"",INDIRECT(CONCATENATE("Table!",ADDRESS($T37,MATCH(K$1,INDIRECT("Table!A" &amp; $X37):INDIRECT("Table!" &amp; $AA$171 &amp; $X37),0)))))</f>
        <v/>
      </c>
      <c r="L37" s="33">
        <f ca="1">IF(ISERROR(MATCH(L$1,INDIRECT("Table!A"&amp;$X37):INDIRECT("Table!" &amp; $AA$171 &amp; $X37),0)),"",INDIRECT(CONCATENATE("Table!",ADDRESS($T37,MATCH(L$1,INDIRECT("Table!A" &amp; $X37):INDIRECT("Table!" &amp; $AA$171 &amp; $X37),0)))))</f>
        <v>0.83827462045440182</v>
      </c>
      <c r="M37" s="33">
        <f ca="1">IF(ISERROR(MATCH(M$1,INDIRECT("Table!A"&amp;$X37):INDIRECT("Table!" &amp; $AA$171 &amp; $X37),0)),"",INDIRECT(CONCATENATE("Table!",ADDRESS($T37,MATCH(M$1,INDIRECT("Table!A" &amp; $X37):INDIRECT("Table!" &amp; $AA$171 &amp; $X37),0)))))</f>
        <v>0.29674295894566199</v>
      </c>
      <c r="N37" s="33">
        <f ca="1">IF(ISERROR(MATCH(N$1,INDIRECT("Table!A"&amp;$X37):INDIRECT("Table!" &amp; $AA$171 &amp; $X37),0)),"",INDIRECT(CONCATENATE("Table!",ADDRESS($T37,MATCH(N$1,INDIRECT("Table!A" &amp; $X37):INDIRECT("Table!" &amp; $AA$171 &amp; $X37),0)))))</f>
        <v>0.31737186360323139</v>
      </c>
      <c r="O37" s="33">
        <f ca="1">IF(ISERROR(MATCH(O$1,INDIRECT("Table!A"&amp;$X37):INDIRECT("Table!" &amp; $AA$171 &amp; $X37),0)),"",INDIRECT(CONCATENATE("Table!",ADDRESS($T37,MATCH(O$1,INDIRECT("Table!A" &amp; $X37):INDIRECT("Table!" &amp; $AA$171 &amp; $X37),0)))))</f>
        <v>0.53903980390145889</v>
      </c>
      <c r="P37" s="33">
        <f ca="1">IF(ISERROR(MATCH(P$1,INDIRECT("Table!A"&amp;$X37):INDIRECT("Table!" &amp; $AA$171 &amp; $X37),0)),"",INDIRECT(CONCATENATE("Table!",ADDRESS($T37,MATCH(P$1,INDIRECT("Table!A" &amp; $X37):INDIRECT("Table!" &amp; $AA$171 &amp; $X37),0)))))</f>
        <v>0.41975564902314239</v>
      </c>
      <c r="T37" s="31">
        <f>MATCH($A37,Table!$A:$A,0)+$V$2-1</f>
        <v>495</v>
      </c>
      <c r="U37" s="251"/>
      <c r="V37" s="251"/>
      <c r="W37" s="251"/>
      <c r="X37" s="31">
        <f>MATCH($A37,Table!$A:$A,0)+$Z$2-1</f>
        <v>492</v>
      </c>
      <c r="Y37" s="251"/>
      <c r="AA37" t="s">
        <v>209</v>
      </c>
    </row>
    <row r="38" spans="1:27" ht="15.75" customHeight="1">
      <c r="A38" s="5">
        <v>41176</v>
      </c>
      <c r="B38" s="33">
        <f ca="1">IF(ISERROR(MATCH(B$1,INDIRECT("Table!A"&amp;$X38):INDIRECT("Table!" &amp; $AA$171 &amp; $X38),0)),"",INDIRECT(CONCATENATE("Table!",ADDRESS($T38,MATCH(B$1,INDIRECT("Table!A" &amp; $X38):INDIRECT("Table!" &amp; $AA$171 &amp; $X38),0)))))</f>
        <v>0.64612649781508336</v>
      </c>
      <c r="C38" s="33">
        <f ca="1">IF(ISERROR(MATCH(C$1,INDIRECT("Table!A"&amp;$X38):INDIRECT("Table!" &amp; $AA$171 &amp; $X38),0)),"",INDIRECT(CONCATENATE("Table!",ADDRESS($T38,MATCH(C$1,INDIRECT("Table!A" &amp; $X38):INDIRECT("Table!" &amp; $AA$171 &amp; $X38),0)))))</f>
        <v>0.46888432975142813</v>
      </c>
      <c r="D38" s="33">
        <f ca="1">IF(ISERROR(MATCH(D$1,INDIRECT("Table!A"&amp;$X38):INDIRECT("Table!" &amp; $AA$171 &amp; $X38),0)),"",INDIRECT(CONCATENATE("Table!",ADDRESS($T38,MATCH(D$1,INDIRECT("Table!A" &amp; $X38):INDIRECT("Table!" &amp; $AA$171 &amp; $X38),0)))))</f>
        <v>0.47760567329144182</v>
      </c>
      <c r="E38" s="33">
        <f ca="1">IF(ISERROR(MATCH(E$1,INDIRECT("Table!A"&amp;$X38):INDIRECT("Table!" &amp; $AA$171 &amp; $X38),0)),"",INDIRECT(CONCATENATE("Table!",ADDRESS($T38,MATCH(E$1,INDIRECT("Table!A" &amp; $X38):INDIRECT("Table!" &amp; $AA$171 &amp; $X38),0)))))</f>
        <v>0.88242495238953444</v>
      </c>
      <c r="F38" s="33">
        <f ca="1">IF(ISERROR(MATCH(F$1,INDIRECT("Table!A"&amp;$X38):INDIRECT("Table!" &amp; $AA$171 &amp; $X38),0)),"",INDIRECT(CONCATENATE("Table!",ADDRESS($T38,MATCH(F$1,INDIRECT("Table!A" &amp; $X38):INDIRECT("Table!" &amp; $AA$171 &amp; $X38),0)))))</f>
        <v>0.2694398694489355</v>
      </c>
      <c r="G38" s="33">
        <f ca="1">IF(ISERROR(MATCH(G$1,INDIRECT("Table!A"&amp;$X38):INDIRECT("Table!" &amp; $AA$171 &amp; $X38),0)),"",INDIRECT(CONCATENATE("Table!",ADDRESS($T38,MATCH(G$1,INDIRECT("Table!A" &amp; $X38):INDIRECT("Table!" &amp; $AA$171 &amp; $X38),0)))))</f>
        <v>0.23917366739376716</v>
      </c>
      <c r="H38" s="33">
        <f ca="1">IF(ISERROR(MATCH(H$1,INDIRECT("Table!A"&amp;$X38):INDIRECT("Table!" &amp; $AA$171 &amp; $X38),0)),"",INDIRECT(CONCATENATE("Table!",ADDRESS($T38,MATCH(H$1,INDIRECT("Table!A" &amp; $X38):INDIRECT("Table!" &amp; $AA$171 &amp; $X38),0)))))</f>
        <v>0.37979820624106786</v>
      </c>
      <c r="I38" s="33" t="str">
        <f ca="1">IF(ISERROR(MATCH(I$1,INDIRECT("Table!A"&amp;$X38):INDIRECT("Table!" &amp; $AA$171 &amp; $X38),0)),"",INDIRECT(CONCATENATE("Table!",ADDRESS($T38,MATCH(I$1,INDIRECT("Table!A" &amp; $X38):INDIRECT("Table!" &amp; $AA$171 &amp; $X38),0)))))</f>
        <v/>
      </c>
      <c r="J38" s="33" t="str">
        <f ca="1">IF(ISERROR(MATCH(J$1,INDIRECT("Table!A"&amp;$X38):INDIRECT("Table!" &amp; $AA$171 &amp; $X38),0)),"",INDIRECT(CONCATENATE("Table!",ADDRESS($T38,MATCH(J$1,INDIRECT("Table!A" &amp; $X38):INDIRECT("Table!" &amp; $AA$171 &amp; $X38),0)))))</f>
        <v/>
      </c>
      <c r="K38" s="33" t="str">
        <f ca="1">IF(ISERROR(MATCH(K$1,INDIRECT("Table!A"&amp;$X38):INDIRECT("Table!" &amp; $AA$171 &amp; $X38),0)),"",INDIRECT(CONCATENATE("Table!",ADDRESS($T38,MATCH(K$1,INDIRECT("Table!A" &amp; $X38):INDIRECT("Table!" &amp; $AA$171 &amp; $X38),0)))))</f>
        <v/>
      </c>
      <c r="L38" s="33">
        <f ca="1">IF(ISERROR(MATCH(L$1,INDIRECT("Table!A"&amp;$X38):INDIRECT("Table!" &amp; $AA$171 &amp; $X38),0)),"",INDIRECT(CONCATENATE("Table!",ADDRESS($T38,MATCH(L$1,INDIRECT("Table!A" &amp; $X38):INDIRECT("Table!" &amp; $AA$171 &amp; $X38),0)))))</f>
        <v>0.83717792143072711</v>
      </c>
      <c r="M38" s="33">
        <f ca="1">IF(ISERROR(MATCH(M$1,INDIRECT("Table!A"&amp;$X38):INDIRECT("Table!" &amp; $AA$171 &amp; $X38),0)),"",INDIRECT(CONCATENATE("Table!",ADDRESS($T38,MATCH(M$1,INDIRECT("Table!A" &amp; $X38):INDIRECT("Table!" &amp; $AA$171 &amp; $X38),0)))))</f>
        <v>0.29659008175145796</v>
      </c>
      <c r="N38" s="33">
        <f ca="1">IF(ISERROR(MATCH(N$1,INDIRECT("Table!A"&amp;$X38):INDIRECT("Table!" &amp; $AA$171 &amp; $X38),0)),"",INDIRECT(CONCATENATE("Table!",ADDRESS($T38,MATCH(N$1,INDIRECT("Table!A" &amp; $X38):INDIRECT("Table!" &amp; $AA$171 &amp; $X38),0)))))</f>
        <v>0.30965484978779417</v>
      </c>
      <c r="O38" s="33">
        <f ca="1">IF(ISERROR(MATCH(O$1,INDIRECT("Table!A"&amp;$X38):INDIRECT("Table!" &amp; $AA$171 &amp; $X38),0)),"",INDIRECT(CONCATENATE("Table!",ADDRESS($T38,MATCH(O$1,INDIRECT("Table!A" &amp; $X38):INDIRECT("Table!" &amp; $AA$171 &amp; $X38),0)))))</f>
        <v>0.53856893621867752</v>
      </c>
      <c r="P38" s="33">
        <f ca="1">IF(ISERROR(MATCH(P$1,INDIRECT("Table!A"&amp;$X38):INDIRECT("Table!" &amp; $AA$171 &amp; $X38),0)),"",INDIRECT(CONCATENATE("Table!",ADDRESS($T38,MATCH(P$1,INDIRECT("Table!A" &amp; $X38):INDIRECT("Table!" &amp; $AA$171 &amp; $X38),0)))))</f>
        <v>0.41975382822599733</v>
      </c>
      <c r="T38" s="31">
        <f>MATCH($A38,Table!$A:$A,0)+$V$2-1</f>
        <v>508</v>
      </c>
      <c r="U38" s="250"/>
      <c r="V38" s="250"/>
      <c r="W38" s="250"/>
      <c r="X38" s="31">
        <f>MATCH($A38,Table!$A:$A,0)+$Z$2-1</f>
        <v>505</v>
      </c>
      <c r="Y38" s="250"/>
      <c r="AA38" t="s">
        <v>209</v>
      </c>
    </row>
    <row r="39" spans="1:27" ht="15.75" customHeight="1">
      <c r="A39" s="5">
        <v>41172</v>
      </c>
      <c r="B39" s="33">
        <f ca="1">IF(ISERROR(MATCH(B$1,INDIRECT("Table!A"&amp;$X39):INDIRECT("Table!" &amp; $AA$171 &amp; $X39),0)),"",INDIRECT(CONCATENATE("Table!",ADDRESS($T39,MATCH(B$1,INDIRECT("Table!A" &amp; $X39):INDIRECT("Table!" &amp; $AA$171 &amp; $X39),0)))))</f>
        <v>0.63549969942577067</v>
      </c>
      <c r="C39" s="33">
        <f ca="1">IF(ISERROR(MATCH(C$1,INDIRECT("Table!A"&amp;$X39):INDIRECT("Table!" &amp; $AA$171 &amp; $X39),0)),"",INDIRECT(CONCATENATE("Table!",ADDRESS($T39,MATCH(C$1,INDIRECT("Table!A" &amp; $X39):INDIRECT("Table!" &amp; $AA$171 &amp; $X39),0)))))</f>
        <v>0.46708186117337847</v>
      </c>
      <c r="D39" s="33">
        <f ca="1">IF(ISERROR(MATCH(D$1,INDIRECT("Table!A"&amp;$X39):INDIRECT("Table!" &amp; $AA$171 &amp; $X39),0)),"",INDIRECT(CONCATENATE("Table!",ADDRESS($T39,MATCH(D$1,INDIRECT("Table!A" &amp; $X39):INDIRECT("Table!" &amp; $AA$171 &amp; $X39),0)))))</f>
        <v>0.47601846450671631</v>
      </c>
      <c r="E39" s="33">
        <f ca="1">IF(ISERROR(MATCH(E$1,INDIRECT("Table!A"&amp;$X39):INDIRECT("Table!" &amp; $AA$171 &amp; $X39),0)),"",INDIRECT(CONCATENATE("Table!",ADDRESS($T39,MATCH(E$1,INDIRECT("Table!A" &amp; $X39):INDIRECT("Table!" &amp; $AA$171 &amp; $X39),0)))))</f>
        <v>0.88016943061949104</v>
      </c>
      <c r="F39" s="33">
        <f ca="1">IF(ISERROR(MATCH(F$1,INDIRECT("Table!A"&amp;$X39):INDIRECT("Table!" &amp; $AA$171 &amp; $X39),0)),"",INDIRECT(CONCATENATE("Table!",ADDRESS($T39,MATCH(F$1,INDIRECT("Table!A" &amp; $X39):INDIRECT("Table!" &amp; $AA$171 &amp; $X39),0)))))</f>
        <v>0.25440292531088982</v>
      </c>
      <c r="G39" s="33">
        <f ca="1">IF(ISERROR(MATCH(G$1,INDIRECT("Table!A"&amp;$X39):INDIRECT("Table!" &amp; $AA$171 &amp; $X39),0)),"",INDIRECT(CONCATENATE("Table!",ADDRESS($T39,MATCH(G$1,INDIRECT("Table!A" &amp; $X39):INDIRECT("Table!" &amp; $AA$171 &amp; $X39),0)))))</f>
        <v>0.24582659152790132</v>
      </c>
      <c r="H39" s="33">
        <f ca="1">IF(ISERROR(MATCH(H$1,INDIRECT("Table!A"&amp;$X39):INDIRECT("Table!" &amp; $AA$171 &amp; $X39),0)),"",INDIRECT(CONCATENATE("Table!",ADDRESS($T39,MATCH(H$1,INDIRECT("Table!A" &amp; $X39):INDIRECT("Table!" &amp; $AA$171 &amp; $X39),0)))))</f>
        <v>0.37897814093255022</v>
      </c>
      <c r="I39" s="33" t="str">
        <f ca="1">IF(ISERROR(MATCH(I$1,INDIRECT("Table!A"&amp;$X39):INDIRECT("Table!" &amp; $AA$171 &amp; $X39),0)),"",INDIRECT(CONCATENATE("Table!",ADDRESS($T39,MATCH(I$1,INDIRECT("Table!A" &amp; $X39):INDIRECT("Table!" &amp; $AA$171 &amp; $X39),0)))))</f>
        <v/>
      </c>
      <c r="J39" s="33" t="str">
        <f ca="1">IF(ISERROR(MATCH(J$1,INDIRECT("Table!A"&amp;$X39):INDIRECT("Table!" &amp; $AA$171 &amp; $X39),0)),"",INDIRECT(CONCATENATE("Table!",ADDRESS($T39,MATCH(J$1,INDIRECT("Table!A" &amp; $X39):INDIRECT("Table!" &amp; $AA$171 &amp; $X39),0)))))</f>
        <v/>
      </c>
      <c r="K39" s="33" t="str">
        <f ca="1">IF(ISERROR(MATCH(K$1,INDIRECT("Table!A"&amp;$X39):INDIRECT("Table!" &amp; $AA$171 &amp; $X39),0)),"",INDIRECT(CONCATENATE("Table!",ADDRESS($T39,MATCH(K$1,INDIRECT("Table!A" &amp; $X39):INDIRECT("Table!" &amp; $AA$171 &amp; $X39),0)))))</f>
        <v/>
      </c>
      <c r="L39" s="33">
        <f ca="1">IF(ISERROR(MATCH(L$1,INDIRECT("Table!A"&amp;$X39):INDIRECT("Table!" &amp; $AA$171 &amp; $X39),0)),"",INDIRECT(CONCATENATE("Table!",ADDRESS($T39,MATCH(L$1,INDIRECT("Table!A" &amp; $X39):INDIRECT("Table!" &amp; $AA$171 &amp; $X39),0)))))</f>
        <v>0.83436744739939017</v>
      </c>
      <c r="M39" s="33">
        <f ca="1">IF(ISERROR(MATCH(M$1,INDIRECT("Table!A"&amp;$X39):INDIRECT("Table!" &amp; $AA$171 &amp; $X39),0)),"",INDIRECT(CONCATENATE("Table!",ADDRESS($T39,MATCH(M$1,INDIRECT("Table!A" &amp; $X39):INDIRECT("Table!" &amp; $AA$171 &amp; $X39),0)))))</f>
        <v>0.30430583915200077</v>
      </c>
      <c r="N39" s="33">
        <f ca="1">IF(ISERROR(MATCH(N$1,INDIRECT("Table!A"&amp;$X39):INDIRECT("Table!" &amp; $AA$171 &amp; $X39),0)),"",INDIRECT(CONCATENATE("Table!",ADDRESS($T39,MATCH(N$1,INDIRECT("Table!A" &amp; $X39):INDIRECT("Table!" &amp; $AA$171 &amp; $X39),0)))))</f>
        <v>0.29451456187451874</v>
      </c>
      <c r="O39" s="33">
        <f ca="1">IF(ISERROR(MATCH(O$1,INDIRECT("Table!A"&amp;$X39):INDIRECT("Table!" &amp; $AA$171 &amp; $X39),0)),"",INDIRECT(CONCATENATE("Table!",ADDRESS($T39,MATCH(O$1,INDIRECT("Table!A" &amp; $X39):INDIRECT("Table!" &amp; $AA$171 &amp; $X39),0)))))</f>
        <v>0.53736485219231123</v>
      </c>
      <c r="P39" s="33">
        <f ca="1">IF(ISERROR(MATCH(P$1,INDIRECT("Table!A"&amp;$X39):INDIRECT("Table!" &amp; $AA$171 &amp; $X39),0)),"",INDIRECT(CONCATENATE("Table!",ADDRESS($T39,MATCH(P$1,INDIRECT("Table!A" &amp; $X39):INDIRECT("Table!" &amp; $AA$171 &amp; $X39),0)))))</f>
        <v>0.41975382822599733</v>
      </c>
      <c r="T39" s="31">
        <f>MATCH($A39,Table!$A:$A,0)+$V$2-1</f>
        <v>521</v>
      </c>
      <c r="U39" s="249"/>
      <c r="V39" s="249"/>
      <c r="W39" s="249"/>
      <c r="X39" s="31">
        <f>MATCH($A39,Table!$A:$A,0)+$Z$2-1</f>
        <v>518</v>
      </c>
      <c r="Y39" s="249"/>
      <c r="AA39" t="s">
        <v>209</v>
      </c>
    </row>
    <row r="40" spans="1:27" ht="15.75" customHeight="1">
      <c r="A40" s="5">
        <v>41171</v>
      </c>
      <c r="B40" s="33">
        <f ca="1">IF(ISERROR(MATCH(B$1,INDIRECT("Table!A"&amp;$X40):INDIRECT("Table!" &amp; $AA$171 &amp; $X40),0)),"",INDIRECT(CONCATENATE("Table!",ADDRESS($T40,MATCH(B$1,INDIRECT("Table!A" &amp; $X40):INDIRECT("Table!" &amp; $AA$171 &amp; $X40),0)))))</f>
        <v>0.63473396739850552</v>
      </c>
      <c r="C40" s="33">
        <f ca="1">IF(ISERROR(MATCH(C$1,INDIRECT("Table!A"&amp;$X40):INDIRECT("Table!" &amp; $AA$171 &amp; $X40),0)),"",INDIRECT(CONCATENATE("Table!",ADDRESS($T40,MATCH(C$1,INDIRECT("Table!A" &amp; $X40):INDIRECT("Table!" &amp; $AA$171 &amp; $X40),0)))))</f>
        <v>0.46674834137014193</v>
      </c>
      <c r="D40" s="33">
        <f ca="1">IF(ISERROR(MATCH(D$1,INDIRECT("Table!A"&amp;$X40):INDIRECT("Table!" &amp; $AA$171 &amp; $X40),0)),"",INDIRECT(CONCATENATE("Table!",ADDRESS($T40,MATCH(D$1,INDIRECT("Table!A" &amp; $X40):INDIRECT("Table!" &amp; $AA$171 &amp; $X40),0)))))</f>
        <v>0.47568826661387054</v>
      </c>
      <c r="E40" s="33">
        <f ca="1">IF(ISERROR(MATCH(E$1,INDIRECT("Table!A"&amp;$X40):INDIRECT("Table!" &amp; $AA$171 &amp; $X40),0)),"",INDIRECT(CONCATENATE("Table!",ADDRESS($T40,MATCH(E$1,INDIRECT("Table!A" &amp; $X40):INDIRECT("Table!" &amp; $AA$171 &amp; $X40),0)))))</f>
        <v>0.87862875265525198</v>
      </c>
      <c r="F40" s="33">
        <f ca="1">IF(ISERROR(MATCH(F$1,INDIRECT("Table!A"&amp;$X40):INDIRECT("Table!" &amp; $AA$171 &amp; $X40),0)),"",INDIRECT(CONCATENATE("Table!",ADDRESS($T40,MATCH(F$1,INDIRECT("Table!A" &amp; $X40):INDIRECT("Table!" &amp; $AA$171 &amp; $X40),0)))))</f>
        <v>0.25070156087094481</v>
      </c>
      <c r="G40" s="33">
        <f ca="1">IF(ISERROR(MATCH(G$1,INDIRECT("Table!A"&amp;$X40):INDIRECT("Table!" &amp; $AA$171 &amp; $X40),0)),"",INDIRECT(CONCATENATE("Table!",ADDRESS($T40,MATCH(G$1,INDIRECT("Table!A" &amp; $X40):INDIRECT("Table!" &amp; $AA$171 &amp; $X40),0)))))</f>
        <v>0.24435573475155786</v>
      </c>
      <c r="H40" s="33">
        <f ca="1">IF(ISERROR(MATCH(H$1,INDIRECT("Table!A"&amp;$X40):INDIRECT("Table!" &amp; $AA$171 &amp; $X40),0)),"",INDIRECT(CONCATENATE("Table!",ADDRESS($T40,MATCH(H$1,INDIRECT("Table!A" &amp; $X40):INDIRECT("Table!" &amp; $AA$171 &amp; $X40),0)))))</f>
        <v>0.37887264509386659</v>
      </c>
      <c r="I40" s="33" t="str">
        <f ca="1">IF(ISERROR(MATCH(I$1,INDIRECT("Table!A"&amp;$X40):INDIRECT("Table!" &amp; $AA$171 &amp; $X40),0)),"",INDIRECT(CONCATENATE("Table!",ADDRESS($T40,MATCH(I$1,INDIRECT("Table!A" &amp; $X40):INDIRECT("Table!" &amp; $AA$171 &amp; $X40),0)))))</f>
        <v/>
      </c>
      <c r="J40" s="33" t="str">
        <f ca="1">IF(ISERROR(MATCH(J$1,INDIRECT("Table!A"&amp;$X40):INDIRECT("Table!" &amp; $AA$171 &amp; $X40),0)),"",INDIRECT(CONCATENATE("Table!",ADDRESS($T40,MATCH(J$1,INDIRECT("Table!A" &amp; $X40):INDIRECT("Table!" &amp; $AA$171 &amp; $X40),0)))))</f>
        <v/>
      </c>
      <c r="K40" s="33" t="str">
        <f ca="1">IF(ISERROR(MATCH(K$1,INDIRECT("Table!A"&amp;$X40):INDIRECT("Table!" &amp; $AA$171 &amp; $X40),0)),"",INDIRECT(CONCATENATE("Table!",ADDRESS($T40,MATCH(K$1,INDIRECT("Table!A" &amp; $X40):INDIRECT("Table!" &amp; $AA$171 &amp; $X40),0)))))</f>
        <v/>
      </c>
      <c r="L40" s="33">
        <f ca="1">IF(ISERROR(MATCH(L$1,INDIRECT("Table!A"&amp;$X40):INDIRECT("Table!" &amp; $AA$171 &amp; $X40),0)),"",INDIRECT(CONCATENATE("Table!",ADDRESS($T40,MATCH(L$1,INDIRECT("Table!A" &amp; $X40):INDIRECT("Table!" &amp; $AA$171 &amp; $X40),0)))))</f>
        <v>0.83393461685137993</v>
      </c>
      <c r="M40" s="33">
        <f ca="1">IF(ISERROR(MATCH(M$1,INDIRECT("Table!A"&amp;$X40):INDIRECT("Table!" &amp; $AA$171 &amp; $X40),0)),"",INDIRECT(CONCATENATE("Table!",ADDRESS($T40,MATCH(M$1,INDIRECT("Table!A" &amp; $X40):INDIRECT("Table!" &amp; $AA$171 &amp; $X40),0)))))</f>
        <v>0.30133154522516081</v>
      </c>
      <c r="N40" s="33">
        <f ca="1">IF(ISERROR(MATCH(N$1,INDIRECT("Table!A"&amp;$X40):INDIRECT("Table!" &amp; $AA$171 &amp; $X40),0)),"",INDIRECT(CONCATENATE("Table!",ADDRESS($T40,MATCH(N$1,INDIRECT("Table!A" &amp; $X40):INDIRECT("Table!" &amp; $AA$171 &amp; $X40),0)))))</f>
        <v>0.29073704493008873</v>
      </c>
      <c r="O40" s="33">
        <f ca="1">IF(ISERROR(MATCH(O$1,INDIRECT("Table!A"&amp;$X40):INDIRECT("Table!" &amp; $AA$171 &amp; $X40),0)),"",INDIRECT(CONCATENATE("Table!",ADDRESS($T40,MATCH(O$1,INDIRECT("Table!A" &amp; $X40):INDIRECT("Table!" &amp; $AA$171 &amp; $X40),0)))))</f>
        <v>0.53736485219231123</v>
      </c>
      <c r="P40" s="33">
        <f ca="1">IF(ISERROR(MATCH(P$1,INDIRECT("Table!A"&amp;$X40):INDIRECT("Table!" &amp; $AA$171 &amp; $X40),0)),"",INDIRECT(CONCATENATE("Table!",ADDRESS($T40,MATCH(P$1,INDIRECT("Table!A" &amp; $X40):INDIRECT("Table!" &amp; $AA$171 &amp; $X40),0)))))</f>
        <v>0.41975382822599733</v>
      </c>
      <c r="T40" s="31">
        <f>MATCH($A40,Table!$A:$A,0)+$V$2-1</f>
        <v>534</v>
      </c>
      <c r="U40" s="249"/>
      <c r="V40" s="249"/>
      <c r="W40" s="249"/>
      <c r="X40" s="31">
        <f>MATCH($A40,Table!$A:$A,0)+$Z$2-1</f>
        <v>531</v>
      </c>
      <c r="Y40" s="249"/>
      <c r="AA40" t="s">
        <v>209</v>
      </c>
    </row>
    <row r="41" spans="1:27" ht="15.75" customHeight="1">
      <c r="A41" s="5">
        <v>41170</v>
      </c>
      <c r="B41" s="33">
        <f ca="1">IF(ISERROR(MATCH(B$1,INDIRECT("Table!A"&amp;$X41):INDIRECT("Table!" &amp; $AA$171 &amp; $X41),0)),"",INDIRECT(CONCATENATE("Table!",ADDRESS($T41,MATCH(B$1,INDIRECT("Table!A" &amp; $X41):INDIRECT("Table!" &amp; $AA$171 &amp; $X41),0)))))</f>
        <v>0.63519075654045332</v>
      </c>
      <c r="C41" s="33">
        <f ca="1">IF(ISERROR(MATCH(C$1,INDIRECT("Table!A"&amp;$X41):INDIRECT("Table!" &amp; $AA$171 &amp; $X41),0)),"",INDIRECT(CONCATENATE("Table!",ADDRESS($T41,MATCH(C$1,INDIRECT("Table!A" &amp; $X41):INDIRECT("Table!" &amp; $AA$171 &amp; $X41),0)))))</f>
        <v>0.46672907428987531</v>
      </c>
      <c r="D41" s="33">
        <f ca="1">IF(ISERROR(MATCH(D$1,INDIRECT("Table!A"&amp;$X41):INDIRECT("Table!" &amp; $AA$171 &amp; $X41),0)),"",INDIRECT(CONCATENATE("Table!",ADDRESS($T41,MATCH(D$1,INDIRECT("Table!A" &amp; $X41):INDIRECT("Table!" &amp; $AA$171 &amp; $X41),0)))))</f>
        <v>0.47566899953360381</v>
      </c>
      <c r="E41" s="33">
        <f ca="1">IF(ISERROR(MATCH(E$1,INDIRECT("Table!A"&amp;$X41):INDIRECT("Table!" &amp; $AA$171 &amp; $X41),0)),"",INDIRECT(CONCATENATE("Table!",ADDRESS($T41,MATCH(E$1,INDIRECT("Table!A" &amp; $X41):INDIRECT("Table!" &amp; $AA$171 &amp; $X41),0)))))</f>
        <v>0.87843149752359651</v>
      </c>
      <c r="F41" s="33">
        <f ca="1">IF(ISERROR(MATCH(F$1,INDIRECT("Table!A"&amp;$X41):INDIRECT("Table!" &amp; $AA$171 &amp; $X41),0)),"",INDIRECT(CONCATENATE("Table!",ADDRESS($T41,MATCH(F$1,INDIRECT("Table!A" &amp; $X41):INDIRECT("Table!" &amp; $AA$171 &amp; $X41),0)))))</f>
        <v>0.24843202731901903</v>
      </c>
      <c r="G41" s="33">
        <f ca="1">IF(ISERROR(MATCH(G$1,INDIRECT("Table!A"&amp;$X41):INDIRECT("Table!" &amp; $AA$171 &amp; $X41),0)),"",INDIRECT(CONCATENATE("Table!",ADDRESS($T41,MATCH(G$1,INDIRECT("Table!A" &amp; $X41):INDIRECT("Table!" &amp; $AA$171 &amp; $X41),0)))))</f>
        <v>0.24291485837893231</v>
      </c>
      <c r="H41" s="33">
        <f ca="1">IF(ISERROR(MATCH(H$1,INDIRECT("Table!A"&amp;$X41):INDIRECT("Table!" &amp; $AA$171 &amp; $X41),0)),"",INDIRECT(CONCATENATE("Table!",ADDRESS($T41,MATCH(H$1,INDIRECT("Table!A" &amp; $X41):INDIRECT("Table!" &amp; $AA$171 &amp; $X41),0)))))</f>
        <v>0.37879764414605238</v>
      </c>
      <c r="I41" s="33" t="str">
        <f ca="1">IF(ISERROR(MATCH(I$1,INDIRECT("Table!A"&amp;$X41):INDIRECT("Table!" &amp; $AA$171 &amp; $X41),0)),"",INDIRECT(CONCATENATE("Table!",ADDRESS($T41,MATCH(I$1,INDIRECT("Table!A" &amp; $X41):INDIRECT("Table!" &amp; $AA$171 &amp; $X41),0)))))</f>
        <v/>
      </c>
      <c r="J41" s="33" t="str">
        <f ca="1">IF(ISERROR(MATCH(J$1,INDIRECT("Table!A"&amp;$X41):INDIRECT("Table!" &amp; $AA$171 &amp; $X41),0)),"",INDIRECT(CONCATENATE("Table!",ADDRESS($T41,MATCH(J$1,INDIRECT("Table!A" &amp; $X41):INDIRECT("Table!" &amp; $AA$171 &amp; $X41),0)))))</f>
        <v/>
      </c>
      <c r="K41" s="33" t="str">
        <f ca="1">IF(ISERROR(MATCH(K$1,INDIRECT("Table!A"&amp;$X41):INDIRECT("Table!" &amp; $AA$171 &amp; $X41),0)),"",INDIRECT(CONCATENATE("Table!",ADDRESS($T41,MATCH(K$1,INDIRECT("Table!A" &amp; $X41):INDIRECT("Table!" &amp; $AA$171 &amp; $X41),0)))))</f>
        <v/>
      </c>
      <c r="L41" s="33">
        <f ca="1">IF(ISERROR(MATCH(L$1,INDIRECT("Table!A"&amp;$X41):INDIRECT("Table!" &amp; $AA$171 &amp; $X41),0)),"",INDIRECT(CONCATENATE("Table!",ADDRESS($T41,MATCH(L$1,INDIRECT("Table!A" &amp; $X41):INDIRECT("Table!" &amp; $AA$171 &amp; $X41),0)))))</f>
        <v>0.83375914500759196</v>
      </c>
      <c r="M41" s="33">
        <f ca="1">IF(ISERROR(MATCH(M$1,INDIRECT("Table!A"&amp;$X41):INDIRECT("Table!" &amp; $AA$171 &amp; $X41),0)),"",INDIRECT(CONCATENATE("Table!",ADDRESS($T41,MATCH(M$1,INDIRECT("Table!A" &amp; $X41):INDIRECT("Table!" &amp; $AA$171 &amp; $X41),0)))))</f>
        <v>0.30190596993011543</v>
      </c>
      <c r="N41" s="33">
        <f ca="1">IF(ISERROR(MATCH(N$1,INDIRECT("Table!A"&amp;$X41):INDIRECT("Table!" &amp; $AA$171 &amp; $X41),0)),"",INDIRECT(CONCATENATE("Table!",ADDRESS($T41,MATCH(N$1,INDIRECT("Table!A" &amp; $X41):INDIRECT("Table!" &amp; $AA$171 &amp; $X41),0)))))</f>
        <v>0.28825174098200934</v>
      </c>
      <c r="O41" s="33">
        <f ca="1">IF(ISERROR(MATCH(O$1,INDIRECT("Table!A"&amp;$X41):INDIRECT("Table!" &amp; $AA$171 &amp; $X41),0)),"",INDIRECT(CONCATENATE("Table!",ADDRESS($T41,MATCH(O$1,INDIRECT("Table!A" &amp; $X41):INDIRECT("Table!" &amp; $AA$171 &amp; $X41),0)))))</f>
        <v>0.53736485219231123</v>
      </c>
      <c r="P41" s="33">
        <f ca="1">IF(ISERROR(MATCH(P$1,INDIRECT("Table!A"&amp;$X41):INDIRECT("Table!" &amp; $AA$171 &amp; $X41),0)),"",INDIRECT(CONCATENATE("Table!",ADDRESS($T41,MATCH(P$1,INDIRECT("Table!A" &amp; $X41):INDIRECT("Table!" &amp; $AA$171 &amp; $X41),0)))))</f>
        <v>0.41975382822599733</v>
      </c>
      <c r="T41" s="31">
        <f>MATCH($A41,Table!$A:$A,0)+$V$2-1</f>
        <v>547</v>
      </c>
      <c r="U41" s="248"/>
      <c r="V41" s="248"/>
      <c r="W41" s="248"/>
      <c r="X41" s="31">
        <f>MATCH($A41,Table!$A:$A,0)+$Z$2-1</f>
        <v>544</v>
      </c>
      <c r="Y41" s="248"/>
      <c r="AA41" t="s">
        <v>209</v>
      </c>
    </row>
    <row r="42" spans="1:27" ht="15.75" customHeight="1">
      <c r="A42" s="5">
        <v>41169</v>
      </c>
      <c r="B42" s="33">
        <f ca="1">IF(ISERROR(MATCH(B$1,INDIRECT("Table!A"&amp;$X42):INDIRECT("Table!" &amp; $AA$171 &amp; $X42),0)),"",INDIRECT(CONCATENATE("Table!",ADDRESS($T42,MATCH(B$1,INDIRECT("Table!A" &amp; $X42):INDIRECT("Table!" &amp; $AA$171 &amp; $X42),0)))))</f>
        <v>0.63507010841593892</v>
      </c>
      <c r="C42" s="33">
        <f ca="1">IF(ISERROR(MATCH(C$1,INDIRECT("Table!A"&amp;$X42):INDIRECT("Table!" &amp; $AA$171 &amp; $X42),0)),"",INDIRECT(CONCATENATE("Table!",ADDRESS($T42,MATCH(C$1,INDIRECT("Table!A" &amp; $X42):INDIRECT("Table!" &amp; $AA$171 &amp; $X42),0)))))</f>
        <v>0.46658025270436726</v>
      </c>
      <c r="D42" s="33">
        <f ca="1">IF(ISERROR(MATCH(D$1,INDIRECT("Table!A"&amp;$X42):INDIRECT("Table!" &amp; $AA$171 &amp; $X42),0)),"",INDIRECT(CONCATENATE("Table!",ADDRESS($T42,MATCH(D$1,INDIRECT("Table!A" &amp; $X42):INDIRECT("Table!" &amp; $AA$171 &amp; $X42),0)))))</f>
        <v>0.47551884918393955</v>
      </c>
      <c r="E42" s="33">
        <f ca="1">IF(ISERROR(MATCH(E$1,INDIRECT("Table!A"&amp;$X42):INDIRECT("Table!" &amp; $AA$171 &amp; $X42),0)),"",INDIRECT(CONCATENATE("Table!",ADDRESS($T42,MATCH(E$1,INDIRECT("Table!A" &amp; $X42):INDIRECT("Table!" &amp; $AA$171 &amp; $X42),0)))))</f>
        <v>0.87819468147417168</v>
      </c>
      <c r="F42" s="33">
        <f ca="1">IF(ISERROR(MATCH(F$1,INDIRECT("Table!A"&amp;$X42):INDIRECT("Table!" &amp; $AA$171 &amp; $X42),0)),"",INDIRECT(CONCATENATE("Table!",ADDRESS($T42,MATCH(F$1,INDIRECT("Table!A" &amp; $X42):INDIRECT("Table!" &amp; $AA$171 &amp; $X42),0)))))</f>
        <v>0.24692283283721914</v>
      </c>
      <c r="G42" s="33">
        <f ca="1">IF(ISERROR(MATCH(G$1,INDIRECT("Table!A"&amp;$X42):INDIRECT("Table!" &amp; $AA$171 &amp; $X42),0)),"",INDIRECT(CONCATENATE("Table!",ADDRESS($T42,MATCH(G$1,INDIRECT("Table!A" &amp; $X42):INDIRECT("Table!" &amp; $AA$171 &amp; $X42),0)))))</f>
        <v>0.24332459056307743</v>
      </c>
      <c r="H42" s="33">
        <f ca="1">IF(ISERROR(MATCH(H$1,INDIRECT("Table!A"&amp;$X42):INDIRECT("Table!" &amp; $AA$171 &amp; $X42),0)),"",INDIRECT(CONCATENATE("Table!",ADDRESS($T42,MATCH(H$1,INDIRECT("Table!A" &amp; $X42):INDIRECT("Table!" &amp; $AA$171 &amp; $X42),0)))))</f>
        <v>0.37869956598352617</v>
      </c>
      <c r="I42" s="33" t="str">
        <f ca="1">IF(ISERROR(MATCH(I$1,INDIRECT("Table!A"&amp;$X42):INDIRECT("Table!" &amp; $AA$171 &amp; $X42),0)),"",INDIRECT(CONCATENATE("Table!",ADDRESS($T42,MATCH(I$1,INDIRECT("Table!A" &amp; $X42):INDIRECT("Table!" &amp; $AA$171 &amp; $X42),0)))))</f>
        <v/>
      </c>
      <c r="J42" s="33" t="str">
        <f ca="1">IF(ISERROR(MATCH(J$1,INDIRECT("Table!A"&amp;$X42):INDIRECT("Table!" &amp; $AA$171 &amp; $X42),0)),"",INDIRECT(CONCATENATE("Table!",ADDRESS($T42,MATCH(J$1,INDIRECT("Table!A" &amp; $X42):INDIRECT("Table!" &amp; $AA$171 &amp; $X42),0)))))</f>
        <v/>
      </c>
      <c r="K42" s="33" t="str">
        <f ca="1">IF(ISERROR(MATCH(K$1,INDIRECT("Table!A"&amp;$X42):INDIRECT("Table!" &amp; $AA$171 &amp; $X42),0)),"",INDIRECT(CONCATENATE("Table!",ADDRESS($T42,MATCH(K$1,INDIRECT("Table!A" &amp; $X42):INDIRECT("Table!" &amp; $AA$171 &amp; $X42),0)))))</f>
        <v/>
      </c>
      <c r="L42" s="33">
        <f ca="1">IF(ISERROR(MATCH(L$1,INDIRECT("Table!A"&amp;$X42):INDIRECT("Table!" &amp; $AA$171 &amp; $X42),0)),"",INDIRECT(CONCATENATE("Table!",ADDRESS($T42,MATCH(L$1,INDIRECT("Table!A" &amp; $X42):INDIRECT("Table!" &amp; $AA$171 &amp; $X42),0)))))</f>
        <v>0.83348423911899083</v>
      </c>
      <c r="M42" s="33">
        <f ca="1">IF(ISERROR(MATCH(M$1,INDIRECT("Table!A"&amp;$X42):INDIRECT("Table!" &amp; $AA$171 &amp; $X42),0)),"",INDIRECT(CONCATENATE("Table!",ADDRESS($T42,MATCH(M$1,INDIRECT("Table!A" &amp; $X42):INDIRECT("Table!" &amp; $AA$171 &amp; $X42),0)))))</f>
        <v>0.30481593434454279</v>
      </c>
      <c r="N42" s="33">
        <f ca="1">IF(ISERROR(MATCH(N$1,INDIRECT("Table!A"&amp;$X42):INDIRECT("Table!" &amp; $AA$171 &amp; $X42),0)),"",INDIRECT(CONCATENATE("Table!",ADDRESS($T42,MATCH(N$1,INDIRECT("Table!A" &amp; $X42):INDIRECT("Table!" &amp; $AA$171 &amp; $X42),0)))))</f>
        <v>0.28683018580548147</v>
      </c>
      <c r="O42" s="33">
        <f ca="1">IF(ISERROR(MATCH(O$1,INDIRECT("Table!A"&amp;$X42):INDIRECT("Table!" &amp; $AA$171 &amp; $X42),0)),"",INDIRECT(CONCATENATE("Table!",ADDRESS($T42,MATCH(O$1,INDIRECT("Table!A" &amp; $X42):INDIRECT("Table!" &amp; $AA$171 &amp; $X42),0)))))</f>
        <v>0.53663333573205751</v>
      </c>
      <c r="P42" s="33">
        <f ca="1">IF(ISERROR(MATCH(P$1,INDIRECT("Table!A"&amp;$X42):INDIRECT("Table!" &amp; $AA$171 &amp; $X42),0)),"",INDIRECT(CONCATENATE("Table!",ADDRESS($T42,MATCH(P$1,INDIRECT("Table!A" &amp; $X42):INDIRECT("Table!" &amp; $AA$171 &amp; $X42),0)))))</f>
        <v>0.41975382822599733</v>
      </c>
      <c r="T42" s="31">
        <f>MATCH($A42,Table!$A:$A,0)+$V$2-1</f>
        <v>560</v>
      </c>
      <c r="U42" s="247"/>
      <c r="V42" s="247"/>
      <c r="W42" s="247"/>
      <c r="X42" s="31">
        <f>MATCH($A42,Table!$A:$A,0)+$Z$2-1</f>
        <v>557</v>
      </c>
      <c r="Y42" s="247"/>
      <c r="AA42" t="s">
        <v>209</v>
      </c>
    </row>
    <row r="43" spans="1:27" ht="15.75" customHeight="1">
      <c r="A43" s="5">
        <v>41166</v>
      </c>
      <c r="B43" s="33">
        <f ca="1">IF(ISERROR(MATCH(B$1,INDIRECT("Table!A"&amp;$X43):INDIRECT("Table!" &amp; $AA$171 &amp; $X43),0)),"",INDIRECT(CONCATENATE("Table!",ADDRESS($T43,MATCH(B$1,INDIRECT("Table!A" &amp; $X43):INDIRECT("Table!" &amp; $AA$171 &amp; $X43),0)))))</f>
        <v>0.63484275992696948</v>
      </c>
      <c r="C43" s="33">
        <f ca="1">IF(ISERROR(MATCH(C$1,INDIRECT("Table!A"&amp;$X43):INDIRECT("Table!" &amp; $AA$171 &amp; $X43),0)),"",INDIRECT(CONCATENATE("Table!",ADDRESS($T43,MATCH(C$1,INDIRECT("Table!A" &amp; $X43):INDIRECT("Table!" &amp; $AA$171 &amp; $X43),0)))))</f>
        <v>0.466500526854988</v>
      </c>
      <c r="D43" s="33">
        <f ca="1">IF(ISERROR(MATCH(D$1,INDIRECT("Table!A"&amp;$X43):INDIRECT("Table!" &amp; $AA$171 &amp; $X43),0)),"",INDIRECT(CONCATENATE("Table!",ADDRESS($T43,MATCH(D$1,INDIRECT("Table!A" &amp; $X43):INDIRECT("Table!" &amp; $AA$171 &amp; $X43),0)))))</f>
        <v>0.47543912333456029</v>
      </c>
      <c r="E43" s="33">
        <f ca="1">IF(ISERROR(MATCH(E$1,INDIRECT("Table!A"&amp;$X43):INDIRECT("Table!" &amp; $AA$171 &amp; $X43),0)),"",INDIRECT(CONCATENATE("Table!",ADDRESS($T43,MATCH(E$1,INDIRECT("Table!A" &amp; $X43):INDIRECT("Table!" &amp; $AA$171 &amp; $X43),0)))))</f>
        <v>0.87727104393569599</v>
      </c>
      <c r="F43" s="33">
        <f ca="1">IF(ISERROR(MATCH(F$1,INDIRECT("Table!A"&amp;$X43):INDIRECT("Table!" &amp; $AA$171 &amp; $X43),0)),"",INDIRECT(CONCATENATE("Table!",ADDRESS($T43,MATCH(F$1,INDIRECT("Table!A" &amp; $X43):INDIRECT("Table!" &amp; $AA$171 &amp; $X43),0)))))</f>
        <v>0.23483658451821521</v>
      </c>
      <c r="G43" s="33">
        <f ca="1">IF(ISERROR(MATCH(G$1,INDIRECT("Table!A"&amp;$X43):INDIRECT("Table!" &amp; $AA$171 &amp; $X43),0)),"",INDIRECT(CONCATENATE("Table!",ADDRESS($T43,MATCH(G$1,INDIRECT("Table!A" &amp; $X43):INDIRECT("Table!" &amp; $AA$171 &amp; $X43),0)))))</f>
        <v>0.24386968881249441</v>
      </c>
      <c r="H43" s="33">
        <f ca="1">IF(ISERROR(MATCH(H$1,INDIRECT("Table!A"&amp;$X43):INDIRECT("Table!" &amp; $AA$171 &amp; $X43),0)),"",INDIRECT(CONCATENATE("Table!",ADDRESS($T43,MATCH(H$1,INDIRECT("Table!A" &amp; $X43):INDIRECT("Table!" &amp; $AA$171 &amp; $X43),0)))))</f>
        <v>0.37839049614363263</v>
      </c>
      <c r="I43" s="33" t="str">
        <f ca="1">IF(ISERROR(MATCH(I$1,INDIRECT("Table!A"&amp;$X43):INDIRECT("Table!" &amp; $AA$171 &amp; $X43),0)),"",INDIRECT(CONCATENATE("Table!",ADDRESS($T43,MATCH(I$1,INDIRECT("Table!A" &amp; $X43):INDIRECT("Table!" &amp; $AA$171 &amp; $X43),0)))))</f>
        <v/>
      </c>
      <c r="J43" s="33" t="str">
        <f ca="1">IF(ISERROR(MATCH(J$1,INDIRECT("Table!A"&amp;$X43):INDIRECT("Table!" &amp; $AA$171 &amp; $X43),0)),"",INDIRECT(CONCATENATE("Table!",ADDRESS($T43,MATCH(J$1,INDIRECT("Table!A" &amp; $X43):INDIRECT("Table!" &amp; $AA$171 &amp; $X43),0)))))</f>
        <v/>
      </c>
      <c r="K43" s="33" t="str">
        <f ca="1">IF(ISERROR(MATCH(K$1,INDIRECT("Table!A"&amp;$X43):INDIRECT("Table!" &amp; $AA$171 &amp; $X43),0)),"",INDIRECT(CONCATENATE("Table!",ADDRESS($T43,MATCH(K$1,INDIRECT("Table!A" &amp; $X43):INDIRECT("Table!" &amp; $AA$171 &amp; $X43),0)))))</f>
        <v/>
      </c>
      <c r="L43" s="33">
        <f ca="1">IF(ISERROR(MATCH(L$1,INDIRECT("Table!A"&amp;$X43):INDIRECT("Table!" &amp; $AA$171 &amp; $X43),0)),"",INDIRECT(CONCATENATE("Table!",ADDRESS($T43,MATCH(L$1,INDIRECT("Table!A" &amp; $X43):INDIRECT("Table!" &amp; $AA$171 &amp; $X43),0)))))</f>
        <v>0.83270689885101035</v>
      </c>
      <c r="M43" s="33">
        <f ca="1">IF(ISERROR(MATCH(M$1,INDIRECT("Table!A"&amp;$X43):INDIRECT("Table!" &amp; $AA$171 &amp; $X43),0)),"",INDIRECT(CONCATENATE("Table!",ADDRESS($T43,MATCH(M$1,INDIRECT("Table!A" &amp; $X43):INDIRECT("Table!" &amp; $AA$171 &amp; $X43),0)))))</f>
        <v>0.31313411870838442</v>
      </c>
      <c r="N43" s="33">
        <f ca="1">IF(ISERROR(MATCH(N$1,INDIRECT("Table!A"&amp;$X43):INDIRECT("Table!" &amp; $AA$171 &amp; $X43),0)),"",INDIRECT(CONCATENATE("Table!",ADDRESS($T43,MATCH(N$1,INDIRECT("Table!A" &amp; $X43):INDIRECT("Table!" &amp; $AA$171 &amp; $X43),0)))))</f>
        <v>0.28170847723154546</v>
      </c>
      <c r="O43" s="33">
        <f ca="1">IF(ISERROR(MATCH(O$1,INDIRECT("Table!A"&amp;$X43):INDIRECT("Table!" &amp; $AA$171 &amp; $X43),0)),"",INDIRECT(CONCATENATE("Table!",ADDRESS($T43,MATCH(O$1,INDIRECT("Table!A" &amp; $X43):INDIRECT("Table!" &amp; $AA$171 &amp; $X43),0)))))</f>
        <v>0.53465977118437102</v>
      </c>
      <c r="P43" s="33">
        <f ca="1">IF(ISERROR(MATCH(P$1,INDIRECT("Table!A"&amp;$X43):INDIRECT("Table!" &amp; $AA$171 &amp; $X43),0)),"",INDIRECT(CONCATENATE("Table!",ADDRESS($T43,MATCH(P$1,INDIRECT("Table!A" &amp; $X43):INDIRECT("Table!" &amp; $AA$171 &amp; $X43),0)))))</f>
        <v>0.41975382822599733</v>
      </c>
      <c r="T43" s="31">
        <f>MATCH($A43,Table!$A:$A,0)+$V$2-1</f>
        <v>573</v>
      </c>
      <c r="U43" s="246"/>
      <c r="V43" s="246"/>
      <c r="W43" s="246"/>
      <c r="X43" s="31">
        <f>MATCH($A43,Table!$A:$A,0)+$Z$2-1</f>
        <v>570</v>
      </c>
      <c r="Y43" s="246"/>
      <c r="AA43" t="s">
        <v>209</v>
      </c>
    </row>
    <row r="44" spans="1:27" ht="15.75" customHeight="1">
      <c r="A44" s="5">
        <v>41162</v>
      </c>
      <c r="B44" s="33">
        <f ca="1">IF(ISERROR(MATCH(B$1,INDIRECT("Table!A"&amp;$X44):INDIRECT("Table!" &amp; $AA$171 &amp; $X44),0)),"",INDIRECT(CONCATENATE("Table!",ADDRESS($T44,MATCH(B$1,INDIRECT("Table!A" &amp; $X44):INDIRECT("Table!" &amp; $AA$171 &amp; $X44),0)))))</f>
        <v>0.63446826256937261</v>
      </c>
      <c r="C44" s="33">
        <f ca="1">IF(ISERROR(MATCH(C$1,INDIRECT("Table!A"&amp;$X44):INDIRECT("Table!" &amp; $AA$171 &amp; $X44),0)),"",INDIRECT(CONCATENATE("Table!",ADDRESS($T44,MATCH(C$1,INDIRECT("Table!A" &amp; $X44):INDIRECT("Table!" &amp; $AA$171 &amp; $X44),0)))))</f>
        <v>0.46622547267462955</v>
      </c>
      <c r="D44" s="33">
        <f ca="1">IF(ISERROR(MATCH(D$1,INDIRECT("Table!A"&amp;$X44):INDIRECT("Table!" &amp; $AA$171 &amp; $X44),0)),"",INDIRECT(CONCATENATE("Table!",ADDRESS($T44,MATCH(D$1,INDIRECT("Table!A" &amp; $X44):INDIRECT("Table!" &amp; $AA$171 &amp; $X44),0)))))</f>
        <v>0.47516274039004547</v>
      </c>
      <c r="E44" s="33">
        <f ca="1">IF(ISERROR(MATCH(E$1,INDIRECT("Table!A"&amp;$X44):INDIRECT("Table!" &amp; $AA$171 &amp; $X44),0)),"",INDIRECT(CONCATENATE("Table!",ADDRESS($T44,MATCH(E$1,INDIRECT("Table!A" &amp; $X44):INDIRECT("Table!" &amp; $AA$171 &amp; $X44),0)))))</f>
        <v>0.87535233942388324</v>
      </c>
      <c r="F44" s="33">
        <f ca="1">IF(ISERROR(MATCH(F$1,INDIRECT("Table!A"&amp;$X44):INDIRECT("Table!" &amp; $AA$171 &amp; $X44),0)),"",INDIRECT(CONCATENATE("Table!",ADDRESS($T44,MATCH(F$1,INDIRECT("Table!A" &amp; $X44):INDIRECT("Table!" &amp; $AA$171 &amp; $X44),0)))))</f>
        <v>0.22819902993306235</v>
      </c>
      <c r="G44" s="33">
        <f ca="1">IF(ISERROR(MATCH(G$1,INDIRECT("Table!A"&amp;$X44):INDIRECT("Table!" &amp; $AA$171 &amp; $X44),0)),"",INDIRECT(CONCATENATE("Table!",ADDRESS($T44,MATCH(G$1,INDIRECT("Table!A" &amp; $X44):INDIRECT("Table!" &amp; $AA$171 &amp; $X44),0)))))</f>
        <v>0.24325645328190029</v>
      </c>
      <c r="H44" s="33">
        <f ca="1">IF(ISERROR(MATCH(H$1,INDIRECT("Table!A"&amp;$X44):INDIRECT("Table!" &amp; $AA$171 &amp; $X44),0)),"",INDIRECT(CONCATENATE("Table!",ADDRESS($T44,MATCH(H$1,INDIRECT("Table!A" &amp; $X44):INDIRECT("Table!" &amp; $AA$171 &amp; $X44),0)))))</f>
        <v>0.37756548571767662</v>
      </c>
      <c r="I44" s="33" t="str">
        <f ca="1">IF(ISERROR(MATCH(I$1,INDIRECT("Table!A"&amp;$X44):INDIRECT("Table!" &amp; $AA$171 &amp; $X44),0)),"",INDIRECT(CONCATENATE("Table!",ADDRESS($T44,MATCH(I$1,INDIRECT("Table!A" &amp; $X44):INDIRECT("Table!" &amp; $AA$171 &amp; $X44),0)))))</f>
        <v/>
      </c>
      <c r="J44" s="33" t="str">
        <f ca="1">IF(ISERROR(MATCH(J$1,INDIRECT("Table!A"&amp;$X44):INDIRECT("Table!" &amp; $AA$171 &amp; $X44),0)),"",INDIRECT(CONCATENATE("Table!",ADDRESS($T44,MATCH(J$1,INDIRECT("Table!A" &amp; $X44):INDIRECT("Table!" &amp; $AA$171 &amp; $X44),0)))))</f>
        <v/>
      </c>
      <c r="K44" s="33" t="str">
        <f ca="1">IF(ISERROR(MATCH(K$1,INDIRECT("Table!A"&amp;$X44):INDIRECT("Table!" &amp; $AA$171 &amp; $X44),0)),"",INDIRECT(CONCATENATE("Table!",ADDRESS($T44,MATCH(K$1,INDIRECT("Table!A" &amp; $X44):INDIRECT("Table!" &amp; $AA$171 &amp; $X44),0)))))</f>
        <v/>
      </c>
      <c r="L44" s="33">
        <f ca="1">IF(ISERROR(MATCH(L$1,INDIRECT("Table!A"&amp;$X44):INDIRECT("Table!" &amp; $AA$171 &amp; $X44),0)),"",INDIRECT(CONCATENATE("Table!",ADDRESS($T44,MATCH(L$1,INDIRECT("Table!A" &amp; $X44):INDIRECT("Table!" &amp; $AA$171 &amp; $X44),0)))))</f>
        <v>0.82922963181327913</v>
      </c>
      <c r="M44" s="33">
        <f ca="1">IF(ISERROR(MATCH(M$1,INDIRECT("Table!A"&amp;$X44):INDIRECT("Table!" &amp; $AA$171 &amp; $X44),0)),"",INDIRECT(CONCATENATE("Table!",ADDRESS($T44,MATCH(M$1,INDIRECT("Table!A" &amp; $X44):INDIRECT("Table!" &amp; $AA$171 &amp; $X44),0)))))</f>
        <v>0.320227015065215</v>
      </c>
      <c r="N44" s="33">
        <f ca="1">IF(ISERROR(MATCH(N$1,INDIRECT("Table!A"&amp;$X44):INDIRECT("Table!" &amp; $AA$171 &amp; $X44),0)),"",INDIRECT(CONCATENATE("Table!",ADDRESS($T44,MATCH(N$1,INDIRECT("Table!A" &amp; $X44):INDIRECT("Table!" &amp; $AA$171 &amp; $X44),0)))))</f>
        <v>0.27421025719752967</v>
      </c>
      <c r="O44" s="33">
        <f ca="1">IF(ISERROR(MATCH(O$1,INDIRECT("Table!A"&amp;$X44):INDIRECT("Table!" &amp; $AA$171 &amp; $X44),0)),"",INDIRECT(CONCATENATE("Table!",ADDRESS($T44,MATCH(O$1,INDIRECT("Table!A" &amp; $X44):INDIRECT("Table!" &amp; $AA$171 &amp; $X44),0)))))</f>
        <v>0.52712418837653774</v>
      </c>
      <c r="P44" s="33">
        <f ca="1">IF(ISERROR(MATCH(P$1,INDIRECT("Table!A"&amp;$X44):INDIRECT("Table!" &amp; $AA$171 &amp; $X44),0)),"",INDIRECT(CONCATENATE("Table!",ADDRESS($T44,MATCH(P$1,INDIRECT("Table!A" &amp; $X44):INDIRECT("Table!" &amp; $AA$171 &amp; $X44),0)))))</f>
        <v>0.41975200742885238</v>
      </c>
      <c r="T44" s="31">
        <f>MATCH($A44,Table!$A:$A,0)+$V$2-1</f>
        <v>599</v>
      </c>
      <c r="U44" s="244"/>
      <c r="V44" s="244"/>
      <c r="W44" s="244"/>
      <c r="X44" s="31">
        <f>MATCH($A44,Table!$A:$A,0)+$Z$2-1</f>
        <v>596</v>
      </c>
      <c r="Y44" s="244"/>
      <c r="AA44" t="s">
        <v>209</v>
      </c>
    </row>
    <row r="45" spans="1:27" ht="15.75" customHeight="1">
      <c r="A45" s="5">
        <v>41159</v>
      </c>
      <c r="B45" s="33">
        <f ca="1">IF(ISERROR(MATCH(B$1,INDIRECT("Table!A"&amp;$X45):INDIRECT("Table!" &amp; $AA$171 &amp; $X45),0)),"",INDIRECT(CONCATENATE("Table!",ADDRESS($T45,MATCH(B$1,INDIRECT("Table!A" &amp; $X45):INDIRECT("Table!" &amp; $AA$171 &amp; $X45),0)))))</f>
        <v>0.63230845192416318</v>
      </c>
      <c r="C45" s="33">
        <f ca="1">IF(ISERROR(MATCH(C$1,INDIRECT("Table!A"&amp;$X45):INDIRECT("Table!" &amp; $AA$171 &amp; $X45),0)),"",INDIRECT(CONCATENATE("Table!",ADDRESS($T45,MATCH(C$1,INDIRECT("Table!A" &amp; $X45):INDIRECT("Table!" &amp; $AA$171 &amp; $X45),0)))))</f>
        <v>0.46580359005499761</v>
      </c>
      <c r="D45" s="33">
        <f ca="1">IF(ISERROR(MATCH(D$1,INDIRECT("Table!A"&amp;$X45):INDIRECT("Table!" &amp; $AA$171 &amp; $X45),0)),"",INDIRECT(CONCATENATE("Table!",ADDRESS($T45,MATCH(D$1,INDIRECT("Table!A" &amp; $X45):INDIRECT("Table!" &amp; $AA$171 &amp; $X45),0)))))</f>
        <v>0.47474019338833529</v>
      </c>
      <c r="E45" s="33">
        <f ca="1">IF(ISERROR(MATCH(E$1,INDIRECT("Table!A"&amp;$X45):INDIRECT("Table!" &amp; $AA$171 &amp; $X45),0)),"",INDIRECT(CONCATENATE("Table!",ADDRESS($T45,MATCH(E$1,INDIRECT("Table!A" &amp; $X45):INDIRECT("Table!" &amp; $AA$171 &amp; $X45),0)))))</f>
        <v>0.87415342383259587</v>
      </c>
      <c r="F45" s="33">
        <f ca="1">IF(ISERROR(MATCH(F$1,INDIRECT("Table!A"&amp;$X45):INDIRECT("Table!" &amp; $AA$171 &amp; $X45),0)),"",INDIRECT(CONCATENATE("Table!",ADDRESS($T45,MATCH(F$1,INDIRECT("Table!A" &amp; $X45):INDIRECT("Table!" &amp; $AA$171 &amp; $X45),0)))))</f>
        <v>0.22418821111799458</v>
      </c>
      <c r="G45" s="33">
        <f ca="1">IF(ISERROR(MATCH(G$1,INDIRECT("Table!A"&amp;$X45):INDIRECT("Table!" &amp; $AA$171 &amp; $X45),0)),"",INDIRECT(CONCATENATE("Table!",ADDRESS($T45,MATCH(G$1,INDIRECT("Table!A" &amp; $X45):INDIRECT("Table!" &amp; $AA$171 &amp; $X45),0)))))</f>
        <v>0.24714209530316095</v>
      </c>
      <c r="H45" s="33">
        <f ca="1">IF(ISERROR(MATCH(H$1,INDIRECT("Table!A"&amp;$X45):INDIRECT("Table!" &amp; $AA$171 &amp; $X45),0)),"",INDIRECT(CONCATENATE("Table!",ADDRESS($T45,MATCH(H$1,INDIRECT("Table!A" &amp; $X45):INDIRECT("Table!" &amp; $AA$171 &amp; $X45),0)))))</f>
        <v>0.37729597681728944</v>
      </c>
      <c r="I45" s="33" t="str">
        <f ca="1">IF(ISERROR(MATCH(I$1,INDIRECT("Table!A"&amp;$X45):INDIRECT("Table!" &amp; $AA$171 &amp; $X45),0)),"",INDIRECT(CONCATENATE("Table!",ADDRESS($T45,MATCH(I$1,INDIRECT("Table!A" &amp; $X45):INDIRECT("Table!" &amp; $AA$171 &amp; $X45),0)))))</f>
        <v/>
      </c>
      <c r="J45" s="33" t="str">
        <f ca="1">IF(ISERROR(MATCH(J$1,INDIRECT("Table!A"&amp;$X45):INDIRECT("Table!" &amp; $AA$171 &amp; $X45),0)),"",INDIRECT(CONCATENATE("Table!",ADDRESS($T45,MATCH(J$1,INDIRECT("Table!A" &amp; $X45):INDIRECT("Table!" &amp; $AA$171 &amp; $X45),0)))))</f>
        <v/>
      </c>
      <c r="K45" s="33" t="str">
        <f ca="1">IF(ISERROR(MATCH(K$1,INDIRECT("Table!A"&amp;$X45):INDIRECT("Table!" &amp; $AA$171 &amp; $X45),0)),"",INDIRECT(CONCATENATE("Table!",ADDRESS($T45,MATCH(K$1,INDIRECT("Table!A" &amp; $X45):INDIRECT("Table!" &amp; $AA$171 &amp; $X45),0)))))</f>
        <v/>
      </c>
      <c r="L45" s="33">
        <f ca="1">IF(ISERROR(MATCH(L$1,INDIRECT("Table!A"&amp;$X45):INDIRECT("Table!" &amp; $AA$171 &amp; $X45),0)),"",INDIRECT(CONCATENATE("Table!",ADDRESS($T45,MATCH(L$1,INDIRECT("Table!A" &amp; $X45):INDIRECT("Table!" &amp; $AA$171 &amp; $X45),0)))))</f>
        <v>0.82819025359190868</v>
      </c>
      <c r="M45" s="33">
        <f ca="1">IF(ISERROR(MATCH(M$1,INDIRECT("Table!A"&amp;$X45):INDIRECT("Table!" &amp; $AA$171 &amp; $X45),0)),"",INDIRECT(CONCATENATE("Table!",ADDRESS($T45,MATCH(M$1,INDIRECT("Table!A" &amp; $X45):INDIRECT("Table!" &amp; $AA$171 &amp; $X45),0)))))</f>
        <v>0.27957454730943704</v>
      </c>
      <c r="N45" s="33">
        <f ca="1">IF(ISERROR(MATCH(N$1,INDIRECT("Table!A"&amp;$X45):INDIRECT("Table!" &amp; $AA$171 &amp; $X45),0)),"",INDIRECT(CONCATENATE("Table!",ADDRESS($T45,MATCH(N$1,INDIRECT("Table!A" &amp; $X45):INDIRECT("Table!" &amp; $AA$171 &amp; $X45),0)))))</f>
        <v>0.26885404037168348</v>
      </c>
      <c r="O45" s="33">
        <f ca="1">IF(ISERROR(MATCH(O$1,INDIRECT("Table!A"&amp;$X45):INDIRECT("Table!" &amp; $AA$171 &amp; $X45),0)),"",INDIRECT(CONCATENATE("Table!",ADDRESS($T45,MATCH(O$1,INDIRECT("Table!A" &amp; $X45):INDIRECT("Table!" &amp; $AA$171 &amp; $X45),0)))))</f>
        <v>0.526785911593601</v>
      </c>
      <c r="P45" s="33">
        <f ca="1">IF(ISERROR(MATCH(P$1,INDIRECT("Table!A"&amp;$X45):INDIRECT("Table!" &amp; $AA$171 &amp; $X45),0)),"",INDIRECT(CONCATENATE("Table!",ADDRESS($T45,MATCH(P$1,INDIRECT("Table!A" &amp; $X45):INDIRECT("Table!" &amp; $AA$171 &amp; $X45),0)))))</f>
        <v>0.41975018663170732</v>
      </c>
      <c r="T45" s="31">
        <f>MATCH($A45,Table!$A:$A,0)+$V$2-1</f>
        <v>612</v>
      </c>
      <c r="U45" s="243"/>
      <c r="V45" s="243"/>
      <c r="W45" s="243"/>
      <c r="X45" s="31">
        <f>MATCH($A45,Table!$A:$A,0)+$Z$2-1</f>
        <v>609</v>
      </c>
      <c r="Y45" s="243"/>
      <c r="AA45" t="s">
        <v>209</v>
      </c>
    </row>
    <row r="46" spans="1:27" ht="15.75" customHeight="1">
      <c r="A46" s="5">
        <v>41156</v>
      </c>
      <c r="B46" s="33">
        <f ca="1">IF(ISERROR(MATCH(B$1,INDIRECT("Table!A"&amp;$X46):INDIRECT("Table!" &amp; $AA$171 &amp; $X46),0)),"",INDIRECT(CONCATENATE("Table!",ADDRESS($T46,MATCH(B$1,INDIRECT("Table!A" &amp; $X46):INDIRECT("Table!" &amp; $AA$171 &amp; $X46),0)))))</f>
        <v>0.62737582657913049</v>
      </c>
      <c r="C46" s="33">
        <f ca="1">IF(ISERROR(MATCH(C$1,INDIRECT("Table!A"&amp;$X46):INDIRECT("Table!" &amp; $AA$171 &amp; $X46),0)),"",INDIRECT(CONCATENATE("Table!",ADDRESS($T46,MATCH(C$1,INDIRECT("Table!A" &amp; $X46):INDIRECT("Table!" &amp; $AA$171 &amp; $X46),0)))))</f>
        <v>0.46272816541519229</v>
      </c>
      <c r="D46" s="33">
        <f ca="1">IF(ISERROR(MATCH(D$1,INDIRECT("Table!A"&amp;$X46):INDIRECT("Table!" &amp; $AA$171 &amp; $X46),0)),"",INDIRECT(CONCATENATE("Table!",ADDRESS($T46,MATCH(D$1,INDIRECT("Table!A" &amp; $X46):INDIRECT("Table!" &amp; $AA$171 &amp; $X46),0)))))</f>
        <v>0.47167340571554622</v>
      </c>
      <c r="E46" s="33">
        <f ca="1">IF(ISERROR(MATCH(E$1,INDIRECT("Table!A"&amp;$X46):INDIRECT("Table!" &amp; $AA$171 &amp; $X46),0)),"",INDIRECT(CONCATENATE("Table!",ADDRESS($T46,MATCH(E$1,INDIRECT("Table!A" &amp; $X46):INDIRECT("Table!" &amp; $AA$171 &amp; $X46),0)))))</f>
        <v>0.87144295150820517</v>
      </c>
      <c r="F46" s="33">
        <f ca="1">IF(ISERROR(MATCH(F$1,INDIRECT("Table!A"&amp;$X46):INDIRECT("Table!" &amp; $AA$171 &amp; $X46),0)),"",INDIRECT(CONCATENATE("Table!",ADDRESS($T46,MATCH(F$1,INDIRECT("Table!A" &amp; $X46):INDIRECT("Table!" &amp; $AA$171 &amp; $X46),0)))))</f>
        <v>0.22017255707831551</v>
      </c>
      <c r="G46" s="33">
        <f ca="1">IF(ISERROR(MATCH(G$1,INDIRECT("Table!A"&amp;$X46):INDIRECT("Table!" &amp; $AA$171 &amp; $X46),0)),"",INDIRECT(CONCATENATE("Table!",ADDRESS($T46,MATCH(G$1,INDIRECT("Table!A" &amp; $X46):INDIRECT("Table!" &amp; $AA$171 &amp; $X46),0)))))</f>
        <v>0.24196275343661736</v>
      </c>
      <c r="H46" s="33">
        <f ca="1">IF(ISERROR(MATCH(H$1,INDIRECT("Table!A"&amp;$X46):INDIRECT("Table!" &amp; $AA$171 &amp; $X46),0)),"",INDIRECT(CONCATENATE("Table!",ADDRESS($T46,MATCH(H$1,INDIRECT("Table!A" &amp; $X46):INDIRECT("Table!" &amp; $AA$171 &amp; $X46),0)))))</f>
        <v>0.37486874834132516</v>
      </c>
      <c r="I46" s="33" t="str">
        <f ca="1">IF(ISERROR(MATCH(I$1,INDIRECT("Table!A"&amp;$X46):INDIRECT("Table!" &amp; $AA$171 &amp; $X46),0)),"",INDIRECT(CONCATENATE("Table!",ADDRESS($T46,MATCH(I$1,INDIRECT("Table!A" &amp; $X46):INDIRECT("Table!" &amp; $AA$171 &amp; $X46),0)))))</f>
        <v/>
      </c>
      <c r="J46" s="33" t="str">
        <f ca="1">IF(ISERROR(MATCH(J$1,INDIRECT("Table!A"&amp;$X46):INDIRECT("Table!" &amp; $AA$171 &amp; $X46),0)),"",INDIRECT(CONCATENATE("Table!",ADDRESS($T46,MATCH(J$1,INDIRECT("Table!A" &amp; $X46):INDIRECT("Table!" &amp; $AA$171 &amp; $X46),0)))))</f>
        <v/>
      </c>
      <c r="K46" s="33" t="str">
        <f ca="1">IF(ISERROR(MATCH(K$1,INDIRECT("Table!A"&amp;$X46):INDIRECT("Table!" &amp; $AA$171 &amp; $X46),0)),"",INDIRECT(CONCATENATE("Table!",ADDRESS($T46,MATCH(K$1,INDIRECT("Table!A" &amp; $X46):INDIRECT("Table!" &amp; $AA$171 &amp; $X46),0)))))</f>
        <v/>
      </c>
      <c r="L46" s="33">
        <f ca="1">IF(ISERROR(MATCH(L$1,INDIRECT("Table!A"&amp;$X46):INDIRECT("Table!" &amp; $AA$171 &amp; $X46),0)),"",INDIRECT(CONCATENATE("Table!",ADDRESS($T46,MATCH(L$1,INDIRECT("Table!A" &amp; $X46):INDIRECT("Table!" &amp; $AA$171 &amp; $X46),0)))))</f>
        <v>0.82589800640589206</v>
      </c>
      <c r="M46" s="33">
        <f ca="1">IF(ISERROR(MATCH(M$1,INDIRECT("Table!A"&amp;$X46):INDIRECT("Table!" &amp; $AA$171 &amp; $X46),0)),"",INDIRECT(CONCATENATE("Table!",ADDRESS($T46,MATCH(M$1,INDIRECT("Table!A" &amp; $X46):INDIRECT("Table!" &amp; $AA$171 &amp; $X46),0)))))</f>
        <v>0.27396728428044032</v>
      </c>
      <c r="N46" s="33">
        <f ca="1">IF(ISERROR(MATCH(N$1,INDIRECT("Table!A"&amp;$X46):INDIRECT("Table!" &amp; $AA$171 &amp; $X46),0)),"",INDIRECT(CONCATENATE("Table!",ADDRESS($T46,MATCH(N$1,INDIRECT("Table!A" &amp; $X46):INDIRECT("Table!" &amp; $AA$171 &amp; $X46),0)))))</f>
        <v>0.26458937484209977</v>
      </c>
      <c r="O46" s="33">
        <f ca="1">IF(ISERROR(MATCH(O$1,INDIRECT("Table!A"&amp;$X46):INDIRECT("Table!" &amp; $AA$171 &amp; $X46),0)),"",INDIRECT(CONCATENATE("Table!",ADDRESS($T46,MATCH(O$1,INDIRECT("Table!A" &amp; $X46):INDIRECT("Table!" &amp; $AA$171 &amp; $X46),0)))))</f>
        <v>0.52427291740210225</v>
      </c>
      <c r="P46" s="33">
        <f ca="1">IF(ISERROR(MATCH(P$1,INDIRECT("Table!A"&amp;$X46):INDIRECT("Table!" &amp; $AA$171 &amp; $X46),0)),"",INDIRECT(CONCATENATE("Table!",ADDRESS($T46,MATCH(P$1,INDIRECT("Table!A" &amp; $X46):INDIRECT("Table!" &amp; $AA$171 &amp; $X46),0)))))</f>
        <v>0.41958631488865822</v>
      </c>
      <c r="T46" s="31">
        <f>MATCH($A46,Table!$A:$A,0)+$V$2-1</f>
        <v>625</v>
      </c>
      <c r="U46" s="242"/>
      <c r="V46" s="242"/>
      <c r="W46" s="242"/>
      <c r="X46" s="31">
        <f>MATCH($A46,Table!$A:$A,0)+$Z$2-1</f>
        <v>622</v>
      </c>
      <c r="Y46" s="242"/>
      <c r="AA46" t="s">
        <v>209</v>
      </c>
    </row>
    <row r="47" spans="1:27" ht="15.75" customHeight="1">
      <c r="A47" s="5">
        <v>41151</v>
      </c>
      <c r="B47" s="33">
        <f ca="1">IF(ISERROR(MATCH(B$1,INDIRECT("Table!A"&amp;$X47):INDIRECT("Table!" &amp; $AA$171 &amp; $X47),0)),"",INDIRECT(CONCATENATE("Table!",ADDRESS($T47,MATCH(B$1,INDIRECT("Table!A" &amp; $X47):INDIRECT("Table!" &amp; $AA$171 &amp; $X47),0)))))</f>
        <v>0.62764571573628125</v>
      </c>
      <c r="C47" s="33">
        <f ca="1">IF(ISERROR(MATCH(C$1,INDIRECT("Table!A"&amp;$X47):INDIRECT("Table!" &amp; $AA$171 &amp; $X47),0)),"",INDIRECT(CONCATENATE("Table!",ADDRESS($T47,MATCH(C$1,INDIRECT("Table!A" &amp; $X47):INDIRECT("Table!" &amp; $AA$171 &amp; $X47),0)))))</f>
        <v>0.46271155586323826</v>
      </c>
      <c r="D47" s="33">
        <f ca="1">IF(ISERROR(MATCH(D$1,INDIRECT("Table!A"&amp;$X47):INDIRECT("Table!" &amp; $AA$171 &amp; $X47),0)),"",INDIRECT(CONCATENATE("Table!",ADDRESS($T47,MATCH(D$1,INDIRECT("Table!A" &amp; $X47):INDIRECT("Table!" &amp; $AA$171 &amp; $X47),0)))))</f>
        <v>0.47165679616359218</v>
      </c>
      <c r="E47" s="33">
        <f ca="1">IF(ISERROR(MATCH(E$1,INDIRECT("Table!A"&amp;$X47):INDIRECT("Table!" &amp; $AA$171 &amp; $X47),0)),"",INDIRECT(CONCATENATE("Table!",ADDRESS($T47,MATCH(E$1,INDIRECT("Table!A" &amp; $X47):INDIRECT("Table!" &amp; $AA$171 &amp; $X47),0)))))</f>
        <v>0.87105668310276285</v>
      </c>
      <c r="F47" s="33">
        <f ca="1">IF(ISERROR(MATCH(F$1,INDIRECT("Table!A"&amp;$X47):INDIRECT("Table!" &amp; $AA$171 &amp; $X47),0)),"",INDIRECT(CONCATENATE("Table!",ADDRESS($T47,MATCH(F$1,INDIRECT("Table!A" &amp; $X47):INDIRECT("Table!" &amp; $AA$171 &amp; $X47),0)))))</f>
        <v>0.21997914809386379</v>
      </c>
      <c r="G47" s="33">
        <f ca="1">IF(ISERROR(MATCH(G$1,INDIRECT("Table!A"&amp;$X47):INDIRECT("Table!" &amp; $AA$171 &amp; $X47),0)),"",INDIRECT(CONCATENATE("Table!",ADDRESS($T47,MATCH(G$1,INDIRECT("Table!A" &amp; $X47):INDIRECT("Table!" &amp; $AA$171 &amp; $X47),0)))))</f>
        <v>0.2413104525314817</v>
      </c>
      <c r="H47" s="33">
        <f ca="1">IF(ISERROR(MATCH(H$1,INDIRECT("Table!A"&amp;$X47):INDIRECT("Table!" &amp; $AA$171 &amp; $X47),0)),"",INDIRECT(CONCATENATE("Table!",ADDRESS($T47,MATCH(H$1,INDIRECT("Table!A" &amp; $X47):INDIRECT("Table!" &amp; $AA$171 &amp; $X47),0)))))</f>
        <v>0.37482012135318193</v>
      </c>
      <c r="I47" s="33" t="str">
        <f ca="1">IF(ISERROR(MATCH(I$1,INDIRECT("Table!A"&amp;$X47):INDIRECT("Table!" &amp; $AA$171 &amp; $X47),0)),"",INDIRECT(CONCATENATE("Table!",ADDRESS($T47,MATCH(I$1,INDIRECT("Table!A" &amp; $X47):INDIRECT("Table!" &amp; $AA$171 &amp; $X47),0)))))</f>
        <v/>
      </c>
      <c r="J47" s="33" t="str">
        <f ca="1">IF(ISERROR(MATCH(J$1,INDIRECT("Table!A"&amp;$X47):INDIRECT("Table!" &amp; $AA$171 &amp; $X47),0)),"",INDIRECT(CONCATENATE("Table!",ADDRESS($T47,MATCH(J$1,INDIRECT("Table!A" &amp; $X47):INDIRECT("Table!" &amp; $AA$171 &amp; $X47),0)))))</f>
        <v/>
      </c>
      <c r="K47" s="33" t="str">
        <f ca="1">IF(ISERROR(MATCH(K$1,INDIRECT("Table!A"&amp;$X47):INDIRECT("Table!" &amp; $AA$171 &amp; $X47),0)),"",INDIRECT(CONCATENATE("Table!",ADDRESS($T47,MATCH(K$1,INDIRECT("Table!A" &amp; $X47):INDIRECT("Table!" &amp; $AA$171 &amp; $X47),0)))))</f>
        <v/>
      </c>
      <c r="L47" s="33">
        <f ca="1">IF(ISERROR(MATCH(L$1,INDIRECT("Table!A"&amp;$X47):INDIRECT("Table!" &amp; $AA$171 &amp; $X47),0)),"",INDIRECT(CONCATENATE("Table!",ADDRESS($T47,MATCH(L$1,INDIRECT("Table!A" &amp; $X47):INDIRECT("Table!" &amp; $AA$171 &amp; $X47),0)))))</f>
        <v>0.82517740203406964</v>
      </c>
      <c r="M47" s="33">
        <f ca="1">IF(ISERROR(MATCH(M$1,INDIRECT("Table!A"&amp;$X47):INDIRECT("Table!" &amp; $AA$171 &amp; $X47),0)),"",INDIRECT(CONCATENATE("Table!",ADDRESS($T47,MATCH(M$1,INDIRECT("Table!A" &amp; $X47):INDIRECT("Table!" &amp; $AA$171 &amp; $X47),0)))))</f>
        <v>0.27222660335633553</v>
      </c>
      <c r="N47" s="33">
        <f ca="1">IF(ISERROR(MATCH(N$1,INDIRECT("Table!A"&amp;$X47):INDIRECT("Table!" &amp; $AA$171 &amp; $X47),0)),"",INDIRECT(CONCATENATE("Table!",ADDRESS($T47,MATCH(N$1,INDIRECT("Table!A" &amp; $X47):INDIRECT("Table!" &amp; $AA$171 &amp; $X47),0)))))</f>
        <v>0.26436453703356733</v>
      </c>
      <c r="O47" s="33">
        <f ca="1">IF(ISERROR(MATCH(O$1,INDIRECT("Table!A"&amp;$X47):INDIRECT("Table!" &amp; $AA$171 &amp; $X47),0)),"",INDIRECT(CONCATENATE("Table!",ADDRESS($T47,MATCH(O$1,INDIRECT("Table!A" &amp; $X47):INDIRECT("Table!" &amp; $AA$171 &amp; $X47),0)))))</f>
        <v>0.52406723151901002</v>
      </c>
      <c r="P47" s="33">
        <f ca="1">IF(ISERROR(MATCH(P$1,INDIRECT("Table!A"&amp;$X47):INDIRECT("Table!" &amp; $AA$171 &amp; $X47),0)),"",INDIRECT(CONCATENATE("Table!",ADDRESS($T47,MATCH(P$1,INDIRECT("Table!A" &amp; $X47):INDIRECT("Table!" &amp; $AA$171 &amp; $X47),0)))))</f>
        <v>0.41935143205695452</v>
      </c>
      <c r="T47" s="31">
        <f>MATCH($A47,Table!$A:$A,0)+$V$2-1</f>
        <v>638</v>
      </c>
      <c r="U47" s="241"/>
      <c r="V47" s="241"/>
      <c r="W47" s="241"/>
      <c r="X47" s="31">
        <f>MATCH($A47,Table!$A:$A,0)+$Z$2-1</f>
        <v>635</v>
      </c>
      <c r="Y47" s="241"/>
      <c r="AA47" t="s">
        <v>209</v>
      </c>
    </row>
    <row r="48" spans="1:27" ht="15.75" customHeight="1">
      <c r="A48" s="5">
        <v>41150</v>
      </c>
      <c r="B48" s="33">
        <f ca="1">IF(ISERROR(MATCH(B$1,INDIRECT("Table!A"&amp;$X48):INDIRECT("Table!" &amp; $AA$171 &amp; $X48),0)),"",INDIRECT(CONCATENATE("Table!",ADDRESS($T48,MATCH(B$1,INDIRECT("Table!A" &amp; $X48):INDIRECT("Table!" &amp; $AA$171 &amp; $X48),0)))))</f>
        <v>0.62623908413428342</v>
      </c>
      <c r="C48" s="33">
        <f ca="1">IF(ISERROR(MATCH(C$1,INDIRECT("Table!A"&amp;$X48):INDIRECT("Table!" &amp; $AA$171 &amp; $X48),0)),"",INDIRECT(CONCATENATE("Table!",ADDRESS($T48,MATCH(C$1,INDIRECT("Table!A" &amp; $X48):INDIRECT("Table!" &amp; $AA$171 &amp; $X48),0)))))</f>
        <v>0.46251357000394649</v>
      </c>
      <c r="D48" s="33">
        <f ca="1">IF(ISERROR(MATCH(D$1,INDIRECT("Table!A"&amp;$X48):INDIRECT("Table!" &amp; $AA$171 &amp; $X48),0)),"",INDIRECT(CONCATENATE("Table!",ADDRESS($T48,MATCH(D$1,INDIRECT("Table!A" &amp; $X48):INDIRECT("Table!" &amp; $AA$171 &amp; $X48),0)))))</f>
        <v>0.47148073491287962</v>
      </c>
      <c r="E48" s="33">
        <f ca="1">IF(ISERROR(MATCH(E$1,INDIRECT("Table!A"&amp;$X48):INDIRECT("Table!" &amp; $AA$171 &amp; $X48),0)),"",INDIRECT(CONCATENATE("Table!",ADDRESS($T48,MATCH(E$1,INDIRECT("Table!A" &amp; $X48):INDIRECT("Table!" &amp; $AA$171 &amp; $X48),0)))))</f>
        <v>0.86878138087383472</v>
      </c>
      <c r="F48" s="33">
        <f ca="1">IF(ISERROR(MATCH(F$1,INDIRECT("Table!A"&amp;$X48):INDIRECT("Table!" &amp; $AA$171 &amp; $X48),0)),"",INDIRECT(CONCATENATE("Table!",ADDRESS($T48,MATCH(F$1,INDIRECT("Table!A" &amp; $X48):INDIRECT("Table!" &amp; $AA$171 &amp; $X48),0)))))</f>
        <v>0.21777428567111409</v>
      </c>
      <c r="G48" s="33">
        <f ca="1">IF(ISERROR(MATCH(G$1,INDIRECT("Table!A"&amp;$X48):INDIRECT("Table!" &amp; $AA$171 &amp; $X48),0)),"",INDIRECT(CONCATENATE("Table!",ADDRESS($T48,MATCH(G$1,INDIRECT("Table!A" &amp; $X48):INDIRECT("Table!" &amp; $AA$171 &amp; $X48),0)))))</f>
        <v>0.23818431407107538</v>
      </c>
      <c r="H48" s="33">
        <f ca="1">IF(ISERROR(MATCH(H$1,INDIRECT("Table!A"&amp;$X48):INDIRECT("Table!" &amp; $AA$171 &amp; $X48),0)),"",INDIRECT(CONCATENATE("Table!",ADDRESS($T48,MATCH(H$1,INDIRECT("Table!A" &amp; $X48):INDIRECT("Table!" &amp; $AA$171 &amp; $X48),0)))))</f>
        <v>0.34794588063475529</v>
      </c>
      <c r="I48" s="33" t="str">
        <f ca="1">IF(ISERROR(MATCH(I$1,INDIRECT("Table!A"&amp;$X48):INDIRECT("Table!" &amp; $AA$171 &amp; $X48),0)),"",INDIRECT(CONCATENATE("Table!",ADDRESS($T48,MATCH(I$1,INDIRECT("Table!A" &amp; $X48):INDIRECT("Table!" &amp; $AA$171 &amp; $X48),0)))))</f>
        <v/>
      </c>
      <c r="J48" s="33" t="str">
        <f ca="1">IF(ISERROR(MATCH(J$1,INDIRECT("Table!A"&amp;$X48):INDIRECT("Table!" &amp; $AA$171 &amp; $X48),0)),"",INDIRECT(CONCATENATE("Table!",ADDRESS($T48,MATCH(J$1,INDIRECT("Table!A" &amp; $X48):INDIRECT("Table!" &amp; $AA$171 &amp; $X48),0)))))</f>
        <v/>
      </c>
      <c r="K48" s="33" t="str">
        <f ca="1">IF(ISERROR(MATCH(K$1,INDIRECT("Table!A"&amp;$X48):INDIRECT("Table!" &amp; $AA$171 &amp; $X48),0)),"",INDIRECT(CONCATENATE("Table!",ADDRESS($T48,MATCH(K$1,INDIRECT("Table!A" &amp; $X48):INDIRECT("Table!" &amp; $AA$171 &amp; $X48),0)))))</f>
        <v/>
      </c>
      <c r="L48" s="33">
        <f ca="1">IF(ISERROR(MATCH(L$1,INDIRECT("Table!A"&amp;$X48):INDIRECT("Table!" &amp; $AA$171 &amp; $X48),0)),"",INDIRECT(CONCATENATE("Table!",ADDRESS($T48,MATCH(L$1,INDIRECT("Table!A" &amp; $X48):INDIRECT("Table!" &amp; $AA$171 &amp; $X48),0)))))</f>
        <v>0.82283017367033273</v>
      </c>
      <c r="M48" s="33">
        <f ca="1">IF(ISERROR(MATCH(M$1,INDIRECT("Table!A"&amp;$X48):INDIRECT("Table!" &amp; $AA$171 &amp; $X48),0)),"",INDIRECT(CONCATENATE("Table!",ADDRESS($T48,MATCH(M$1,INDIRECT("Table!A" &amp; $X48):INDIRECT("Table!" &amp; $AA$171 &amp; $X48),0)))))</f>
        <v>0.25276881789601624</v>
      </c>
      <c r="N48" s="33">
        <f ca="1">IF(ISERROR(MATCH(N$1,INDIRECT("Table!A"&amp;$X48):INDIRECT("Table!" &amp; $AA$171 &amp; $X48),0)),"",INDIRECT(CONCATENATE("Table!",ADDRESS($T48,MATCH(N$1,INDIRECT("Table!A" &amp; $X48):INDIRECT("Table!" &amp; $AA$171 &amp; $X48),0)))))</f>
        <v>0.26197714632468755</v>
      </c>
      <c r="O48" s="33">
        <f ca="1">IF(ISERROR(MATCH(O$1,INDIRECT("Table!A"&amp;$X48):INDIRECT("Table!" &amp; $AA$171 &amp; $X48),0)),"",INDIRECT(CONCATENATE("Table!",ADDRESS($T48,MATCH(O$1,INDIRECT("Table!A" &amp; $X48):INDIRECT("Table!" &amp; $AA$171 &amp; $X48),0)))))</f>
        <v>0.52001357640153956</v>
      </c>
      <c r="P48" s="33">
        <f ca="1">IF(ISERROR(MATCH(P$1,INDIRECT("Table!A"&amp;$X48):INDIRECT("Table!" &amp; $AA$171 &amp; $X48),0)),"",INDIRECT(CONCATENATE("Table!",ADDRESS($T48,MATCH(P$1,INDIRECT("Table!A" &amp; $X48):INDIRECT("Table!" &amp; $AA$171 &amp; $X48),0)))))</f>
        <v>0.41932412009977971</v>
      </c>
      <c r="T48" s="31">
        <f>MATCH($A48,Table!$A:$A,0)+$V$2-1</f>
        <v>651</v>
      </c>
      <c r="U48" s="241"/>
      <c r="V48" s="241"/>
      <c r="W48" s="241"/>
      <c r="X48" s="31">
        <f>MATCH($A48,Table!$A:$A,0)+$Z$2-1</f>
        <v>648</v>
      </c>
      <c r="Y48" s="241"/>
      <c r="AA48" t="s">
        <v>209</v>
      </c>
    </row>
    <row r="49" spans="1:27" ht="15.75" customHeight="1">
      <c r="A49" s="5">
        <v>41149</v>
      </c>
      <c r="B49" s="33">
        <f ca="1">IF(ISERROR(MATCH(B$1,INDIRECT("Table!A"&amp;$X49):INDIRECT("Table!" &amp; $AA$171 &amp; $X49),0)),"",INDIRECT(CONCATENATE("Table!",ADDRESS($T49,MATCH(B$1,INDIRECT("Table!A" &amp; $X49):INDIRECT("Table!" &amp; $AA$171 &amp; $X49),0)))))</f>
        <v>0.62629905950253906</v>
      </c>
      <c r="C49" s="33">
        <f ca="1">IF(ISERROR(MATCH(C$1,INDIRECT("Table!A"&amp;$X49):INDIRECT("Table!" &amp; $AA$171 &amp; $X49),0)),"",INDIRECT(CONCATENATE("Table!",ADDRESS($T49,MATCH(C$1,INDIRECT("Table!A" &amp; $X49):INDIRECT("Table!" &amp; $AA$171 &amp; $X49),0)))))</f>
        <v>0.46250094674446141</v>
      </c>
      <c r="D49" s="33">
        <f ca="1">IF(ISERROR(MATCH(D$1,INDIRECT("Table!A"&amp;$X49):INDIRECT("Table!" &amp; $AA$171 &amp; $X49),0)),"",INDIRECT(CONCATENATE("Table!",ADDRESS($T49,MATCH(D$1,INDIRECT("Table!A" &amp; $X49):INDIRECT("Table!" &amp; $AA$171 &amp; $X49),0)))))</f>
        <v>0.47146877603547271</v>
      </c>
      <c r="E49" s="33">
        <f ca="1">IF(ISERROR(MATCH(E$1,INDIRECT("Table!A"&amp;$X49):INDIRECT("Table!" &amp; $AA$171 &amp; $X49),0)),"",INDIRECT(CONCATENATE("Table!",ADDRESS($T49,MATCH(E$1,INDIRECT("Table!A" &amp; $X49):INDIRECT("Table!" &amp; $AA$171 &amp; $X49),0)))))</f>
        <v>0.8684769815898874</v>
      </c>
      <c r="F49" s="33">
        <f ca="1">IF(ISERROR(MATCH(F$1,INDIRECT("Table!A"&amp;$X49):INDIRECT("Table!" &amp; $AA$171 &amp; $X49),0)),"",INDIRECT(CONCATENATE("Table!",ADDRESS($T49,MATCH(F$1,INDIRECT("Table!A" &amp; $X49):INDIRECT("Table!" &amp; $AA$171 &amp; $X49),0)))))</f>
        <v>0.21592058143575951</v>
      </c>
      <c r="G49" s="33">
        <f ca="1">IF(ISERROR(MATCH(G$1,INDIRECT("Table!A"&amp;$X49):INDIRECT("Table!" &amp; $AA$171 &amp; $X49),0)),"",INDIRECT(CONCATENATE("Table!",ADDRESS($T49,MATCH(G$1,INDIRECT("Table!A" &amp; $X49):INDIRECT("Table!" &amp; $AA$171 &amp; $X49),0)))))</f>
        <v>0.238354203025477</v>
      </c>
      <c r="H49" s="33">
        <f ca="1">IF(ISERROR(MATCH(H$1,INDIRECT("Table!A"&amp;$X49):INDIRECT("Table!" &amp; $AA$171 &amp; $X49),0)),"",INDIRECT(CONCATENATE("Table!",ADDRESS($T49,MATCH(H$1,INDIRECT("Table!A" &amp; $X49):INDIRECT("Table!" &amp; $AA$171 &amp; $X49),0)))))</f>
        <v>0.34617882533680372</v>
      </c>
      <c r="I49" s="33" t="str">
        <f ca="1">IF(ISERROR(MATCH(I$1,INDIRECT("Table!A"&amp;$X49):INDIRECT("Table!" &amp; $AA$171 &amp; $X49),0)),"",INDIRECT(CONCATENATE("Table!",ADDRESS($T49,MATCH(I$1,INDIRECT("Table!A" &amp; $X49):INDIRECT("Table!" &amp; $AA$171 &amp; $X49),0)))))</f>
        <v/>
      </c>
      <c r="J49" s="33" t="str">
        <f ca="1">IF(ISERROR(MATCH(J$1,INDIRECT("Table!A"&amp;$X49):INDIRECT("Table!" &amp; $AA$171 &amp; $X49),0)),"",INDIRECT(CONCATENATE("Table!",ADDRESS($T49,MATCH(J$1,INDIRECT("Table!A" &amp; $X49):INDIRECT("Table!" &amp; $AA$171 &amp; $X49),0)))))</f>
        <v/>
      </c>
      <c r="K49" s="33" t="str">
        <f ca="1">IF(ISERROR(MATCH(K$1,INDIRECT("Table!A"&amp;$X49):INDIRECT("Table!" &amp; $AA$171 &amp; $X49),0)),"",INDIRECT(CONCATENATE("Table!",ADDRESS($T49,MATCH(K$1,INDIRECT("Table!A" &amp; $X49):INDIRECT("Table!" &amp; $AA$171 &amp; $X49),0)))))</f>
        <v/>
      </c>
      <c r="L49" s="33">
        <f ca="1">IF(ISERROR(MATCH(L$1,INDIRECT("Table!A"&amp;$X49):INDIRECT("Table!" &amp; $AA$171 &amp; $X49),0)),"",INDIRECT(CONCATENATE("Table!",ADDRESS($T49,MATCH(L$1,INDIRECT("Table!A" &amp; $X49):INDIRECT("Table!" &amp; $AA$171 &amp; $X49),0)))))</f>
        <v>0.82236400347200289</v>
      </c>
      <c r="M49" s="33">
        <f ca="1">IF(ISERROR(MATCH(M$1,INDIRECT("Table!A"&amp;$X49):INDIRECT("Table!" &amp; $AA$171 &amp; $X49),0)),"",INDIRECT(CONCATENATE("Table!",ADDRESS($T49,MATCH(M$1,INDIRECT("Table!A" &amp; $X49):INDIRECT("Table!" &amp; $AA$171 &amp; $X49),0)))))</f>
        <v>0.25399788999199285</v>
      </c>
      <c r="N49" s="33">
        <f ca="1">IF(ISERROR(MATCH(N$1,INDIRECT("Table!A"&amp;$X49):INDIRECT("Table!" &amp; $AA$171 &amp; $X49),0)),"",INDIRECT(CONCATENATE("Table!",ADDRESS($T49,MATCH(N$1,INDIRECT("Table!A" &amp; $X49):INDIRECT("Table!" &amp; $AA$171 &amp; $X49),0)))))</f>
        <v>0.25992822113402875</v>
      </c>
      <c r="O49" s="33">
        <f ca="1">IF(ISERROR(MATCH(O$1,INDIRECT("Table!A"&amp;$X49):INDIRECT("Table!" &amp; $AA$171 &amp; $X49),0)),"",INDIRECT(CONCATENATE("Table!",ADDRESS($T49,MATCH(O$1,INDIRECT("Table!A" &amp; $X49):INDIRECT("Table!" &amp; $AA$171 &amp; $X49),0)))))</f>
        <v>0.51860040672541841</v>
      </c>
      <c r="P49" s="33">
        <f ca="1">IF(ISERROR(MATCH(P$1,INDIRECT("Table!A"&amp;$X49):INDIRECT("Table!" &amp; $AA$171 &amp; $X49),0)),"",INDIRECT(CONCATENATE("Table!",ADDRESS($T49,MATCH(P$1,INDIRECT("Table!A" &amp; $X49):INDIRECT("Table!" &amp; $AA$171 &amp; $X49),0)))))</f>
        <v>0.41929862893974978</v>
      </c>
      <c r="T49" s="31">
        <f>MATCH($A49,Table!$A:$A,0)+$V$2-1</f>
        <v>664</v>
      </c>
      <c r="U49" s="240"/>
      <c r="V49" s="240"/>
      <c r="W49" s="240"/>
      <c r="X49" s="31">
        <f>MATCH($A49,Table!$A:$A,0)+$Z$2-1</f>
        <v>661</v>
      </c>
      <c r="Y49" s="240"/>
      <c r="AA49" t="s">
        <v>209</v>
      </c>
    </row>
    <row r="50" spans="1:27" ht="15.75" customHeight="1">
      <c r="A50" s="5">
        <v>41144</v>
      </c>
      <c r="B50" s="33">
        <f ca="1">IF(ISERROR(MATCH(B$1,INDIRECT("Table!A"&amp;$X50):INDIRECT("Table!" &amp; $AA$171 &amp; $X50),0)),"",INDIRECT(CONCATENATE("Table!",ADDRESS($T50,MATCH(B$1,INDIRECT("Table!A" &amp; $X50):INDIRECT("Table!" &amp; $AA$171 &amp; $X50),0)))))</f>
        <v>0.62544127225888146</v>
      </c>
      <c r="C50" s="33">
        <f ca="1">IF(ISERROR(MATCH(C$1,INDIRECT("Table!A"&amp;$X50):INDIRECT("Table!" &amp; $AA$171 &amp; $X50),0)),"",INDIRECT(CONCATENATE("Table!",ADDRESS($T50,MATCH(C$1,INDIRECT("Table!A" &amp; $X50):INDIRECT("Table!" &amp; $AA$171 &amp; $X50),0)))))</f>
        <v>0.4619329000676341</v>
      </c>
      <c r="D50" s="33">
        <f ca="1">IF(ISERROR(MATCH(D$1,INDIRECT("Table!A"&amp;$X50):INDIRECT("Table!" &amp; $AA$171 &amp; $X50),0)),"",INDIRECT(CONCATENATE("Table!",ADDRESS($T50,MATCH(D$1,INDIRECT("Table!A" &amp; $X50):INDIRECT("Table!" &amp; $AA$171 &amp; $X50),0)))))</f>
        <v>0.47090205812280173</v>
      </c>
      <c r="E50" s="33">
        <f ca="1">IF(ISERROR(MATCH(E$1,INDIRECT("Table!A"&amp;$X50):INDIRECT("Table!" &amp; $AA$171 &amp; $X50),0)),"",INDIRECT(CONCATENATE("Table!",ADDRESS($T50,MATCH(E$1,INDIRECT("Table!A" &amp; $X50):INDIRECT("Table!" &amp; $AA$171 &amp; $X50),0)))))</f>
        <v>0.8669511389698118</v>
      </c>
      <c r="F50" s="33">
        <f ca="1">IF(ISERROR(MATCH(F$1,INDIRECT("Table!A"&amp;$X50):INDIRECT("Table!" &amp; $AA$171 &amp; $X50),0)),"",INDIRECT(CONCATENATE("Table!",ADDRESS($T50,MATCH(F$1,INDIRECT("Table!A" &amp; $X50):INDIRECT("Table!" &amp; $AA$171 &amp; $X50),0)))))</f>
        <v>0.21352956286547498</v>
      </c>
      <c r="G50" s="33">
        <f ca="1">IF(ISERROR(MATCH(G$1,INDIRECT("Table!A"&amp;$X50):INDIRECT("Table!" &amp; $AA$171 &amp; $X50),0)),"",INDIRECT(CONCATENATE("Table!",ADDRESS($T50,MATCH(G$1,INDIRECT("Table!A" &amp; $X50):INDIRECT("Table!" &amp; $AA$171 &amp; $X50),0)))))</f>
        <v>0.28565601211571712</v>
      </c>
      <c r="H50" s="33">
        <f ca="1">IF(ISERROR(MATCH(H$1,INDIRECT("Table!A"&amp;$X50):INDIRECT("Table!" &amp; $AA$171 &amp; $X50),0)),"",INDIRECT(CONCATENATE("Table!",ADDRESS($T50,MATCH(H$1,INDIRECT("Table!A" &amp; $X50):INDIRECT("Table!" &amp; $AA$171 &amp; $X50),0)))))</f>
        <v>0.34301065343133458</v>
      </c>
      <c r="I50" s="33" t="str">
        <f ca="1">IF(ISERROR(MATCH(I$1,INDIRECT("Table!A"&amp;$X50):INDIRECT("Table!" &amp; $AA$171 &amp; $X50),0)),"",INDIRECT(CONCATENATE("Table!",ADDRESS($T50,MATCH(I$1,INDIRECT("Table!A" &amp; $X50):INDIRECT("Table!" &amp; $AA$171 &amp; $X50),0)))))</f>
        <v/>
      </c>
      <c r="J50" s="33" t="str">
        <f ca="1">IF(ISERROR(MATCH(J$1,INDIRECT("Table!A"&amp;$X50):INDIRECT("Table!" &amp; $AA$171 &amp; $X50),0)),"",INDIRECT(CONCATENATE("Table!",ADDRESS($T50,MATCH(J$1,INDIRECT("Table!A" &amp; $X50):INDIRECT("Table!" &amp; $AA$171 &amp; $X50),0)))))</f>
        <v/>
      </c>
      <c r="K50" s="33" t="str">
        <f ca="1">IF(ISERROR(MATCH(K$1,INDIRECT("Table!A"&amp;$X50):INDIRECT("Table!" &amp; $AA$171 &amp; $X50),0)),"",INDIRECT(CONCATENATE("Table!",ADDRESS($T50,MATCH(K$1,INDIRECT("Table!A" &amp; $X50):INDIRECT("Table!" &amp; $AA$171 &amp; $X50),0)))))</f>
        <v/>
      </c>
      <c r="L50" s="33">
        <f ca="1">IF(ISERROR(MATCH(L$1,INDIRECT("Table!A"&amp;$X50):INDIRECT("Table!" &amp; $AA$171 &amp; $X50),0)),"",INDIRECT(CONCATENATE("Table!",ADDRESS($T50,MATCH(L$1,INDIRECT("Table!A" &amp; $X50):INDIRECT("Table!" &amp; $AA$171 &amp; $X50),0)))))</f>
        <v>0.82049464342951528</v>
      </c>
      <c r="M50" s="33">
        <f ca="1">IF(ISERROR(MATCH(M$1,INDIRECT("Table!A"&amp;$X50):INDIRECT("Table!" &amp; $AA$171 &amp; $X50),0)),"",INDIRECT(CONCATENATE("Table!",ADDRESS($T50,MATCH(M$1,INDIRECT("Table!A" &amp; $X50):INDIRECT("Table!" &amp; $AA$171 &amp; $X50),0)))))</f>
        <v>0.27166882864282887</v>
      </c>
      <c r="N50" s="33">
        <f ca="1">IF(ISERROR(MATCH(N$1,INDIRECT("Table!A"&amp;$X50):INDIRECT("Table!" &amp; $AA$171 &amp; $X50),0)),"",INDIRECT(CONCATENATE("Table!",ADDRESS($T50,MATCH(N$1,INDIRECT("Table!A" &amp; $X50):INDIRECT("Table!" &amp; $AA$171 &amp; $X50),0)))))</f>
        <v>0.25710807808399505</v>
      </c>
      <c r="O50" s="33">
        <f ca="1">IF(ISERROR(MATCH(O$1,INDIRECT("Table!A"&amp;$X50):INDIRECT("Table!" &amp; $AA$171 &amp; $X50),0)),"",INDIRECT(CONCATENATE("Table!",ADDRESS($T50,MATCH(O$1,INDIRECT("Table!A" &amp; $X50):INDIRECT("Table!" &amp; $AA$171 &amp; $X50),0)))))</f>
        <v>0.51426513760272241</v>
      </c>
      <c r="P50" s="33">
        <f ca="1">IF(ISERROR(MATCH(P$1,INDIRECT("Table!A"&amp;$X50):INDIRECT("Table!" &amp; $AA$171 &amp; $X50),0)),"",INDIRECT(CONCATENATE("Table!",ADDRESS($T50,MATCH(P$1,INDIRECT("Table!A" &amp; $X50):INDIRECT("Table!" &amp; $AA$171 &amp; $X50),0)))))</f>
        <v>0.41929862893974978</v>
      </c>
      <c r="T50" s="31">
        <f>MATCH($A50,Table!$A:$A,0)+$V$2-1</f>
        <v>677</v>
      </c>
      <c r="U50" s="239"/>
      <c r="V50" s="239"/>
      <c r="W50" s="239"/>
      <c r="X50" s="31">
        <f>MATCH($A50,Table!$A:$A,0)+$Z$2-1</f>
        <v>674</v>
      </c>
      <c r="Y50" s="239"/>
      <c r="AA50" t="s">
        <v>209</v>
      </c>
    </row>
    <row r="51" spans="1:27" ht="15.75" customHeight="1">
      <c r="A51" s="5">
        <v>41142</v>
      </c>
      <c r="B51" s="33">
        <f ca="1">IF(ISERROR(MATCH(B$1,INDIRECT("Table!A"&amp;$X51):INDIRECT("Table!" &amp; $AA$171 &amp; $X51),0)),"",INDIRECT(CONCATENATE("Table!",ADDRESS($T51,MATCH(B$1,INDIRECT("Table!A" &amp; $X51):INDIRECT("Table!" &amp; $AA$171 &amp; $X51),0)))))</f>
        <v>0.62609821175768277</v>
      </c>
      <c r="C51" s="33">
        <f ca="1">IF(ISERROR(MATCH(C$1,INDIRECT("Table!A"&amp;$X51):INDIRECT("Table!" &amp; $AA$171 &amp; $X51),0)),"",INDIRECT(CONCATENATE("Table!",ADDRESS($T51,MATCH(C$1,INDIRECT("Table!A" &amp; $X51):INDIRECT("Table!" &amp; $AA$171 &amp; $X51),0)))))</f>
        <v>0.46176946207640668</v>
      </c>
      <c r="D51" s="33">
        <f ca="1">IF(ISERROR(MATCH(D$1,INDIRECT("Table!A"&amp;$X51):INDIRECT("Table!" &amp; $AA$171 &amp; $X51),0)),"",INDIRECT(CONCATENATE("Table!",ADDRESS($T51,MATCH(D$1,INDIRECT("Table!A" &amp; $X51):INDIRECT("Table!" &amp; $AA$171 &amp; $X51),0)))))</f>
        <v>0.47077715429210754</v>
      </c>
      <c r="E51" s="33">
        <f ca="1">IF(ISERROR(MATCH(E$1,INDIRECT("Table!A"&amp;$X51):INDIRECT("Table!" &amp; $AA$171 &amp; $X51),0)),"",INDIRECT(CONCATENATE("Table!",ADDRESS($T51,MATCH(E$1,INDIRECT("Table!A" &amp; $X51):INDIRECT("Table!" &amp; $AA$171 &amp; $X51),0)))))</f>
        <v>0.86600662205806878</v>
      </c>
      <c r="F51" s="33">
        <f ca="1">IF(ISERROR(MATCH(F$1,INDIRECT("Table!A"&amp;$X51):INDIRECT("Table!" &amp; $AA$171 &amp; $X51),0)),"",INDIRECT(CONCATENATE("Table!",ADDRESS($T51,MATCH(F$1,INDIRECT("Table!A" &amp; $X51):INDIRECT("Table!" &amp; $AA$171 &amp; $X51),0)))))</f>
        <v>0.21214245780511023</v>
      </c>
      <c r="G51" s="33">
        <f ca="1">IF(ISERROR(MATCH(G$1,INDIRECT("Table!A"&amp;$X51):INDIRECT("Table!" &amp; $AA$171 &amp; $X51),0)),"",INDIRECT(CONCATENATE("Table!",ADDRESS($T51,MATCH(G$1,INDIRECT("Table!A" &amp; $X51):INDIRECT("Table!" &amp; $AA$171 &amp; $X51),0)))))</f>
        <v>0.32948372836300638</v>
      </c>
      <c r="H51" s="33">
        <f ca="1">IF(ISERROR(MATCH(H$1,INDIRECT("Table!A"&amp;$X51):INDIRECT("Table!" &amp; $AA$171 &amp; $X51),0)),"",INDIRECT(CONCATENATE("Table!",ADDRESS($T51,MATCH(H$1,INDIRECT("Table!A" &amp; $X51):INDIRECT("Table!" &amp; $AA$171 &amp; $X51),0)))))</f>
        <v>0.2227866066439301</v>
      </c>
      <c r="I51" s="33" t="str">
        <f ca="1">IF(ISERROR(MATCH(I$1,INDIRECT("Table!A"&amp;$X51):INDIRECT("Table!" &amp; $AA$171 &amp; $X51),0)),"",INDIRECT(CONCATENATE("Table!",ADDRESS($T51,MATCH(I$1,INDIRECT("Table!A" &amp; $X51):INDIRECT("Table!" &amp; $AA$171 &amp; $X51),0)))))</f>
        <v/>
      </c>
      <c r="J51" s="33" t="str">
        <f ca="1">IF(ISERROR(MATCH(J$1,INDIRECT("Table!A"&amp;$X51):INDIRECT("Table!" &amp; $AA$171 &amp; $X51),0)),"",INDIRECT(CONCATENATE("Table!",ADDRESS($T51,MATCH(J$1,INDIRECT("Table!A" &amp; $X51):INDIRECT("Table!" &amp; $AA$171 &amp; $X51),0)))))</f>
        <v/>
      </c>
      <c r="K51" s="33" t="str">
        <f ca="1">IF(ISERROR(MATCH(K$1,INDIRECT("Table!A"&amp;$X51):INDIRECT("Table!" &amp; $AA$171 &amp; $X51),0)),"",INDIRECT(CONCATENATE("Table!",ADDRESS($T51,MATCH(K$1,INDIRECT("Table!A" &amp; $X51):INDIRECT("Table!" &amp; $AA$171 &amp; $X51),0)))))</f>
        <v/>
      </c>
      <c r="L51" s="33">
        <f ca="1">IF(ISERROR(MATCH(L$1,INDIRECT("Table!A"&amp;$X51):INDIRECT("Table!" &amp; $AA$171 &amp; $X51),0)),"",INDIRECT(CONCATENATE("Table!",ADDRESS($T51,MATCH(L$1,INDIRECT("Table!A" &amp; $X51):INDIRECT("Table!" &amp; $AA$171 &amp; $X51),0)))))</f>
        <v>0.81868845325079143</v>
      </c>
      <c r="M51" s="33">
        <f ca="1">IF(ISERROR(MATCH(M$1,INDIRECT("Table!A"&amp;$X51):INDIRECT("Table!" &amp; $AA$171 &amp; $X51),0)),"",INDIRECT(CONCATENATE("Table!",ADDRESS($T51,MATCH(M$1,INDIRECT("Table!A" &amp; $X51):INDIRECT("Table!" &amp; $AA$171 &amp; $X51),0)))))</f>
        <v>0.30338327826222522</v>
      </c>
      <c r="N51" s="33">
        <f ca="1">IF(ISERROR(MATCH(N$1,INDIRECT("Table!A"&amp;$X51):INDIRECT("Table!" &amp; $AA$171 &amp; $X51),0)),"",INDIRECT(CONCATENATE("Table!",ADDRESS($T51,MATCH(N$1,INDIRECT("Table!A" &amp; $X51):INDIRECT("Table!" &amp; $AA$171 &amp; $X51),0)))))</f>
        <v>0.25548586120737904</v>
      </c>
      <c r="O51" s="33">
        <f ca="1">IF(ISERROR(MATCH(O$1,INDIRECT("Table!A"&amp;$X51):INDIRECT("Table!" &amp; $AA$171 &amp; $X51),0)),"",INDIRECT(CONCATENATE("Table!",ADDRESS($T51,MATCH(O$1,INDIRECT("Table!A" &amp; $X51):INDIRECT("Table!" &amp; $AA$171 &amp; $X51),0)))))</f>
        <v>0.51340499663706418</v>
      </c>
      <c r="P51" s="33">
        <f ca="1">IF(ISERROR(MATCH(P$1,INDIRECT("Table!A"&amp;$X51):INDIRECT("Table!" &amp; $AA$171 &amp; $X51),0)),"",INDIRECT(CONCATENATE("Table!",ADDRESS($T51,MATCH(P$1,INDIRECT("Table!A" &amp; $X51):INDIRECT("Table!" &amp; $AA$171 &amp; $X51),0)))))</f>
        <v>0.42370313723348085</v>
      </c>
      <c r="T51" s="31">
        <f>MATCH($A51,Table!$A:$A,0)+$V$2-1</f>
        <v>690</v>
      </c>
      <c r="U51" s="239"/>
      <c r="V51" s="239"/>
      <c r="W51" s="239"/>
      <c r="X51" s="31">
        <f>MATCH($A51,Table!$A:$A,0)+$Z$2-1</f>
        <v>687</v>
      </c>
      <c r="Y51" s="239"/>
      <c r="AA51" t="s">
        <v>209</v>
      </c>
    </row>
    <row r="52" spans="1:27" ht="15.75" customHeight="1">
      <c r="A52" s="5">
        <v>41138</v>
      </c>
      <c r="B52" s="33">
        <f ca="1">IF(ISERROR(MATCH(B$1,INDIRECT("Table!A"&amp;$X52):INDIRECT("Table!" &amp; $AA$171 &amp; $X52),0)),"",INDIRECT(CONCATENATE("Table!",ADDRESS($T52,MATCH(B$1,INDIRECT("Table!A" &amp; $X52):INDIRECT("Table!" &amp; $AA$171 &amp; $X52),0)))))</f>
        <v>0.62562050097564581</v>
      </c>
      <c r="C52" s="33">
        <f ca="1">IF(ISERROR(MATCH(C$1,INDIRECT("Table!A"&amp;$X52):INDIRECT("Table!" &amp; $AA$171 &amp; $X52),0)),"",INDIRECT(CONCATENATE("Table!",ADDRESS($T52,MATCH(C$1,INDIRECT("Table!A" &amp; $X52):INDIRECT("Table!" &amp; $AA$171 &amp; $X52),0)))))</f>
        <v>0.45941622075556188</v>
      </c>
      <c r="D52" s="33">
        <f ca="1">IF(ISERROR(MATCH(D$1,INDIRECT("Table!A"&amp;$X52):INDIRECT("Table!" &amp; $AA$171 &amp; $X52),0)),"",INDIRECT(CONCATENATE("Table!",ADDRESS($T52,MATCH(D$1,INDIRECT("Table!A" &amp; $X52):INDIRECT("Table!" &amp; $AA$171 &amp; $X52),0)))))</f>
        <v>0.46844118690529507</v>
      </c>
      <c r="E52" s="33">
        <f ca="1">IF(ISERROR(MATCH(E$1,INDIRECT("Table!A"&amp;$X52):INDIRECT("Table!" &amp; $AA$171 &amp; $X52),0)),"",INDIRECT(CONCATENATE("Table!",ADDRESS($T52,MATCH(E$1,INDIRECT("Table!A" &amp; $X52):INDIRECT("Table!" &amp; $AA$171 &amp; $X52),0)))))</f>
        <v>0.86474232106102389</v>
      </c>
      <c r="F52" s="33">
        <f ca="1">IF(ISERROR(MATCH(F$1,INDIRECT("Table!A"&amp;$X52):INDIRECT("Table!" &amp; $AA$171 &amp; $X52),0)),"",INDIRECT(CONCATENATE("Table!",ADDRESS($T52,MATCH(F$1,INDIRECT("Table!A" &amp; $X52):INDIRECT("Table!" &amp; $AA$171 &amp; $X52),0)))))</f>
        <v>0.2114824496456687</v>
      </c>
      <c r="G52" s="33">
        <f ca="1">IF(ISERROR(MATCH(G$1,INDIRECT("Table!A"&amp;$X52):INDIRECT("Table!" &amp; $AA$171 &amp; $X52),0)),"",INDIRECT(CONCATENATE("Table!",ADDRESS($T52,MATCH(G$1,INDIRECT("Table!A" &amp; $X52):INDIRECT("Table!" &amp; $AA$171 &amp; $X52),0)))))</f>
        <v>0.41892617461859022</v>
      </c>
      <c r="H52" s="33">
        <f ca="1">IF(ISERROR(MATCH(H$1,INDIRECT("Table!A"&amp;$X52):INDIRECT("Table!" &amp; $AA$171 &amp; $X52),0)),"",INDIRECT(CONCATENATE("Table!",ADDRESS($T52,MATCH(H$1,INDIRECT("Table!A" &amp; $X52):INDIRECT("Table!" &amp; $AA$171 &amp; $X52),0)))))</f>
        <v>0.22146049098422674</v>
      </c>
      <c r="I52" s="33" t="str">
        <f ca="1">IF(ISERROR(MATCH(I$1,INDIRECT("Table!A"&amp;$X52):INDIRECT("Table!" &amp; $AA$171 &amp; $X52),0)),"",INDIRECT(CONCATENATE("Table!",ADDRESS($T52,MATCH(I$1,INDIRECT("Table!A" &amp; $X52):INDIRECT("Table!" &amp; $AA$171 &amp; $X52),0)))))</f>
        <v/>
      </c>
      <c r="J52" s="33" t="str">
        <f ca="1">IF(ISERROR(MATCH(J$1,INDIRECT("Table!A"&amp;$X52):INDIRECT("Table!" &amp; $AA$171 &amp; $X52),0)),"",INDIRECT(CONCATENATE("Table!",ADDRESS($T52,MATCH(J$1,INDIRECT("Table!A" &amp; $X52):INDIRECT("Table!" &amp; $AA$171 &amp; $X52),0)))))</f>
        <v/>
      </c>
      <c r="K52" s="33" t="str">
        <f ca="1">IF(ISERROR(MATCH(K$1,INDIRECT("Table!A"&amp;$X52):INDIRECT("Table!" &amp; $AA$171 &amp; $X52),0)),"",INDIRECT(CONCATENATE("Table!",ADDRESS($T52,MATCH(K$1,INDIRECT("Table!A" &amp; $X52):INDIRECT("Table!" &amp; $AA$171 &amp; $X52),0)))))</f>
        <v/>
      </c>
      <c r="L52" s="33">
        <f ca="1">IF(ISERROR(MATCH(L$1,INDIRECT("Table!A"&amp;$X52):INDIRECT("Table!" &amp; $AA$171 &amp; $X52),0)),"",INDIRECT(CONCATENATE("Table!",ADDRESS($T52,MATCH(L$1,INDIRECT("Table!A" &amp; $X52):INDIRECT("Table!" &amp; $AA$171 &amp; $X52),0)))))</f>
        <v>0.81864458528984441</v>
      </c>
      <c r="M52" s="33">
        <f ca="1">IF(ISERROR(MATCH(M$1,INDIRECT("Table!A"&amp;$X52):INDIRECT("Table!" &amp; $AA$171 &amp; $X52),0)),"",INDIRECT(CONCATENATE("Table!",ADDRESS($T52,MATCH(M$1,INDIRECT("Table!A" &amp; $X52):INDIRECT("Table!" &amp; $AA$171 &amp; $X52),0)))))</f>
        <v>0.31653223059935426</v>
      </c>
      <c r="N52" s="33">
        <f ca="1">IF(ISERROR(MATCH(N$1,INDIRECT("Table!A"&amp;$X52):INDIRECT("Table!" &amp; $AA$171 &amp; $X52),0)),"",INDIRECT(CONCATENATE("Table!",ADDRESS($T52,MATCH(N$1,INDIRECT("Table!A" &amp; $X52):INDIRECT("Table!" &amp; $AA$171 &amp; $X52),0)))))</f>
        <v>0.25436650738640554</v>
      </c>
      <c r="O52" s="33">
        <f ca="1">IF(ISERROR(MATCH(O$1,INDIRECT("Table!A"&amp;$X52):INDIRECT("Table!" &amp; $AA$171 &amp; $X52),0)),"",INDIRECT(CONCATENATE("Table!",ADDRESS($T52,MATCH(O$1,INDIRECT("Table!A" &amp; $X52):INDIRECT("Table!" &amp; $AA$171 &amp; $X52),0)))))</f>
        <v>0.51169094761129563</v>
      </c>
      <c r="P52" s="33">
        <f ca="1">IF(ISERROR(MATCH(P$1,INDIRECT("Table!A"&amp;$X52):INDIRECT("Table!" &amp; $AA$171 &amp; $X52),0)),"",INDIRECT(CONCATENATE("Table!",ADDRESS($T52,MATCH(P$1,INDIRECT("Table!A" &amp; $X52):INDIRECT("Table!" &amp; $AA$171 &amp; $X52),0)))))</f>
        <v>0.42370313723348085</v>
      </c>
      <c r="T52" s="31">
        <f>MATCH($A52,Table!$A:$A,0)+$V$2-1</f>
        <v>703</v>
      </c>
      <c r="U52" s="238"/>
      <c r="V52" s="238"/>
      <c r="W52" s="238"/>
      <c r="X52" s="31">
        <f>MATCH($A52,Table!$A:$A,0)+$Z$2-1</f>
        <v>700</v>
      </c>
      <c r="Y52" s="238"/>
      <c r="AA52" t="s">
        <v>209</v>
      </c>
    </row>
    <row r="53" spans="1:27" ht="15.75" customHeight="1">
      <c r="A53" s="5">
        <v>41137</v>
      </c>
      <c r="B53" s="33">
        <f ca="1">IF(ISERROR(MATCH(B$1,INDIRECT("Table!A"&amp;$X53):INDIRECT("Table!" &amp; $AA$171 &amp; $X53),0)),"",INDIRECT(CONCATENATE("Table!",ADDRESS($T53,MATCH(B$1,INDIRECT("Table!A" &amp; $X53):INDIRECT("Table!" &amp; $AA$171 &amp; $X53),0)))))</f>
        <v>0.62554378829531865</v>
      </c>
      <c r="C53" s="33">
        <f ca="1">IF(ISERROR(MATCH(C$1,INDIRECT("Table!A"&amp;$X53):INDIRECT("Table!" &amp; $AA$171 &amp; $X53),0)),"",INDIRECT(CONCATENATE("Table!",ADDRESS($T53,MATCH(C$1,INDIRECT("Table!A" &amp; $X53):INDIRECT("Table!" &amp; $AA$171 &amp; $X53),0)))))</f>
        <v>0.45938167288749754</v>
      </c>
      <c r="D53" s="33">
        <f ca="1">IF(ISERROR(MATCH(D$1,INDIRECT("Table!A"&amp;$X53):INDIRECT("Table!" &amp; $AA$171 &amp; $X53),0)),"",INDIRECT(CONCATENATE("Table!",ADDRESS($T53,MATCH(D$1,INDIRECT("Table!A" &amp; $X53):INDIRECT("Table!" &amp; $AA$171 &amp; $X53),0)))))</f>
        <v>0.46840132398060541</v>
      </c>
      <c r="E53" s="33">
        <f ca="1">IF(ISERROR(MATCH(E$1,INDIRECT("Table!A"&amp;$X53):INDIRECT("Table!" &amp; $AA$171 &amp; $X53),0)),"",INDIRECT(CONCATENATE("Table!",ADDRESS($T53,MATCH(E$1,INDIRECT("Table!A" &amp; $X53):INDIRECT("Table!" &amp; $AA$171 &amp; $X53),0)))))</f>
        <v>0.86435715156996407</v>
      </c>
      <c r="F53" s="33">
        <f ca="1">IF(ISERROR(MATCH(F$1,INDIRECT("Table!A"&amp;$X53):INDIRECT("Table!" &amp; $AA$171 &amp; $X53),0)),"",INDIRECT(CONCATENATE("Table!",ADDRESS($T53,MATCH(F$1,INDIRECT("Table!A" &amp; $X53):INDIRECT("Table!" &amp; $AA$171 &amp; $X53),0)))))</f>
        <v>0.21117964370438644</v>
      </c>
      <c r="G53" s="33">
        <f ca="1">IF(ISERROR(MATCH(G$1,INDIRECT("Table!A"&amp;$X53):INDIRECT("Table!" &amp; $AA$171 &amp; $X53),0)),"",INDIRECT(CONCATENATE("Table!",ADDRESS($T53,MATCH(G$1,INDIRECT("Table!A" &amp; $X53):INDIRECT("Table!" &amp; $AA$171 &amp; $X53),0)))))</f>
        <v>0.43540086071013584</v>
      </c>
      <c r="H53" s="33">
        <f ca="1">IF(ISERROR(MATCH(H$1,INDIRECT("Table!A"&amp;$X53):INDIRECT("Table!" &amp; $AA$171 &amp; $X53),0)),"",INDIRECT(CONCATENATE("Table!",ADDRESS($T53,MATCH(H$1,INDIRECT("Table!A" &amp; $X53):INDIRECT("Table!" &amp; $AA$171 &amp; $X53),0)))))</f>
        <v>0.21622855673450819</v>
      </c>
      <c r="I53" s="33" t="str">
        <f ca="1">IF(ISERROR(MATCH(I$1,INDIRECT("Table!A"&amp;$X53):INDIRECT("Table!" &amp; $AA$171 &amp; $X53),0)),"",INDIRECT(CONCATENATE("Table!",ADDRESS($T53,MATCH(I$1,INDIRECT("Table!A" &amp; $X53):INDIRECT("Table!" &amp; $AA$171 &amp; $X53),0)))))</f>
        <v/>
      </c>
      <c r="J53" s="33" t="str">
        <f ca="1">IF(ISERROR(MATCH(J$1,INDIRECT("Table!A"&amp;$X53):INDIRECT("Table!" &amp; $AA$171 &amp; $X53),0)),"",INDIRECT(CONCATENATE("Table!",ADDRESS($T53,MATCH(J$1,INDIRECT("Table!A" &amp; $X53):INDIRECT("Table!" &amp; $AA$171 &amp; $X53),0)))))</f>
        <v/>
      </c>
      <c r="K53" s="33" t="str">
        <f ca="1">IF(ISERROR(MATCH(K$1,INDIRECT("Table!A"&amp;$X53):INDIRECT("Table!" &amp; $AA$171 &amp; $X53),0)),"",INDIRECT(CONCATENATE("Table!",ADDRESS($T53,MATCH(K$1,INDIRECT("Table!A" &amp; $X53):INDIRECT("Table!" &amp; $AA$171 &amp; $X53),0)))))</f>
        <v/>
      </c>
      <c r="L53" s="33">
        <f ca="1">IF(ISERROR(MATCH(L$1,INDIRECT("Table!A"&amp;$X53):INDIRECT("Table!" &amp; $AA$171 &amp; $X53),0)),"",INDIRECT(CONCATENATE("Table!",ADDRESS($T53,MATCH(L$1,INDIRECT("Table!A" &amp; $X53):INDIRECT("Table!" &amp; $AA$171 &amp; $X53),0)))))</f>
        <v>0.81813630184900521</v>
      </c>
      <c r="M53" s="33">
        <f ca="1">IF(ISERROR(MATCH(M$1,INDIRECT("Table!A"&amp;$X53):INDIRECT("Table!" &amp; $AA$171 &amp; $X53),0)),"",INDIRECT(CONCATENATE("Table!",ADDRESS($T53,MATCH(M$1,INDIRECT("Table!A" &amp; $X53):INDIRECT("Table!" &amp; $AA$171 &amp; $X53),0)))))</f>
        <v>0.34990032709665014</v>
      </c>
      <c r="N53" s="33">
        <f ca="1">IF(ISERROR(MATCH(N$1,INDIRECT("Table!A"&amp;$X53):INDIRECT("Table!" &amp; $AA$171 &amp; $X53),0)),"",INDIRECT(CONCATENATE("Table!",ADDRESS($T53,MATCH(N$1,INDIRECT("Table!A" &amp; $X53):INDIRECT("Table!" &amp; $AA$171 &amp; $X53),0)))))</f>
        <v>0.25383221538978534</v>
      </c>
      <c r="O53" s="33">
        <f ca="1">IF(ISERROR(MATCH(O$1,INDIRECT("Table!A"&amp;$X53):INDIRECT("Table!" &amp; $AA$171 &amp; $X53),0)),"",INDIRECT(CONCATENATE("Table!",ADDRESS($T53,MATCH(O$1,INDIRECT("Table!A" &amp; $X53):INDIRECT("Table!" &amp; $AA$171 &amp; $X53),0)))))</f>
        <v>0.51081324118454663</v>
      </c>
      <c r="P53" s="33">
        <f ca="1">IF(ISERROR(MATCH(P$1,INDIRECT("Table!A"&amp;$X53):INDIRECT("Table!" &amp; $AA$171 &amp; $X53),0)),"",INDIRECT(CONCATENATE("Table!",ADDRESS($T53,MATCH(P$1,INDIRECT("Table!A" &amp; $X53):INDIRECT("Table!" &amp; $AA$171 &amp; $X53),0)))))</f>
        <v>0.42370313723348085</v>
      </c>
      <c r="T53" s="31">
        <f>MATCH($A53,Table!$A:$A,0)+$V$2-1</f>
        <v>716</v>
      </c>
      <c r="U53" s="237"/>
      <c r="V53" s="237"/>
      <c r="W53" s="237"/>
      <c r="X53" s="31">
        <f>MATCH($A53,Table!$A:$A,0)+$Z$2-1</f>
        <v>713</v>
      </c>
      <c r="Y53" s="237"/>
      <c r="AA53" t="s">
        <v>209</v>
      </c>
    </row>
    <row r="54" spans="1:27" ht="15.75" customHeight="1">
      <c r="A54" s="5">
        <v>41135</v>
      </c>
      <c r="B54" s="33">
        <f ca="1">IF(ISERROR(MATCH(B$1,INDIRECT("Table!A"&amp;$X54):INDIRECT("Table!" &amp; $AA$171 &amp; $X54),0)),"",INDIRECT(CONCATENATE("Table!",ADDRESS($T54,MATCH(B$1,INDIRECT("Table!A" &amp; $X54):INDIRECT("Table!" &amp; $AA$171 &amp; $X54),0)))))</f>
        <v>0.64901438153539726</v>
      </c>
      <c r="C54" s="33">
        <f ca="1">IF(ISERROR(MATCH(C$1,INDIRECT("Table!A"&amp;$X54):INDIRECT("Table!" &amp; $AA$171 &amp; $X54),0)),"",INDIRECT(CONCATENATE("Table!",ADDRESS($T54,MATCH(C$1,INDIRECT("Table!A" &amp; $X54):INDIRECT("Table!" &amp; $AA$171 &amp; $X54),0)))))</f>
        <v>0.45781971062174209</v>
      </c>
      <c r="D54" s="33">
        <f ca="1">IF(ISERROR(MATCH(D$1,INDIRECT("Table!A"&amp;$X54):INDIRECT("Table!" &amp; $AA$171 &amp; $X54),0)),"",INDIRECT(CONCATENATE("Table!",ADDRESS($T54,MATCH(D$1,INDIRECT("Table!A" &amp; $X54):INDIRECT("Table!" &amp; $AA$171 &amp; $X54),0)))))</f>
        <v>0.4668599575592729</v>
      </c>
      <c r="E54" s="33">
        <f ca="1">IF(ISERROR(MATCH(E$1,INDIRECT("Table!A"&amp;$X54):INDIRECT("Table!" &amp; $AA$171 &amp; $X54),0)),"",INDIRECT(CONCATENATE("Table!",ADDRESS($T54,MATCH(E$1,INDIRECT("Table!A" &amp; $X54):INDIRECT("Table!" &amp; $AA$171 &amp; $X54),0)))))</f>
        <v>0.85696255669024568</v>
      </c>
      <c r="F54" s="33">
        <f ca="1">IF(ISERROR(MATCH(F$1,INDIRECT("Table!A"&amp;$X54):INDIRECT("Table!" &amp; $AA$171 &amp; $X54),0)),"",INDIRECT(CONCATENATE("Table!",ADDRESS($T54,MATCH(F$1,INDIRECT("Table!A" &amp; $X54):INDIRECT("Table!" &amp; $AA$171 &amp; $X54),0)))))</f>
        <v>0.21044771157885192</v>
      </c>
      <c r="G54" s="33">
        <f ca="1">IF(ISERROR(MATCH(G$1,INDIRECT("Table!A"&amp;$X54):INDIRECT("Table!" &amp; $AA$171 &amp; $X54),0)),"",INDIRECT(CONCATENATE("Table!",ADDRESS($T54,MATCH(G$1,INDIRECT("Table!A" &amp; $X54):INDIRECT("Table!" &amp; $AA$171 &amp; $X54),0)))))</f>
        <v>0.43259723871396794</v>
      </c>
      <c r="H54" s="33">
        <f ca="1">IF(ISERROR(MATCH(H$1,INDIRECT("Table!A"&amp;$X54):INDIRECT("Table!" &amp; $AA$171 &amp; $X54),0)),"",INDIRECT(CONCATENATE("Table!",ADDRESS($T54,MATCH(H$1,INDIRECT("Table!A" &amp; $X54):INDIRECT("Table!" &amp; $AA$171 &amp; $X54),0)))))</f>
        <v>0.21534420489929268</v>
      </c>
      <c r="I54" s="33" t="str">
        <f ca="1">IF(ISERROR(MATCH(I$1,INDIRECT("Table!A"&amp;$X54):INDIRECT("Table!" &amp; $AA$171 &amp; $X54),0)),"",INDIRECT(CONCATENATE("Table!",ADDRESS($T54,MATCH(I$1,INDIRECT("Table!A" &amp; $X54):INDIRECT("Table!" &amp; $AA$171 &amp; $X54),0)))))</f>
        <v/>
      </c>
      <c r="J54" s="33" t="str">
        <f ca="1">IF(ISERROR(MATCH(J$1,INDIRECT("Table!A"&amp;$X54):INDIRECT("Table!" &amp; $AA$171 &amp; $X54),0)),"",INDIRECT(CONCATENATE("Table!",ADDRESS($T54,MATCH(J$1,INDIRECT("Table!A" &amp; $X54):INDIRECT("Table!" &amp; $AA$171 &amp; $X54),0)))))</f>
        <v/>
      </c>
      <c r="K54" s="33" t="str">
        <f ca="1">IF(ISERROR(MATCH(K$1,INDIRECT("Table!A"&amp;$X54):INDIRECT("Table!" &amp; $AA$171 &amp; $X54),0)),"",INDIRECT(CONCATENATE("Table!",ADDRESS($T54,MATCH(K$1,INDIRECT("Table!A" &amp; $X54):INDIRECT("Table!" &amp; $AA$171 &amp; $X54),0)))))</f>
        <v/>
      </c>
      <c r="L54" s="33">
        <f ca="1">IF(ISERROR(MATCH(L$1,INDIRECT("Table!A"&amp;$X54):INDIRECT("Table!" &amp; $AA$171 &amp; $X54),0)),"",INDIRECT(CONCATENATE("Table!",ADDRESS($T54,MATCH(L$1,INDIRECT("Table!A" &amp; $X54):INDIRECT("Table!" &amp; $AA$171 &amp; $X54),0)))))</f>
        <v>0.81749582961917922</v>
      </c>
      <c r="M54" s="33">
        <f ca="1">IF(ISERROR(MATCH(M$1,INDIRECT("Table!A"&amp;$X54):INDIRECT("Table!" &amp; $AA$171 &amp; $X54),0)),"",INDIRECT(CONCATENATE("Table!",ADDRESS($T54,MATCH(M$1,INDIRECT("Table!A" &amp; $X54):INDIRECT("Table!" &amp; $AA$171 &amp; $X54),0)))))</f>
        <v>0.42881371838204457</v>
      </c>
      <c r="N54" s="33">
        <f ca="1">IF(ISERROR(MATCH(N$1,INDIRECT("Table!A"&amp;$X54):INDIRECT("Table!" &amp; $AA$171 &amp; $X54),0)),"",INDIRECT(CONCATENATE("Table!",ADDRESS($T54,MATCH(N$1,INDIRECT("Table!A" &amp; $X54):INDIRECT("Table!" &amp; $AA$171 &amp; $X54),0)))))</f>
        <v>0.25286879746827795</v>
      </c>
      <c r="O54" s="33">
        <f ca="1">IF(ISERROR(MATCH(O$1,INDIRECT("Table!A"&amp;$X54):INDIRECT("Table!" &amp; $AA$171 &amp; $X54),0)),"",INDIRECT(CONCATENATE("Table!",ADDRESS($T54,MATCH(O$1,INDIRECT("Table!A" &amp; $X54):INDIRECT("Table!" &amp; $AA$171 &amp; $X54),0)))))</f>
        <v>0.50962502273593957</v>
      </c>
      <c r="P54" s="33">
        <f ca="1">IF(ISERROR(MATCH(P$1,INDIRECT("Table!A"&amp;$X54):INDIRECT("Table!" &amp; $AA$171 &amp; $X54),0)),"",INDIRECT(CONCATENATE("Table!",ADDRESS($T54,MATCH(P$1,INDIRECT("Table!A" &amp; $X54):INDIRECT("Table!" &amp; $AA$171 &amp; $X54),0)))))</f>
        <v>0.42370313723348085</v>
      </c>
      <c r="T54" s="31">
        <f>MATCH($A54,Table!$A:$A,0)+$V$2-1</f>
        <v>729</v>
      </c>
      <c r="U54" s="236"/>
      <c r="V54" s="236"/>
      <c r="W54" s="236"/>
      <c r="X54" s="31">
        <f>MATCH($A54,Table!$A:$A,0)+$Z$2-1</f>
        <v>726</v>
      </c>
      <c r="Y54" s="236"/>
      <c r="AA54" t="s">
        <v>209</v>
      </c>
    </row>
    <row r="55" spans="1:27" ht="15.75" customHeight="1">
      <c r="A55" s="5">
        <v>41134</v>
      </c>
      <c r="B55" s="33">
        <f ca="1">IF(ISERROR(MATCH(B$1,INDIRECT("Table!A"&amp;$X55):INDIRECT("Table!" &amp; $AA$171 &amp; $X55),0)),"",INDIRECT(CONCATENATE("Table!",ADDRESS($T55,MATCH(B$1,INDIRECT("Table!A" &amp; $X55):INDIRECT("Table!" &amp; $AA$171 &amp; $X55),0)))))</f>
        <v>0.64810219802750779</v>
      </c>
      <c r="C55" s="33">
        <f ca="1">IF(ISERROR(MATCH(C$1,INDIRECT("Table!A"&amp;$X55):INDIRECT("Table!" &amp; $AA$171 &amp; $X55),0)),"",INDIRECT(CONCATENATE("Table!",ADDRESS($T55,MATCH(C$1,INDIRECT("Table!A" &amp; $X55):INDIRECT("Table!" &amp; $AA$171 &amp; $X55),0)))))</f>
        <v>0.45762438229076285</v>
      </c>
      <c r="D55" s="33">
        <f ca="1">IF(ISERROR(MATCH(D$1,INDIRECT("Table!A"&amp;$X55):INDIRECT("Table!" &amp; $AA$171 &amp; $X55),0)),"",INDIRECT(CONCATENATE("Table!",ADDRESS($T55,MATCH(D$1,INDIRECT("Table!A" &amp; $X55):INDIRECT("Table!" &amp; $AA$171 &amp; $X55),0)))))</f>
        <v>0.46666462922829366</v>
      </c>
      <c r="E55" s="33">
        <f ca="1">IF(ISERROR(MATCH(E$1,INDIRECT("Table!A"&amp;$X55):INDIRECT("Table!" &amp; $AA$171 &amp; $X55),0)),"",INDIRECT(CONCATENATE("Table!",ADDRESS($T55,MATCH(E$1,INDIRECT("Table!A" &amp; $X55):INDIRECT("Table!" &amp; $AA$171 &amp; $X55),0)))))</f>
        <v>0.85784443548218714</v>
      </c>
      <c r="F55" s="33">
        <f ca="1">IF(ISERROR(MATCH(F$1,INDIRECT("Table!A"&amp;$X55):INDIRECT("Table!" &amp; $AA$171 &amp; $X55),0)),"",INDIRECT(CONCATENATE("Table!",ADDRESS($T55,MATCH(F$1,INDIRECT("Table!A" &amp; $X55):INDIRECT("Table!" &amp; $AA$171 &amp; $X55),0)))))</f>
        <v>0.21028452274822079</v>
      </c>
      <c r="G55" s="33">
        <f ca="1">IF(ISERROR(MATCH(G$1,INDIRECT("Table!A"&amp;$X55):INDIRECT("Table!" &amp; $AA$171 &amp; $X55),0)),"",INDIRECT(CONCATENATE("Table!",ADDRESS($T55,MATCH(G$1,INDIRECT("Table!A" &amp; $X55):INDIRECT("Table!" &amp; $AA$171 &amp; $X55),0)))))</f>
        <v>0.43381553330141481</v>
      </c>
      <c r="H55" s="33">
        <f ca="1">IF(ISERROR(MATCH(H$1,INDIRECT("Table!A"&amp;$X55):INDIRECT("Table!" &amp; $AA$171 &amp; $X55),0)),"",INDIRECT(CONCATENATE("Table!",ADDRESS($T55,MATCH(H$1,INDIRECT("Table!A" &amp; $X55):INDIRECT("Table!" &amp; $AA$171 &amp; $X55),0)))))</f>
        <v>0.2149848596987764</v>
      </c>
      <c r="I55" s="33" t="str">
        <f ca="1">IF(ISERROR(MATCH(I$1,INDIRECT("Table!A"&amp;$X55):INDIRECT("Table!" &amp; $AA$171 &amp; $X55),0)),"",INDIRECT(CONCATENATE("Table!",ADDRESS($T55,MATCH(I$1,INDIRECT("Table!A" &amp; $X55):INDIRECT("Table!" &amp; $AA$171 &amp; $X55),0)))))</f>
        <v/>
      </c>
      <c r="J55" s="33" t="str">
        <f ca="1">IF(ISERROR(MATCH(J$1,INDIRECT("Table!A"&amp;$X55):INDIRECT("Table!" &amp; $AA$171 &amp; $X55),0)),"",INDIRECT(CONCATENATE("Table!",ADDRESS($T55,MATCH(J$1,INDIRECT("Table!A" &amp; $X55):INDIRECT("Table!" &amp; $AA$171 &amp; $X55),0)))))</f>
        <v/>
      </c>
      <c r="K55" s="33" t="str">
        <f ca="1">IF(ISERROR(MATCH(K$1,INDIRECT("Table!A"&amp;$X55):INDIRECT("Table!" &amp; $AA$171 &amp; $X55),0)),"",INDIRECT(CONCATENATE("Table!",ADDRESS($T55,MATCH(K$1,INDIRECT("Table!A" &amp; $X55):INDIRECT("Table!" &amp; $AA$171 &amp; $X55),0)))))</f>
        <v/>
      </c>
      <c r="L55" s="33">
        <f ca="1">IF(ISERROR(MATCH(L$1,INDIRECT("Table!A"&amp;$X55):INDIRECT("Table!" &amp; $AA$171 &amp; $X55),0)),"",INDIRECT(CONCATENATE("Table!",ADDRESS($T55,MATCH(L$1,INDIRECT("Table!A" &amp; $X55):INDIRECT("Table!" &amp; $AA$171 &amp; $X55),0)))))</f>
        <v>0.82471474127261535</v>
      </c>
      <c r="M55" s="33">
        <f ca="1">IF(ISERROR(MATCH(M$1,INDIRECT("Table!A"&amp;$X55):INDIRECT("Table!" &amp; $AA$171 &amp; $X55),0)),"",INDIRECT(CONCATENATE("Table!",ADDRESS($T55,MATCH(M$1,INDIRECT("Table!A" &amp; $X55):INDIRECT("Table!" &amp; $AA$171 &amp; $X55),0)))))</f>
        <v>0.42859045713308336</v>
      </c>
      <c r="N55" s="33">
        <f ca="1">IF(ISERROR(MATCH(N$1,INDIRECT("Table!A"&amp;$X55):INDIRECT("Table!" &amp; $AA$171 &amp; $X55),0)),"",INDIRECT(CONCATENATE("Table!",ADDRESS($T55,MATCH(N$1,INDIRECT("Table!A" &amp; $X55):INDIRECT("Table!" &amp; $AA$171 &amp; $X55),0)))))</f>
        <v>0.25265967413023427</v>
      </c>
      <c r="O55" s="33">
        <f ca="1">IF(ISERROR(MATCH(O$1,INDIRECT("Table!A"&amp;$X55):INDIRECT("Table!" &amp; $AA$171 &amp; $X55),0)),"",INDIRECT(CONCATENATE("Table!",ADDRESS($T55,MATCH(O$1,INDIRECT("Table!A" &amp; $X55):INDIRECT("Table!" &amp; $AA$171 &amp; $X55),0)))))</f>
        <v>0.50916435435314622</v>
      </c>
      <c r="P55" s="33">
        <f ca="1">IF(ISERROR(MATCH(P$1,INDIRECT("Table!A"&amp;$X55):INDIRECT("Table!" &amp; $AA$171 &amp; $X55),0)),"",INDIRECT(CONCATENATE("Table!",ADDRESS($T55,MATCH(P$1,INDIRECT("Table!A" &amp; $X55):INDIRECT("Table!" &amp; $AA$171 &amp; $X55),0)))))</f>
        <v>0.42370313723348085</v>
      </c>
      <c r="T55" s="31">
        <f>MATCH($A55,Table!$A:$A,0)+$V$2-1</f>
        <v>742</v>
      </c>
      <c r="U55" s="235"/>
      <c r="V55" s="235"/>
      <c r="W55" s="235"/>
      <c r="X55" s="31">
        <f>MATCH($A55,Table!$A:$A,0)+$Z$2-1</f>
        <v>739</v>
      </c>
      <c r="Y55" s="235"/>
      <c r="AA55" t="s">
        <v>209</v>
      </c>
    </row>
    <row r="56" spans="1:27" ht="15.75" customHeight="1">
      <c r="A56" s="5">
        <v>41131</v>
      </c>
      <c r="B56" s="33">
        <f ca="1">IF(ISERROR(MATCH(B$1,INDIRECT("Table!A"&amp;$X56):INDIRECT("Table!" &amp; $AA$171 &amp; $X56),0)),"",INDIRECT(CONCATENATE("Table!",ADDRESS($T56,MATCH(B$1,INDIRECT("Table!A" &amp; $X56):INDIRECT("Table!" &amp; $AA$171 &amp; $X56),0)))))</f>
        <v>0.64727649063198689</v>
      </c>
      <c r="C56" s="33">
        <f ca="1">IF(ISERROR(MATCH(C$1,INDIRECT("Table!A"&amp;$X56):INDIRECT("Table!" &amp; $AA$171 &amp; $X56),0)),"",INDIRECT(CONCATENATE("Table!",ADDRESS($T56,MATCH(C$1,INDIRECT("Table!A" &amp; $X56):INDIRECT("Table!" &amp; $AA$171 &amp; $X56),0)))))</f>
        <v>0.45701049325054255</v>
      </c>
      <c r="D56" s="33">
        <f ca="1">IF(ISERROR(MATCH(D$1,INDIRECT("Table!A"&amp;$X56):INDIRECT("Table!" &amp; $AA$171 &amp; $X56),0)),"",INDIRECT(CONCATENATE("Table!",ADDRESS($T56,MATCH(D$1,INDIRECT("Table!A" &amp; $X56):INDIRECT("Table!" &amp; $AA$171 &amp; $X56),0)))))</f>
        <v>0.46610455513640436</v>
      </c>
      <c r="E56" s="33">
        <f ca="1">IF(ISERROR(MATCH(E$1,INDIRECT("Table!A"&amp;$X56):INDIRECT("Table!" &amp; $AA$171 &amp; $X56),0)),"",INDIRECT(CONCATENATE("Table!",ADDRESS($T56,MATCH(E$1,INDIRECT("Table!A" &amp; $X56):INDIRECT("Table!" &amp; $AA$171 &amp; $X56),0)))))</f>
        <v>0.85672738901239476</v>
      </c>
      <c r="F56" s="33">
        <f ca="1">IF(ISERROR(MATCH(F$1,INDIRECT("Table!A"&amp;$X56):INDIRECT("Table!" &amp; $AA$171 &amp; $X56),0)),"",INDIRECT(CONCATENATE("Table!",ADDRESS($T56,MATCH(F$1,INDIRECT("Table!A" &amp; $X56):INDIRECT("Table!" &amp; $AA$171 &amp; $X56),0)))))</f>
        <v>0.20901890270621476</v>
      </c>
      <c r="G56" s="33">
        <f ca="1">IF(ISERROR(MATCH(G$1,INDIRECT("Table!A"&amp;$X56):INDIRECT("Table!" &amp; $AA$171 &amp; $X56),0)),"",INDIRECT(CONCATENATE("Table!",ADDRESS($T56,MATCH(G$1,INDIRECT("Table!A" &amp; $X56):INDIRECT("Table!" &amp; $AA$171 &amp; $X56),0)))))</f>
        <v>0.43365836330616625</v>
      </c>
      <c r="H56" s="33">
        <f ca="1">IF(ISERROR(MATCH(H$1,INDIRECT("Table!A"&amp;$X56):INDIRECT("Table!" &amp; $AA$171 &amp; $X56),0)),"",INDIRECT(CONCATENATE("Table!",ADDRESS($T56,MATCH(H$1,INDIRECT("Table!A" &amp; $X56):INDIRECT("Table!" &amp; $AA$171 &amp; $X56),0)))))</f>
        <v>0.19434970881500149</v>
      </c>
      <c r="I56" s="33" t="str">
        <f ca="1">IF(ISERROR(MATCH(I$1,INDIRECT("Table!A"&amp;$X56):INDIRECT("Table!" &amp; $AA$171 &amp; $X56),0)),"",INDIRECT(CONCATENATE("Table!",ADDRESS($T56,MATCH(I$1,INDIRECT("Table!A" &amp; $X56):INDIRECT("Table!" &amp; $AA$171 &amp; $X56),0)))))</f>
        <v/>
      </c>
      <c r="J56" s="33" t="str">
        <f ca="1">IF(ISERROR(MATCH(J$1,INDIRECT("Table!A"&amp;$X56):INDIRECT("Table!" &amp; $AA$171 &amp; $X56),0)),"",INDIRECT(CONCATENATE("Table!",ADDRESS($T56,MATCH(J$1,INDIRECT("Table!A" &amp; $X56):INDIRECT("Table!" &amp; $AA$171 &amp; $X56),0)))))</f>
        <v/>
      </c>
      <c r="K56" s="33" t="str">
        <f ca="1">IF(ISERROR(MATCH(K$1,INDIRECT("Table!A"&amp;$X56):INDIRECT("Table!" &amp; $AA$171 &amp; $X56),0)),"",INDIRECT(CONCATENATE("Table!",ADDRESS($T56,MATCH(K$1,INDIRECT("Table!A" &amp; $X56):INDIRECT("Table!" &amp; $AA$171 &amp; $X56),0)))))</f>
        <v/>
      </c>
      <c r="L56" s="33">
        <f ca="1">IF(ISERROR(MATCH(L$1,INDIRECT("Table!A"&amp;$X56):INDIRECT("Table!" &amp; $AA$171 &amp; $X56),0)),"",INDIRECT(CONCATENATE("Table!",ADDRESS($T56,MATCH(L$1,INDIRECT("Table!A" &amp; $X56):INDIRECT("Table!" &amp; $AA$171 &amp; $X56),0)))))</f>
        <v>0.82415791062166155</v>
      </c>
      <c r="M56" s="33">
        <f ca="1">IF(ISERROR(MATCH(M$1,INDIRECT("Table!A"&amp;$X56):INDIRECT("Table!" &amp; $AA$171 &amp; $X56),0)),"",INDIRECT(CONCATENATE("Table!",ADDRESS($T56,MATCH(M$1,INDIRECT("Table!A" &amp; $X56):INDIRECT("Table!" &amp; $AA$171 &amp; $X56),0)))))</f>
        <v>0.423301057577184</v>
      </c>
      <c r="N56" s="33">
        <f ca="1">IF(ISERROR(MATCH(N$1,INDIRECT("Table!A"&amp;$X56):INDIRECT("Table!" &amp; $AA$171 &amp; $X56),0)),"",INDIRECT(CONCATENATE("Table!",ADDRESS($T56,MATCH(N$1,INDIRECT("Table!A" &amp; $X56):INDIRECT("Table!" &amp; $AA$171 &amp; $X56),0)))))</f>
        <v>0.25094800565237413</v>
      </c>
      <c r="O56" s="33">
        <f ca="1">IF(ISERROR(MATCH(O$1,INDIRECT("Table!A"&amp;$X56):INDIRECT("Table!" &amp; $AA$171 &amp; $X56),0)),"",INDIRECT(CONCATENATE("Table!",ADDRESS($T56,MATCH(O$1,INDIRECT("Table!A" &amp; $X56):INDIRECT("Table!" &amp; $AA$171 &amp; $X56),0)))))</f>
        <v>0.4815831806743664</v>
      </c>
      <c r="P56" s="33">
        <f ca="1">IF(ISERROR(MATCH(P$1,INDIRECT("Table!A"&amp;$X56):INDIRECT("Table!" &amp; $AA$171 &amp; $X56),0)),"",INDIRECT(CONCATENATE("Table!",ADDRESS($T56,MATCH(P$1,INDIRECT("Table!A" &amp; $X56):INDIRECT("Table!" &amp; $AA$171 &amp; $X56),0)))))</f>
        <v>0.42370313723348085</v>
      </c>
      <c r="T56" s="31">
        <f>MATCH($A56,Table!$A:$A,0)+$V$2-1</f>
        <v>755</v>
      </c>
      <c r="U56" s="234"/>
      <c r="V56" s="234"/>
      <c r="W56" s="234"/>
      <c r="X56" s="31">
        <f>MATCH($A56,Table!$A:$A,0)+$Z$2-1</f>
        <v>752</v>
      </c>
      <c r="Y56" s="234"/>
      <c r="AA56" t="s">
        <v>209</v>
      </c>
    </row>
    <row r="57" spans="1:27" ht="15.75" customHeight="1">
      <c r="A57" s="5">
        <v>41130</v>
      </c>
      <c r="B57" s="33">
        <f ca="1">IF(ISERROR(MATCH(B$1,INDIRECT("Table!A"&amp;$X57):INDIRECT("Table!" &amp; $AA$171 &amp; $X57),0)),"",INDIRECT(CONCATENATE("Table!",ADDRESS($T57,MATCH(B$1,INDIRECT("Table!A" &amp; $X57):INDIRECT("Table!" &amp; $AA$171 &amp; $X57),0)))))</f>
        <v>0.64723116041179363</v>
      </c>
      <c r="C57" s="33">
        <f ca="1">IF(ISERROR(MATCH(C$1,INDIRECT("Table!A"&amp;$X57):INDIRECT("Table!" &amp; $AA$171 &amp; $X57),0)),"",INDIRECT(CONCATENATE("Table!",ADDRESS($T57,MATCH(C$1,INDIRECT("Table!A" &amp; $X57):INDIRECT("Table!" &amp; $AA$171 &amp; $X57),0)))))</f>
        <v>0.45693475369363218</v>
      </c>
      <c r="D57" s="33">
        <f ca="1">IF(ISERROR(MATCH(D$1,INDIRECT("Table!A"&amp;$X57):INDIRECT("Table!" &amp; $AA$171 &amp; $X57),0)),"",INDIRECT(CONCATENATE("Table!",ADDRESS($T57,MATCH(D$1,INDIRECT("Table!A" &amp; $X57):INDIRECT("Table!" &amp; $AA$171 &amp; $X57),0)))))</f>
        <v>0.46602881557949399</v>
      </c>
      <c r="E57" s="33">
        <f ca="1">IF(ISERROR(MATCH(E$1,INDIRECT("Table!A"&amp;$X57):INDIRECT("Table!" &amp; $AA$171 &amp; $X57),0)),"",INDIRECT(CONCATENATE("Table!",ADDRESS($T57,MATCH(E$1,INDIRECT("Table!A" &amp; $X57):INDIRECT("Table!" &amp; $AA$171 &amp; $X57),0)))))</f>
        <v>0.85425208436585498</v>
      </c>
      <c r="F57" s="33">
        <f ca="1">IF(ISERROR(MATCH(F$1,INDIRECT("Table!A"&amp;$X57):INDIRECT("Table!" &amp; $AA$171 &amp; $X57),0)),"",INDIRECT(CONCATENATE("Table!",ADDRESS($T57,MATCH(F$1,INDIRECT("Table!A" &amp; $X57):INDIRECT("Table!" &amp; $AA$171 &amp; $X57),0)))))</f>
        <v>0.20856257838352396</v>
      </c>
      <c r="G57" s="33">
        <f ca="1">IF(ISERROR(MATCH(G$1,INDIRECT("Table!A"&amp;$X57):INDIRECT("Table!" &amp; $AA$171 &amp; $X57),0)),"",INDIRECT(CONCATENATE("Table!",ADDRESS($T57,MATCH(G$1,INDIRECT("Table!A" &amp; $X57):INDIRECT("Table!" &amp; $AA$171 &amp; $X57),0)))))</f>
        <v>0.43348756585468229</v>
      </c>
      <c r="H57" s="33">
        <f ca="1">IF(ISERROR(MATCH(H$1,INDIRECT("Table!A"&amp;$X57):INDIRECT("Table!" &amp; $AA$171 &amp; $X57),0)),"",INDIRECT(CONCATENATE("Table!",ADDRESS($T57,MATCH(H$1,INDIRECT("Table!A" &amp; $X57):INDIRECT("Table!" &amp; $AA$171 &amp; $X57),0)))))</f>
        <v>0.19420712459553061</v>
      </c>
      <c r="I57" s="33" t="str">
        <f ca="1">IF(ISERROR(MATCH(I$1,INDIRECT("Table!A"&amp;$X57):INDIRECT("Table!" &amp; $AA$171 &amp; $X57),0)),"",INDIRECT(CONCATENATE("Table!",ADDRESS($T57,MATCH(I$1,INDIRECT("Table!A" &amp; $X57):INDIRECT("Table!" &amp; $AA$171 &amp; $X57),0)))))</f>
        <v/>
      </c>
      <c r="J57" s="33" t="str">
        <f ca="1">IF(ISERROR(MATCH(J$1,INDIRECT("Table!A"&amp;$X57):INDIRECT("Table!" &amp; $AA$171 &amp; $X57),0)),"",INDIRECT(CONCATENATE("Table!",ADDRESS($T57,MATCH(J$1,INDIRECT("Table!A" &amp; $X57):INDIRECT("Table!" &amp; $AA$171 &amp; $X57),0)))))</f>
        <v/>
      </c>
      <c r="K57" s="33" t="str">
        <f ca="1">IF(ISERROR(MATCH(K$1,INDIRECT("Table!A"&amp;$X57):INDIRECT("Table!" &amp; $AA$171 &amp; $X57),0)),"",INDIRECT(CONCATENATE("Table!",ADDRESS($T57,MATCH(K$1,INDIRECT("Table!A" &amp; $X57):INDIRECT("Table!" &amp; $AA$171 &amp; $X57),0)))))</f>
        <v/>
      </c>
      <c r="L57" s="33">
        <f ca="1">IF(ISERROR(MATCH(L$1,INDIRECT("Table!A"&amp;$X57):INDIRECT("Table!" &amp; $AA$171 &amp; $X57),0)),"",INDIRECT(CONCATENATE("Table!",ADDRESS($T57,MATCH(L$1,INDIRECT("Table!A" &amp; $X57):INDIRECT("Table!" &amp; $AA$171 &amp; $X57),0)))))</f>
        <v>0.82392979722473725</v>
      </c>
      <c r="M57" s="33">
        <f ca="1">IF(ISERROR(MATCH(M$1,INDIRECT("Table!A"&amp;$X57):INDIRECT("Table!" &amp; $AA$171 &amp; $X57),0)),"",INDIRECT(CONCATENATE("Table!",ADDRESS($T57,MATCH(M$1,INDIRECT("Table!A" &amp; $X57):INDIRECT("Table!" &amp; $AA$171 &amp; $X57),0)))))</f>
        <v>0.42157324255556178</v>
      </c>
      <c r="N57" s="33">
        <f ca="1">IF(ISERROR(MATCH(N$1,INDIRECT("Table!A"&amp;$X57):INDIRECT("Table!" &amp; $AA$171 &amp; $X57),0)),"",INDIRECT(CONCATENATE("Table!",ADDRESS($T57,MATCH(N$1,INDIRECT("Table!A" &amp; $X57):INDIRECT("Table!" &amp; $AA$171 &amp; $X57),0)))))</f>
        <v>0.25025898656171014</v>
      </c>
      <c r="O57" s="33">
        <f ca="1">IF(ISERROR(MATCH(O$1,INDIRECT("Table!A"&amp;$X57):INDIRECT("Table!" &amp; $AA$171 &amp; $X57),0)),"",INDIRECT(CONCATENATE("Table!",ADDRESS($T57,MATCH(O$1,INDIRECT("Table!A" &amp; $X57):INDIRECT("Table!" &amp; $AA$171 &amp; $X57),0)))))</f>
        <v>0.48141489222456357</v>
      </c>
      <c r="P57" s="33">
        <f ca="1">IF(ISERROR(MATCH(P$1,INDIRECT("Table!A"&amp;$X57):INDIRECT("Table!" &amp; $AA$171 &amp; $X57),0)),"",INDIRECT(CONCATENATE("Table!",ADDRESS($T57,MATCH(P$1,INDIRECT("Table!A" &amp; $X57):INDIRECT("Table!" &amp; $AA$171 &amp; $X57),0)))))</f>
        <v>0.42370313723348085</v>
      </c>
      <c r="T57" s="31">
        <f>MATCH($A57,Table!$A:$A,0)+$V$2-1</f>
        <v>768</v>
      </c>
      <c r="U57" s="233"/>
      <c r="V57" s="233"/>
      <c r="W57" s="233"/>
      <c r="X57" s="31">
        <f>MATCH($A57,Table!$A:$A,0)+$Z$2-1</f>
        <v>765</v>
      </c>
      <c r="Y57" s="233"/>
      <c r="AA57" t="s">
        <v>209</v>
      </c>
    </row>
    <row r="58" spans="1:27" ht="15.75" customHeight="1">
      <c r="A58" s="5">
        <v>41129</v>
      </c>
      <c r="B58" s="33">
        <f ca="1">IF(ISERROR(MATCH(B$1,INDIRECT("Table!A"&amp;$X58):INDIRECT("Table!" &amp; $AA$171 &amp; $X58),0)),"",INDIRECT(CONCATENATE("Table!",ADDRESS($T58,MATCH(B$1,INDIRECT("Table!A" &amp; $X58):INDIRECT("Table!" &amp; $AA$171 &amp; $X58),0)))))</f>
        <v>0.64724022645583223</v>
      </c>
      <c r="C58" s="33">
        <f ca="1">IF(ISERROR(MATCH(C$1,INDIRECT("Table!A"&amp;$X58):INDIRECT("Table!" &amp; $AA$171 &amp; $X58),0)),"",INDIRECT(CONCATENATE("Table!",ADDRESS($T58,MATCH(C$1,INDIRECT("Table!A" &amp; $X58):INDIRECT("Table!" &amp; $AA$171 &amp; $X58),0)))))</f>
        <v>0.4568776168349104</v>
      </c>
      <c r="D58" s="33">
        <f ca="1">IF(ISERROR(MATCH(D$1,INDIRECT("Table!A"&amp;$X58):INDIRECT("Table!" &amp; $AA$171 &amp; $X58),0)),"",INDIRECT(CONCATENATE("Table!",ADDRESS($T58,MATCH(D$1,INDIRECT("Table!A" &amp; $X58):INDIRECT("Table!" &amp; $AA$171 &amp; $X58),0)))))</f>
        <v>0.46600356906052387</v>
      </c>
      <c r="E58" s="33">
        <f ca="1">IF(ISERROR(MATCH(E$1,INDIRECT("Table!A"&amp;$X58):INDIRECT("Table!" &amp; $AA$171 &amp; $X58),0)),"",INDIRECT(CONCATENATE("Table!",ADDRESS($T58,MATCH(E$1,INDIRECT("Table!A" &amp; $X58):INDIRECT("Table!" &amp; $AA$171 &amp; $X58),0)))))</f>
        <v>0.85403175203216741</v>
      </c>
      <c r="F58" s="33">
        <f ca="1">IF(ISERROR(MATCH(F$1,INDIRECT("Table!A"&amp;$X58):INDIRECT("Table!" &amp; $AA$171 &amp; $X58),0)),"",INDIRECT(CONCATENATE("Table!",ADDRESS($T58,MATCH(F$1,INDIRECT("Table!A" &amp; $X58):INDIRECT("Table!" &amp; $AA$171 &amp; $X58),0)))))</f>
        <v>0.20816608996539793</v>
      </c>
      <c r="G58" s="33">
        <f ca="1">IF(ISERROR(MATCH(G$1,INDIRECT("Table!A"&amp;$X58):INDIRECT("Table!" &amp; $AA$171 &amp; $X58),0)),"",INDIRECT(CONCATENATE("Table!",ADDRESS($T58,MATCH(G$1,INDIRECT("Table!A" &amp; $X58):INDIRECT("Table!" &amp; $AA$171 &amp; $X58),0)))))</f>
        <v>0.43343941550931714</v>
      </c>
      <c r="H58" s="33">
        <f ca="1">IF(ISERROR(MATCH(H$1,INDIRECT("Table!A"&amp;$X58):INDIRECT("Table!" &amp; $AA$171 &amp; $X58),0)),"",INDIRECT(CONCATENATE("Table!",ADDRESS($T58,MATCH(H$1,INDIRECT("Table!A" &amp; $X58):INDIRECT("Table!" &amp; $AA$171 &amp; $X58),0)))))</f>
        <v>0.19386920823724696</v>
      </c>
      <c r="I58" s="33" t="str">
        <f ca="1">IF(ISERROR(MATCH(I$1,INDIRECT("Table!A"&amp;$X58):INDIRECT("Table!" &amp; $AA$171 &amp; $X58),0)),"",INDIRECT(CONCATENATE("Table!",ADDRESS($T58,MATCH(I$1,INDIRECT("Table!A" &amp; $X58):INDIRECT("Table!" &amp; $AA$171 &amp; $X58),0)))))</f>
        <v/>
      </c>
      <c r="J58" s="33" t="str">
        <f ca="1">IF(ISERROR(MATCH(J$1,INDIRECT("Table!A"&amp;$X58):INDIRECT("Table!" &amp; $AA$171 &amp; $X58),0)),"",INDIRECT(CONCATENATE("Table!",ADDRESS($T58,MATCH(J$1,INDIRECT("Table!A" &amp; $X58):INDIRECT("Table!" &amp; $AA$171 &amp; $X58),0)))))</f>
        <v/>
      </c>
      <c r="K58" s="33" t="str">
        <f ca="1">IF(ISERROR(MATCH(K$1,INDIRECT("Table!A"&amp;$X58):INDIRECT("Table!" &amp; $AA$171 &amp; $X58),0)),"",INDIRECT(CONCATENATE("Table!",ADDRESS($T58,MATCH(K$1,INDIRECT("Table!A" &amp; $X58):INDIRECT("Table!" &amp; $AA$171 &amp; $X58),0)))))</f>
        <v/>
      </c>
      <c r="L58" s="33">
        <f ca="1">IF(ISERROR(MATCH(L$1,INDIRECT("Table!A"&amp;$X58):INDIRECT("Table!" &amp; $AA$171 &amp; $X58),0)),"",INDIRECT(CONCATENATE("Table!",ADDRESS($T58,MATCH(L$1,INDIRECT("Table!A" &amp; $X58):INDIRECT("Table!" &amp; $AA$171 &amp; $X58),0)))))</f>
        <v>0.82354141954381999</v>
      </c>
      <c r="M58" s="33">
        <f ca="1">IF(ISERROR(MATCH(M$1,INDIRECT("Table!A"&amp;$X58):INDIRECT("Table!" &amp; $AA$171 &amp; $X58),0)),"",INDIRECT(CONCATENATE("Table!",ADDRESS($T58,MATCH(M$1,INDIRECT("Table!A" &amp; $X58):INDIRECT("Table!" &amp; $AA$171 &amp; $X58),0)))))</f>
        <v>0.42266230335981692</v>
      </c>
      <c r="N58" s="33">
        <f ca="1">IF(ISERROR(MATCH(N$1,INDIRECT("Table!A"&amp;$X58):INDIRECT("Table!" &amp; $AA$171 &amp; $X58),0)),"",INDIRECT(CONCATENATE("Table!",ADDRESS($T58,MATCH(N$1,INDIRECT("Table!A" &amp; $X58):INDIRECT("Table!" &amp; $AA$171 &amp; $X58),0)))))</f>
        <v>0.24963161654757915</v>
      </c>
      <c r="O58" s="33">
        <f ca="1">IF(ISERROR(MATCH(O$1,INDIRECT("Table!A"&amp;$X58):INDIRECT("Table!" &amp; $AA$171 &amp; $X58),0)),"",INDIRECT(CONCATENATE("Table!",ADDRESS($T58,MATCH(O$1,INDIRECT("Table!A" &amp; $X58):INDIRECT("Table!" &amp; $AA$171 &amp; $X58),0)))))</f>
        <v>0.4809706560473066</v>
      </c>
      <c r="P58" s="33">
        <f ca="1">IF(ISERROR(MATCH(P$1,INDIRECT("Table!A"&amp;$X58):INDIRECT("Table!" &amp; $AA$171 &amp; $X58),0)),"",INDIRECT(CONCATENATE("Table!",ADDRESS($T58,MATCH(P$1,INDIRECT("Table!A" &amp; $X58):INDIRECT("Table!" &amp; $AA$171 &amp; $X58),0)))))</f>
        <v>0.42370313723348085</v>
      </c>
      <c r="T58" s="31">
        <f>MATCH($A58,Table!$A:$A,0)+$V$2-1</f>
        <v>781</v>
      </c>
      <c r="U58" s="233"/>
      <c r="V58" s="233"/>
      <c r="W58" s="233"/>
      <c r="X58" s="31">
        <f>MATCH($A58,Table!$A:$A,0)+$Z$2-1</f>
        <v>778</v>
      </c>
      <c r="Y58" s="233"/>
      <c r="AA58" t="s">
        <v>209</v>
      </c>
    </row>
    <row r="59" spans="1:27" ht="15.75" customHeight="1">
      <c r="A59" s="5">
        <v>41128</v>
      </c>
      <c r="B59" s="33">
        <f ca="1">IF(ISERROR(MATCH(B$1,INDIRECT("Table!A"&amp;$X59):INDIRECT("Table!" &amp; $AA$171 &amp; $X59),0)),"",INDIRECT(CONCATENATE("Table!",ADDRESS($T59,MATCH(B$1,INDIRECT("Table!A" &amp; $X59):INDIRECT("Table!" &amp; $AA$171 &amp; $X59),0)))))</f>
        <v>0.64862244947772607</v>
      </c>
      <c r="C59" s="33">
        <f ca="1">IF(ISERROR(MATCH(C$1,INDIRECT("Table!A"&amp;$X59):INDIRECT("Table!" &amp; $AA$171 &amp; $X59),0)),"",INDIRECT(CONCATENATE("Table!",ADDRESS($T59,MATCH(C$1,INDIRECT("Table!A" &amp; $X59):INDIRECT("Table!" &amp; $AA$171 &amp; $X59),0)))))</f>
        <v>0.45679191154682763</v>
      </c>
      <c r="D59" s="33">
        <f ca="1">IF(ISERROR(MATCH(D$1,INDIRECT("Table!A"&amp;$X59):INDIRECT("Table!" &amp; $AA$171 &amp; $X59),0)),"",INDIRECT(CONCATENATE("Table!",ADDRESS($T59,MATCH(D$1,INDIRECT("Table!A" &amp; $X59):INDIRECT("Table!" &amp; $AA$171 &amp; $X59),0)))))</f>
        <v>0.46594244590933315</v>
      </c>
      <c r="E59" s="33">
        <f ca="1">IF(ISERROR(MATCH(E$1,INDIRECT("Table!A"&amp;$X59):INDIRECT("Table!" &amp; $AA$171 &amp; $X59),0)),"",INDIRECT(CONCATENATE("Table!",ADDRESS($T59,MATCH(E$1,INDIRECT("Table!A" &amp; $X59):INDIRECT("Table!" &amp; $AA$171 &amp; $X59),0)))))</f>
        <v>0.85274217600432545</v>
      </c>
      <c r="F59" s="33">
        <f ca="1">IF(ISERROR(MATCH(F$1,INDIRECT("Table!A"&amp;$X59):INDIRECT("Table!" &amp; $AA$171 &amp; $X59),0)),"",INDIRECT(CONCATENATE("Table!",ADDRESS($T59,MATCH(F$1,INDIRECT("Table!A" &amp; $X59):INDIRECT("Table!" &amp; $AA$171 &amp; $X59),0)))))</f>
        <v>0.20696876747102644</v>
      </c>
      <c r="G59" s="33">
        <f ca="1">IF(ISERROR(MATCH(G$1,INDIRECT("Table!A"&amp;$X59):INDIRECT("Table!" &amp; $AA$171 &amp; $X59),0)),"",INDIRECT(CONCATENATE("Table!",ADDRESS($T59,MATCH(G$1,INDIRECT("Table!A" &amp; $X59):INDIRECT("Table!" &amp; $AA$171 &amp; $X59),0)))))</f>
        <v>0.4310055518256703</v>
      </c>
      <c r="H59" s="33">
        <f ca="1">IF(ISERROR(MATCH(H$1,INDIRECT("Table!A"&amp;$X59):INDIRECT("Table!" &amp; $AA$171 &amp; $X59),0)),"",INDIRECT(CONCATENATE("Table!",ADDRESS($T59,MATCH(H$1,INDIRECT("Table!A" &amp; $X59):INDIRECT("Table!" &amp; $AA$171 &amp; $X59),0)))))</f>
        <v>0.19373651425265265</v>
      </c>
      <c r="I59" s="33" t="str">
        <f ca="1">IF(ISERROR(MATCH(I$1,INDIRECT("Table!A"&amp;$X59):INDIRECT("Table!" &amp; $AA$171 &amp; $X59),0)),"",INDIRECT(CONCATENATE("Table!",ADDRESS($T59,MATCH(I$1,INDIRECT("Table!A" &amp; $X59):INDIRECT("Table!" &amp; $AA$171 &amp; $X59),0)))))</f>
        <v/>
      </c>
      <c r="J59" s="33" t="str">
        <f ca="1">IF(ISERROR(MATCH(J$1,INDIRECT("Table!A"&amp;$X59):INDIRECT("Table!" &amp; $AA$171 &amp; $X59),0)),"",INDIRECT(CONCATENATE("Table!",ADDRESS($T59,MATCH(J$1,INDIRECT("Table!A" &amp; $X59):INDIRECT("Table!" &amp; $AA$171 &amp; $X59),0)))))</f>
        <v/>
      </c>
      <c r="K59" s="33" t="str">
        <f ca="1">IF(ISERROR(MATCH(K$1,INDIRECT("Table!A"&amp;$X59):INDIRECT("Table!" &amp; $AA$171 &amp; $X59),0)),"",INDIRECT(CONCATENATE("Table!",ADDRESS($T59,MATCH(K$1,INDIRECT("Table!A" &amp; $X59):INDIRECT("Table!" &amp; $AA$171 &amp; $X59),0)))))</f>
        <v/>
      </c>
      <c r="L59" s="33">
        <f ca="1">IF(ISERROR(MATCH(L$1,INDIRECT("Table!A"&amp;$X59):INDIRECT("Table!" &amp; $AA$171 &amp; $X59),0)),"",INDIRECT(CONCATENATE("Table!",ADDRESS($T59,MATCH(L$1,INDIRECT("Table!A" &amp; $X59):INDIRECT("Table!" &amp; $AA$171 &amp; $X59),0)))))</f>
        <v>0.82280151326918072</v>
      </c>
      <c r="M59" s="33">
        <f ca="1">IF(ISERROR(MATCH(M$1,INDIRECT("Table!A"&amp;$X59):INDIRECT("Table!" &amp; $AA$171 &amp; $X59),0)),"",INDIRECT(CONCATENATE("Table!",ADDRESS($T59,MATCH(M$1,INDIRECT("Table!A" &amp; $X59):INDIRECT("Table!" &amp; $AA$171 &amp; $X59),0)))))</f>
        <v>0.42244206938202794</v>
      </c>
      <c r="N59" s="33">
        <f ca="1">IF(ISERROR(MATCH(N$1,INDIRECT("Table!A"&amp;$X59):INDIRECT("Table!" &amp; $AA$171 &amp; $X59),0)),"",INDIRECT(CONCATENATE("Table!",ADDRESS($T59,MATCH(N$1,INDIRECT("Table!A" &amp; $X59):INDIRECT("Table!" &amp; $AA$171 &amp; $X59),0)))))</f>
        <v>0.24714268618323315</v>
      </c>
      <c r="O59" s="33">
        <f ca="1">IF(ISERROR(MATCH(O$1,INDIRECT("Table!A"&amp;$X59):INDIRECT("Table!" &amp; $AA$171 &amp; $X59),0)),"",INDIRECT(CONCATENATE("Table!",ADDRESS($T59,MATCH(O$1,INDIRECT("Table!A" &amp; $X59):INDIRECT("Table!" &amp; $AA$171 &amp; $X59),0)))))</f>
        <v>0.48085449735299829</v>
      </c>
      <c r="P59" s="33">
        <f ca="1">IF(ISERROR(MATCH(P$1,INDIRECT("Table!A"&amp;$X59):INDIRECT("Table!" &amp; $AA$171 &amp; $X59),0)),"",INDIRECT(CONCATENATE("Table!",ADDRESS($T59,MATCH(P$1,INDIRECT("Table!A" &amp; $X59):INDIRECT("Table!" &amp; $AA$171 &amp; $X59),0)))))</f>
        <v>0.42370313723348085</v>
      </c>
      <c r="T59" s="31">
        <f>MATCH($A59,Table!$A:$A,0)+$V$2-1</f>
        <v>794</v>
      </c>
      <c r="U59" s="233"/>
      <c r="V59" s="233"/>
      <c r="W59" s="233"/>
      <c r="X59" s="31">
        <f>MATCH($A59,Table!$A:$A,0)+$Z$2-1</f>
        <v>791</v>
      </c>
      <c r="Y59" s="233"/>
      <c r="AA59" t="s">
        <v>209</v>
      </c>
    </row>
    <row r="60" spans="1:27" ht="15.75" customHeight="1">
      <c r="A60" s="5">
        <v>41124</v>
      </c>
      <c r="B60" s="33">
        <f ca="1">IF(ISERROR(MATCH(B$1,INDIRECT("Table!A"&amp;$X60):INDIRECT("Table!" &amp; $AA$171 &amp; $X60),0)),"",INDIRECT(CONCATENATE("Table!",ADDRESS($T60,MATCH(B$1,INDIRECT("Table!A" &amp; $X60):INDIRECT("Table!" &amp; $AA$171 &amp; $X60),0)))))</f>
        <v>0.64866638492191342</v>
      </c>
      <c r="C60" s="33">
        <f ca="1">IF(ISERROR(MATCH(C$1,INDIRECT("Table!A"&amp;$X60):INDIRECT("Table!" &amp; $AA$171 &amp; $X60),0)),"",INDIRECT(CONCATENATE("Table!",ADDRESS($T60,MATCH(C$1,INDIRECT("Table!A" &amp; $X60):INDIRECT("Table!" &amp; $AA$171 &amp; $X60),0)))))</f>
        <v>0.45678061705149892</v>
      </c>
      <c r="D60" s="33">
        <f ca="1">IF(ISERROR(MATCH(D$1,INDIRECT("Table!A"&amp;$X60):INDIRECT("Table!" &amp; $AA$171 &amp; $X60),0)),"",INDIRECT(CONCATENATE("Table!",ADDRESS($T60,MATCH(D$1,INDIRECT("Table!A" &amp; $X60):INDIRECT("Table!" &amp; $AA$171 &amp; $X60),0)))))</f>
        <v>0.46593048703192619</v>
      </c>
      <c r="E60" s="33">
        <f ca="1">IF(ISERROR(MATCH(E$1,INDIRECT("Table!A"&amp;$X60):INDIRECT("Table!" &amp; $AA$171 &amp; $X60),0)),"",INDIRECT(CONCATENATE("Table!",ADDRESS($T60,MATCH(E$1,INDIRECT("Table!A" &amp; $X60):INDIRECT("Table!" &amp; $AA$171 &amp; $X60),0)))))</f>
        <v>0.85240810603205097</v>
      </c>
      <c r="F60" s="33">
        <f ca="1">IF(ISERROR(MATCH(F$1,INDIRECT("Table!A"&amp;$X60):INDIRECT("Table!" &amp; $AA$171 &amp; $X60),0)),"",INDIRECT(CONCATENATE("Table!",ADDRESS($T60,MATCH(F$1,INDIRECT("Table!A" &amp; $X60):INDIRECT("Table!" &amp; $AA$171 &amp; $X60),0)))))</f>
        <v>0.20696876747102644</v>
      </c>
      <c r="G60" s="33">
        <f ca="1">IF(ISERROR(MATCH(G$1,INDIRECT("Table!A"&amp;$X60):INDIRECT("Table!" &amp; $AA$171 &amp; $X60),0)),"",INDIRECT(CONCATENATE("Table!",ADDRESS($T60,MATCH(G$1,INDIRECT("Table!A" &amp; $X60):INDIRECT("Table!" &amp; $AA$171 &amp; $X60),0)))))</f>
        <v>0.43023423780274528</v>
      </c>
      <c r="H60" s="33">
        <f ca="1">IF(ISERROR(MATCH(H$1,INDIRECT("Table!A"&amp;$X60):INDIRECT("Table!" &amp; $AA$171 &amp; $X60),0)),"",INDIRECT(CONCATENATE("Table!",ADDRESS($T60,MATCH(H$1,INDIRECT("Table!A" &amp; $X60):INDIRECT("Table!" &amp; $AA$171 &amp; $X60),0)))))</f>
        <v>0.19338128998333495</v>
      </c>
      <c r="I60" s="33" t="str">
        <f ca="1">IF(ISERROR(MATCH(I$1,INDIRECT("Table!A"&amp;$X60):INDIRECT("Table!" &amp; $AA$171 &amp; $X60),0)),"",INDIRECT(CONCATENATE("Table!",ADDRESS($T60,MATCH(I$1,INDIRECT("Table!A" &amp; $X60):INDIRECT("Table!" &amp; $AA$171 &amp; $X60),0)))))</f>
        <v/>
      </c>
      <c r="J60" s="33" t="str">
        <f ca="1">IF(ISERROR(MATCH(J$1,INDIRECT("Table!A"&amp;$X60):INDIRECT("Table!" &amp; $AA$171 &amp; $X60),0)),"",INDIRECT(CONCATENATE("Table!",ADDRESS($T60,MATCH(J$1,INDIRECT("Table!A" &amp; $X60):INDIRECT("Table!" &amp; $AA$171 &amp; $X60),0)))))</f>
        <v/>
      </c>
      <c r="K60" s="33" t="str">
        <f ca="1">IF(ISERROR(MATCH(K$1,INDIRECT("Table!A"&amp;$X60):INDIRECT("Table!" &amp; $AA$171 &amp; $X60),0)),"",INDIRECT(CONCATENATE("Table!",ADDRESS($T60,MATCH(K$1,INDIRECT("Table!A" &amp; $X60):INDIRECT("Table!" &amp; $AA$171 &amp; $X60),0)))))</f>
        <v/>
      </c>
      <c r="L60" s="33">
        <f ca="1">IF(ISERROR(MATCH(L$1,INDIRECT("Table!A"&amp;$X60):INDIRECT("Table!" &amp; $AA$171 &amp; $X60),0)),"",INDIRECT(CONCATENATE("Table!",ADDRESS($T60,MATCH(L$1,INDIRECT("Table!A" &amp; $X60):INDIRECT("Table!" &amp; $AA$171 &amp; $X60),0)))))</f>
        <v>0.82238272046867356</v>
      </c>
      <c r="M60" s="33">
        <f ca="1">IF(ISERROR(MATCH(M$1,INDIRECT("Table!A"&amp;$X60):INDIRECT("Table!" &amp; $AA$171 &amp; $X60),0)),"",INDIRECT(CONCATENATE("Table!",ADDRESS($T60,MATCH(M$1,INDIRECT("Table!A" &amp; $X60):INDIRECT("Table!" &amp; $AA$171 &amp; $X60),0)))))</f>
        <v>0.42160881299183689</v>
      </c>
      <c r="N60" s="33">
        <f ca="1">IF(ISERROR(MATCH(N$1,INDIRECT("Table!A"&amp;$X60):INDIRECT("Table!" &amp; $AA$171 &amp; $X60),0)),"",INDIRECT(CONCATENATE("Table!",ADDRESS($T60,MATCH(N$1,INDIRECT("Table!A" &amp; $X60):INDIRECT("Table!" &amp; $AA$171 &amp; $X60),0)))))</f>
        <v>0.24634729221541396</v>
      </c>
      <c r="O60" s="33">
        <f ca="1">IF(ISERROR(MATCH(O$1,INDIRECT("Table!A"&amp;$X60):INDIRECT("Table!" &amp; $AA$171 &amp; $X60),0)),"",INDIRECT(CONCATENATE("Table!",ADDRESS($T60,MATCH(O$1,INDIRECT("Table!A" &amp; $X60):INDIRECT("Table!" &amp; $AA$171 &amp; $X60),0)))))</f>
        <v>0.48044312558681385</v>
      </c>
      <c r="P60" s="33">
        <f ca="1">IF(ISERROR(MATCH(P$1,INDIRECT("Table!A"&amp;$X60):INDIRECT("Table!" &amp; $AA$171 &amp; $X60),0)),"",INDIRECT(CONCATENATE("Table!",ADDRESS($T60,MATCH(P$1,INDIRECT("Table!A" &amp; $X60):INDIRECT("Table!" &amp; $AA$171 &amp; $X60),0)))))</f>
        <v>0.42370313723348085</v>
      </c>
      <c r="T60" s="31">
        <f>MATCH($A60,Table!$A:$A,0)+$V$2-1</f>
        <v>807</v>
      </c>
      <c r="U60" s="232"/>
      <c r="V60" s="232"/>
      <c r="W60" s="232"/>
      <c r="X60" s="31">
        <f>MATCH($A60,Table!$A:$A,0)+$Z$2-1</f>
        <v>804</v>
      </c>
      <c r="Y60" s="232"/>
      <c r="AA60" t="s">
        <v>209</v>
      </c>
    </row>
    <row r="61" spans="1:27" ht="15.75" customHeight="1">
      <c r="A61" s="5">
        <v>41123</v>
      </c>
      <c r="B61" s="33">
        <f ca="1">IF(ISERROR(MATCH(B$1,INDIRECT("Table!A"&amp;$X61):INDIRECT("Table!" &amp; $AA$171 &amp; $X61),0)),"",INDIRECT(CONCATENATE("Table!",ADDRESS($T61,MATCH(B$1,INDIRECT("Table!A" &amp; $X61):INDIRECT("Table!" &amp; $AA$171 &amp; $X61),0)))))</f>
        <v>0.6500367523477566</v>
      </c>
      <c r="C61" s="33">
        <f ca="1">IF(ISERROR(MATCH(C$1,INDIRECT("Table!A"&amp;$X61):INDIRECT("Table!" &amp; $AA$171 &amp; $X61),0)),"",INDIRECT(CONCATENATE("Table!",ADDRESS($T61,MATCH(C$1,INDIRECT("Table!A" &amp; $X61):INDIRECT("Table!" &amp; $AA$171 &amp; $X61),0)))))</f>
        <v>0.45645639859735654</v>
      </c>
      <c r="D61" s="33">
        <f ca="1">IF(ISERROR(MATCH(D$1,INDIRECT("Table!A"&amp;$X61):INDIRECT("Table!" &amp; $AA$171 &amp; $X61),0)),"",INDIRECT(CONCATENATE("Table!",ADDRESS($T61,MATCH(D$1,INDIRECT("Table!A" &amp; $X61):INDIRECT("Table!" &amp; $AA$171 &amp; $X61),0)))))</f>
        <v>0.46562752880428504</v>
      </c>
      <c r="E61" s="33">
        <f ca="1">IF(ISERROR(MATCH(E$1,INDIRECT("Table!A"&amp;$X61):INDIRECT("Table!" &amp; $AA$171 &amp; $X61),0)),"",INDIRECT(CONCATENATE("Table!",ADDRESS($T61,MATCH(E$1,INDIRECT("Table!A" &amp; $X61):INDIRECT("Table!" &amp; $AA$171 &amp; $X61),0)))))</f>
        <v>0.85039489488334474</v>
      </c>
      <c r="F61" s="33">
        <f ca="1">IF(ISERROR(MATCH(F$1,INDIRECT("Table!A"&amp;$X61):INDIRECT("Table!" &amp; $AA$171 &amp; $X61),0)),"",INDIRECT(CONCATENATE("Table!",ADDRESS($T61,MATCH(F$1,INDIRECT("Table!A" &amp; $X61):INDIRECT("Table!" &amp; $AA$171 &amp; $X61),0)))))</f>
        <v>0.20376543116604465</v>
      </c>
      <c r="G61" s="33">
        <f ca="1">IF(ISERROR(MATCH(G$1,INDIRECT("Table!A"&amp;$X61):INDIRECT("Table!" &amp; $AA$171 &amp; $X61),0)),"",INDIRECT(CONCATENATE("Table!",ADDRESS($T61,MATCH(G$1,INDIRECT("Table!A" &amp; $X61):INDIRECT("Table!" &amp; $AA$171 &amp; $X61),0)))))</f>
        <v>0.42125374414360067</v>
      </c>
      <c r="H61" s="33">
        <f ca="1">IF(ISERROR(MATCH(H$1,INDIRECT("Table!A"&amp;$X61):INDIRECT("Table!" &amp; $AA$171 &amp; $X61),0)),"",INDIRECT(CONCATENATE("Table!",ADDRESS($T61,MATCH(H$1,INDIRECT("Table!A" &amp; $X61):INDIRECT("Table!" &amp; $AA$171 &amp; $X61),0)))))</f>
        <v>0.19251836699035205</v>
      </c>
      <c r="I61" s="33" t="str">
        <f ca="1">IF(ISERROR(MATCH(I$1,INDIRECT("Table!A"&amp;$X61):INDIRECT("Table!" &amp; $AA$171 &amp; $X61),0)),"",INDIRECT(CONCATENATE("Table!",ADDRESS($T61,MATCH(I$1,INDIRECT("Table!A" &amp; $X61):INDIRECT("Table!" &amp; $AA$171 &amp; $X61),0)))))</f>
        <v/>
      </c>
      <c r="J61" s="33" t="str">
        <f ca="1">IF(ISERROR(MATCH(J$1,INDIRECT("Table!A"&amp;$X61):INDIRECT("Table!" &amp; $AA$171 &amp; $X61),0)),"",INDIRECT(CONCATENATE("Table!",ADDRESS($T61,MATCH(J$1,INDIRECT("Table!A" &amp; $X61):INDIRECT("Table!" &amp; $AA$171 &amp; $X61),0)))))</f>
        <v/>
      </c>
      <c r="K61" s="33" t="str">
        <f ca="1">IF(ISERROR(MATCH(K$1,INDIRECT("Table!A"&amp;$X61):INDIRECT("Table!" &amp; $AA$171 &amp; $X61),0)),"",INDIRECT(CONCATENATE("Table!",ADDRESS($T61,MATCH(K$1,INDIRECT("Table!A" &amp; $X61):INDIRECT("Table!" &amp; $AA$171 &amp; $X61),0)))))</f>
        <v/>
      </c>
      <c r="L61" s="33">
        <f ca="1">IF(ISERROR(MATCH(L$1,INDIRECT("Table!A"&amp;$X61):INDIRECT("Table!" &amp; $AA$171 &amp; $X61),0)),"",INDIRECT(CONCATENATE("Table!",ADDRESS($T61,MATCH(L$1,INDIRECT("Table!A" &amp; $X61):INDIRECT("Table!" &amp; $AA$171 &amp; $X61),0)))))</f>
        <v>0.82113628547163331</v>
      </c>
      <c r="M61" s="33">
        <f ca="1">IF(ISERROR(MATCH(M$1,INDIRECT("Table!A"&amp;$X61):INDIRECT("Table!" &amp; $AA$171 &amp; $X61),0)),"",INDIRECT(CONCATENATE("Table!",ADDRESS($T61,MATCH(M$1,INDIRECT("Table!A" &amp; $X61):INDIRECT("Table!" &amp; $AA$171 &amp; $X61),0)))))</f>
        <v>0.42255105114423275</v>
      </c>
      <c r="N61" s="33">
        <f ca="1">IF(ISERROR(MATCH(N$1,INDIRECT("Table!A"&amp;$X61):INDIRECT("Table!" &amp; $AA$171 &amp; $X61),0)),"",INDIRECT(CONCATENATE("Table!",ADDRESS($T61,MATCH(N$1,INDIRECT("Table!A" &amp; $X61):INDIRECT("Table!" &amp; $AA$171 &amp; $X61),0)))))</f>
        <v>0.2420717474370303</v>
      </c>
      <c r="O61" s="33">
        <f ca="1">IF(ISERROR(MATCH(O$1,INDIRECT("Table!A"&amp;$X61):INDIRECT("Table!" &amp; $AA$171 &amp; $X61),0)),"",INDIRECT(CONCATENATE("Table!",ADDRESS($T61,MATCH(O$1,INDIRECT("Table!A" &amp; $X61):INDIRECT("Table!" &amp; $AA$171 &amp; $X61),0)))))</f>
        <v>0.47956371927673358</v>
      </c>
      <c r="P61" s="33">
        <f ca="1">IF(ISERROR(MATCH(P$1,INDIRECT("Table!A"&amp;$X61):INDIRECT("Table!" &amp; $AA$171 &amp; $X61),0)),"",INDIRECT(CONCATENATE("Table!",ADDRESS($T61,MATCH(P$1,INDIRECT("Table!A" &amp; $X61):INDIRECT("Table!" &amp; $AA$171 &amp; $X61),0)))))</f>
        <v>0.42370313723348085</v>
      </c>
      <c r="T61" s="31">
        <f>MATCH($A61,Table!$A:$A,0)+$V$2-1</f>
        <v>820</v>
      </c>
      <c r="U61" s="231"/>
      <c r="V61" s="231"/>
      <c r="W61" s="231"/>
      <c r="X61" s="31">
        <f>MATCH($A61,Table!$A:$A,0)+$Z$2-1</f>
        <v>817</v>
      </c>
      <c r="Y61" s="231"/>
      <c r="AA61" t="s">
        <v>209</v>
      </c>
    </row>
    <row r="62" spans="1:27" ht="15.75" customHeight="1">
      <c r="A62" s="5">
        <v>41120</v>
      </c>
      <c r="B62" s="33">
        <f ca="1">IF(ISERROR(MATCH(B$1,INDIRECT("Table!A"&amp;$X62):INDIRECT("Table!" &amp; $AA$171 &amp; $X62),0)),"",INDIRECT(CONCATENATE("Table!",ADDRESS($T62,MATCH(B$1,INDIRECT("Table!A" &amp; $X62):INDIRECT("Table!" &amp; $AA$171 &amp; $X62),0)))))</f>
        <v>0.64877099312235942</v>
      </c>
      <c r="C62" s="33">
        <f ca="1">IF(ISERROR(MATCH(C$1,INDIRECT("Table!A"&amp;$X62):INDIRECT("Table!" &amp; $AA$171 &amp; $X62),0)),"",INDIRECT(CONCATENATE("Table!",ADDRESS($T62,MATCH(C$1,INDIRECT("Table!A" &amp; $X62):INDIRECT("Table!" &amp; $AA$171 &amp; $X62),0)))))</f>
        <v>0.4558278931514167</v>
      </c>
      <c r="D62" s="33">
        <f ca="1">IF(ISERROR(MATCH(D$1,INDIRECT("Table!A"&amp;$X62):INDIRECT("Table!" &amp; $AA$171 &amp; $X62),0)),"",INDIRECT(CONCATENATE("Table!",ADDRESS($T62,MATCH(D$1,INDIRECT("Table!A" &amp; $X62):INDIRECT("Table!" &amp; $AA$171 &amp; $X62),0)))))</f>
        <v>0.46512060527864851</v>
      </c>
      <c r="E62" s="33">
        <f ca="1">IF(ISERROR(MATCH(E$1,INDIRECT("Table!A"&amp;$X62):INDIRECT("Table!" &amp; $AA$171 &amp; $X62),0)),"",INDIRECT(CONCATENATE("Table!",ADDRESS($T62,MATCH(E$1,INDIRECT("Table!A" &amp; $X62):INDIRECT("Table!" &amp; $AA$171 &amp; $X62),0)))))</f>
        <v>0.84962785264437268</v>
      </c>
      <c r="F62" s="33">
        <f ca="1">IF(ISERROR(MATCH(F$1,INDIRECT("Table!A"&amp;$X62):INDIRECT("Table!" &amp; $AA$171 &amp; $X62),0)),"",INDIRECT(CONCATENATE("Table!",ADDRESS($T62,MATCH(F$1,INDIRECT("Table!A" &amp; $X62):INDIRECT("Table!" &amp; $AA$171 &amp; $X62),0)))))</f>
        <v>0.27786202792672654</v>
      </c>
      <c r="G62" s="33">
        <f ca="1">IF(ISERROR(MATCH(G$1,INDIRECT("Table!A"&amp;$X62):INDIRECT("Table!" &amp; $AA$171 &amp; $X62),0)),"",INDIRECT(CONCATENATE("Table!",ADDRESS($T62,MATCH(G$1,INDIRECT("Table!A" &amp; $X62):INDIRECT("Table!" &amp; $AA$171 &amp; $X62),0)))))</f>
        <v>0.42009450186650726</v>
      </c>
      <c r="H62" s="33">
        <f ca="1">IF(ISERROR(MATCH(H$1,INDIRECT("Table!A"&amp;$X62):INDIRECT("Table!" &amp; $AA$171 &amp; $X62),0)),"",INDIRECT(CONCATENATE("Table!",ADDRESS($T62,MATCH(H$1,INDIRECT("Table!A" &amp; $X62):INDIRECT("Table!" &amp; $AA$171 &amp; $X62),0)))))</f>
        <v>0.19204940501995355</v>
      </c>
      <c r="I62" s="33" t="str">
        <f ca="1">IF(ISERROR(MATCH(I$1,INDIRECT("Table!A"&amp;$X62):INDIRECT("Table!" &amp; $AA$171 &amp; $X62),0)),"",INDIRECT(CONCATENATE("Table!",ADDRESS($T62,MATCH(I$1,INDIRECT("Table!A" &amp; $X62):INDIRECT("Table!" &amp; $AA$171 &amp; $X62),0)))))</f>
        <v/>
      </c>
      <c r="J62" s="33" t="str">
        <f ca="1">IF(ISERROR(MATCH(J$1,INDIRECT("Table!A"&amp;$X62):INDIRECT("Table!" &amp; $AA$171 &amp; $X62),0)),"",INDIRECT(CONCATENATE("Table!",ADDRESS($T62,MATCH(J$1,INDIRECT("Table!A" &amp; $X62):INDIRECT("Table!" &amp; $AA$171 &amp; $X62),0)))))</f>
        <v/>
      </c>
      <c r="K62" s="33" t="str">
        <f ca="1">IF(ISERROR(MATCH(K$1,INDIRECT("Table!A"&amp;$X62):INDIRECT("Table!" &amp; $AA$171 &amp; $X62),0)),"",INDIRECT(CONCATENATE("Table!",ADDRESS($T62,MATCH(K$1,INDIRECT("Table!A" &amp; $X62):INDIRECT("Table!" &amp; $AA$171 &amp; $X62),0)))))</f>
        <v/>
      </c>
      <c r="L62" s="33">
        <f ca="1">IF(ISERROR(MATCH(L$1,INDIRECT("Table!A"&amp;$X62):INDIRECT("Table!" &amp; $AA$171 &amp; $X62),0)),"",INDIRECT(CONCATENATE("Table!",ADDRESS($T62,MATCH(L$1,INDIRECT("Table!A" &amp; $X62):INDIRECT("Table!" &amp; $AA$171 &amp; $X62),0)))))</f>
        <v>0.82013726577433377</v>
      </c>
      <c r="M62" s="33">
        <f ca="1">IF(ISERROR(MATCH(M$1,INDIRECT("Table!A"&amp;$X62):INDIRECT("Table!" &amp; $AA$171 &amp; $X62),0)),"",INDIRECT(CONCATENATE("Table!",ADDRESS($T62,MATCH(M$1,INDIRECT("Table!A" &amp; $X62):INDIRECT("Table!" &amp; $AA$171 &amp; $X62),0)))))</f>
        <v>0.41446596666066254</v>
      </c>
      <c r="N62" s="33">
        <f ca="1">IF(ISERROR(MATCH(N$1,INDIRECT("Table!A"&amp;$X62):INDIRECT("Table!" &amp; $AA$171 &amp; $X62),0)),"",INDIRECT(CONCATENATE("Table!",ADDRESS($T62,MATCH(N$1,INDIRECT("Table!A" &amp; $X62):INDIRECT("Table!" &amp; $AA$171 &amp; $X62),0)))))</f>
        <v>0.23931446226895192</v>
      </c>
      <c r="O62" s="33">
        <f ca="1">IF(ISERROR(MATCH(O$1,INDIRECT("Table!A"&amp;$X62):INDIRECT("Table!" &amp; $AA$171 &amp; $X62),0)),"",INDIRECT(CONCATENATE("Table!",ADDRESS($T62,MATCH(O$1,INDIRECT("Table!A" &amp; $X62):INDIRECT("Table!" &amp; $AA$171 &amp; $X62),0)))))</f>
        <v>0.47898915871074049</v>
      </c>
      <c r="P62" s="33">
        <f ca="1">IF(ISERROR(MATCH(P$1,INDIRECT("Table!A"&amp;$X62):INDIRECT("Table!" &amp; $AA$171 &amp; $X62),0)),"",INDIRECT(CONCATENATE("Table!",ADDRESS($T62,MATCH(P$1,INDIRECT("Table!A" &amp; $X62):INDIRECT("Table!" &amp; $AA$171 &amp; $X62),0)))))</f>
        <v>0.4236940332477559</v>
      </c>
      <c r="T62" s="31">
        <f>MATCH($A62,Table!$A:$A,0)+$V$2-1</f>
        <v>833</v>
      </c>
      <c r="U62" s="230"/>
      <c r="V62" s="230"/>
      <c r="W62" s="230"/>
      <c r="X62" s="31">
        <f>MATCH($A62,Table!$A:$A,0)+$Z$2-1</f>
        <v>830</v>
      </c>
      <c r="Y62" s="230"/>
      <c r="AA62" t="s">
        <v>209</v>
      </c>
    </row>
    <row r="63" spans="1:27" ht="15.75" customHeight="1">
      <c r="A63" s="5">
        <v>41117</v>
      </c>
      <c r="B63" s="33">
        <f ca="1">IF(ISERROR(MATCH(B$1,INDIRECT("Table!A"&amp;$X63):INDIRECT("Table!" &amp; $AA$171 &amp; $X63),0)),"",INDIRECT(CONCATENATE("Table!",ADDRESS($T63,MATCH(B$1,INDIRECT("Table!A" &amp; $X63):INDIRECT("Table!" &amp; $AA$171 &amp; $X63),0)))))</f>
        <v>0.80186639589420539</v>
      </c>
      <c r="C63" s="33">
        <f ca="1">IF(ISERROR(MATCH(C$1,INDIRECT("Table!A"&amp;$X63):INDIRECT("Table!" &amp; $AA$171 &amp; $X63),0)),"",INDIRECT(CONCATENATE("Table!",ADDRESS($T63,MATCH(C$1,INDIRECT("Table!A" &amp; $X63):INDIRECT("Table!" &amp; $AA$171 &amp; $X63),0)))))</f>
        <v>0.69254970381162684</v>
      </c>
      <c r="D63" s="33">
        <f ca="1">IF(ISERROR(MATCH(D$1,INDIRECT("Table!A"&amp;$X63):INDIRECT("Table!" &amp; $AA$171 &amp; $X63),0)),"",INDIRECT(CONCATENATE("Table!",ADDRESS($T63,MATCH(D$1,INDIRECT("Table!A" &amp; $X63):INDIRECT("Table!" &amp; $AA$171 &amp; $X63),0)))))</f>
        <v>0.70676694765942016</v>
      </c>
      <c r="E63" s="33">
        <f ca="1">IF(ISERROR(MATCH(E$1,INDIRECT("Table!A"&amp;$X63):INDIRECT("Table!" &amp; $AA$171 &amp; $X63),0)),"",INDIRECT(CONCATENATE("Table!",ADDRESS($T63,MATCH(E$1,INDIRECT("Table!A" &amp; $X63):INDIRECT("Table!" &amp; $AA$171 &amp; $X63),0)))))</f>
        <v>0.84866245635936266</v>
      </c>
      <c r="F63" s="33">
        <f ca="1">IF(ISERROR(MATCH(F$1,INDIRECT("Table!A"&amp;$X63):INDIRECT("Table!" &amp; $AA$171 &amp; $X63),0)),"",INDIRECT(CONCATENATE("Table!",ADDRESS($T63,MATCH(F$1,INDIRECT("Table!A" &amp; $X63):INDIRECT("Table!" &amp; $AA$171 &amp; $X63),0)))))</f>
        <v>0.27670569463240469</v>
      </c>
      <c r="G63" s="33">
        <f ca="1">IF(ISERROR(MATCH(G$1,INDIRECT("Table!A"&amp;$X63):INDIRECT("Table!" &amp; $AA$171 &amp; $X63),0)),"",INDIRECT(CONCATENATE("Table!",ADDRESS($T63,MATCH(G$1,INDIRECT("Table!A" &amp; $X63):INDIRECT("Table!" &amp; $AA$171 &amp; $X63),0)))))</f>
        <v>0.42027710978006194</v>
      </c>
      <c r="H63" s="33">
        <f ca="1">IF(ISERROR(MATCH(H$1,INDIRECT("Table!A"&amp;$X63):INDIRECT("Table!" &amp; $AA$171 &amp; $X63),0)),"",INDIRECT(CONCATENATE("Table!",ADDRESS($T63,MATCH(H$1,INDIRECT("Table!A" &amp; $X63):INDIRECT("Table!" &amp; $AA$171 &amp; $X63),0)))))</f>
        <v>0.1919620412785436</v>
      </c>
      <c r="I63" s="33" t="str">
        <f ca="1">IF(ISERROR(MATCH(I$1,INDIRECT("Table!A"&amp;$X63):INDIRECT("Table!" &amp; $AA$171 &amp; $X63),0)),"",INDIRECT(CONCATENATE("Table!",ADDRESS($T63,MATCH(I$1,INDIRECT("Table!A" &amp; $X63):INDIRECT("Table!" &amp; $AA$171 &amp; $X63),0)))))</f>
        <v/>
      </c>
      <c r="J63" s="33" t="str">
        <f ca="1">IF(ISERROR(MATCH(J$1,INDIRECT("Table!A"&amp;$X63):INDIRECT("Table!" &amp; $AA$171 &amp; $X63),0)),"",INDIRECT(CONCATENATE("Table!",ADDRESS($T63,MATCH(J$1,INDIRECT("Table!A" &amp; $X63):INDIRECT("Table!" &amp; $AA$171 &amp; $X63),0)))))</f>
        <v/>
      </c>
      <c r="K63" s="33" t="str">
        <f ca="1">IF(ISERROR(MATCH(K$1,INDIRECT("Table!A"&amp;$X63):INDIRECT("Table!" &amp; $AA$171 &amp; $X63),0)),"",INDIRECT(CONCATENATE("Table!",ADDRESS($T63,MATCH(K$1,INDIRECT("Table!A" &amp; $X63):INDIRECT("Table!" &amp; $AA$171 &amp; $X63),0)))))</f>
        <v/>
      </c>
      <c r="L63" s="33">
        <f ca="1">IF(ISERROR(MATCH(L$1,INDIRECT("Table!A"&amp;$X63):INDIRECT("Table!" &amp; $AA$171 &amp; $X63),0)),"",INDIRECT(CONCATENATE("Table!",ADDRESS($T63,MATCH(L$1,INDIRECT("Table!A" &amp; $X63):INDIRECT("Table!" &amp; $AA$171 &amp; $X63),0)))))</f>
        <v>0.81834218881238319</v>
      </c>
      <c r="M63" s="33">
        <f ca="1">IF(ISERROR(MATCH(M$1,INDIRECT("Table!A"&amp;$X63):INDIRECT("Table!" &amp; $AA$171 &amp; $X63),0)),"",INDIRECT(CONCATENATE("Table!",ADDRESS($T63,MATCH(M$1,INDIRECT("Table!A" &amp; $X63):INDIRECT("Table!" &amp; $AA$171 &amp; $X63),0)))))</f>
        <v>0.41530452077540519</v>
      </c>
      <c r="N63" s="33">
        <f ca="1">IF(ISERROR(MATCH(N$1,INDIRECT("Table!A"&amp;$X63):INDIRECT("Table!" &amp; $AA$171 &amp; $X63),0)),"",INDIRECT(CONCATENATE("Table!",ADDRESS($T63,MATCH(N$1,INDIRECT("Table!A" &amp; $X63):INDIRECT("Table!" &amp; $AA$171 &amp; $X63),0)))))</f>
        <v>0.32491234779340616</v>
      </c>
      <c r="O63" s="33">
        <f ca="1">IF(ISERROR(MATCH(O$1,INDIRECT("Table!A"&amp;$X63):INDIRECT("Table!" &amp; $AA$171 &amp; $X63),0)),"",INDIRECT(CONCATENATE("Table!",ADDRESS($T63,MATCH(O$1,INDIRECT("Table!A" &amp; $X63):INDIRECT("Table!" &amp; $AA$171 &amp; $X63),0)))))</f>
        <v>0.4788865990830829</v>
      </c>
      <c r="P63" s="33">
        <f ca="1">IF(ISERROR(MATCH(P$1,INDIRECT("Table!A"&amp;$X63):INDIRECT("Table!" &amp; $AA$171 &amp; $X63),0)),"",INDIRECT(CONCATENATE("Table!",ADDRESS($T63,MATCH(P$1,INDIRECT("Table!A" &amp; $X63):INDIRECT("Table!" &amp; $AA$171 &amp; $X63),0)))))</f>
        <v>0.4236940332477559</v>
      </c>
      <c r="T63" s="31">
        <f>MATCH($A63,Table!$A:$A,0)+$V$2-1</f>
        <v>846</v>
      </c>
      <c r="U63" s="229"/>
      <c r="V63" s="229"/>
      <c r="W63" s="229"/>
      <c r="X63" s="31">
        <f>MATCH($A63,Table!$A:$A,0)+$Z$2-1</f>
        <v>843</v>
      </c>
      <c r="Y63" s="229"/>
      <c r="AA63" t="s">
        <v>209</v>
      </c>
    </row>
    <row r="64" spans="1:27" ht="15.75" customHeight="1">
      <c r="A64" s="5">
        <v>41115</v>
      </c>
      <c r="B64" s="33">
        <f ca="1">IF(ISERROR(MATCH(B$1,INDIRECT("Table!A"&amp;$X64):INDIRECT("Table!" &amp; $AA$171 &amp; $X64),0)),"",INDIRECT(CONCATENATE("Table!",ADDRESS($T64,MATCH(B$1,INDIRECT("Table!A" &amp; $X64):INDIRECT("Table!" &amp; $AA$171 &amp; $X64),0)))))</f>
        <v>0.80118860130827307</v>
      </c>
      <c r="C64" s="33">
        <f ca="1">IF(ISERROR(MATCH(C$1,INDIRECT("Table!A"&amp;$X64):INDIRECT("Table!" &amp; $AA$171 &amp; $X64),0)),"",INDIRECT(CONCATENATE("Table!",ADDRESS($T64,MATCH(C$1,INDIRECT("Table!A" &amp; $X64):INDIRECT("Table!" &amp; $AA$171 &amp; $X64),0)))))</f>
        <v>0.69194288870243548</v>
      </c>
      <c r="D64" s="33">
        <f ca="1">IF(ISERROR(MATCH(D$1,INDIRECT("Table!A"&amp;$X64):INDIRECT("Table!" &amp; $AA$171 &amp; $X64),0)),"",INDIRECT(CONCATENATE("Table!",ADDRESS($T64,MATCH(D$1,INDIRECT("Table!A" &amp; $X64):INDIRECT("Table!" &amp; $AA$171 &amp; $X64),0)))))</f>
        <v>0.70625201304097163</v>
      </c>
      <c r="E64" s="33">
        <f ca="1">IF(ISERROR(MATCH(E$1,INDIRECT("Table!A"&amp;$X64):INDIRECT("Table!" &amp; $AA$171 &amp; $X64),0)),"",INDIRECT(CONCATENATE("Table!",ADDRESS($T64,MATCH(E$1,INDIRECT("Table!A" &amp; $X64):INDIRECT("Table!" &amp; $AA$171 &amp; $X64),0)))))</f>
        <v>0.84795420603985316</v>
      </c>
      <c r="F64" s="33">
        <f ca="1">IF(ISERROR(MATCH(F$1,INDIRECT("Table!A"&amp;$X64):INDIRECT("Table!" &amp; $AA$171 &amp; $X64),0)),"",INDIRECT(CONCATENATE("Table!",ADDRESS($T64,MATCH(F$1,INDIRECT("Table!A" &amp; $X64):INDIRECT("Table!" &amp; $AA$171 &amp; $X64),0)))))</f>
        <v>0.25150537616684165</v>
      </c>
      <c r="G64" s="33">
        <f ca="1">IF(ISERROR(MATCH(G$1,INDIRECT("Table!A"&amp;$X64):INDIRECT("Table!" &amp; $AA$171 &amp; $X64),0)),"",INDIRECT(CONCATENATE("Table!",ADDRESS($T64,MATCH(G$1,INDIRECT("Table!A" &amp; $X64):INDIRECT("Table!" &amp; $AA$171 &amp; $X64),0)))))</f>
        <v>0.41873448173421196</v>
      </c>
      <c r="H64" s="33">
        <f ca="1">IF(ISERROR(MATCH(H$1,INDIRECT("Table!A"&amp;$X64):INDIRECT("Table!" &amp; $AA$171 &amp; $X64),0)),"",INDIRECT(CONCATENATE("Table!",ADDRESS($T64,MATCH(H$1,INDIRECT("Table!A" &amp; $X64):INDIRECT("Table!" &amp; $AA$171 &amp; $X64),0)))))</f>
        <v>0.19174445611125854</v>
      </c>
      <c r="I64" s="33" t="str">
        <f ca="1">IF(ISERROR(MATCH(I$1,INDIRECT("Table!A"&amp;$X64):INDIRECT("Table!" &amp; $AA$171 &amp; $X64),0)),"",INDIRECT(CONCATENATE("Table!",ADDRESS($T64,MATCH(I$1,INDIRECT("Table!A" &amp; $X64):INDIRECT("Table!" &amp; $AA$171 &amp; $X64),0)))))</f>
        <v/>
      </c>
      <c r="J64" s="33" t="str">
        <f ca="1">IF(ISERROR(MATCH(J$1,INDIRECT("Table!A"&amp;$X64):INDIRECT("Table!" &amp; $AA$171 &amp; $X64),0)),"",INDIRECT(CONCATENATE("Table!",ADDRESS($T64,MATCH(J$1,INDIRECT("Table!A" &amp; $X64):INDIRECT("Table!" &amp; $AA$171 &amp; $X64),0)))))</f>
        <v/>
      </c>
      <c r="K64" s="33" t="str">
        <f ca="1">IF(ISERROR(MATCH(K$1,INDIRECT("Table!A"&amp;$X64):INDIRECT("Table!" &amp; $AA$171 &amp; $X64),0)),"",INDIRECT(CONCATENATE("Table!",ADDRESS($T64,MATCH(K$1,INDIRECT("Table!A" &amp; $X64):INDIRECT("Table!" &amp; $AA$171 &amp; $X64),0)))))</f>
        <v/>
      </c>
      <c r="L64" s="33">
        <f ca="1">IF(ISERROR(MATCH(L$1,INDIRECT("Table!A"&amp;$X64):INDIRECT("Table!" &amp; $AA$171 &amp; $X64),0)),"",INDIRECT(CONCATENATE("Table!",ADDRESS($T64,MATCH(L$1,INDIRECT("Table!A" &amp; $X64):INDIRECT("Table!" &amp; $AA$171 &amp; $X64),0)))))</f>
        <v>0.8152737711706779</v>
      </c>
      <c r="M64" s="33">
        <f ca="1">IF(ISERROR(MATCH(M$1,INDIRECT("Table!A"&amp;$X64):INDIRECT("Table!" &amp; $AA$171 &amp; $X64),0)),"",INDIRECT(CONCATENATE("Table!",ADDRESS($T64,MATCH(M$1,INDIRECT("Table!A" &amp; $X64):INDIRECT("Table!" &amp; $AA$171 &amp; $X64),0)))))</f>
        <v>0.39346578653802777</v>
      </c>
      <c r="N64" s="33">
        <f ca="1">IF(ISERROR(MATCH(N$1,INDIRECT("Table!A"&amp;$X64):INDIRECT("Table!" &amp; $AA$171 &amp; $X64),0)),"",INDIRECT(CONCATENATE("Table!",ADDRESS($T64,MATCH(N$1,INDIRECT("Table!A" &amp; $X64):INDIRECT("Table!" &amp; $AA$171 &amp; $X64),0)))))</f>
        <v>0.32273649612055533</v>
      </c>
      <c r="O64" s="33">
        <f ca="1">IF(ISERROR(MATCH(O$1,INDIRECT("Table!A"&amp;$X64):INDIRECT("Table!" &amp; $AA$171 &amp; $X64),0)),"",INDIRECT(CONCATENATE("Table!",ADDRESS($T64,MATCH(O$1,INDIRECT("Table!A" &amp; $X64):INDIRECT("Table!" &amp; $AA$171 &amp; $X64),0)))))</f>
        <v>0.47870527819440656</v>
      </c>
      <c r="P64" s="33">
        <f ca="1">IF(ISERROR(MATCH(P$1,INDIRECT("Table!A"&amp;$X64):INDIRECT("Table!" &amp; $AA$171 &amp; $X64),0)),"",INDIRECT(CONCATENATE("Table!",ADDRESS($T64,MATCH(P$1,INDIRECT("Table!A" &amp; $X64):INDIRECT("Table!" &amp; $AA$171 &amp; $X64),0)))))</f>
        <v>0.43731177509513663</v>
      </c>
      <c r="T64" s="31">
        <f>MATCH($A64,Table!$A:$A,0)+$V$2-1</f>
        <v>859</v>
      </c>
      <c r="U64" s="228"/>
      <c r="V64" s="228"/>
      <c r="W64" s="228"/>
      <c r="X64" s="31">
        <f>MATCH($A64,Table!$A:$A,0)+$Z$2-1</f>
        <v>856</v>
      </c>
      <c r="Y64" s="228"/>
      <c r="AA64" t="s">
        <v>209</v>
      </c>
    </row>
    <row r="65" spans="1:27" ht="15.75" customHeight="1">
      <c r="A65" s="5">
        <v>41113</v>
      </c>
      <c r="B65" s="33">
        <f ca="1">IF(ISERROR(MATCH(B$1,INDIRECT("Table!A"&amp;$X65):INDIRECT("Table!" &amp; $AA$171 &amp; $X65),0)),"",INDIRECT(CONCATENATE("Table!",ADDRESS($T65,MATCH(B$1,INDIRECT("Table!A" &amp; $X65):INDIRECT("Table!" &amp; $AA$171 &amp; $X65),0)))))</f>
        <v>0.80034330079919314</v>
      </c>
      <c r="C65" s="33">
        <f ca="1">IF(ISERROR(MATCH(C$1,INDIRECT("Table!A"&amp;$X65):INDIRECT("Table!" &amp; $AA$171 &amp; $X65),0)),"",INDIRECT(CONCATENATE("Table!",ADDRESS($T65,MATCH(C$1,INDIRECT("Table!A" &amp; $X65):INDIRECT("Table!" &amp; $AA$171 &amp; $X65),0)))))</f>
        <v>0.69151882489900718</v>
      </c>
      <c r="D65" s="33">
        <f ca="1">IF(ISERROR(MATCH(D$1,INDIRECT("Table!A"&amp;$X65):INDIRECT("Table!" &amp; $AA$171 &amp; $X65),0)),"",INDIRECT(CONCATENATE("Table!",ADDRESS($T65,MATCH(D$1,INDIRECT("Table!A" &amp; $X65):INDIRECT("Table!" &amp; $AA$171 &amp; $X65),0)))))</f>
        <v>0.70586429756355151</v>
      </c>
      <c r="E65" s="33">
        <f ca="1">IF(ISERROR(MATCH(E$1,INDIRECT("Table!A"&amp;$X65):INDIRECT("Table!" &amp; $AA$171 &amp; $X65),0)),"",INDIRECT(CONCATENATE("Table!",ADDRESS($T65,MATCH(E$1,INDIRECT("Table!A" &amp; $X65):INDIRECT("Table!" &amp; $AA$171 &amp; $X65),0)))))</f>
        <v>0.84733496778532491</v>
      </c>
      <c r="F65" s="33">
        <f ca="1">IF(ISERROR(MATCH(F$1,INDIRECT("Table!A"&amp;$X65):INDIRECT("Table!" &amp; $AA$171 &amp; $X65),0)),"",INDIRECT(CONCATENATE("Table!",ADDRESS($T65,MATCH(F$1,INDIRECT("Table!A" &amp; $X65):INDIRECT("Table!" &amp; $AA$171 &amp; $X65),0)))))</f>
        <v>0.25116910818103744</v>
      </c>
      <c r="G65" s="33">
        <f ca="1">IF(ISERROR(MATCH(G$1,INDIRECT("Table!A"&amp;$X65):INDIRECT("Table!" &amp; $AA$171 &amp; $X65),0)),"",INDIRECT(CONCATENATE("Table!",ADDRESS($T65,MATCH(G$1,INDIRECT("Table!A" &amp; $X65):INDIRECT("Table!" &amp; $AA$171 &amp; $X65),0)))))</f>
        <v>0.42093031918227997</v>
      </c>
      <c r="H65" s="33">
        <f ca="1">IF(ISERROR(MATCH(H$1,INDIRECT("Table!A"&amp;$X65):INDIRECT("Table!" &amp; $AA$171 &amp; $X65),0)),"",INDIRECT(CONCATENATE("Table!",ADDRESS($T65,MATCH(H$1,INDIRECT("Table!A" &amp; $X65):INDIRECT("Table!" &amp; $AA$171 &amp; $X65),0)))))</f>
        <v>0.19159610258810963</v>
      </c>
      <c r="I65" s="33" t="str">
        <f ca="1">IF(ISERROR(MATCH(I$1,INDIRECT("Table!A"&amp;$X65):INDIRECT("Table!" &amp; $AA$171 &amp; $X65),0)),"",INDIRECT(CONCATENATE("Table!",ADDRESS($T65,MATCH(I$1,INDIRECT("Table!A" &amp; $X65):INDIRECT("Table!" &amp; $AA$171 &amp; $X65),0)))))</f>
        <v/>
      </c>
      <c r="J65" s="33" t="str">
        <f ca="1">IF(ISERROR(MATCH(J$1,INDIRECT("Table!A"&amp;$X65):INDIRECT("Table!" &amp; $AA$171 &amp; $X65),0)),"",INDIRECT(CONCATENATE("Table!",ADDRESS($T65,MATCH(J$1,INDIRECT("Table!A" &amp; $X65):INDIRECT("Table!" &amp; $AA$171 &amp; $X65),0)))))</f>
        <v/>
      </c>
      <c r="K65" s="33" t="str">
        <f ca="1">IF(ISERROR(MATCH(K$1,INDIRECT("Table!A"&amp;$X65):INDIRECT("Table!" &amp; $AA$171 &amp; $X65),0)),"",INDIRECT(CONCATENATE("Table!",ADDRESS($T65,MATCH(K$1,INDIRECT("Table!A" &amp; $X65):INDIRECT("Table!" &amp; $AA$171 &amp; $X65),0)))))</f>
        <v/>
      </c>
      <c r="L65" s="33">
        <f ca="1">IF(ISERROR(MATCH(L$1,INDIRECT("Table!A"&amp;$X65):INDIRECT("Table!" &amp; $AA$171 &amp; $X65),0)),"",INDIRECT(CONCATENATE("Table!",ADDRESS($T65,MATCH(L$1,INDIRECT("Table!A" &amp; $X65):INDIRECT("Table!" &amp; $AA$171 &amp; $X65),0)))))</f>
        <v>0.8135015055484196</v>
      </c>
      <c r="M65" s="33">
        <f ca="1">IF(ISERROR(MATCH(M$1,INDIRECT("Table!A"&amp;$X65):INDIRECT("Table!" &amp; $AA$171 &amp; $X65),0)),"",INDIRECT(CONCATENATE("Table!",ADDRESS($T65,MATCH(M$1,INDIRECT("Table!A" &amp; $X65):INDIRECT("Table!" &amp; $AA$171 &amp; $X65),0)))))</f>
        <v>0.39301699358672598</v>
      </c>
      <c r="N65" s="33">
        <f ca="1">IF(ISERROR(MATCH(N$1,INDIRECT("Table!A"&amp;$X65):INDIRECT("Table!" &amp; $AA$171 &amp; $X65),0)),"",INDIRECT(CONCATENATE("Table!",ADDRESS($T65,MATCH(N$1,INDIRECT("Table!A" &amp; $X65):INDIRECT("Table!" &amp; $AA$171 &amp; $X65),0)))))</f>
        <v>0.32154307444544628</v>
      </c>
      <c r="O65" s="33">
        <f ca="1">IF(ISERROR(MATCH(O$1,INDIRECT("Table!A"&amp;$X65):INDIRECT("Table!" &amp; $AA$171 &amp; $X65),0)),"",INDIRECT(CONCATENATE("Table!",ADDRESS($T65,MATCH(O$1,INDIRECT("Table!A" &amp; $X65):INDIRECT("Table!" &amp; $AA$171 &amp; $X65),0)))))</f>
        <v>0.47852452393350736</v>
      </c>
      <c r="P65" s="33">
        <f ca="1">IF(ISERROR(MATCH(P$1,INDIRECT("Table!A"&amp;$X65):INDIRECT("Table!" &amp; $AA$171 &amp; $X65),0)),"",INDIRECT(CONCATENATE("Table!",ADDRESS($T65,MATCH(P$1,INDIRECT("Table!A" &amp; $X65):INDIRECT("Table!" &amp; $AA$171 &amp; $X65),0)))))</f>
        <v>0.43731177509513663</v>
      </c>
      <c r="T65" s="31">
        <f>MATCH($A65,Table!$A:$A,0)+$V$2-1</f>
        <v>872</v>
      </c>
      <c r="U65" s="228"/>
      <c r="V65" s="228"/>
      <c r="W65" s="228"/>
      <c r="X65" s="31">
        <f>MATCH($A65,Table!$A:$A,0)+$Z$2-1</f>
        <v>869</v>
      </c>
      <c r="Y65" s="228"/>
      <c r="AA65" t="s">
        <v>209</v>
      </c>
    </row>
    <row r="66" spans="1:27" ht="15.75" customHeight="1">
      <c r="A66" s="5">
        <v>41110</v>
      </c>
      <c r="B66" s="33">
        <f ca="1">IF(ISERROR(MATCH(B$1,INDIRECT("Table!A"&amp;$X66):INDIRECT("Table!" &amp; $AA$171 &amp; $X66),0)),"",INDIRECT(CONCATENATE("Table!",ADDRESS($T66,MATCH(B$1,INDIRECT("Table!A" &amp; $X66):INDIRECT("Table!" &amp; $AA$171 &amp; $X66),0)))))</f>
        <v>0.80005836804332353</v>
      </c>
      <c r="C66" s="33">
        <f ca="1">IF(ISERROR(MATCH(C$1,INDIRECT("Table!A"&amp;$X66):INDIRECT("Table!" &amp; $AA$171 &amp; $X66),0)),"",INDIRECT(CONCATENATE("Table!",ADDRESS($T66,MATCH(C$1,INDIRECT("Table!A" &amp; $X66):INDIRECT("Table!" &amp; $AA$171 &amp; $X66),0)))))</f>
        <v>0.69121087380366042</v>
      </c>
      <c r="D66" s="33">
        <f ca="1">IF(ISERROR(MATCH(D$1,INDIRECT("Table!A"&amp;$X66):INDIRECT("Table!" &amp; $AA$171 &amp; $X66),0)),"",INDIRECT(CONCATENATE("Table!",ADDRESS($T66,MATCH(D$1,INDIRECT("Table!A" &amp; $X66):INDIRECT("Table!" &amp; $AA$171 &amp; $X66),0)))))</f>
        <v>0.70555634646820486</v>
      </c>
      <c r="E66" s="33">
        <f ca="1">IF(ISERROR(MATCH(E$1,INDIRECT("Table!A"&amp;$X66):INDIRECT("Table!" &amp; $AA$171 &amp; $X66),0)),"",INDIRECT(CONCATENATE("Table!",ADDRESS($T66,MATCH(E$1,INDIRECT("Table!A" &amp; $X66):INDIRECT("Table!" &amp; $AA$171 &amp; $X66),0)))))</f>
        <v>0.84621242674361996</v>
      </c>
      <c r="F66" s="33">
        <f ca="1">IF(ISERROR(MATCH(F$1,INDIRECT("Table!A"&amp;$X66):INDIRECT("Table!" &amp; $AA$171 &amp; $X66),0)),"",INDIRECT(CONCATENATE("Table!",ADDRESS($T66,MATCH(F$1,INDIRECT("Table!A" &amp; $X66):INDIRECT("Table!" &amp; $AA$171 &amp; $X66),0)))))</f>
        <v>0.25094245696511547</v>
      </c>
      <c r="G66" s="33">
        <f ca="1">IF(ISERROR(MATCH(G$1,INDIRECT("Table!A"&amp;$X66):INDIRECT("Table!" &amp; $AA$171 &amp; $X66),0)),"",INDIRECT(CONCATENATE("Table!",ADDRESS($T66,MATCH(G$1,INDIRECT("Table!A" &amp; $X66):INDIRECT("Table!" &amp; $AA$171 &amp; $X66),0)))))</f>
        <v>0.42125374414360067</v>
      </c>
      <c r="H66" s="33">
        <f ca="1">IF(ISERROR(MATCH(H$1,INDIRECT("Table!A"&amp;$X66):INDIRECT("Table!" &amp; $AA$171 &amp; $X66),0)),"",INDIRECT(CONCATENATE("Table!",ADDRESS($T66,MATCH(H$1,INDIRECT("Table!A" &amp; $X66):INDIRECT("Table!" &amp; $AA$171 &amp; $X66),0)))))</f>
        <v>0.19072988285016787</v>
      </c>
      <c r="I66" s="33" t="str">
        <f ca="1">IF(ISERROR(MATCH(I$1,INDIRECT("Table!A"&amp;$X66):INDIRECT("Table!" &amp; $AA$171 &amp; $X66),0)),"",INDIRECT(CONCATENATE("Table!",ADDRESS($T66,MATCH(I$1,INDIRECT("Table!A" &amp; $X66):INDIRECT("Table!" &amp; $AA$171 &amp; $X66),0)))))</f>
        <v/>
      </c>
      <c r="J66" s="33" t="str">
        <f ca="1">IF(ISERROR(MATCH(J$1,INDIRECT("Table!A"&amp;$X66):INDIRECT("Table!" &amp; $AA$171 &amp; $X66),0)),"",INDIRECT(CONCATENATE("Table!",ADDRESS($T66,MATCH(J$1,INDIRECT("Table!A" &amp; $X66):INDIRECT("Table!" &amp; $AA$171 &amp; $X66),0)))))</f>
        <v/>
      </c>
      <c r="K66" s="33" t="str">
        <f ca="1">IF(ISERROR(MATCH(K$1,INDIRECT("Table!A"&amp;$X66):INDIRECT("Table!" &amp; $AA$171 &amp; $X66),0)),"",INDIRECT(CONCATENATE("Table!",ADDRESS($T66,MATCH(K$1,INDIRECT("Table!A" &amp; $X66):INDIRECT("Table!" &amp; $AA$171 &amp; $X66),0)))))</f>
        <v/>
      </c>
      <c r="L66" s="33">
        <f ca="1">IF(ISERROR(MATCH(L$1,INDIRECT("Table!A"&amp;$X66):INDIRECT("Table!" &amp; $AA$171 &amp; $X66),0)),"",INDIRECT(CONCATENATE("Table!",ADDRESS($T66,MATCH(L$1,INDIRECT("Table!A" &amp; $X66):INDIRECT("Table!" &amp; $AA$171 &amp; $X66),0)))))</f>
        <v>0.81146076800516587</v>
      </c>
      <c r="M66" s="33">
        <f ca="1">IF(ISERROR(MATCH(M$1,INDIRECT("Table!A"&amp;$X66):INDIRECT("Table!" &amp; $AA$171 &amp; $X66),0)),"",INDIRECT(CONCATENATE("Table!",ADDRESS($T66,MATCH(M$1,INDIRECT("Table!A" &amp; $X66):INDIRECT("Table!" &amp; $AA$171 &amp; $X66),0)))))</f>
        <v>0.39256441654645874</v>
      </c>
      <c r="N66" s="33">
        <f ca="1">IF(ISERROR(MATCH(N$1,INDIRECT("Table!A"&amp;$X66):INDIRECT("Table!" &amp; $AA$171 &amp; $X66),0)),"",INDIRECT(CONCATENATE("Table!",ADDRESS($T66,MATCH(N$1,INDIRECT("Table!A" &amp; $X66):INDIRECT("Table!" &amp; $AA$171 &amp; $X66),0)))))</f>
        <v>0.32091504453078251</v>
      </c>
      <c r="O66" s="33">
        <f ca="1">IF(ISERROR(MATCH(O$1,INDIRECT("Table!A"&amp;$X66):INDIRECT("Table!" &amp; $AA$171 &amp; $X66),0)),"",INDIRECT(CONCATENATE("Table!",ADDRESS($T66,MATCH(O$1,INDIRECT("Table!A" &amp; $X66):INDIRECT("Table!" &amp; $AA$171 &amp; $X66),0)))))</f>
        <v>0.47778904107881393</v>
      </c>
      <c r="P66" s="33">
        <f ca="1">IF(ISERROR(MATCH(P$1,INDIRECT("Table!A"&amp;$X66):INDIRECT("Table!" &amp; $AA$171 &amp; $X66),0)),"",INDIRECT(CONCATENATE("Table!",ADDRESS($T66,MATCH(P$1,INDIRECT("Table!A" &amp; $X66):INDIRECT("Table!" &amp; $AA$171 &amp; $X66),0)))))</f>
        <v>0.43730813350084669</v>
      </c>
      <c r="T66" s="31">
        <f>MATCH($A66,Table!$A:$A,0)+$V$2-1</f>
        <v>885</v>
      </c>
      <c r="U66" s="227"/>
      <c r="V66" s="227"/>
      <c r="W66" s="227"/>
      <c r="X66" s="31">
        <f>MATCH($A66,Table!$A:$A,0)+$Z$2-1</f>
        <v>882</v>
      </c>
      <c r="Y66" s="227"/>
      <c r="AA66" t="s">
        <v>209</v>
      </c>
    </row>
    <row r="67" spans="1:27" ht="15.75" customHeight="1">
      <c r="A67" s="5">
        <v>41109</v>
      </c>
      <c r="B67" s="33">
        <f ca="1">IF(ISERROR(MATCH(B$1,INDIRECT("Table!A"&amp;$X67):INDIRECT("Table!" &amp; $AA$171 &amp; $X67),0)),"",INDIRECT(CONCATENATE("Table!",ADDRESS($T67,MATCH(B$1,INDIRECT("Table!A" &amp; $X67):INDIRECT("Table!" &amp; $AA$171 &amp; $X67),0)))))</f>
        <v>0.80000310835733679</v>
      </c>
      <c r="C67" s="33">
        <f ca="1">IF(ISERROR(MATCH(C$1,INDIRECT("Table!A"&amp;$X67):INDIRECT("Table!" &amp; $AA$171 &amp; $X67),0)),"",INDIRECT(CONCATENATE("Table!",ADDRESS($T67,MATCH(C$1,INDIRECT("Table!A" &amp; $X67):INDIRECT("Table!" &amp; $AA$171 &amp; $X67),0)))))</f>
        <v>0.7030048959175782</v>
      </c>
      <c r="D67" s="33">
        <f ca="1">IF(ISERROR(MATCH(D$1,INDIRECT("Table!A"&amp;$X67):INDIRECT("Table!" &amp; $AA$171 &amp; $X67),0)),"",INDIRECT(CONCATENATE("Table!",ADDRESS($T67,MATCH(D$1,INDIRECT("Table!A" &amp; $X67):INDIRECT("Table!" &amp; $AA$171 &amp; $X67),0)))))</f>
        <v>0.71734834923067758</v>
      </c>
      <c r="E67" s="33">
        <f ca="1">IF(ISERROR(MATCH(E$1,INDIRECT("Table!A"&amp;$X67):INDIRECT("Table!" &amp; $AA$171 &amp; $X67),0)),"",INDIRECT(CONCATENATE("Table!",ADDRESS($T67,MATCH(E$1,INDIRECT("Table!A" &amp; $X67):INDIRECT("Table!" &amp; $AA$171 &amp; $X67),0)))))</f>
        <v>0.84567285978182161</v>
      </c>
      <c r="F67" s="33">
        <f ca="1">IF(ISERROR(MATCH(F$1,INDIRECT("Table!A"&amp;$X67):INDIRECT("Table!" &amp; $AA$171 &amp; $X67),0)),"",INDIRECT(CONCATENATE("Table!",ADDRESS($T67,MATCH(F$1,INDIRECT("Table!A" &amp; $X67):INDIRECT("Table!" &amp; $AA$171 &amp; $X67),0)))))</f>
        <v>0.2407332620137507</v>
      </c>
      <c r="G67" s="33">
        <f ca="1">IF(ISERROR(MATCH(G$1,INDIRECT("Table!A"&amp;$X67):INDIRECT("Table!" &amp; $AA$171 &amp; $X67),0)),"",INDIRECT(CONCATENATE("Table!",ADDRESS($T67,MATCH(G$1,INDIRECT("Table!A" &amp; $X67):INDIRECT("Table!" &amp; $AA$171 &amp; $X67),0)))))</f>
        <v>0.41863000456974037</v>
      </c>
      <c r="H67" s="33">
        <f ca="1">IF(ISERROR(MATCH(H$1,INDIRECT("Table!A"&amp;$X67):INDIRECT("Table!" &amp; $AA$171 &amp; $X67),0)),"",INDIRECT(CONCATENATE("Table!",ADDRESS($T67,MATCH(H$1,INDIRECT("Table!A" &amp; $X67):INDIRECT("Table!" &amp; $AA$171 &amp; $X67),0)))))</f>
        <v>0.19034746043493955</v>
      </c>
      <c r="I67" s="33" t="str">
        <f ca="1">IF(ISERROR(MATCH(I$1,INDIRECT("Table!A"&amp;$X67):INDIRECT("Table!" &amp; $AA$171 &amp; $X67),0)),"",INDIRECT(CONCATENATE("Table!",ADDRESS($T67,MATCH(I$1,INDIRECT("Table!A" &amp; $X67):INDIRECT("Table!" &amp; $AA$171 &amp; $X67),0)))))</f>
        <v/>
      </c>
      <c r="J67" s="33" t="str">
        <f ca="1">IF(ISERROR(MATCH(J$1,INDIRECT("Table!A"&amp;$X67):INDIRECT("Table!" &amp; $AA$171 &amp; $X67),0)),"",INDIRECT(CONCATENATE("Table!",ADDRESS($T67,MATCH(J$1,INDIRECT("Table!A" &amp; $X67):INDIRECT("Table!" &amp; $AA$171 &amp; $X67),0)))))</f>
        <v/>
      </c>
      <c r="K67" s="33" t="str">
        <f ca="1">IF(ISERROR(MATCH(K$1,INDIRECT("Table!A"&amp;$X67):INDIRECT("Table!" &amp; $AA$171 &amp; $X67),0)),"",INDIRECT(CONCATENATE("Table!",ADDRESS($T67,MATCH(K$1,INDIRECT("Table!A" &amp; $X67):INDIRECT("Table!" &amp; $AA$171 &amp; $X67),0)))))</f>
        <v/>
      </c>
      <c r="L67" s="33">
        <f ca="1">IF(ISERROR(MATCH(L$1,INDIRECT("Table!A"&amp;$X67):INDIRECT("Table!" &amp; $AA$171 &amp; $X67),0)),"",INDIRECT(CONCATENATE("Table!",ADDRESS($T67,MATCH(L$1,INDIRECT("Table!A" &amp; $X67):INDIRECT("Table!" &amp; $AA$171 &amp; $X67),0)))))</f>
        <v>0.81098757893308437</v>
      </c>
      <c r="M67" s="33">
        <f ca="1">IF(ISERROR(MATCH(M$1,INDIRECT("Table!A"&amp;$X67):INDIRECT("Table!" &amp; $AA$171 &amp; $X67),0)),"",INDIRECT(CONCATENATE("Table!",ADDRESS($T67,MATCH(M$1,INDIRECT("Table!A" &amp; $X67):INDIRECT("Table!" &amp; $AA$171 &amp; $X67),0)))))</f>
        <v>0.3916547215591657</v>
      </c>
      <c r="N67" s="33">
        <f ca="1">IF(ISERROR(MATCH(N$1,INDIRECT("Table!A"&amp;$X67):INDIRECT("Table!" &amp; $AA$171 &amp; $X67),0)),"",INDIRECT(CONCATENATE("Table!",ADDRESS($T67,MATCH(N$1,INDIRECT("Table!A" &amp; $X67):INDIRECT("Table!" &amp; $AA$171 &amp; $X67),0)))))</f>
        <v>0.31991942755320535</v>
      </c>
      <c r="O67" s="33">
        <f ca="1">IF(ISERROR(MATCH(O$1,INDIRECT("Table!A"&amp;$X67):INDIRECT("Table!" &amp; $AA$171 &amp; $X67),0)),"",INDIRECT(CONCATENATE("Table!",ADDRESS($T67,MATCH(O$1,INDIRECT("Table!A" &amp; $X67):INDIRECT("Table!" &amp; $AA$171 &amp; $X67),0)))))</f>
        <v>0.47729154189050821</v>
      </c>
      <c r="P67" s="33">
        <f ca="1">IF(ISERROR(MATCH(P$1,INDIRECT("Table!A"&amp;$X67):INDIRECT("Table!" &amp; $AA$171 &amp; $X67),0)),"",INDIRECT(CONCATENATE("Table!",ADDRESS($T67,MATCH(P$1,INDIRECT("Table!A" &amp; $X67):INDIRECT("Table!" &amp; $AA$171 &amp; $X67),0)))))</f>
        <v>0.43730267110941168</v>
      </c>
      <c r="T67" s="31">
        <f>MATCH($A67,Table!$A:$A,0)+$V$2-1</f>
        <v>898</v>
      </c>
      <c r="U67" s="226"/>
      <c r="V67" s="226"/>
      <c r="W67" s="226"/>
      <c r="X67" s="31">
        <f>MATCH($A67,Table!$A:$A,0)+$Z$2-1</f>
        <v>895</v>
      </c>
      <c r="Y67" s="226"/>
      <c r="AA67" t="s">
        <v>209</v>
      </c>
    </row>
    <row r="68" spans="1:27" ht="15.75" customHeight="1">
      <c r="A68" s="5">
        <v>41108</v>
      </c>
      <c r="B68" s="33">
        <f ca="1">IF(ISERROR(MATCH(B$1,INDIRECT("Table!A"&amp;$X68):INDIRECT("Table!" &amp; $AA$171 &amp; $X68),0)),"",INDIRECT(CONCATENATE("Table!",ADDRESS($T68,MATCH(B$1,INDIRECT("Table!A" &amp; $X68):INDIRECT("Table!" &amp; $AA$171 &amp; $X68),0)))))</f>
        <v>0.80001260611586567</v>
      </c>
      <c r="C68" s="33">
        <f ca="1">IF(ISERROR(MATCH(C$1,INDIRECT("Table!A"&amp;$X68):INDIRECT("Table!" &amp; $AA$171 &amp; $X68),0)),"",INDIRECT(CONCATENATE("Table!",ADDRESS($T68,MATCH(C$1,INDIRECT("Table!A" &amp; $X68):INDIRECT("Table!" &amp; $AA$171 &amp; $X68),0)))))</f>
        <v>0.70258184178987226</v>
      </c>
      <c r="D68" s="33">
        <f ca="1">IF(ISERROR(MATCH(D$1,INDIRECT("Table!A"&amp;$X68):INDIRECT("Table!" &amp; $AA$171 &amp; $X68),0)),"",INDIRECT(CONCATENATE("Table!",ADDRESS($T68,MATCH(D$1,INDIRECT("Table!A" &amp; $X68):INDIRECT("Table!" &amp; $AA$171 &amp; $X68),0)))))</f>
        <v>0.71689500483129831</v>
      </c>
      <c r="E68" s="33">
        <f ca="1">IF(ISERROR(MATCH(E$1,INDIRECT("Table!A"&amp;$X68):INDIRECT("Table!" &amp; $AA$171 &amp; $X68),0)),"",INDIRECT(CONCATENATE("Table!",ADDRESS($T68,MATCH(E$1,INDIRECT("Table!A" &amp; $X68):INDIRECT("Table!" &amp; $AA$171 &amp; $X68),0)))))</f>
        <v>0.8445343844815707</v>
      </c>
      <c r="F68" s="33">
        <f ca="1">IF(ISERROR(MATCH(F$1,INDIRECT("Table!A"&amp;$X68):INDIRECT("Table!" &amp; $AA$171 &amp; $X68),0)),"",INDIRECT(CONCATENATE("Table!",ADDRESS($T68,MATCH(F$1,INDIRECT("Table!A" &amp; $X68):INDIRECT("Table!" &amp; $AA$171 &amp; $X68),0)))))</f>
        <v>0.24027831120942739</v>
      </c>
      <c r="G68" s="33">
        <f ca="1">IF(ISERROR(MATCH(G$1,INDIRECT("Table!A"&amp;$X68):INDIRECT("Table!" &amp; $AA$171 &amp; $X68),0)),"",INDIRECT(CONCATENATE("Table!",ADDRESS($T68,MATCH(G$1,INDIRECT("Table!A" &amp; $X68):INDIRECT("Table!" &amp; $AA$171 &amp; $X68),0)))))</f>
        <v>0.41845648162700932</v>
      </c>
      <c r="H68" s="33">
        <f ca="1">IF(ISERROR(MATCH(H$1,INDIRECT("Table!A"&amp;$X68):INDIRECT("Table!" &amp; $AA$171 &amp; $X68),0)),"",INDIRECT(CONCATENATE("Table!",ADDRESS($T68,MATCH(H$1,INDIRECT("Table!A" &amp; $X68):INDIRECT("Table!" &amp; $AA$171 &amp; $X68),0)))))</f>
        <v>0.18994196080499917</v>
      </c>
      <c r="I68" s="33" t="str">
        <f ca="1">IF(ISERROR(MATCH(I$1,INDIRECT("Table!A"&amp;$X68):INDIRECT("Table!" &amp; $AA$171 &amp; $X68),0)),"",INDIRECT(CONCATENATE("Table!",ADDRESS($T68,MATCH(I$1,INDIRECT("Table!A" &amp; $X68):INDIRECT("Table!" &amp; $AA$171 &amp; $X68),0)))))</f>
        <v/>
      </c>
      <c r="J68" s="33" t="str">
        <f ca="1">IF(ISERROR(MATCH(J$1,INDIRECT("Table!A"&amp;$X68):INDIRECT("Table!" &amp; $AA$171 &amp; $X68),0)),"",INDIRECT(CONCATENATE("Table!",ADDRESS($T68,MATCH(J$1,INDIRECT("Table!A" &amp; $X68):INDIRECT("Table!" &amp; $AA$171 &amp; $X68),0)))))</f>
        <v/>
      </c>
      <c r="K68" s="33" t="str">
        <f ca="1">IF(ISERROR(MATCH(K$1,INDIRECT("Table!A"&amp;$X68):INDIRECT("Table!" &amp; $AA$171 &amp; $X68),0)),"",INDIRECT(CONCATENATE("Table!",ADDRESS($T68,MATCH(K$1,INDIRECT("Table!A" &amp; $X68):INDIRECT("Table!" &amp; $AA$171 &amp; $X68),0)))))</f>
        <v/>
      </c>
      <c r="L68" s="33">
        <f ca="1">IF(ISERROR(MATCH(L$1,INDIRECT("Table!A"&amp;$X68):INDIRECT("Table!" &amp; $AA$171 &amp; $X68),0)),"",INDIRECT(CONCATENATE("Table!",ADDRESS($T68,MATCH(L$1,INDIRECT("Table!A" &amp; $X68):INDIRECT("Table!" &amp; $AA$171 &amp; $X68),0)))))</f>
        <v>0.81010261593424715</v>
      </c>
      <c r="M68" s="33">
        <f ca="1">IF(ISERROR(MATCH(M$1,INDIRECT("Table!A"&amp;$X68):INDIRECT("Table!" &amp; $AA$171 &amp; $X68),0)),"",INDIRECT(CONCATENATE("Table!",ADDRESS($T68,MATCH(M$1,INDIRECT("Table!A" &amp; $X68):INDIRECT("Table!" &amp; $AA$171 &amp; $X68),0)))))</f>
        <v>0.38870388898391156</v>
      </c>
      <c r="N68" s="33">
        <f ca="1">IF(ISERROR(MATCH(N$1,INDIRECT("Table!A"&amp;$X68):INDIRECT("Table!" &amp; $AA$171 &amp; $X68),0)),"",INDIRECT(CONCATENATE("Table!",ADDRESS($T68,MATCH(N$1,INDIRECT("Table!A" &amp; $X68):INDIRECT("Table!" &amp; $AA$171 &amp; $X68),0)))))</f>
        <v>0.3192963427559799</v>
      </c>
      <c r="O68" s="33">
        <f ca="1">IF(ISERROR(MATCH(O$1,INDIRECT("Table!A"&amp;$X68):INDIRECT("Table!" &amp; $AA$171 &amp; $X68),0)),"",INDIRECT(CONCATENATE("Table!",ADDRESS($T68,MATCH(O$1,INDIRECT("Table!A" &amp; $X68):INDIRECT("Table!" &amp; $AA$171 &amp; $X68),0)))))</f>
        <v>0.47675267887447326</v>
      </c>
      <c r="P68" s="33">
        <f ca="1">IF(ISERROR(MATCH(P$1,INDIRECT("Table!A"&amp;$X68):INDIRECT("Table!" &amp; $AA$171 &amp; $X68),0)),"",INDIRECT(CONCATENATE("Table!",ADDRESS($T68,MATCH(P$1,INDIRECT("Table!A" &amp; $X68):INDIRECT("Table!" &amp; $AA$171 &amp; $X68),0)))))</f>
        <v>0.43729902951512173</v>
      </c>
      <c r="T68" s="31">
        <f>MATCH($A68,Table!$A:$A,0)+$V$2-1</f>
        <v>911</v>
      </c>
      <c r="U68" s="226"/>
      <c r="V68" s="226"/>
      <c r="W68" s="226"/>
      <c r="X68" s="31">
        <f>MATCH($A68,Table!$A:$A,0)+$Z$2-1</f>
        <v>908</v>
      </c>
      <c r="Y68" s="226"/>
      <c r="AA68" t="s">
        <v>209</v>
      </c>
    </row>
    <row r="69" spans="1:27" ht="15.75" customHeight="1">
      <c r="A69" s="5">
        <v>41106</v>
      </c>
      <c r="B69" s="33">
        <f ca="1">IF(ISERROR(MATCH(B$1,INDIRECT("Table!A"&amp;$X69):INDIRECT("Table!" &amp; $AA$171 &amp; $X69),0)),"",INDIRECT(CONCATENATE("Table!",ADDRESS($T69,MATCH(B$1,INDIRECT("Table!A" &amp; $X69):INDIRECT("Table!" &amp; $AA$171 &amp; $X69),0)))))</f>
        <v>0.7982529304902225</v>
      </c>
      <c r="C69" s="33">
        <f ca="1">IF(ISERROR(MATCH(C$1,INDIRECT("Table!A"&amp;$X69):INDIRECT("Table!" &amp; $AA$171 &amp; $X69),0)),"",INDIRECT(CONCATENATE("Table!",ADDRESS($T69,MATCH(C$1,INDIRECT("Table!A" &amp; $X69):INDIRECT("Table!" &amp; $AA$171 &amp; $X69),0)))))</f>
        <v>0.7023031712904767</v>
      </c>
      <c r="D69" s="33">
        <f ca="1">IF(ISERROR(MATCH(D$1,INDIRECT("Table!A"&amp;$X69):INDIRECT("Table!" &amp; $AA$171 &amp; $X69),0)),"",INDIRECT(CONCATENATE("Table!",ADDRESS($T69,MATCH(D$1,INDIRECT("Table!A" &amp; $X69):INDIRECT("Table!" &amp; $AA$171 &amp; $X69),0)))))</f>
        <v>0.71664763427929856</v>
      </c>
      <c r="E69" s="33">
        <f ca="1">IF(ISERROR(MATCH(E$1,INDIRECT("Table!A"&amp;$X69):INDIRECT("Table!" &amp; $AA$171 &amp; $X69),0)),"",INDIRECT(CONCATENATE("Table!",ADDRESS($T69,MATCH(E$1,INDIRECT("Table!A" &amp; $X69):INDIRECT("Table!" &amp; $AA$171 &amp; $X69),0)))))</f>
        <v>0.84150797427221657</v>
      </c>
      <c r="F69" s="33">
        <f ca="1">IF(ISERROR(MATCH(F$1,INDIRECT("Table!A"&amp;$X69):INDIRECT("Table!" &amp; $AA$171 &amp; $X69),0)),"",INDIRECT(CONCATENATE("Table!",ADDRESS($T69,MATCH(F$1,INDIRECT("Table!A" &amp; $X69):INDIRECT("Table!" &amp; $AA$171 &amp; $X69),0)))))</f>
        <v>0.23537687564183504</v>
      </c>
      <c r="G69" s="33">
        <f ca="1">IF(ISERROR(MATCH(G$1,INDIRECT("Table!A"&amp;$X69):INDIRECT("Table!" &amp; $AA$171 &amp; $X69),0)),"",INDIRECT(CONCATENATE("Table!",ADDRESS($T69,MATCH(G$1,INDIRECT("Table!A" &amp; $X69):INDIRECT("Table!" &amp; $AA$171 &amp; $X69),0)))))</f>
        <v>0.41415202245077992</v>
      </c>
      <c r="H69" s="33">
        <f ca="1">IF(ISERROR(MATCH(H$1,INDIRECT("Table!A"&amp;$X69):INDIRECT("Table!" &amp; $AA$171 &amp; $X69),0)),"",INDIRECT(CONCATENATE("Table!",ADDRESS($T69,MATCH(H$1,INDIRECT("Table!A" &amp; $X69):INDIRECT("Table!" &amp; $AA$171 &amp; $X69),0)))))</f>
        <v>0.18570317097413869</v>
      </c>
      <c r="I69" s="33" t="str">
        <f ca="1">IF(ISERROR(MATCH(I$1,INDIRECT("Table!A"&amp;$X69):INDIRECT("Table!" &amp; $AA$171 &amp; $X69),0)),"",INDIRECT(CONCATENATE("Table!",ADDRESS($T69,MATCH(I$1,INDIRECT("Table!A" &amp; $X69):INDIRECT("Table!" &amp; $AA$171 &amp; $X69),0)))))</f>
        <v/>
      </c>
      <c r="J69" s="33" t="str">
        <f ca="1">IF(ISERROR(MATCH(J$1,INDIRECT("Table!A"&amp;$X69):INDIRECT("Table!" &amp; $AA$171 &amp; $X69),0)),"",INDIRECT(CONCATENATE("Table!",ADDRESS($T69,MATCH(J$1,INDIRECT("Table!A" &amp; $X69):INDIRECT("Table!" &amp; $AA$171 &amp; $X69),0)))))</f>
        <v/>
      </c>
      <c r="K69" s="33" t="str">
        <f ca="1">IF(ISERROR(MATCH(K$1,INDIRECT("Table!A"&amp;$X69):INDIRECT("Table!" &amp; $AA$171 &amp; $X69),0)),"",INDIRECT(CONCATENATE("Table!",ADDRESS($T69,MATCH(K$1,INDIRECT("Table!A" &amp; $X69):INDIRECT("Table!" &amp; $AA$171 &amp; $X69),0)))))</f>
        <v/>
      </c>
      <c r="L69" s="33">
        <f ca="1">IF(ISERROR(MATCH(L$1,INDIRECT("Table!A"&amp;$X69):INDIRECT("Table!" &amp; $AA$171 &amp; $X69),0)),"",INDIRECT(CONCATENATE("Table!",ADDRESS($T69,MATCH(L$1,INDIRECT("Table!A" &amp; $X69):INDIRECT("Table!" &amp; $AA$171 &amp; $X69),0)))))</f>
        <v>0.80593749926886737</v>
      </c>
      <c r="M69" s="33">
        <f ca="1">IF(ISERROR(MATCH(M$1,INDIRECT("Table!A"&amp;$X69):INDIRECT("Table!" &amp; $AA$171 &amp; $X69),0)),"",INDIRECT(CONCATENATE("Table!",ADDRESS($T69,MATCH(M$1,INDIRECT("Table!A" &amp; $X69):INDIRECT("Table!" &amp; $AA$171 &amp; $X69),0)))))</f>
        <v>0.37558899344747154</v>
      </c>
      <c r="N69" s="33">
        <f ca="1">IF(ISERROR(MATCH(N$1,INDIRECT("Table!A"&amp;$X69):INDIRECT("Table!" &amp; $AA$171 &amp; $X69),0)),"",INDIRECT(CONCATENATE("Table!",ADDRESS($T69,MATCH(N$1,INDIRECT("Table!A" &amp; $X69):INDIRECT("Table!" &amp; $AA$171 &amp; $X69),0)))))</f>
        <v>0.31705620455643119</v>
      </c>
      <c r="O69" s="33">
        <f ca="1">IF(ISERROR(MATCH(O$1,INDIRECT("Table!A"&amp;$X69):INDIRECT("Table!" &amp; $AA$171 &amp; $X69),0)),"",INDIRECT(CONCATENATE("Table!",ADDRESS($T69,MATCH(O$1,INDIRECT("Table!A" &amp; $X69):INDIRECT("Table!" &amp; $AA$171 &amp; $X69),0)))))</f>
        <v>0.47060533412056815</v>
      </c>
      <c r="P69" s="33">
        <f ca="1">IF(ISERROR(MATCH(P$1,INDIRECT("Table!A"&amp;$X69):INDIRECT("Table!" &amp; $AA$171 &amp; $X69),0)),"",INDIRECT(CONCATENATE("Table!",ADDRESS($T69,MATCH(P$1,INDIRECT("Table!A" &amp; $X69):INDIRECT("Table!" &amp; $AA$171 &amp; $X69),0)))))</f>
        <v>0.43714790335208753</v>
      </c>
      <c r="T69" s="31">
        <f>MATCH($A69,Table!$A:$A,0)+$V$2-1</f>
        <v>924</v>
      </c>
      <c r="U69" s="220"/>
      <c r="V69" s="220"/>
      <c r="W69" s="220"/>
      <c r="X69" s="31">
        <f>MATCH($A69,Table!$A:$A,0)+$Z$2-1</f>
        <v>921</v>
      </c>
      <c r="Y69" s="220"/>
      <c r="AA69" t="s">
        <v>209</v>
      </c>
    </row>
    <row r="70" spans="1:27" ht="15.75" customHeight="1">
      <c r="A70" s="5">
        <v>41103</v>
      </c>
      <c r="B70" s="33">
        <f ca="1">IF(ISERROR(MATCH(B$1,INDIRECT("Table!A"&amp;$X70):INDIRECT("Table!" &amp; $AA$171 &amp; $X70),0)),"",INDIRECT(CONCATENATE("Table!",ADDRESS($T70,MATCH(B$1,INDIRECT("Table!A" &amp; $X70):INDIRECT("Table!" &amp; $AA$171 &amp; $X70),0)))))</f>
        <v>0.79747756802121972</v>
      </c>
      <c r="C70" s="33">
        <f ca="1">IF(ISERROR(MATCH(C$1,INDIRECT("Table!A"&amp;$X70):INDIRECT("Table!" &amp; $AA$171 &amp; $X70),0)),"",INDIRECT(CONCATENATE("Table!",ADDRESS($T70,MATCH(C$1,INDIRECT("Table!A" &amp; $X70):INDIRECT("Table!" &amp; $AA$171 &amp; $X70),0)))))</f>
        <v>0.70219917469106452</v>
      </c>
      <c r="D70" s="33">
        <f ca="1">IF(ISERROR(MATCH(D$1,INDIRECT("Table!A"&amp;$X70):INDIRECT("Table!" &amp; $AA$171 &amp; $X70),0)),"",INDIRECT(CONCATENATE("Table!",ADDRESS($T70,MATCH(D$1,INDIRECT("Table!A" &amp; $X70):INDIRECT("Table!" &amp; $AA$171 &amp; $X70),0)))))</f>
        <v>0.71654363767988638</v>
      </c>
      <c r="E70" s="33">
        <f ca="1">IF(ISERROR(MATCH(E$1,INDIRECT("Table!A"&amp;$X70):INDIRECT("Table!" &amp; $AA$171 &amp; $X70),0)),"",INDIRECT(CONCATENATE("Table!",ADDRESS($T70,MATCH(E$1,INDIRECT("Table!A" &amp; $X70):INDIRECT("Table!" &amp; $AA$171 &amp; $X70),0)))))</f>
        <v>0.83985520704096417</v>
      </c>
      <c r="F70" s="33">
        <f ca="1">IF(ISERROR(MATCH(F$1,INDIRECT("Table!A"&amp;$X70):INDIRECT("Table!" &amp; $AA$171 &amp; $X70),0)),"",INDIRECT(CONCATENATE("Table!",ADDRESS($T70,MATCH(F$1,INDIRECT("Table!A" &amp; $X70):INDIRECT("Table!" &amp; $AA$171 &amp; $X70),0)))))</f>
        <v>0.23537687564183504</v>
      </c>
      <c r="G70" s="33">
        <f ca="1">IF(ISERROR(MATCH(G$1,INDIRECT("Table!A"&amp;$X70):INDIRECT("Table!" &amp; $AA$171 &amp; $X70),0)),"",INDIRECT(CONCATENATE("Table!",ADDRESS($T70,MATCH(G$1,INDIRECT("Table!A" &amp; $X70):INDIRECT("Table!" &amp; $AA$171 &amp; $X70),0)))))</f>
        <v>0.41256215255664708</v>
      </c>
      <c r="H70" s="33">
        <f ca="1">IF(ISERROR(MATCH(H$1,INDIRECT("Table!A"&amp;$X70):INDIRECT("Table!" &amp; $AA$171 &amp; $X70),0)),"",INDIRECT(CONCATENATE("Table!",ADDRESS($T70,MATCH(H$1,INDIRECT("Table!A" &amp; $X70):INDIRECT("Table!" &amp; $AA$171 &amp; $X70),0)))))</f>
        <v>0.18199103615045684</v>
      </c>
      <c r="I70" s="33" t="str">
        <f ca="1">IF(ISERROR(MATCH(I$1,INDIRECT("Table!A"&amp;$X70):INDIRECT("Table!" &amp; $AA$171 &amp; $X70),0)),"",INDIRECT(CONCATENATE("Table!",ADDRESS($T70,MATCH(I$1,INDIRECT("Table!A" &amp; $X70):INDIRECT("Table!" &amp; $AA$171 &amp; $X70),0)))))</f>
        <v/>
      </c>
      <c r="J70" s="33" t="str">
        <f ca="1">IF(ISERROR(MATCH(J$1,INDIRECT("Table!A"&amp;$X70):INDIRECT("Table!" &amp; $AA$171 &amp; $X70),0)),"",INDIRECT(CONCATENATE("Table!",ADDRESS($T70,MATCH(J$1,INDIRECT("Table!A" &amp; $X70):INDIRECT("Table!" &amp; $AA$171 &amp; $X70),0)))))</f>
        <v/>
      </c>
      <c r="K70" s="33" t="str">
        <f ca="1">IF(ISERROR(MATCH(K$1,INDIRECT("Table!A"&amp;$X70):INDIRECT("Table!" &amp; $AA$171 &amp; $X70),0)),"",INDIRECT(CONCATENATE("Table!",ADDRESS($T70,MATCH(K$1,INDIRECT("Table!A" &amp; $X70):INDIRECT("Table!" &amp; $AA$171 &amp; $X70),0)))))</f>
        <v/>
      </c>
      <c r="L70" s="33">
        <f ca="1">IF(ISERROR(MATCH(L$1,INDIRECT("Table!A"&amp;$X70):INDIRECT("Table!" &amp; $AA$171 &amp; $X70),0)),"",INDIRECT(CONCATENATE("Table!",ADDRESS($T70,MATCH(L$1,INDIRECT("Table!A" &amp; $X70):INDIRECT("Table!" &amp; $AA$171 &amp; $X70),0)))))</f>
        <v>0.80348323308041991</v>
      </c>
      <c r="M70" s="33">
        <f ca="1">IF(ISERROR(MATCH(M$1,INDIRECT("Table!A"&amp;$X70):INDIRECT("Table!" &amp; $AA$171 &amp; $X70),0)),"",INDIRECT(CONCATENATE("Table!",ADDRESS($T70,MATCH(M$1,INDIRECT("Table!A" &amp; $X70):INDIRECT("Table!" &amp; $AA$171 &amp; $X70),0)))))</f>
        <v>0.37530140268609768</v>
      </c>
      <c r="N70" s="33">
        <f ca="1">IF(ISERROR(MATCH(N$1,INDIRECT("Table!A"&amp;$X70):INDIRECT("Table!" &amp; $AA$171 &amp; $X70),0)),"",INDIRECT(CONCATENATE("Table!",ADDRESS($T70,MATCH(N$1,INDIRECT("Table!A" &amp; $X70):INDIRECT("Table!" &amp; $AA$171 &amp; $X70),0)))))</f>
        <v>0.312328672285419</v>
      </c>
      <c r="O70" s="33">
        <f ca="1">IF(ISERROR(MATCH(O$1,INDIRECT("Table!A"&amp;$X70):INDIRECT("Table!" &amp; $AA$171 &amp; $X70),0)),"",INDIRECT(CONCATENATE("Table!",ADDRESS($T70,MATCH(O$1,INDIRECT("Table!A" &amp; $X70):INDIRECT("Table!" &amp; $AA$171 &amp; $X70),0)))))</f>
        <v>0.46583772800393464</v>
      </c>
      <c r="P70" s="33">
        <f ca="1">IF(ISERROR(MATCH(P$1,INDIRECT("Table!A"&amp;$X70):INDIRECT("Table!" &amp; $AA$171 &amp; $X70),0)),"",INDIRECT(CONCATENATE("Table!",ADDRESS($T70,MATCH(P$1,INDIRECT("Table!A" &amp; $X70):INDIRECT("Table!" &amp; $AA$171 &amp; $X70),0)))))</f>
        <v>0.4370168059576483</v>
      </c>
      <c r="T70" s="31">
        <f>MATCH($A70,Table!$A:$A,0)+$V$2-1</f>
        <v>937</v>
      </c>
      <c r="U70" s="219"/>
      <c r="V70" s="219"/>
      <c r="W70" s="219"/>
      <c r="X70" s="31">
        <f>MATCH($A70,Table!$A:$A,0)+$Z$2-1</f>
        <v>934</v>
      </c>
      <c r="Y70" s="219"/>
      <c r="AA70" t="s">
        <v>209</v>
      </c>
    </row>
    <row r="71" spans="1:27" ht="15.75" customHeight="1">
      <c r="A71" s="5">
        <v>41102</v>
      </c>
      <c r="B71" s="33">
        <f ca="1">IF(ISERROR(MATCH(B$1,INDIRECT("Table!A"&amp;$X71):INDIRECT("Table!" &amp; $AA$171 &amp; $X71),0)),"",INDIRECT(CONCATENATE("Table!",ADDRESS($T71,MATCH(B$1,INDIRECT("Table!A" &amp; $X71):INDIRECT("Table!" &amp; $AA$171 &amp; $X71),0)))))</f>
        <v>0.79740849341373621</v>
      </c>
      <c r="C71" s="33">
        <f ca="1">IF(ISERROR(MATCH(C$1,INDIRECT("Table!A"&amp;$X71):INDIRECT("Table!" &amp; $AA$171 &amp; $X71),0)),"",INDIRECT(CONCATENATE("Table!",ADDRESS($T71,MATCH(C$1,INDIRECT("Table!A" &amp; $X71):INDIRECT("Table!" &amp; $AA$171 &amp; $X71),0)))))</f>
        <v>0.70026463600685362</v>
      </c>
      <c r="D71" s="33">
        <f ca="1">IF(ISERROR(MATCH(D$1,INDIRECT("Table!A"&amp;$X71):INDIRECT("Table!" &amp; $AA$171 &amp; $X71),0)),"",INDIRECT(CONCATENATE("Table!",ADDRESS($T71,MATCH(D$1,INDIRECT("Table!A" &amp; $X71):INDIRECT("Table!" &amp; $AA$171 &amp; $X71),0)))))</f>
        <v>0.71594590965219707</v>
      </c>
      <c r="E71" s="33">
        <f ca="1">IF(ISERROR(MATCH(E$1,INDIRECT("Table!A"&amp;$X71):INDIRECT("Table!" &amp; $AA$171 &amp; $X71),0)),"",INDIRECT(CONCATENATE("Table!",ADDRESS($T71,MATCH(E$1,INDIRECT("Table!A" &amp; $X71):INDIRECT("Table!" &amp; $AA$171 &amp; $X71),0)))))</f>
        <v>0.836401868594016</v>
      </c>
      <c r="F71" s="33">
        <f ca="1">IF(ISERROR(MATCH(F$1,INDIRECT("Table!A"&amp;$X71):INDIRECT("Table!" &amp; $AA$171 &amp; $X71),0)),"",INDIRECT(CONCATENATE("Table!",ADDRESS($T71,MATCH(F$1,INDIRECT("Table!A" &amp; $X71):INDIRECT("Table!" &amp; $AA$171 &amp; $X71),0)))))</f>
        <v>0.23418345396672596</v>
      </c>
      <c r="G71" s="33">
        <f ca="1">IF(ISERROR(MATCH(G$1,INDIRECT("Table!A"&amp;$X71):INDIRECT("Table!" &amp; $AA$171 &amp; $X71),0)),"",INDIRECT(CONCATENATE("Table!",ADDRESS($T71,MATCH(G$1,INDIRECT("Table!A" &amp; $X71):INDIRECT("Table!" &amp; $AA$171 &amp; $X71),0)))))</f>
        <v>0.41127662918510538</v>
      </c>
      <c r="H71" s="33">
        <f ca="1">IF(ISERROR(MATCH(H$1,INDIRECT("Table!A"&amp;$X71):INDIRECT("Table!" &amp; $AA$171 &amp; $X71),0)),"",INDIRECT(CONCATENATE("Table!",ADDRESS($T71,MATCH(H$1,INDIRECT("Table!A" &amp; $X71):INDIRECT("Table!" &amp; $AA$171 &amp; $X71),0)))))</f>
        <v>0.17871984096502319</v>
      </c>
      <c r="I71" s="33" t="str">
        <f ca="1">IF(ISERROR(MATCH(I$1,INDIRECT("Table!A"&amp;$X71):INDIRECT("Table!" &amp; $AA$171 &amp; $X71),0)),"",INDIRECT(CONCATENATE("Table!",ADDRESS($T71,MATCH(I$1,INDIRECT("Table!A" &amp; $X71):INDIRECT("Table!" &amp; $AA$171 &amp; $X71),0)))))</f>
        <v/>
      </c>
      <c r="J71" s="33" t="str">
        <f ca="1">IF(ISERROR(MATCH(J$1,INDIRECT("Table!A"&amp;$X71):INDIRECT("Table!" &amp; $AA$171 &amp; $X71),0)),"",INDIRECT(CONCATENATE("Table!",ADDRESS($T71,MATCH(J$1,INDIRECT("Table!A" &amp; $X71):INDIRECT("Table!" &amp; $AA$171 &amp; $X71),0)))))</f>
        <v/>
      </c>
      <c r="K71" s="33" t="str">
        <f ca="1">IF(ISERROR(MATCH(K$1,INDIRECT("Table!A"&amp;$X71):INDIRECT("Table!" &amp; $AA$171 &amp; $X71),0)),"",INDIRECT(CONCATENATE("Table!",ADDRESS($T71,MATCH(K$1,INDIRECT("Table!A" &amp; $X71):INDIRECT("Table!" &amp; $AA$171 &amp; $X71),0)))))</f>
        <v/>
      </c>
      <c r="L71" s="33">
        <f ca="1">IF(ISERROR(MATCH(L$1,INDIRECT("Table!A"&amp;$X71):INDIRECT("Table!" &amp; $AA$171 &amp; $X71),0)),"",INDIRECT(CONCATENATE("Table!",ADDRESS($T71,MATCH(L$1,INDIRECT("Table!A" &amp; $X71):INDIRECT("Table!" &amp; $AA$171 &amp; $X71),0)))))</f>
        <v>0.80348323308041991</v>
      </c>
      <c r="M71" s="33">
        <f ca="1">IF(ISERROR(MATCH(M$1,INDIRECT("Table!A"&amp;$X71):INDIRECT("Table!" &amp; $AA$171 &amp; $X71),0)),"",INDIRECT(CONCATENATE("Table!",ADDRESS($T71,MATCH(M$1,INDIRECT("Table!A" &amp; $X71):INDIRECT("Table!" &amp; $AA$171 &amp; $X71),0)))))</f>
        <v>0.37530140268609768</v>
      </c>
      <c r="N71" s="33">
        <f ca="1">IF(ISERROR(MATCH(N$1,INDIRECT("Table!A"&amp;$X71):INDIRECT("Table!" &amp; $AA$171 &amp; $X71),0)),"",INDIRECT(CONCATENATE("Table!",ADDRESS($T71,MATCH(N$1,INDIRECT("Table!A" &amp; $X71):INDIRECT("Table!" &amp; $AA$171 &amp; $X71),0)))))</f>
        <v>0.312328672285419</v>
      </c>
      <c r="O71" s="33">
        <f ca="1">IF(ISERROR(MATCH(O$1,INDIRECT("Table!A"&amp;$X71):INDIRECT("Table!" &amp; $AA$171 &amp; $X71),0)),"",INDIRECT(CONCATENATE("Table!",ADDRESS($T71,MATCH(O$1,INDIRECT("Table!A" &amp; $X71):INDIRECT("Table!" &amp; $AA$171 &amp; $X71),0)))))</f>
        <v>0.46583772800393464</v>
      </c>
      <c r="P71" s="33">
        <f ca="1">IF(ISERROR(MATCH(P$1,INDIRECT("Table!A"&amp;$X71):INDIRECT("Table!" &amp; $AA$171 &amp; $X71),0)),"",INDIRECT(CONCATENATE("Table!",ADDRESS($T71,MATCH(P$1,INDIRECT("Table!A" &amp; $X71):INDIRECT("Table!" &amp; $AA$171 &amp; $X71),0)))))</f>
        <v>0.4370168059576483</v>
      </c>
      <c r="T71" s="31">
        <f>MATCH($A71,Table!$A:$A,0)+$V$2-1</f>
        <v>950</v>
      </c>
      <c r="U71" s="218"/>
      <c r="V71" s="218"/>
      <c r="W71" s="218"/>
      <c r="X71" s="31">
        <f>MATCH($A71,Table!$A:$A,0)+$Z$2-1</f>
        <v>947</v>
      </c>
      <c r="Y71" s="218"/>
      <c r="AA71" t="s">
        <v>209</v>
      </c>
    </row>
    <row r="72" spans="1:27" ht="15.75" customHeight="1">
      <c r="A72" s="5">
        <v>41101</v>
      </c>
      <c r="B72" s="33">
        <f ca="1">IF(ISERROR(MATCH(B$1,INDIRECT("Table!A"&amp;$X72):INDIRECT("Table!" &amp; $AA$171 &amp; $X72),0)),"",INDIRECT(CONCATENATE("Table!",ADDRESS($T72,MATCH(B$1,INDIRECT("Table!A" &amp; $X72):INDIRECT("Table!" &amp; $AA$171 &amp; $X72),0)))))</f>
        <v>0.7973791367055556</v>
      </c>
      <c r="C72" s="33">
        <f ca="1">IF(ISERROR(MATCH(C$1,INDIRECT("Table!A"&amp;$X72):INDIRECT("Table!" &amp; $AA$171 &amp; $X72),0)),"",INDIRECT(CONCATENATE("Table!",ADDRESS($T72,MATCH(C$1,INDIRECT("Table!A" &amp; $X72):INDIRECT("Table!" &amp; $AA$171 &amp; $X72),0)))))</f>
        <v>0.70007279761958852</v>
      </c>
      <c r="D72" s="33">
        <f ca="1">IF(ISERROR(MATCH(D$1,INDIRECT("Table!A"&amp;$X72):INDIRECT("Table!" &amp; $AA$171 &amp; $X72),0)),"",INDIRECT(CONCATENATE("Table!",ADDRESS($T72,MATCH(D$1,INDIRECT("Table!A" &amp; $X72):INDIRECT("Table!" &amp; $AA$171 &amp; $X72),0)))))</f>
        <v>0.71588835813601748</v>
      </c>
      <c r="E72" s="33">
        <f ca="1">IF(ISERROR(MATCH(E$1,INDIRECT("Table!A"&amp;$X72):INDIRECT("Table!" &amp; $AA$171 &amp; $X72),0)),"",INDIRECT(CONCATENATE("Table!",ADDRESS($T72,MATCH(E$1,INDIRECT("Table!A" &amp; $X72):INDIRECT("Table!" &amp; $AA$171 &amp; $X72),0)))))</f>
        <v>0.83570405796114022</v>
      </c>
      <c r="F72" s="33">
        <f ca="1">IF(ISERROR(MATCH(F$1,INDIRECT("Table!A"&amp;$X72):INDIRECT("Table!" &amp; $AA$171 &amp; $X72),0)),"",INDIRECT(CONCATENATE("Table!",ADDRESS($T72,MATCH(F$1,INDIRECT("Table!A" &amp; $X72):INDIRECT("Table!" &amp; $AA$171 &amp; $X72),0)))))</f>
        <v>0.2333617402857289</v>
      </c>
      <c r="G72" s="33">
        <f ca="1">IF(ISERROR(MATCH(G$1,INDIRECT("Table!A"&amp;$X72):INDIRECT("Table!" &amp; $AA$171 &amp; $X72),0)),"",INDIRECT(CONCATENATE("Table!",ADDRESS($T72,MATCH(G$1,INDIRECT("Table!A" &amp; $X72):INDIRECT("Table!" &amp; $AA$171 &amp; $X72),0)))))</f>
        <v>0.40456737823186484</v>
      </c>
      <c r="H72" s="33">
        <f ca="1">IF(ISERROR(MATCH(H$1,INDIRECT("Table!A"&amp;$X72):INDIRECT("Table!" &amp; $AA$171 &amp; $X72),0)),"",INDIRECT(CONCATENATE("Table!",ADDRESS($T72,MATCH(H$1,INDIRECT("Table!A" &amp; $X72):INDIRECT("Table!" &amp; $AA$171 &amp; $X72),0)))))</f>
        <v>0.17850802510141611</v>
      </c>
      <c r="I72" s="33" t="str">
        <f ca="1">IF(ISERROR(MATCH(I$1,INDIRECT("Table!A"&amp;$X72):INDIRECT("Table!" &amp; $AA$171 &amp; $X72),0)),"",INDIRECT(CONCATENATE("Table!",ADDRESS($T72,MATCH(I$1,INDIRECT("Table!A" &amp; $X72):INDIRECT("Table!" &amp; $AA$171 &amp; $X72),0)))))</f>
        <v/>
      </c>
      <c r="J72" s="33" t="str">
        <f ca="1">IF(ISERROR(MATCH(J$1,INDIRECT("Table!A"&amp;$X72):INDIRECT("Table!" &amp; $AA$171 &amp; $X72),0)),"",INDIRECT(CONCATENATE("Table!",ADDRESS($T72,MATCH(J$1,INDIRECT("Table!A" &amp; $X72):INDIRECT("Table!" &amp; $AA$171 &amp; $X72),0)))))</f>
        <v/>
      </c>
      <c r="K72" s="33" t="str">
        <f ca="1">IF(ISERROR(MATCH(K$1,INDIRECT("Table!A"&amp;$X72):INDIRECT("Table!" &amp; $AA$171 &amp; $X72),0)),"",INDIRECT(CONCATENATE("Table!",ADDRESS($T72,MATCH(K$1,INDIRECT("Table!A" &amp; $X72):INDIRECT("Table!" &amp; $AA$171 &amp; $X72),0)))))</f>
        <v/>
      </c>
      <c r="L72" s="33">
        <f ca="1">IF(ISERROR(MATCH(L$1,INDIRECT("Table!A"&amp;$X72):INDIRECT("Table!" &amp; $AA$171 &amp; $X72),0)),"",INDIRECT(CONCATENATE("Table!",ADDRESS($T72,MATCH(L$1,INDIRECT("Table!A" &amp; $X72):INDIRECT("Table!" &amp; $AA$171 &amp; $X72),0)))))</f>
        <v>0.80296559114124544</v>
      </c>
      <c r="M72" s="33">
        <f ca="1">IF(ISERROR(MATCH(M$1,INDIRECT("Table!A"&amp;$X72):INDIRECT("Table!" &amp; $AA$171 &amp; $X72),0)),"",INDIRECT(CONCATENATE("Table!",ADDRESS($T72,MATCH(M$1,INDIRECT("Table!A" &amp; $X72):INDIRECT("Table!" &amp; $AA$171 &amp; $X72),0)))))</f>
        <v>0.3742093146106702</v>
      </c>
      <c r="N72" s="33">
        <f ca="1">IF(ISERROR(MATCH(N$1,INDIRECT("Table!A"&amp;$X72):INDIRECT("Table!" &amp; $AA$171 &amp; $X72),0)),"",INDIRECT(CONCATENATE("Table!",ADDRESS($T72,MATCH(N$1,INDIRECT("Table!A" &amp; $X72):INDIRECT("Table!" &amp; $AA$171 &amp; $X72),0)))))</f>
        <v>0.31147646371355242</v>
      </c>
      <c r="O72" s="33">
        <f ca="1">IF(ISERROR(MATCH(O$1,INDIRECT("Table!A"&amp;$X72):INDIRECT("Table!" &amp; $AA$171 &amp; $X72),0)),"",INDIRECT(CONCATENATE("Table!",ADDRESS($T72,MATCH(O$1,INDIRECT("Table!A" &amp; $X72):INDIRECT("Table!" &amp; $AA$171 &amp; $X72),0)))))</f>
        <v>0.46549265168767245</v>
      </c>
      <c r="P72" s="33">
        <f ca="1">IF(ISERROR(MATCH(P$1,INDIRECT("Table!A"&amp;$X72):INDIRECT("Table!" &amp; $AA$171 &amp; $X72),0)),"",INDIRECT(CONCATENATE("Table!",ADDRESS($T72,MATCH(P$1,INDIRECT("Table!A" &amp; $X72):INDIRECT("Table!" &amp; $AA$171 &amp; $X72),0)))))</f>
        <v>0.4370168059576483</v>
      </c>
      <c r="T72" s="31">
        <f>MATCH($A72,Table!$A:$A,0)+$V$2-1</f>
        <v>963</v>
      </c>
      <c r="U72" s="217"/>
      <c r="V72" s="217"/>
      <c r="W72" s="217"/>
      <c r="X72" s="31">
        <f>MATCH($A72,Table!$A:$A,0)+$Z$2-1</f>
        <v>960</v>
      </c>
      <c r="Y72" s="217"/>
      <c r="AA72" t="s">
        <v>209</v>
      </c>
    </row>
    <row r="73" spans="1:27" ht="15.75" customHeight="1">
      <c r="A73" s="5">
        <v>41099</v>
      </c>
      <c r="B73" s="33">
        <f ca="1">IF(ISERROR(MATCH(B$1,INDIRECT("Table!A"&amp;$X73):INDIRECT("Table!" &amp; $AA$171 &amp; $X73),0)),"",INDIRECT(CONCATENATE("Table!",ADDRESS($T73,MATCH(B$1,INDIRECT("Table!A" &amp; $X73):INDIRECT("Table!" &amp; $AA$171 &amp; $X73),0)))))</f>
        <v>0.7971874546697888</v>
      </c>
      <c r="C73" s="33">
        <f ca="1">IF(ISERROR(MATCH(C$1,INDIRECT("Table!A"&amp;$X73):INDIRECT("Table!" &amp; $AA$171 &amp; $X73),0)),"",INDIRECT(CONCATENATE("Table!",ADDRESS($T73,MATCH(C$1,INDIRECT("Table!A" &amp; $X73):INDIRECT("Table!" &amp; $AA$171 &amp; $X73),0)))))</f>
        <v>0.69933573434220131</v>
      </c>
      <c r="D73" s="33">
        <f ca="1">IF(ISERROR(MATCH(D$1,INDIRECT("Table!A"&amp;$X73):INDIRECT("Table!" &amp; $AA$171 &amp; $X73),0)),"",INDIRECT(CONCATENATE("Table!",ADDRESS($T73,MATCH(D$1,INDIRECT("Table!A" &amp; $X73):INDIRECT("Table!" &amp; $AA$171 &amp; $X73),0)))))</f>
        <v>0.71521793345631179</v>
      </c>
      <c r="E73" s="33">
        <f ca="1">IF(ISERROR(MATCH(E$1,INDIRECT("Table!A"&amp;$X73):INDIRECT("Table!" &amp; $AA$171 &amp; $X73),0)),"",INDIRECT(CONCATENATE("Table!",ADDRESS($T73,MATCH(E$1,INDIRECT("Table!A" &amp; $X73):INDIRECT("Table!" &amp; $AA$171 &amp; $X73),0)))))</f>
        <v>0.83322161037111442</v>
      </c>
      <c r="F73" s="33">
        <f ca="1">IF(ISERROR(MATCH(F$1,INDIRECT("Table!A"&amp;$X73):INDIRECT("Table!" &amp; $AA$171 &amp; $X73),0)),"",INDIRECT(CONCATENATE("Table!",ADDRESS($T73,MATCH(F$1,INDIRECT("Table!A" &amp; $X73):INDIRECT("Table!" &amp; $AA$171 &amp; $X73),0)))))</f>
        <v>0.23154111288219575</v>
      </c>
      <c r="G73" s="33">
        <f ca="1">IF(ISERROR(MATCH(G$1,INDIRECT("Table!A"&amp;$X73):INDIRECT("Table!" &amp; $AA$171 &amp; $X73),0)),"",INDIRECT(CONCATENATE("Table!",ADDRESS($T73,MATCH(G$1,INDIRECT("Table!A" &amp; $X73):INDIRECT("Table!" &amp; $AA$171 &amp; $X73),0)))))</f>
        <v>0.40214259951904163</v>
      </c>
      <c r="H73" s="33">
        <f ca="1">IF(ISERROR(MATCH(H$1,INDIRECT("Table!A"&amp;$X73):INDIRECT("Table!" &amp; $AA$171 &amp; $X73),0)),"",INDIRECT(CONCATENATE("Table!",ADDRESS($T73,MATCH(H$1,INDIRECT("Table!A" &amp; $X73):INDIRECT("Table!" &amp; $AA$171 &amp; $X73),0)))))</f>
        <v>0.17801186498510696</v>
      </c>
      <c r="I73" s="33" t="str">
        <f ca="1">IF(ISERROR(MATCH(I$1,INDIRECT("Table!A"&amp;$X73):INDIRECT("Table!" &amp; $AA$171 &amp; $X73),0)),"",INDIRECT(CONCATENATE("Table!",ADDRESS($T73,MATCH(I$1,INDIRECT("Table!A" &amp; $X73):INDIRECT("Table!" &amp; $AA$171 &amp; $X73),0)))))</f>
        <v/>
      </c>
      <c r="J73" s="33" t="str">
        <f ca="1">IF(ISERROR(MATCH(J$1,INDIRECT("Table!A"&amp;$X73):INDIRECT("Table!" &amp; $AA$171 &amp; $X73),0)),"",INDIRECT(CONCATENATE("Table!",ADDRESS($T73,MATCH(J$1,INDIRECT("Table!A" &amp; $X73):INDIRECT("Table!" &amp; $AA$171 &amp; $X73),0)))))</f>
        <v/>
      </c>
      <c r="K73" s="33" t="str">
        <f ca="1">IF(ISERROR(MATCH(K$1,INDIRECT("Table!A"&amp;$X73):INDIRECT("Table!" &amp; $AA$171 &amp; $X73),0)),"",INDIRECT(CONCATENATE("Table!",ADDRESS($T73,MATCH(K$1,INDIRECT("Table!A" &amp; $X73):INDIRECT("Table!" &amp; $AA$171 &amp; $X73),0)))))</f>
        <v/>
      </c>
      <c r="L73" s="33">
        <f ca="1">IF(ISERROR(MATCH(L$1,INDIRECT("Table!A"&amp;$X73):INDIRECT("Table!" &amp; $AA$171 &amp; $X73),0)),"",INDIRECT(CONCATENATE("Table!",ADDRESS($T73,MATCH(L$1,INDIRECT("Table!A" &amp; $X73):INDIRECT("Table!" &amp; $AA$171 &amp; $X73),0)))))</f>
        <v>0.80111202356469879</v>
      </c>
      <c r="M73" s="33">
        <f ca="1">IF(ISERROR(MATCH(M$1,INDIRECT("Table!A"&amp;$X73):INDIRECT("Table!" &amp; $AA$171 &amp; $X73),0)),"",INDIRECT(CONCATENATE("Table!",ADDRESS($T73,MATCH(M$1,INDIRECT("Table!A" &amp; $X73):INDIRECT("Table!" &amp; $AA$171 &amp; $X73),0)))))</f>
        <v>0.37581149787863971</v>
      </c>
      <c r="N73" s="33">
        <f ca="1">IF(ISERROR(MATCH(N$1,INDIRECT("Table!A"&amp;$X73):INDIRECT("Table!" &amp; $AA$171 &amp; $X73),0)),"",INDIRECT(CONCATENATE("Table!",ADDRESS($T73,MATCH(N$1,INDIRECT("Table!A" &amp; $X73):INDIRECT("Table!" &amp; $AA$171 &amp; $X73),0)))))</f>
        <v>0.30953138418782217</v>
      </c>
      <c r="O73" s="33">
        <f ca="1">IF(ISERROR(MATCH(O$1,INDIRECT("Table!A"&amp;$X73):INDIRECT("Table!" &amp; $AA$171 &amp; $X73),0)),"",INDIRECT(CONCATENATE("Table!",ADDRESS($T73,MATCH(O$1,INDIRECT("Table!A" &amp; $X73):INDIRECT("Table!" &amp; $AA$171 &amp; $X73),0)))))</f>
        <v>0.46489825914948035</v>
      </c>
      <c r="P73" s="33">
        <f ca="1">IF(ISERROR(MATCH(P$1,INDIRECT("Table!A"&amp;$X73):INDIRECT("Table!" &amp; $AA$171 &amp; $X73),0)),"",INDIRECT(CONCATENATE("Table!",ADDRESS($T73,MATCH(P$1,INDIRECT("Table!A" &amp; $X73):INDIRECT("Table!" &amp; $AA$171 &amp; $X73),0)))))</f>
        <v>0.43694943646328366</v>
      </c>
      <c r="T73" s="31">
        <f>MATCH($A73,Table!$A:$A,0)+$V$2-1</f>
        <v>976</v>
      </c>
      <c r="U73" s="216"/>
      <c r="V73" s="216"/>
      <c r="W73" s="216"/>
      <c r="X73" s="31">
        <f>MATCH($A73,Table!$A:$A,0)+$Z$2-1</f>
        <v>973</v>
      </c>
      <c r="Y73" s="216"/>
      <c r="AA73" t="s">
        <v>209</v>
      </c>
    </row>
    <row r="74" spans="1:27" ht="15.75" customHeight="1">
      <c r="A74" s="5">
        <v>41095</v>
      </c>
      <c r="B74" s="33">
        <f ca="1">IF(ISERROR(MATCH(B$1,INDIRECT("Table!A"&amp;$X74):INDIRECT("Table!" &amp; $AA$171 &amp; $X74),0)),"",INDIRECT(CONCATENATE("Table!",ADDRESS($T74,MATCH(B$1,INDIRECT("Table!A" &amp; $X74):INDIRECT("Table!" &amp; $AA$171 &amp; $X74),0)))))</f>
        <v>0.79435280546518283</v>
      </c>
      <c r="C74" s="33">
        <f ca="1">IF(ISERROR(MATCH(C$1,INDIRECT("Table!A"&amp;$X74):INDIRECT("Table!" &amp; $AA$171 &amp; $X74),0)),"",INDIRECT(CONCATENATE("Table!",ADDRESS($T74,MATCH(C$1,INDIRECT("Table!A" &amp; $X74):INDIRECT("Table!" &amp; $AA$171 &amp; $X74),0)))))</f>
        <v>0.69908937346592392</v>
      </c>
      <c r="D74" s="33">
        <f ca="1">IF(ISERROR(MATCH(D$1,INDIRECT("Table!A"&amp;$X74):INDIRECT("Table!" &amp; $AA$171 &amp; $X74),0)),"",INDIRECT(CONCATENATE("Table!",ADDRESS($T74,MATCH(D$1,INDIRECT("Table!A" &amp; $X74):INDIRECT("Table!" &amp; $AA$171 &amp; $X74),0)))))</f>
        <v>0.71497157258003452</v>
      </c>
      <c r="E74" s="33">
        <f ca="1">IF(ISERROR(MATCH(E$1,INDIRECT("Table!A"&amp;$X74):INDIRECT("Table!" &amp; $AA$171 &amp; $X74),0)),"",INDIRECT(CONCATENATE("Table!",ADDRESS($T74,MATCH(E$1,INDIRECT("Table!A" &amp; $X74):INDIRECT("Table!" &amp; $AA$171 &amp; $X74),0)))))</f>
        <v>0.8322551151717219</v>
      </c>
      <c r="F74" s="33">
        <f ca="1">IF(ISERROR(MATCH(F$1,INDIRECT("Table!A"&amp;$X74):INDIRECT("Table!" &amp; $AA$171 &amp; $X74),0)),"",INDIRECT(CONCATENATE("Table!",ADDRESS($T74,MATCH(F$1,INDIRECT("Table!A" &amp; $X74):INDIRECT("Table!" &amp; $AA$171 &amp; $X74),0)))))</f>
        <v>0.21826264837412782</v>
      </c>
      <c r="G74" s="33">
        <f ca="1">IF(ISERROR(MATCH(G$1,INDIRECT("Table!A"&amp;$X74):INDIRECT("Table!" &amp; $AA$171 &amp; $X74),0)),"",INDIRECT(CONCATENATE("Table!",ADDRESS($T74,MATCH(G$1,INDIRECT("Table!A" &amp; $X74):INDIRECT("Table!" &amp; $AA$171 &amp; $X74),0)))))</f>
        <v>0.4016093117316954</v>
      </c>
      <c r="H74" s="33">
        <f ca="1">IF(ISERROR(MATCH(H$1,INDIRECT("Table!A"&amp;$X74):INDIRECT("Table!" &amp; $AA$171 &amp; $X74),0)),"",INDIRECT(CONCATENATE("Table!",ADDRESS($T74,MATCH(H$1,INDIRECT("Table!A" &amp; $X74):INDIRECT("Table!" &amp; $AA$171 &amp; $X74),0)))))</f>
        <v>0.17742504438242901</v>
      </c>
      <c r="I74" s="33" t="str">
        <f ca="1">IF(ISERROR(MATCH(I$1,INDIRECT("Table!A"&amp;$X74):INDIRECT("Table!" &amp; $AA$171 &amp; $X74),0)),"",INDIRECT(CONCATENATE("Table!",ADDRESS($T74,MATCH(I$1,INDIRECT("Table!A" &amp; $X74):INDIRECT("Table!" &amp; $AA$171 &amp; $X74),0)))))</f>
        <v/>
      </c>
      <c r="J74" s="33" t="str">
        <f ca="1">IF(ISERROR(MATCH(J$1,INDIRECT("Table!A"&amp;$X74):INDIRECT("Table!" &amp; $AA$171 &amp; $X74),0)),"",INDIRECT(CONCATENATE("Table!",ADDRESS($T74,MATCH(J$1,INDIRECT("Table!A" &amp; $X74):INDIRECT("Table!" &amp; $AA$171 &amp; $X74),0)))))</f>
        <v/>
      </c>
      <c r="K74" s="33" t="str">
        <f ca="1">IF(ISERROR(MATCH(K$1,INDIRECT("Table!A"&amp;$X74):INDIRECT("Table!" &amp; $AA$171 &amp; $X74),0)),"",INDIRECT(CONCATENATE("Table!",ADDRESS($T74,MATCH(K$1,INDIRECT("Table!A" &amp; $X74):INDIRECT("Table!" &amp; $AA$171 &amp; $X74),0)))))</f>
        <v/>
      </c>
      <c r="L74" s="33">
        <f ca="1">IF(ISERROR(MATCH(L$1,INDIRECT("Table!A"&amp;$X74):INDIRECT("Table!" &amp; $AA$171 &amp; $X74),0)),"",INDIRECT(CONCATENATE("Table!",ADDRESS($T74,MATCH(L$1,INDIRECT("Table!A" &amp; $X74):INDIRECT("Table!" &amp; $AA$171 &amp; $X74),0)))))</f>
        <v>0.80012353217802679</v>
      </c>
      <c r="M74" s="33">
        <f ca="1">IF(ISERROR(MATCH(M$1,INDIRECT("Table!A"&amp;$X74):INDIRECT("Table!" &amp; $AA$171 &amp; $X74),0)),"",INDIRECT(CONCATENATE("Table!",ADDRESS($T74,MATCH(M$1,INDIRECT("Table!A" &amp; $X74):INDIRECT("Table!" &amp; $AA$171 &amp; $X74),0)))))</f>
        <v>0.37601281141160137</v>
      </c>
      <c r="N74" s="33">
        <f ca="1">IF(ISERROR(MATCH(N$1,INDIRECT("Table!A"&amp;$X74):INDIRECT("Table!" &amp; $AA$171 &amp; $X74),0)),"",INDIRECT(CONCATENATE("Table!",ADDRESS($T74,MATCH(N$1,INDIRECT("Table!A" &amp; $X74):INDIRECT("Table!" &amp; $AA$171 &amp; $X74),0)))))</f>
        <v>0.29674660723734425</v>
      </c>
      <c r="O74" s="33">
        <f ca="1">IF(ISERROR(MATCH(O$1,INDIRECT("Table!A"&amp;$X74):INDIRECT("Table!" &amp; $AA$171 &amp; $X74),0)),"",INDIRECT(CONCATENATE("Table!",ADDRESS($T74,MATCH(O$1,INDIRECT("Table!A" &amp; $X74):INDIRECT("Table!" &amp; $AA$171 &amp; $X74),0)))))</f>
        <v>0.46394689111170673</v>
      </c>
      <c r="P74" s="33">
        <f ca="1">IF(ISERROR(MATCH(P$1,INDIRECT("Table!A"&amp;$X74):INDIRECT("Table!" &amp; $AA$171 &amp; $X74),0)),"",INDIRECT(CONCATENATE("Table!",ADDRESS($T74,MATCH(P$1,INDIRECT("Table!A" &amp; $X74):INDIRECT("Table!" &amp; $AA$171 &amp; $X74),0)))))</f>
        <v>0.43651062435134097</v>
      </c>
      <c r="T74" s="31">
        <f>MATCH($A74,Table!$A:$A,0)+$V$2-1</f>
        <v>989</v>
      </c>
      <c r="U74" s="215"/>
      <c r="V74" s="215"/>
      <c r="W74" s="215"/>
      <c r="X74" s="31">
        <f>MATCH($A74,Table!$A:$A,0)+$Z$2-1</f>
        <v>986</v>
      </c>
      <c r="Y74" s="215"/>
      <c r="AA74" t="s">
        <v>209</v>
      </c>
    </row>
    <row r="75" spans="1:27" ht="15.75" customHeight="1">
      <c r="A75" s="5">
        <v>41094</v>
      </c>
      <c r="B75" s="33">
        <f ca="1">IF(ISERROR(MATCH(B$1,INDIRECT("Table!A"&amp;$X75):INDIRECT("Table!" &amp; $AA$171 &amp; $X75),0)),"",INDIRECT(CONCATENATE("Table!",ADDRESS($T75,MATCH(B$1,INDIRECT("Table!A" &amp; $X75):INDIRECT("Table!" &amp; $AA$171 &amp; $X75),0)))))</f>
        <v>0.79428632115548004</v>
      </c>
      <c r="C75" s="33">
        <f ca="1">IF(ISERROR(MATCH(C$1,INDIRECT("Table!A"&amp;$X75):INDIRECT("Table!" &amp; $AA$171 &amp; $X75),0)),"",INDIRECT(CONCATENATE("Table!",ADDRESS($T75,MATCH(C$1,INDIRECT("Table!A" &amp; $X75):INDIRECT("Table!" &amp; $AA$171 &amp; $X75),0)))))</f>
        <v>0.69903182194974445</v>
      </c>
      <c r="D75" s="33">
        <f ca="1">IF(ISERROR(MATCH(D$1,INDIRECT("Table!A"&amp;$X75):INDIRECT("Table!" &amp; $AA$171 &amp; $X75),0)),"",INDIRECT(CONCATENATE("Table!",ADDRESS($T75,MATCH(D$1,INDIRECT("Table!A" &amp; $X75):INDIRECT("Table!" &amp; $AA$171 &amp; $X75),0)))))</f>
        <v>0.7149150307395773</v>
      </c>
      <c r="E75" s="33">
        <f ca="1">IF(ISERROR(MATCH(E$1,INDIRECT("Table!A"&amp;$X75):INDIRECT("Table!" &amp; $AA$171 &amp; $X75),0)),"",INDIRECT(CONCATENATE("Table!",ADDRESS($T75,MATCH(E$1,INDIRECT("Table!A" &amp; $X75):INDIRECT("Table!" &amp; $AA$171 &amp; $X75),0)))))</f>
        <v>0.83181664833311175</v>
      </c>
      <c r="F75" s="33">
        <f ca="1">IF(ISERROR(MATCH(F$1,INDIRECT("Table!A"&amp;$X75):INDIRECT("Table!" &amp; $AA$171 &amp; $X75),0)),"",INDIRECT(CONCATENATE("Table!",ADDRESS($T75,MATCH(F$1,INDIRECT("Table!A" &amp; $X75):INDIRECT("Table!" &amp; $AA$171 &amp; $X75),0)))))</f>
        <v>0.19653627490896861</v>
      </c>
      <c r="G75" s="33">
        <f ca="1">IF(ISERROR(MATCH(G$1,INDIRECT("Table!A"&amp;$X75):INDIRECT("Table!" &amp; $AA$171 &amp; $X75),0)),"",INDIRECT(CONCATENATE("Table!",ADDRESS($T75,MATCH(G$1,INDIRECT("Table!A" &amp; $X75):INDIRECT("Table!" &amp; $AA$171 &amp; $X75),0)))))</f>
        <v>0.4017664817269439</v>
      </c>
      <c r="H75" s="33">
        <f ca="1">IF(ISERROR(MATCH(H$1,INDIRECT("Table!A"&amp;$X75):INDIRECT("Table!" &amp; $AA$171 &amp; $X75),0)),"",INDIRECT(CONCATENATE("Table!",ADDRESS($T75,MATCH(H$1,INDIRECT("Table!A" &amp; $X75):INDIRECT("Table!" &amp; $AA$171 &amp; $X75),0)))))</f>
        <v>0.17707806197550849</v>
      </c>
      <c r="I75" s="33" t="str">
        <f ca="1">IF(ISERROR(MATCH(I$1,INDIRECT("Table!A"&amp;$X75):INDIRECT("Table!" &amp; $AA$171 &amp; $X75),0)),"",INDIRECT(CONCATENATE("Table!",ADDRESS($T75,MATCH(I$1,INDIRECT("Table!A" &amp; $X75):INDIRECT("Table!" &amp; $AA$171 &amp; $X75),0)))))</f>
        <v/>
      </c>
      <c r="J75" s="33" t="str">
        <f ca="1">IF(ISERROR(MATCH(J$1,INDIRECT("Table!A"&amp;$X75):INDIRECT("Table!" &amp; $AA$171 &amp; $X75),0)),"",INDIRECT(CONCATENATE("Table!",ADDRESS($T75,MATCH(J$1,INDIRECT("Table!A" &amp; $X75):INDIRECT("Table!" &amp; $AA$171 &amp; $X75),0)))))</f>
        <v/>
      </c>
      <c r="K75" s="33" t="str">
        <f ca="1">IF(ISERROR(MATCH(K$1,INDIRECT("Table!A"&amp;$X75):INDIRECT("Table!" &amp; $AA$171 &amp; $X75),0)),"",INDIRECT(CONCATENATE("Table!",ADDRESS($T75,MATCH(K$1,INDIRECT("Table!A" &amp; $X75):INDIRECT("Table!" &amp; $AA$171 &amp; $X75),0)))))</f>
        <v/>
      </c>
      <c r="L75" s="33">
        <f ca="1">IF(ISERROR(MATCH(L$1,INDIRECT("Table!A"&amp;$X75):INDIRECT("Table!" &amp; $AA$171 &amp; $X75),0)),"",INDIRECT(CONCATENATE("Table!",ADDRESS($T75,MATCH(L$1,INDIRECT("Table!A" &amp; $X75):INDIRECT("Table!" &amp; $AA$171 &amp; $X75),0)))))</f>
        <v>0.80001941888404582</v>
      </c>
      <c r="M75" s="33">
        <f ca="1">IF(ISERROR(MATCH(M$1,INDIRECT("Table!A"&amp;$X75):INDIRECT("Table!" &amp; $AA$171 &amp; $X75),0)),"",INDIRECT(CONCATENATE("Table!",ADDRESS($T75,MATCH(M$1,INDIRECT("Table!A" &amp; $X75):INDIRECT("Table!" &amp; $AA$171 &amp; $X75),0)))))</f>
        <v>0.37571840929008976</v>
      </c>
      <c r="N75" s="33">
        <f ca="1">IF(ISERROR(MATCH(N$1,INDIRECT("Table!A"&amp;$X75):INDIRECT("Table!" &amp; $AA$171 &amp; $X75),0)),"",INDIRECT(CONCATENATE("Table!",ADDRESS($T75,MATCH(N$1,INDIRECT("Table!A" &amp; $X75):INDIRECT("Table!" &amp; $AA$171 &amp; $X75),0)))))</f>
        <v>0.29522515943882804</v>
      </c>
      <c r="O75" s="33">
        <f ca="1">IF(ISERROR(MATCH(O$1,INDIRECT("Table!A"&amp;$X75):INDIRECT("Table!" &amp; $AA$171 &amp; $X75),0)),"",INDIRECT(CONCATENATE("Table!",ADDRESS($T75,MATCH(O$1,INDIRECT("Table!A" &amp; $X75):INDIRECT("Table!" &amp; $AA$171 &amp; $X75),0)))))</f>
        <v>0.46348055645114222</v>
      </c>
      <c r="P75" s="33">
        <f ca="1">IF(ISERROR(MATCH(P$1,INDIRECT("Table!A"&amp;$X75):INDIRECT("Table!" &amp; $AA$171 &amp; $X75),0)),"",INDIRECT(CONCATENATE("Table!",ADDRESS($T75,MATCH(P$1,INDIRECT("Table!A" &amp; $X75):INDIRECT("Table!" &amp; $AA$171 &amp; $X75),0)))))</f>
        <v>0.43651062435134097</v>
      </c>
      <c r="T75" s="31">
        <f>MATCH($A75,Table!$A:$A,0)+$V$2-1</f>
        <v>1002</v>
      </c>
      <c r="U75" s="214"/>
      <c r="V75" s="214"/>
      <c r="W75" s="214"/>
      <c r="X75" s="31">
        <f>MATCH($A75,Table!$A:$A,0)+$Z$2-1</f>
        <v>999</v>
      </c>
      <c r="Y75" s="214"/>
      <c r="AA75" t="s">
        <v>209</v>
      </c>
    </row>
    <row r="76" spans="1:27" ht="15.75" customHeight="1">
      <c r="A76" s="5">
        <v>41093</v>
      </c>
      <c r="B76" s="33">
        <f ca="1">IF(ISERROR(MATCH(B$1,INDIRECT("Table!A"&amp;$X76):INDIRECT("Table!" &amp; $AA$171 &amp; $X76),0)),"",INDIRECT(CONCATENATE("Table!",ADDRESS($T76,MATCH(B$1,INDIRECT("Table!A" &amp; $X76):INDIRECT("Table!" &amp; $AA$171 &amp; $X76),0)))))</f>
        <v>0.7941749383509128</v>
      </c>
      <c r="C76" s="33">
        <f ca="1">IF(ISERROR(MATCH(C$1,INDIRECT("Table!A"&amp;$X76):INDIRECT("Table!" &amp; $AA$171 &amp; $X76),0)),"",INDIRECT(CONCATENATE("Table!",ADDRESS($T76,MATCH(C$1,INDIRECT("Table!A" &amp; $X76):INDIRECT("Table!" &amp; $AA$171 &amp; $X76),0)))))</f>
        <v>0.69896518335206281</v>
      </c>
      <c r="D76" s="33">
        <f ca="1">IF(ISERROR(MATCH(D$1,INDIRECT("Table!A"&amp;$X76):INDIRECT("Table!" &amp; $AA$171 &amp; $X76),0)),"",INDIRECT(CONCATENATE("Table!",ADDRESS($T76,MATCH(D$1,INDIRECT("Table!A" &amp; $X76):INDIRECT("Table!" &amp; $AA$171 &amp; $X76),0)))))</f>
        <v>0.71486555662917739</v>
      </c>
      <c r="E76" s="33">
        <f ca="1">IF(ISERROR(MATCH(E$1,INDIRECT("Table!A"&amp;$X76):INDIRECT("Table!" &amp; $AA$171 &amp; $X76),0)),"",INDIRECT(CONCATENATE("Table!",ADDRESS($T76,MATCH(E$1,INDIRECT("Table!A" &amp; $X76):INDIRECT("Table!" &amp; $AA$171 &amp; $X76),0)))))</f>
        <v>0.83128312540041704</v>
      </c>
      <c r="F76" s="33">
        <f ca="1">IF(ISERROR(MATCH(F$1,INDIRECT("Table!A"&amp;$X76):INDIRECT("Table!" &amp; $AA$171 &amp; $X76),0)),"",INDIRECT(CONCATENATE("Table!",ADDRESS($T76,MATCH(F$1,INDIRECT("Table!A" &amp; $X76):INDIRECT("Table!" &amp; $AA$171 &amp; $X76),0)))))</f>
        <v>0.19594945430629068</v>
      </c>
      <c r="G76" s="33">
        <f ca="1">IF(ISERROR(MATCH(G$1,INDIRECT("Table!A"&amp;$X76):INDIRECT("Table!" &amp; $AA$171 &amp; $X76),0)),"",INDIRECT(CONCATENATE("Table!",ADDRESS($T76,MATCH(G$1,INDIRECT("Table!A" &amp; $X76):INDIRECT("Table!" &amp; $AA$171 &amp; $X76),0)))))</f>
        <v>0.40184188698477996</v>
      </c>
      <c r="H76" s="33">
        <f ca="1">IF(ISERROR(MATCH(H$1,INDIRECT("Table!A"&amp;$X76):INDIRECT("Table!" &amp; $AA$171 &amp; $X76),0)),"",INDIRECT(CONCATENATE("Table!",ADDRESS($T76,MATCH(H$1,INDIRECT("Table!A" &amp; $X76):INDIRECT("Table!" &amp; $AA$171 &amp; $X76),0)))))</f>
        <v>0.17697998381298224</v>
      </c>
      <c r="I76" s="33" t="str">
        <f ca="1">IF(ISERROR(MATCH(I$1,INDIRECT("Table!A"&amp;$X76):INDIRECT("Table!" &amp; $AA$171 &amp; $X76),0)),"",INDIRECT(CONCATENATE("Table!",ADDRESS($T76,MATCH(I$1,INDIRECT("Table!A" &amp; $X76):INDIRECT("Table!" &amp; $AA$171 &amp; $X76),0)))))</f>
        <v/>
      </c>
      <c r="J76" s="33" t="str">
        <f ca="1">IF(ISERROR(MATCH(J$1,INDIRECT("Table!A"&amp;$X76):INDIRECT("Table!" &amp; $AA$171 &amp; $X76),0)),"",INDIRECT(CONCATENATE("Table!",ADDRESS($T76,MATCH(J$1,INDIRECT("Table!A" &amp; $X76):INDIRECT("Table!" &amp; $AA$171 &amp; $X76),0)))))</f>
        <v/>
      </c>
      <c r="K76" s="33" t="str">
        <f ca="1">IF(ISERROR(MATCH(K$1,INDIRECT("Table!A"&amp;$X76):INDIRECT("Table!" &amp; $AA$171 &amp; $X76),0)),"",INDIRECT(CONCATENATE("Table!",ADDRESS($T76,MATCH(K$1,INDIRECT("Table!A" &amp; $X76):INDIRECT("Table!" &amp; $AA$171 &amp; $X76),0)))))</f>
        <v/>
      </c>
      <c r="L76" s="33">
        <f ca="1">IF(ISERROR(MATCH(L$1,INDIRECT("Table!A"&amp;$X76):INDIRECT("Table!" &amp; $AA$171 &amp; $X76),0)),"",INDIRECT(CONCATENATE("Table!",ADDRESS($T76,MATCH(L$1,INDIRECT("Table!A" &amp; $X76):INDIRECT("Table!" &amp; $AA$171 &amp; $X76),0)))))</f>
        <v>0.79984277722796604</v>
      </c>
      <c r="M76" s="33">
        <f ca="1">IF(ISERROR(MATCH(M$1,INDIRECT("Table!A"&amp;$X76):INDIRECT("Table!" &amp; $AA$171 &amp; $X76),0)),"",INDIRECT(CONCATENATE("Table!",ADDRESS($T76,MATCH(M$1,INDIRECT("Table!A" &amp; $X76):INDIRECT("Table!" &amp; $AA$171 &amp; $X76),0)))))</f>
        <v>0.37539676172802688</v>
      </c>
      <c r="N76" s="33">
        <f ca="1">IF(ISERROR(MATCH(N$1,INDIRECT("Table!A"&amp;$X76):INDIRECT("Table!" &amp; $AA$171 &amp; $X76),0)),"",INDIRECT(CONCATENATE("Table!",ADDRESS($T76,MATCH(N$1,INDIRECT("Table!A" &amp; $X76):INDIRECT("Table!" &amp; $AA$171 &amp; $X76),0)))))</f>
        <v>0.291542695319776</v>
      </c>
      <c r="O76" s="33">
        <f ca="1">IF(ISERROR(MATCH(O$1,INDIRECT("Table!A"&amp;$X76):INDIRECT("Table!" &amp; $AA$171 &amp; $X76),0)),"",INDIRECT(CONCATENATE("Table!",ADDRESS($T76,MATCH(O$1,INDIRECT("Table!A" &amp; $X76):INDIRECT("Table!" &amp; $AA$171 &amp; $X76),0)))))</f>
        <v>0.46335136531796034</v>
      </c>
      <c r="P76" s="33">
        <f ca="1">IF(ISERROR(MATCH(P$1,INDIRECT("Table!A"&amp;$X76):INDIRECT("Table!" &amp; $AA$171 &amp; $X76),0)),"",INDIRECT(CONCATENATE("Table!",ADDRESS($T76,MATCH(P$1,INDIRECT("Table!A" &amp; $X76):INDIRECT("Table!" &amp; $AA$171 &amp; $X76),0)))))</f>
        <v>0.43650698275705108</v>
      </c>
      <c r="T76" s="31">
        <f>MATCH($A76,Table!$A:$A,0)+$V$2-1</f>
        <v>1015</v>
      </c>
      <c r="U76" s="209"/>
      <c r="V76" s="209"/>
      <c r="W76" s="209"/>
      <c r="X76" s="31">
        <f>MATCH($A76,Table!$A:$A,0)+$Z$2-1</f>
        <v>1012</v>
      </c>
      <c r="Y76" s="209"/>
      <c r="AA76" t="s">
        <v>209</v>
      </c>
    </row>
    <row r="77" spans="1:27" ht="15.75" customHeight="1">
      <c r="A77" s="5">
        <v>41092</v>
      </c>
      <c r="B77" s="33">
        <f ca="1">IF(ISERROR(MATCH(B$1,INDIRECT("Table!A"&amp;$X77):INDIRECT("Table!" &amp; $AA$171 &amp; $X77),0)),"",INDIRECT(CONCATENATE("Table!",ADDRESS($T77,MATCH(B$1,INDIRECT("Table!A" &amp; $X77):INDIRECT("Table!" &amp; $AA$171 &amp; $X77),0)))))</f>
        <v>0.79371213848077304</v>
      </c>
      <c r="C77" s="33">
        <f ca="1">IF(ISERROR(MATCH(C$1,INDIRECT("Table!A"&amp;$X77):INDIRECT("Table!" &amp; $AA$171 &amp; $X77),0)),"",INDIRECT(CONCATENATE("Table!",ADDRESS($T77,MATCH(C$1,INDIRECT("Table!A" &amp; $X77):INDIRECT("Table!" &amp; $AA$171 &amp; $X77),0)))))</f>
        <v>0.69893994145900162</v>
      </c>
      <c r="D77" s="33">
        <f ca="1">IF(ISERROR(MATCH(D$1,INDIRECT("Table!A"&amp;$X77):INDIRECT("Table!" &amp; $AA$171 &amp; $X77),0)),"",INDIRECT(CONCATENATE("Table!",ADDRESS($T77,MATCH(D$1,INDIRECT("Table!A" &amp; $X77):INDIRECT("Table!" &amp; $AA$171 &amp; $X77),0)))))</f>
        <v>0.71485545987195298</v>
      </c>
      <c r="E77" s="33">
        <f ca="1">IF(ISERROR(MATCH(E$1,INDIRECT("Table!A"&amp;$X77):INDIRECT("Table!" &amp; $AA$171 &amp; $X77),0)),"",INDIRECT(CONCATENATE("Table!",ADDRESS($T77,MATCH(E$1,INDIRECT("Table!A" &amp; $X77):INDIRECT("Table!" &amp; $AA$171 &amp; $X77),0)))))</f>
        <v>0.83082542756011335</v>
      </c>
      <c r="F77" s="33">
        <f ca="1">IF(ISERROR(MATCH(F$1,INDIRECT("Table!A"&amp;$X77):INDIRECT("Table!" &amp; $AA$171 &amp; $X77),0)),"",INDIRECT(CONCATENATE("Table!",ADDRESS($T77,MATCH(F$1,INDIRECT("Table!A" &amp; $X77):INDIRECT("Table!" &amp; $AA$171 &amp; $X77),0)))))</f>
        <v>0.1951211471353759</v>
      </c>
      <c r="G77" s="33">
        <f ca="1">IF(ISERROR(MATCH(G$1,INDIRECT("Table!A"&amp;$X77):INDIRECT("Table!" &amp; $AA$171 &amp; $X77),0)),"",INDIRECT(CONCATENATE("Table!",ADDRESS($T77,MATCH(G$1,INDIRECT("Table!A" &amp; $X77):INDIRECT("Table!" &amp; $AA$171 &amp; $X77),0)))))</f>
        <v>0.40318918815792226</v>
      </c>
      <c r="H77" s="33">
        <f ca="1">IF(ISERROR(MATCH(H$1,INDIRECT("Table!A"&amp;$X77):INDIRECT("Table!" &amp; $AA$171 &amp; $X77),0)),"",INDIRECT(CONCATENATE("Table!",ADDRESS($T77,MATCH(H$1,INDIRECT("Table!A" &amp; $X77):INDIRECT("Table!" &amp; $AA$171 &amp; $X77),0)))))</f>
        <v>0.17671047491259503</v>
      </c>
      <c r="I77" s="33" t="str">
        <f ca="1">IF(ISERROR(MATCH(I$1,INDIRECT("Table!A"&amp;$X77):INDIRECT("Table!" &amp; $AA$171 &amp; $X77),0)),"",INDIRECT(CONCATENATE("Table!",ADDRESS($T77,MATCH(I$1,INDIRECT("Table!A" &amp; $X77):INDIRECT("Table!" &amp; $AA$171 &amp; $X77),0)))))</f>
        <v/>
      </c>
      <c r="J77" s="33" t="str">
        <f ca="1">IF(ISERROR(MATCH(J$1,INDIRECT("Table!A"&amp;$X77):INDIRECT("Table!" &amp; $AA$171 &amp; $X77),0)),"",INDIRECT(CONCATENATE("Table!",ADDRESS($T77,MATCH(J$1,INDIRECT("Table!A" &amp; $X77):INDIRECT("Table!" &amp; $AA$171 &amp; $X77),0)))))</f>
        <v/>
      </c>
      <c r="K77" s="33" t="str">
        <f ca="1">IF(ISERROR(MATCH(K$1,INDIRECT("Table!A"&amp;$X77):INDIRECT("Table!" &amp; $AA$171 &amp; $X77),0)),"",INDIRECT(CONCATENATE("Table!",ADDRESS($T77,MATCH(K$1,INDIRECT("Table!A" &amp; $X77):INDIRECT("Table!" &amp; $AA$171 &amp; $X77),0)))))</f>
        <v/>
      </c>
      <c r="L77" s="33">
        <f ca="1">IF(ISERROR(MATCH(L$1,INDIRECT("Table!A"&amp;$X77):INDIRECT("Table!" &amp; $AA$171 &amp; $X77),0)),"",INDIRECT(CONCATENATE("Table!",ADDRESS($T77,MATCH(L$1,INDIRECT("Table!A" &amp; $X77):INDIRECT("Table!" &amp; $AA$171 &amp; $X77),0)))))</f>
        <v>0.79907187092759091</v>
      </c>
      <c r="M77" s="33">
        <f ca="1">IF(ISERROR(MATCH(M$1,INDIRECT("Table!A"&amp;$X77):INDIRECT("Table!" &amp; $AA$171 &amp; $X77),0)),"",INDIRECT(CONCATENATE("Table!",ADDRESS($T77,MATCH(M$1,INDIRECT("Table!A" &amp; $X77):INDIRECT("Table!" &amp; $AA$171 &amp; $X77),0)))))</f>
        <v>0.3750448414542405</v>
      </c>
      <c r="N77" s="33">
        <f ca="1">IF(ISERROR(MATCH(N$1,INDIRECT("Table!A"&amp;$X77):INDIRECT("Table!" &amp; $AA$171 &amp; $X77),0)),"",INDIRECT(CONCATENATE("Table!",ADDRESS($T77,MATCH(N$1,INDIRECT("Table!A" &amp; $X77):INDIRECT("Table!" &amp; $AA$171 &amp; $X77),0)))))</f>
        <v>0.28728165246044318</v>
      </c>
      <c r="O77" s="33">
        <f ca="1">IF(ISERROR(MATCH(O$1,INDIRECT("Table!A"&amp;$X77):INDIRECT("Table!" &amp; $AA$171 &amp; $X77),0)),"",INDIRECT(CONCATENATE("Table!",ADDRESS($T77,MATCH(O$1,INDIRECT("Table!A" &amp; $X77):INDIRECT("Table!" &amp; $AA$171 &amp; $X77),0)))))</f>
        <v>0.46294962622398683</v>
      </c>
      <c r="P77" s="33">
        <f ca="1">IF(ISERROR(MATCH(P$1,INDIRECT("Table!A"&amp;$X77):INDIRECT("Table!" &amp; $AA$171 &amp; $X77),0)),"",INDIRECT(CONCATENATE("Table!",ADDRESS($T77,MATCH(P$1,INDIRECT("Table!A" &amp; $X77):INDIRECT("Table!" &amp; $AA$171 &amp; $X77),0)))))</f>
        <v>0.43644325485697644</v>
      </c>
      <c r="T77" s="31">
        <f>MATCH($A77,Table!$A:$A,0)+$V$2-1</f>
        <v>1028</v>
      </c>
      <c r="U77" s="212"/>
      <c r="V77" s="212"/>
      <c r="W77" s="212"/>
      <c r="X77" s="31">
        <f>MATCH($A77,Table!$A:$A,0)+$Z$2-1</f>
        <v>1025</v>
      </c>
      <c r="Y77" s="212"/>
      <c r="AA77" t="s">
        <v>209</v>
      </c>
    </row>
    <row r="78" spans="1:27" ht="15.75" customHeight="1">
      <c r="A78" s="5">
        <v>41087</v>
      </c>
      <c r="B78" s="33">
        <f ca="1">IF(ISERROR(MATCH(B$1,INDIRECT("Table!A"&amp;$X78):INDIRECT("Table!" &amp; $AA$171 &amp; $X78),0)),"",INDIRECT(CONCATENATE("Table!",ADDRESS($T78,MATCH(B$1,INDIRECT("Table!A" &amp; $X78):INDIRECT("Table!" &amp; $AA$171 &amp; $X78),0)))))</f>
        <v>0.79188425168023979</v>
      </c>
      <c r="C78" s="33">
        <f ca="1">IF(ISERROR(MATCH(C$1,INDIRECT("Table!A"&amp;$X78):INDIRECT("Table!" &amp; $AA$171 &amp; $X78),0)),"",INDIRECT(CONCATENATE("Table!",ADDRESS($T78,MATCH(C$1,INDIRECT("Table!A" &amp; $X78):INDIRECT("Table!" &amp; $AA$171 &amp; $X78),0)))))</f>
        <v>0.69890662216016075</v>
      </c>
      <c r="D78" s="33">
        <f ca="1">IF(ISERROR(MATCH(D$1,INDIRECT("Table!A"&amp;$X78):INDIRECT("Table!" &amp; $AA$171 &amp; $X78),0)),"",INDIRECT(CONCATENATE("Table!",ADDRESS($T78,MATCH(D$1,INDIRECT("Table!A" &amp; $X78):INDIRECT("Table!" &amp; $AA$171 &amp; $X78),0)))))</f>
        <v>0.71482214057311211</v>
      </c>
      <c r="E78" s="33">
        <f ca="1">IF(ISERROR(MATCH(E$1,INDIRECT("Table!A"&amp;$X78):INDIRECT("Table!" &amp; $AA$171 &amp; $X78),0)),"",INDIRECT(CONCATENATE("Table!",ADDRESS($T78,MATCH(E$1,INDIRECT("Table!A" &amp; $X78):INDIRECT("Table!" &amp; $AA$171 &amp; $X78),0)))))</f>
        <v>0.8265259250386543</v>
      </c>
      <c r="F78" s="33">
        <f ca="1">IF(ISERROR(MATCH(F$1,INDIRECT("Table!A"&amp;$X78):INDIRECT("Table!" &amp; $AA$171 &amp; $X78),0)),"",INDIRECT(CONCATENATE("Table!",ADDRESS($T78,MATCH(F$1,INDIRECT("Table!A" &amp; $X78):INDIRECT("Table!" &amp; $AA$171 &amp; $X78),0)))))</f>
        <v>0.18227455621691924</v>
      </c>
      <c r="G78" s="33">
        <f ca="1">IF(ISERROR(MATCH(G$1,INDIRECT("Table!A"&amp;$X78):INDIRECT("Table!" &amp; $AA$171 &amp; $X78),0)),"",INDIRECT(CONCATENATE("Table!",ADDRESS($T78,MATCH(G$1,INDIRECT("Table!A" &amp; $X78):INDIRECT("Table!" &amp; $AA$171 &amp; $X78),0)))))</f>
        <v>0.40070172314641611</v>
      </c>
      <c r="H78" s="33">
        <f ca="1">IF(ISERROR(MATCH(H$1,INDIRECT("Table!A"&amp;$X78):INDIRECT("Table!" &amp; $AA$171 &amp; $X78),0)),"",INDIRECT(CONCATENATE("Table!",ADDRESS($T78,MATCH(H$1,INDIRECT("Table!A" &amp; $X78):INDIRECT("Table!" &amp; $AA$171 &amp; $X78),0)))))</f>
        <v>0.17647310927555676</v>
      </c>
      <c r="I78" s="33" t="str">
        <f ca="1">IF(ISERROR(MATCH(I$1,INDIRECT("Table!A"&amp;$X78):INDIRECT("Table!" &amp; $AA$171 &amp; $X78),0)),"",INDIRECT(CONCATENATE("Table!",ADDRESS($T78,MATCH(I$1,INDIRECT("Table!A" &amp; $X78):INDIRECT("Table!" &amp; $AA$171 &amp; $X78),0)))))</f>
        <v/>
      </c>
      <c r="J78" s="33" t="str">
        <f ca="1">IF(ISERROR(MATCH(J$1,INDIRECT("Table!A"&amp;$X78):INDIRECT("Table!" &amp; $AA$171 &amp; $X78),0)),"",INDIRECT(CONCATENATE("Table!",ADDRESS($T78,MATCH(J$1,INDIRECT("Table!A" &amp; $X78):INDIRECT("Table!" &amp; $AA$171 &amp; $X78),0)))))</f>
        <v/>
      </c>
      <c r="K78" s="33" t="str">
        <f ca="1">IF(ISERROR(MATCH(K$1,INDIRECT("Table!A"&amp;$X78):INDIRECT("Table!" &amp; $AA$171 &amp; $X78),0)),"",INDIRECT(CONCATENATE("Table!",ADDRESS($T78,MATCH(K$1,INDIRECT("Table!A" &amp; $X78):INDIRECT("Table!" &amp; $AA$171 &amp; $X78),0)))))</f>
        <v/>
      </c>
      <c r="L78" s="33">
        <f ca="1">IF(ISERROR(MATCH(L$1,INDIRECT("Table!A"&amp;$X78):INDIRECT("Table!" &amp; $AA$171 &amp; $X78),0)),"",INDIRECT(CONCATENATE("Table!",ADDRESS($T78,MATCH(L$1,INDIRECT("Table!A" &amp; $X78):INDIRECT("Table!" &amp; $AA$171 &amp; $X78),0)))))</f>
        <v>0.79686209550815479</v>
      </c>
      <c r="M78" s="33">
        <f ca="1">IF(ISERROR(MATCH(M$1,INDIRECT("Table!A"&amp;$X78):INDIRECT("Table!" &amp; $AA$171 &amp; $X78),0)),"",INDIRECT(CONCATENATE("Table!",ADDRESS($T78,MATCH(M$1,INDIRECT("Table!A" &amp; $X78):INDIRECT("Table!" &amp; $AA$171 &amp; $X78),0)))))</f>
        <v>0.37278574034186968</v>
      </c>
      <c r="N78" s="33">
        <f ca="1">IF(ISERROR(MATCH(N$1,INDIRECT("Table!A"&amp;$X78):INDIRECT("Table!" &amp; $AA$171 &amp; $X78),0)),"",INDIRECT(CONCATENATE("Table!",ADDRESS($T78,MATCH(N$1,INDIRECT("Table!A" &amp; $X78):INDIRECT("Table!" &amp; $AA$171 &amp; $X78),0)))))</f>
        <v>0.27000011538607355</v>
      </c>
      <c r="O78" s="33">
        <f ca="1">IF(ISERROR(MATCH(O$1,INDIRECT("Table!A"&amp;$X78):INDIRECT("Table!" &amp; $AA$171 &amp; $X78),0)),"",INDIRECT(CONCATENATE("Table!",ADDRESS($T78,MATCH(O$1,INDIRECT("Table!A" &amp; $X78):INDIRECT("Table!" &amp; $AA$171 &amp; $X78),0)))))</f>
        <v>0.46264194734101416</v>
      </c>
      <c r="P78" s="33">
        <f ca="1">IF(ISERROR(MATCH(P$1,INDIRECT("Table!A"&amp;$X78):INDIRECT("Table!" &amp; $AA$171 &amp; $X78),0)),"",INDIRECT(CONCATENATE("Table!",ADDRESS($T78,MATCH(P$1,INDIRECT("Table!A" &amp; $X78):INDIRECT("Table!" &amp; $AA$171 &amp; $X78),0)))))</f>
        <v>0.43640865971122156</v>
      </c>
      <c r="T78" s="31">
        <f>MATCH($A78,Table!$A:$A,0)+$V$2-1</f>
        <v>1041</v>
      </c>
      <c r="U78" s="211"/>
      <c r="V78" s="211"/>
      <c r="W78" s="211"/>
      <c r="X78" s="31">
        <f>MATCH($A78,Table!$A:$A,0)+$Z$2-1</f>
        <v>1038</v>
      </c>
      <c r="Y78" s="211"/>
      <c r="AA78" t="s">
        <v>209</v>
      </c>
    </row>
    <row r="79" spans="1:27" ht="15.75" customHeight="1">
      <c r="A79" s="5">
        <v>41086</v>
      </c>
      <c r="B79" s="33">
        <f ca="1">IF(ISERROR(MATCH(B$1,INDIRECT("Table!A"&amp;$X79):INDIRECT("Table!" &amp; $AA$171 &amp; $X79),0)),"",INDIRECT(CONCATENATE("Table!",ADDRESS($T79,MATCH(B$1,INDIRECT("Table!A" &amp; $X79):INDIRECT("Table!" &amp; $AA$171 &amp; $X79),0)))))</f>
        <v>0.79173401440896318</v>
      </c>
      <c r="C79" s="33">
        <f ca="1">IF(ISERROR(MATCH(C$1,INDIRECT("Table!A"&amp;$X79):INDIRECT("Table!" &amp; $AA$171 &amp; $X79),0)),"",INDIRECT(CONCATENATE("Table!",ADDRESS($T79,MATCH(C$1,INDIRECT("Table!A" &amp; $X79):INDIRECT("Table!" &amp; $AA$171 &amp; $X79),0)))))</f>
        <v>0.69889551572721398</v>
      </c>
      <c r="D79" s="33">
        <f ca="1">IF(ISERROR(MATCH(D$1,INDIRECT("Table!A"&amp;$X79):INDIRECT("Table!" &amp; $AA$171 &amp; $X79),0)),"",INDIRECT(CONCATENATE("Table!",ADDRESS($T79,MATCH(D$1,INDIRECT("Table!A" &amp; $X79):INDIRECT("Table!" &amp; $AA$171 &amp; $X79),0)))))</f>
        <v>0.71481002446444275</v>
      </c>
      <c r="E79" s="33">
        <f ca="1">IF(ISERROR(MATCH(E$1,INDIRECT("Table!A"&amp;$X79):INDIRECT("Table!" &amp; $AA$171 &amp; $X79),0)),"",INDIRECT(CONCATENATE("Table!",ADDRESS($T79,MATCH(E$1,INDIRECT("Table!A" &amp; $X79):INDIRECT("Table!" &amp; $AA$171 &amp; $X79),0)))))</f>
        <v>0.82564569461828674</v>
      </c>
      <c r="F79" s="33">
        <f ca="1">IF(ISERROR(MATCH(F$1,INDIRECT("Table!A"&amp;$X79):INDIRECT("Table!" &amp; $AA$171 &amp; $X79),0)),"",INDIRECT(CONCATENATE("Table!",ADDRESS($T79,MATCH(F$1,INDIRECT("Table!A" &amp; $X79):INDIRECT("Table!" &amp; $AA$171 &amp; $X79),0)))))</f>
        <v>0.17831351714884308</v>
      </c>
      <c r="G79" s="33">
        <f ca="1">IF(ISERROR(MATCH(G$1,INDIRECT("Table!A"&amp;$X79):INDIRECT("Table!" &amp; $AA$171 &amp; $X79),0)),"",INDIRECT(CONCATENATE("Table!",ADDRESS($T79,MATCH(G$1,INDIRECT("Table!A" &amp; $X79):INDIRECT("Table!" &amp; $AA$171 &amp; $X79),0)))))</f>
        <v>0.39726124469551272</v>
      </c>
      <c r="H79" s="33">
        <f ca="1">IF(ISERROR(MATCH(H$1,INDIRECT("Table!A"&amp;$X79):INDIRECT("Table!" &amp; $AA$171 &amp; $X79),0)),"",INDIRECT(CONCATENATE("Table!",ADDRESS($T79,MATCH(H$1,INDIRECT("Table!A" &amp; $X79):INDIRECT("Table!" &amp; $AA$171 &amp; $X79),0)))))</f>
        <v>0.17637585529927027</v>
      </c>
      <c r="I79" s="33" t="str">
        <f ca="1">IF(ISERROR(MATCH(I$1,INDIRECT("Table!A"&amp;$X79):INDIRECT("Table!" &amp; $AA$171 &amp; $X79),0)),"",INDIRECT(CONCATENATE("Table!",ADDRESS($T79,MATCH(I$1,INDIRECT("Table!A" &amp; $X79):INDIRECT("Table!" &amp; $AA$171 &amp; $X79),0)))))</f>
        <v/>
      </c>
      <c r="J79" s="33" t="str">
        <f ca="1">IF(ISERROR(MATCH(J$1,INDIRECT("Table!A"&amp;$X79):INDIRECT("Table!" &amp; $AA$171 &amp; $X79),0)),"",INDIRECT(CONCATENATE("Table!",ADDRESS($T79,MATCH(J$1,INDIRECT("Table!A" &amp; $X79):INDIRECT("Table!" &amp; $AA$171 &amp; $X79),0)))))</f>
        <v/>
      </c>
      <c r="K79" s="33" t="str">
        <f ca="1">IF(ISERROR(MATCH(K$1,INDIRECT("Table!A"&amp;$X79):INDIRECT("Table!" &amp; $AA$171 &amp; $X79),0)),"",INDIRECT(CONCATENATE("Table!",ADDRESS($T79,MATCH(K$1,INDIRECT("Table!A" &amp; $X79):INDIRECT("Table!" &amp; $AA$171 &amp; $X79),0)))))</f>
        <v/>
      </c>
      <c r="L79" s="33">
        <f ca="1">IF(ISERROR(MATCH(L$1,INDIRECT("Table!A"&amp;$X79):INDIRECT("Table!" &amp; $AA$171 &amp; $X79),0)),"",INDIRECT(CONCATENATE("Table!",ADDRESS($T79,MATCH(L$1,INDIRECT("Table!A" &amp; $X79):INDIRECT("Table!" &amp; $AA$171 &amp; $X79),0)))))</f>
        <v>0.79573790589561988</v>
      </c>
      <c r="M79" s="33">
        <f ca="1">IF(ISERROR(MATCH(M$1,INDIRECT("Table!A"&amp;$X79):INDIRECT("Table!" &amp; $AA$171 &amp; $X79),0)),"",INDIRECT(CONCATENATE("Table!",ADDRESS($T79,MATCH(M$1,INDIRECT("Table!A" &amp; $X79):INDIRECT("Table!" &amp; $AA$171 &amp; $X79),0)))))</f>
        <v>0.37034424614136446</v>
      </c>
      <c r="N79" s="33">
        <f ca="1">IF(ISERROR(MATCH(N$1,INDIRECT("Table!A"&amp;$X79):INDIRECT("Table!" &amp; $AA$171 &amp; $X79),0)),"",INDIRECT(CONCATENATE("Table!",ADDRESS($T79,MATCH(N$1,INDIRECT("Table!A" &amp; $X79):INDIRECT("Table!" &amp; $AA$171 &amp; $X79),0)))))</f>
        <v>0.26588083255997191</v>
      </c>
      <c r="O79" s="33">
        <f ca="1">IF(ISERROR(MATCH(O$1,INDIRECT("Table!A"&amp;$X79):INDIRECT("Table!" &amp; $AA$171 &amp; $X79),0)),"",INDIRECT(CONCATENATE("Table!",ADDRESS($T79,MATCH(O$1,INDIRECT("Table!A" &amp; $X79):INDIRECT("Table!" &amp; $AA$171 &amp; $X79),0)))))</f>
        <v>0.46251898911338052</v>
      </c>
      <c r="P79" s="33">
        <f ca="1">IF(ISERROR(MATCH(P$1,INDIRECT("Table!A"&amp;$X79):INDIRECT("Table!" &amp; $AA$171 &amp; $X79),0)),"",INDIRECT(CONCATENATE("Table!",ADDRESS($T79,MATCH(P$1,INDIRECT("Table!A" &amp; $X79):INDIRECT("Table!" &amp; $AA$171 &amp; $X79),0)))))</f>
        <v>0.43640865971122156</v>
      </c>
      <c r="T79" s="31">
        <f>MATCH($A79,Table!$A:$A,0)+$V$2-1</f>
        <v>1054</v>
      </c>
      <c r="U79" s="210"/>
      <c r="V79" s="210"/>
      <c r="W79" s="210"/>
      <c r="X79" s="31">
        <f>MATCH($A79,Table!$A:$A,0)+$Z$2-1</f>
        <v>1051</v>
      </c>
      <c r="Y79" s="210"/>
      <c r="AA79" t="s">
        <v>209</v>
      </c>
    </row>
    <row r="80" spans="1:27" ht="15.75" customHeight="1">
      <c r="A80" s="5">
        <v>41085</v>
      </c>
      <c r="B80" s="33">
        <f ca="1">IF(ISERROR(MATCH(B$1,INDIRECT("Table!A"&amp;$X80):INDIRECT("Table!" &amp; $AA$171 &amp; $X80),0)),"",INDIRECT(CONCATENATE("Table!",ADDRESS($T80,MATCH(B$1,INDIRECT("Table!A" &amp; $X80):INDIRECT("Table!" &amp; $AA$171 &amp; $X80),0)))))</f>
        <v>0.79163817339107967</v>
      </c>
      <c r="C80" s="33">
        <f ca="1">IF(ISERROR(MATCH(C$1,INDIRECT("Table!A"&amp;$X80):INDIRECT("Table!" &amp; $AA$171 &amp; $X80),0)),"",INDIRECT(CONCATENATE("Table!",ADDRESS($T80,MATCH(C$1,INDIRECT("Table!A" &amp; $X80):INDIRECT("Table!" &amp; $AA$171 &amp; $X80),0)))))</f>
        <v>0.69888945767287924</v>
      </c>
      <c r="D80" s="33">
        <f ca="1">IF(ISERROR(MATCH(D$1,INDIRECT("Table!A"&amp;$X80):INDIRECT("Table!" &amp; $AA$171 &amp; $X80),0)),"",INDIRECT(CONCATENATE("Table!",ADDRESS($T80,MATCH(D$1,INDIRECT("Table!A" &amp; $X80):INDIRECT("Table!" &amp; $AA$171 &amp; $X80),0)))))</f>
        <v>0.7147938696528835</v>
      </c>
      <c r="E80" s="33">
        <f ca="1">IF(ISERROR(MATCH(E$1,INDIRECT("Table!A"&amp;$X80):INDIRECT("Table!" &amp; $AA$171 &amp; $X80),0)),"",INDIRECT(CONCATENATE("Table!",ADDRESS($T80,MATCH(E$1,INDIRECT("Table!A" &amp; $X80):INDIRECT("Table!" &amp; $AA$171 &amp; $X80),0)))))</f>
        <v>0.82531766867511591</v>
      </c>
      <c r="F80" s="33">
        <f ca="1">IF(ISERROR(MATCH(F$1,INDIRECT("Table!A"&amp;$X80):INDIRECT("Table!" &amp; $AA$171 &amp; $X80),0)),"",INDIRECT(CONCATENATE("Table!",ADDRESS($T80,MATCH(F$1,INDIRECT("Table!A" &amp; $X80):INDIRECT("Table!" &amp; $AA$171 &amp; $X80),0)))))</f>
        <v>0.17731954854374532</v>
      </c>
      <c r="G80" s="33">
        <f ca="1">IF(ISERROR(MATCH(G$1,INDIRECT("Table!A"&amp;$X80):INDIRECT("Table!" &amp; $AA$171 &amp; $X80),0)),"",INDIRECT(CONCATENATE("Table!",ADDRESS($T80,MATCH(G$1,INDIRECT("Table!A" &amp; $X80):INDIRECT("Table!" &amp; $AA$171 &amp; $X80),0)))))</f>
        <v>0.39481193656146574</v>
      </c>
      <c r="H80" s="33">
        <f ca="1">IF(ISERROR(MATCH(H$1,INDIRECT("Table!A"&amp;$X80):INDIRECT("Table!" &amp; $AA$171 &amp; $X80),0)),"",INDIRECT(CONCATENATE("Table!",ADDRESS($T80,MATCH(H$1,INDIRECT("Table!A" &amp; $X80):INDIRECT("Table!" &amp; $AA$171 &amp; $X80),0)))))</f>
        <v>0.1763115687725724</v>
      </c>
      <c r="I80" s="33" t="str">
        <f ca="1">IF(ISERROR(MATCH(I$1,INDIRECT("Table!A"&amp;$X80):INDIRECT("Table!" &amp; $AA$171 &amp; $X80),0)),"",INDIRECT(CONCATENATE("Table!",ADDRESS($T80,MATCH(I$1,INDIRECT("Table!A" &amp; $X80):INDIRECT("Table!" &amp; $AA$171 &amp; $X80),0)))))</f>
        <v/>
      </c>
      <c r="J80" s="33" t="str">
        <f ca="1">IF(ISERROR(MATCH(J$1,INDIRECT("Table!A"&amp;$X80):INDIRECT("Table!" &amp; $AA$171 &amp; $X80),0)),"",INDIRECT(CONCATENATE("Table!",ADDRESS($T80,MATCH(J$1,INDIRECT("Table!A" &amp; $X80):INDIRECT("Table!" &amp; $AA$171 &amp; $X80),0)))))</f>
        <v/>
      </c>
      <c r="K80" s="33" t="str">
        <f ca="1">IF(ISERROR(MATCH(K$1,INDIRECT("Table!A"&amp;$X80):INDIRECT("Table!" &amp; $AA$171 &amp; $X80),0)),"",INDIRECT(CONCATENATE("Table!",ADDRESS($T80,MATCH(K$1,INDIRECT("Table!A" &amp; $X80):INDIRECT("Table!" &amp; $AA$171 &amp; $X80),0)))))</f>
        <v/>
      </c>
      <c r="L80" s="33">
        <f ca="1">IF(ISERROR(MATCH(L$1,INDIRECT("Table!A"&amp;$X80):INDIRECT("Table!" &amp; $AA$171 &amp; $X80),0)),"",INDIRECT(CONCATENATE("Table!",ADDRESS($T80,MATCH(L$1,INDIRECT("Table!A" &amp; $X80):INDIRECT("Table!" &amp; $AA$171 &amp; $X80),0)))))</f>
        <v>0.79520271677206666</v>
      </c>
      <c r="M80" s="33">
        <f ca="1">IF(ISERROR(MATCH(M$1,INDIRECT("Table!A"&amp;$X80):INDIRECT("Table!" &amp; $AA$171 &amp; $X80),0)),"",INDIRECT(CONCATENATE("Table!",ADDRESS($T80,MATCH(M$1,INDIRECT("Table!A" &amp; $X80):INDIRECT("Table!" &amp; $AA$171 &amp; $X80),0)))))</f>
        <v>0.3695859147126892</v>
      </c>
      <c r="N80" s="33">
        <f ca="1">IF(ISERROR(MATCH(N$1,INDIRECT("Table!A"&amp;$X80):INDIRECT("Table!" &amp; $AA$171 &amp; $X80),0)),"",INDIRECT(CONCATENATE("Table!",ADDRESS($T80,MATCH(N$1,INDIRECT("Table!A" &amp; $X80):INDIRECT("Table!" &amp; $AA$171 &amp; $X80),0)))))</f>
        <v>0.26319398541849703</v>
      </c>
      <c r="O80" s="33">
        <f ca="1">IF(ISERROR(MATCH(O$1,INDIRECT("Table!A"&amp;$X80):INDIRECT("Table!" &amp; $AA$171 &amp; $X80),0)),"",INDIRECT(CONCATENATE("Table!",ADDRESS($T80,MATCH(O$1,INDIRECT("Table!A" &amp; $X80):INDIRECT("Table!" &amp; $AA$171 &amp; $X80),0)))))</f>
        <v>0.46244079448013881</v>
      </c>
      <c r="P80" s="33">
        <f ca="1">IF(ISERROR(MATCH(P$1,INDIRECT("Table!A"&amp;$X80):INDIRECT("Table!" &amp; $AA$171 &amp; $X80),0)),"",INDIRECT(CONCATENATE("Table!",ADDRESS($T80,MATCH(P$1,INDIRECT("Table!A" &amp; $X80):INDIRECT("Table!" &amp; $AA$171 &amp; $X80),0)))))</f>
        <v>0.43640865971122156</v>
      </c>
      <c r="T80" s="31">
        <f>MATCH($A80,Table!$A:$A,0)+$V$2-1</f>
        <v>1067</v>
      </c>
      <c r="U80" s="209"/>
      <c r="V80" s="209"/>
      <c r="W80" s="209"/>
      <c r="X80" s="31">
        <f>MATCH($A80,Table!$A:$A,0)+$Z$2-1</f>
        <v>1064</v>
      </c>
      <c r="Y80" s="209"/>
      <c r="AA80" t="s">
        <v>209</v>
      </c>
    </row>
    <row r="81" spans="1:27" ht="15.75" customHeight="1">
      <c r="A81" s="5">
        <v>41081</v>
      </c>
      <c r="B81" s="33">
        <f ca="1">IF(ISERROR(MATCH(B$1,INDIRECT("Table!A"&amp;$X81):INDIRECT("Table!" &amp; $AA$171 &amp; $X81),0)),"",INDIRECT(CONCATENATE("Table!",ADDRESS($T81,MATCH(B$1,INDIRECT("Table!A" &amp; $X81):INDIRECT("Table!" &amp; $AA$171 &amp; $X81),0)))))</f>
        <v>0.79127984886475877</v>
      </c>
      <c r="C81" s="33">
        <f ca="1">IF(ISERROR(MATCH(C$1,INDIRECT("Table!A"&amp;$X81):INDIRECT("Table!" &amp; $AA$171 &amp; $X81),0)),"",INDIRECT(CONCATENATE("Table!",ADDRESS($T81,MATCH(C$1,INDIRECT("Table!A" &amp; $X81):INDIRECT("Table!" &amp; $AA$171 &amp; $X81),0)))))</f>
        <v>0.69875416112607114</v>
      </c>
      <c r="D81" s="33">
        <f ca="1">IF(ISERROR(MATCH(D$1,INDIRECT("Table!A"&amp;$X81):INDIRECT("Table!" &amp; $AA$171 &amp; $X81),0)),"",INDIRECT(CONCATENATE("Table!",ADDRESS($T81,MATCH(D$1,INDIRECT("Table!A" &amp; $X81):INDIRECT("Table!" &amp; $AA$171 &amp; $X81),0)))))</f>
        <v>0.71466866986330002</v>
      </c>
      <c r="E81" s="33">
        <f ca="1">IF(ISERROR(MATCH(E$1,INDIRECT("Table!A"&amp;$X81):INDIRECT("Table!" &amp; $AA$171 &amp; $X81),0)),"",INDIRECT(CONCATENATE("Table!",ADDRESS($T81,MATCH(E$1,INDIRECT("Table!A" &amp; $X81):INDIRECT("Table!" &amp; $AA$171 &amp; $X81),0)))))</f>
        <v>0.82401655404625784</v>
      </c>
      <c r="F81" s="33">
        <f ca="1">IF(ISERROR(MATCH(F$1,INDIRECT("Table!A"&amp;$X81):INDIRECT("Table!" &amp; $AA$171 &amp; $X81),0)),"",INDIRECT(CONCATENATE("Table!",ADDRESS($T81,MATCH(F$1,INDIRECT("Table!A" &amp; $X81):INDIRECT("Table!" &amp; $AA$171 &amp; $X81),0)))))</f>
        <v>0.17425934503567903</v>
      </c>
      <c r="G81" s="33">
        <f ca="1">IF(ISERROR(MATCH(G$1,INDIRECT("Table!A"&amp;$X81):INDIRECT("Table!" &amp; $AA$171 &amp; $X81),0)),"",INDIRECT(CONCATENATE("Table!",ADDRESS($T81,MATCH(G$1,INDIRECT("Table!A" &amp; $X81):INDIRECT("Table!" &amp; $AA$171 &amp; $X81),0)))))</f>
        <v>0.39357819752361867</v>
      </c>
      <c r="H81" s="33">
        <f ca="1">IF(ISERROR(MATCH(H$1,INDIRECT("Table!A"&amp;$X81):INDIRECT("Table!" &amp; $AA$171 &amp; $X81),0)),"",INDIRECT(CONCATENATE("Table!",ADDRESS($T81,MATCH(H$1,INDIRECT("Table!A" &amp; $X81):INDIRECT("Table!" &amp; $AA$171 &amp; $X81),0)))))</f>
        <v>0.17637420692679082</v>
      </c>
      <c r="I81" s="33" t="str">
        <f ca="1">IF(ISERROR(MATCH(I$1,INDIRECT("Table!A"&amp;$X81):INDIRECT("Table!" &amp; $AA$171 &amp; $X81),0)),"",INDIRECT(CONCATENATE("Table!",ADDRESS($T81,MATCH(I$1,INDIRECT("Table!A" &amp; $X81):INDIRECT("Table!" &amp; $AA$171 &amp; $X81),0)))))</f>
        <v/>
      </c>
      <c r="J81" s="33" t="str">
        <f ca="1">IF(ISERROR(MATCH(J$1,INDIRECT("Table!A"&amp;$X81):INDIRECT("Table!" &amp; $AA$171 &amp; $X81),0)),"",INDIRECT(CONCATENATE("Table!",ADDRESS($T81,MATCH(J$1,INDIRECT("Table!A" &amp; $X81):INDIRECT("Table!" &amp; $AA$171 &amp; $X81),0)))))</f>
        <v/>
      </c>
      <c r="K81" s="33" t="str">
        <f ca="1">IF(ISERROR(MATCH(K$1,INDIRECT("Table!A"&amp;$X81):INDIRECT("Table!" &amp; $AA$171 &amp; $X81),0)),"",INDIRECT(CONCATENATE("Table!",ADDRESS($T81,MATCH(K$1,INDIRECT("Table!A" &amp; $X81):INDIRECT("Table!" &amp; $AA$171 &amp; $X81),0)))))</f>
        <v/>
      </c>
      <c r="L81" s="33">
        <f ca="1">IF(ISERROR(MATCH(L$1,INDIRECT("Table!A"&amp;$X81):INDIRECT("Table!" &amp; $AA$171 &amp; $X81),0)),"",INDIRECT(CONCATENATE("Table!",ADDRESS($T81,MATCH(L$1,INDIRECT("Table!A" &amp; $X81):INDIRECT("Table!" &amp; $AA$171 &amp; $X81),0)))))</f>
        <v>0.79231445022331715</v>
      </c>
      <c r="M81" s="33">
        <f ca="1">IF(ISERROR(MATCH(M$1,INDIRECT("Table!A"&amp;$X81):INDIRECT("Table!" &amp; $AA$171 &amp; $X81),0)),"",INDIRECT(CONCATENATE("Table!",ADDRESS($T81,MATCH(M$1,INDIRECT("Table!A" &amp; $X81):INDIRECT("Table!" &amp; $AA$171 &amp; $X81),0)))))</f>
        <v>0.36903192408814806</v>
      </c>
      <c r="N81" s="33">
        <f ca="1">IF(ISERROR(MATCH(N$1,INDIRECT("Table!A"&amp;$X81):INDIRECT("Table!" &amp; $AA$171 &amp; $X81),0)),"",INDIRECT(CONCATENATE("Table!",ADDRESS($T81,MATCH(N$1,INDIRECT("Table!A" &amp; $X81):INDIRECT("Table!" &amp; $AA$171 &amp; $X81),0)))))</f>
        <v>0.25684775137268218</v>
      </c>
      <c r="O81" s="33">
        <f ca="1">IF(ISERROR(MATCH(O$1,INDIRECT("Table!A"&amp;$X81):INDIRECT("Table!" &amp; $AA$171 &amp; $X81),0)),"",INDIRECT(CONCATENATE("Table!",ADDRESS($T81,MATCH(O$1,INDIRECT("Table!A" &amp; $X81):INDIRECT("Table!" &amp; $AA$171 &amp; $X81),0)))))</f>
        <v>0.46189059890856154</v>
      </c>
      <c r="P81" s="33">
        <f ca="1">IF(ISERROR(MATCH(P$1,INDIRECT("Table!A"&amp;$X81):INDIRECT("Table!" &amp; $AA$171 &amp; $X81),0)),"",INDIRECT(CONCATENATE("Table!",ADDRESS($T81,MATCH(P$1,INDIRECT("Table!A" &amp; $X81):INDIRECT("Table!" &amp; $AA$171 &amp; $X81),0)))))</f>
        <v>0.43639591413120665</v>
      </c>
      <c r="T81" s="31">
        <f>MATCH($A81,Table!$A:$A,0)+$V$2-1</f>
        <v>1080</v>
      </c>
      <c r="U81" s="203"/>
      <c r="V81" s="203"/>
      <c r="W81" s="203"/>
      <c r="X81" s="31">
        <f>MATCH($A81,Table!$A:$A,0)+$Z$2-1</f>
        <v>1077</v>
      </c>
      <c r="Y81" s="203"/>
      <c r="AA81" t="s">
        <v>209</v>
      </c>
    </row>
    <row r="82" spans="1:27" ht="15.75" customHeight="1">
      <c r="A82" s="5">
        <v>41080</v>
      </c>
      <c r="B82" s="33">
        <f ca="1">IF(ISERROR(MATCH(B$1,INDIRECT("Table!A"&amp;$X82):INDIRECT("Table!" &amp; $AA$171 &amp; $X82),0)),"",INDIRECT(CONCATENATE("Table!",ADDRESS($T82,MATCH(B$1,INDIRECT("Table!A" &amp; $X82):INDIRECT("Table!" &amp; $AA$171 &amp; $X82),0)))))</f>
        <v>0.79121940858321071</v>
      </c>
      <c r="C82" s="33">
        <f ca="1">IF(ISERROR(MATCH(C$1,INDIRECT("Table!A"&amp;$X82):INDIRECT("Table!" &amp; $AA$171 &amp; $X82),0)),"",INDIRECT(CONCATENATE("Table!",ADDRESS($T82,MATCH(C$1,INDIRECT("Table!A" &amp; $X82):INDIRECT("Table!" &amp; $AA$171 &amp; $X82),0)))))</f>
        <v>0.69897528010928733</v>
      </c>
      <c r="D82" s="33">
        <f ca="1">IF(ISERROR(MATCH(D$1,INDIRECT("Table!A"&amp;$X82):INDIRECT("Table!" &amp; $AA$171 &amp; $X82),0)),"",INDIRECT(CONCATENATE("Table!",ADDRESS($T82,MATCH(D$1,INDIRECT("Table!A" &amp; $X82):INDIRECT("Table!" &amp; $AA$171 &amp; $X82),0)))))</f>
        <v>0.71461414737428786</v>
      </c>
      <c r="E82" s="33">
        <f ca="1">IF(ISERROR(MATCH(E$1,INDIRECT("Table!A"&amp;$X82):INDIRECT("Table!" &amp; $AA$171 &amp; $X82),0)),"",INDIRECT(CONCATENATE("Table!",ADDRESS($T82,MATCH(E$1,INDIRECT("Table!A" &amp; $X82):INDIRECT("Table!" &amp; $AA$171 &amp; $X82),0)))))</f>
        <v>0.82307972953519226</v>
      </c>
      <c r="F82" s="33">
        <f ca="1">IF(ISERROR(MATCH(F$1,INDIRECT("Table!A"&amp;$X82):INDIRECT("Table!" &amp; $AA$171 &amp; $X82),0)),"",INDIRECT(CONCATENATE("Table!",ADDRESS($T82,MATCH(F$1,INDIRECT("Table!A" &amp; $X82):INDIRECT("Table!" &amp; $AA$171 &amp; $X82),0)))))</f>
        <v>0.17383983423966345</v>
      </c>
      <c r="G82" s="33">
        <f ca="1">IF(ISERROR(MATCH(G$1,INDIRECT("Table!A"&amp;$X82):INDIRECT("Table!" &amp; $AA$171 &amp; $X82),0)),"",INDIRECT(CONCATENATE("Table!",ADDRESS($T82,MATCH(G$1,INDIRECT("Table!A" &amp; $X82):INDIRECT("Table!" &amp; $AA$171 &amp; $X82),0)))))</f>
        <v>0.39090176511898139</v>
      </c>
      <c r="H82" s="33">
        <f ca="1">IF(ISERROR(MATCH(H$1,INDIRECT("Table!A"&amp;$X82):INDIRECT("Table!" &amp; $AA$171 &amp; $X82),0)),"",INDIRECT(CONCATENATE("Table!",ADDRESS($T82,MATCH(H$1,INDIRECT("Table!A" &amp; $X82):INDIRECT("Table!" &amp; $AA$171 &amp; $X82),0)))))</f>
        <v>0.17554589975587603</v>
      </c>
      <c r="I82" s="33" t="str">
        <f ca="1">IF(ISERROR(MATCH(I$1,INDIRECT("Table!A"&amp;$X82):INDIRECT("Table!" &amp; $AA$171 &amp; $X82),0)),"",INDIRECT(CONCATENATE("Table!",ADDRESS($T82,MATCH(I$1,INDIRECT("Table!A" &amp; $X82):INDIRECT("Table!" &amp; $AA$171 &amp; $X82),0)))))</f>
        <v/>
      </c>
      <c r="J82" s="33" t="str">
        <f ca="1">IF(ISERROR(MATCH(J$1,INDIRECT("Table!A"&amp;$X82):INDIRECT("Table!" &amp; $AA$171 &amp; $X82),0)),"",INDIRECT(CONCATENATE("Table!",ADDRESS($T82,MATCH(J$1,INDIRECT("Table!A" &amp; $X82):INDIRECT("Table!" &amp; $AA$171 &amp; $X82),0)))))</f>
        <v/>
      </c>
      <c r="K82" s="33" t="str">
        <f ca="1">IF(ISERROR(MATCH(K$1,INDIRECT("Table!A"&amp;$X82):INDIRECT("Table!" &amp; $AA$171 &amp; $X82),0)),"",INDIRECT(CONCATENATE("Table!",ADDRESS($T82,MATCH(K$1,INDIRECT("Table!A" &amp; $X82):INDIRECT("Table!" &amp; $AA$171 &amp; $X82),0)))))</f>
        <v/>
      </c>
      <c r="L82" s="33">
        <f ca="1">IF(ISERROR(MATCH(L$1,INDIRECT("Table!A"&amp;$X82):INDIRECT("Table!" &amp; $AA$171 &amp; $X82),0)),"",INDIRECT(CONCATENATE("Table!",ADDRESS($T82,MATCH(L$1,INDIRECT("Table!A" &amp; $X82):INDIRECT("Table!" &amp; $AA$171 &amp; $X82),0)))))</f>
        <v>0.79194128010219467</v>
      </c>
      <c r="M82" s="33">
        <f ca="1">IF(ISERROR(MATCH(M$1,INDIRECT("Table!A"&amp;$X82):INDIRECT("Table!" &amp; $AA$171 &amp; $X82),0)),"",INDIRECT(CONCATENATE("Table!",ADDRESS($T82,MATCH(M$1,INDIRECT("Table!A" &amp; $X82):INDIRECT("Table!" &amp; $AA$171 &amp; $X82),0)))))</f>
        <v>0.36865881291615515</v>
      </c>
      <c r="N82" s="33">
        <f ca="1">IF(ISERROR(MATCH(N$1,INDIRECT("Table!A"&amp;$X82):INDIRECT("Table!" &amp; $AA$171 &amp; $X82),0)),"",INDIRECT(CONCATENATE("Table!",ADDRESS($T82,MATCH(N$1,INDIRECT("Table!A" &amp; $X82):INDIRECT("Table!" &amp; $AA$171 &amp; $X82),0)))))</f>
        <v>0.25496036488373203</v>
      </c>
      <c r="O82" s="33">
        <f ca="1">IF(ISERROR(MATCH(O$1,INDIRECT("Table!A"&amp;$X82):INDIRECT("Table!" &amp; $AA$171 &amp; $X82),0)),"",INDIRECT(CONCATENATE("Table!",ADDRESS($T82,MATCH(O$1,INDIRECT("Table!A" &amp; $X82):INDIRECT("Table!" &amp; $AA$171 &amp; $X82),0)))))</f>
        <v>0.46143729668687067</v>
      </c>
      <c r="P82" s="33">
        <f ca="1">IF(ISERROR(MATCH(P$1,INDIRECT("Table!A"&amp;$X82):INDIRECT("Table!" &amp; $AA$171 &amp; $X82),0)),"",INDIRECT(CONCATENATE("Table!",ADDRESS($T82,MATCH(P$1,INDIRECT("Table!A" &amp; $X82):INDIRECT("Table!" &amp; $AA$171 &amp; $X82),0)))))</f>
        <v>0.4363868101454817</v>
      </c>
      <c r="T82" s="31">
        <f>MATCH($A82,Table!$A:$A,0)+$V$2-1</f>
        <v>1093</v>
      </c>
      <c r="U82" s="207"/>
      <c r="V82" s="207"/>
      <c r="W82" s="207"/>
      <c r="X82" s="31">
        <f>MATCH($A82,Table!$A:$A,0)+$Z$2-1</f>
        <v>1090</v>
      </c>
      <c r="Y82" s="207"/>
      <c r="AA82" t="s">
        <v>209</v>
      </c>
    </row>
    <row r="83" spans="1:27" ht="15.75" customHeight="1">
      <c r="A83" s="5">
        <v>41078</v>
      </c>
      <c r="B83" s="33">
        <f ca="1">IF(ISERROR(MATCH(B$1,INDIRECT("Table!A"&amp;$X83):INDIRECT("Table!" &amp; $AA$171 &amp; $X83),0)),"",INDIRECT(CONCATENATE("Table!",ADDRESS($T83,MATCH(B$1,INDIRECT("Table!A" &amp; $X83):INDIRECT("Table!" &amp; $AA$171 &amp; $X83),0)))))</f>
        <v>0.79078164825828379</v>
      </c>
      <c r="C83" s="33">
        <f ca="1">IF(ISERROR(MATCH(C$1,INDIRECT("Table!A"&amp;$X83):INDIRECT("Table!" &amp; $AA$171 &amp; $X83),0)),"",INDIRECT(CONCATENATE("Table!",ADDRESS($T83,MATCH(C$1,INDIRECT("Table!A" &amp; $X83):INDIRECT("Table!" &amp; $AA$171 &amp; $X83),0)))))</f>
        <v>0.69891873826883033</v>
      </c>
      <c r="D83" s="33">
        <f ca="1">IF(ISERROR(MATCH(D$1,INDIRECT("Table!A"&amp;$X83):INDIRECT("Table!" &amp; $AA$171 &amp; $X83),0)),"",INDIRECT(CONCATENATE("Table!",ADDRESS($T83,MATCH(D$1,INDIRECT("Table!A" &amp; $X83):INDIRECT("Table!" &amp; $AA$171 &amp; $X83),0)))))</f>
        <v>0.71456467326388784</v>
      </c>
      <c r="E83" s="33">
        <f ca="1">IF(ISERROR(MATCH(E$1,INDIRECT("Table!A"&amp;$X83):INDIRECT("Table!" &amp; $AA$171 &amp; $X83),0)),"",INDIRECT(CONCATENATE("Table!",ADDRESS($T83,MATCH(E$1,INDIRECT("Table!A" &amp; $X83):INDIRECT("Table!" &amp; $AA$171 &amp; $X83),0)))))</f>
        <v>0.8206835467241913</v>
      </c>
      <c r="F83" s="33">
        <f ca="1">IF(ISERROR(MATCH(F$1,INDIRECT("Table!A"&amp;$X83):INDIRECT("Table!" &amp; $AA$171 &amp; $X83),0)),"",INDIRECT(CONCATENATE("Table!",ADDRESS($T83,MATCH(F$1,INDIRECT("Table!A" &amp; $X83):INDIRECT("Table!" &amp; $AA$171 &amp; $X83),0)))))</f>
        <v>0.17116534989178434</v>
      </c>
      <c r="G83" s="33">
        <f ca="1">IF(ISERROR(MATCH(G$1,INDIRECT("Table!A"&amp;$X83):INDIRECT("Table!" &amp; $AA$171 &amp; $X83),0)),"",INDIRECT(CONCATENATE("Table!",ADDRESS($T83,MATCH(G$1,INDIRECT("Table!A" &amp; $X83):INDIRECT("Table!" &amp; $AA$171 &amp; $X83),0)))))</f>
        <v>0.38898029378978655</v>
      </c>
      <c r="H83" s="33">
        <f ca="1">IF(ISERROR(MATCH(H$1,INDIRECT("Table!A"&amp;$X83):INDIRECT("Table!" &amp; $AA$171 &amp; $X83),0)),"",INDIRECT(CONCATENATE("Table!",ADDRESS($T83,MATCH(H$1,INDIRECT("Table!A" &amp; $X83):INDIRECT("Table!" &amp; $AA$171 &amp; $X83),0)))))</f>
        <v>0.17530276481515975</v>
      </c>
      <c r="I83" s="33" t="str">
        <f ca="1">IF(ISERROR(MATCH(I$1,INDIRECT("Table!A"&amp;$X83):INDIRECT("Table!" &amp; $AA$171 &amp; $X83),0)),"",INDIRECT(CONCATENATE("Table!",ADDRESS($T83,MATCH(I$1,INDIRECT("Table!A" &amp; $X83):INDIRECT("Table!" &amp; $AA$171 &amp; $X83),0)))))</f>
        <v/>
      </c>
      <c r="J83" s="33" t="str">
        <f ca="1">IF(ISERROR(MATCH(J$1,INDIRECT("Table!A"&amp;$X83):INDIRECT("Table!" &amp; $AA$171 &amp; $X83),0)),"",INDIRECT(CONCATENATE("Table!",ADDRESS($T83,MATCH(J$1,INDIRECT("Table!A" &amp; $X83):INDIRECT("Table!" &amp; $AA$171 &amp; $X83),0)))))</f>
        <v/>
      </c>
      <c r="K83" s="33" t="str">
        <f ca="1">IF(ISERROR(MATCH(K$1,INDIRECT("Table!A"&amp;$X83):INDIRECT("Table!" &amp; $AA$171 &amp; $X83),0)),"",INDIRECT(CONCATENATE("Table!",ADDRESS($T83,MATCH(K$1,INDIRECT("Table!A" &amp; $X83):INDIRECT("Table!" &amp; $AA$171 &amp; $X83),0)))))</f>
        <v/>
      </c>
      <c r="L83" s="33">
        <f ca="1">IF(ISERROR(MATCH(L$1,INDIRECT("Table!A"&amp;$X83):INDIRECT("Table!" &amp; $AA$171 &amp; $X83),0)),"",INDIRECT(CONCATENATE("Table!",ADDRESS($T83,MATCH(L$1,INDIRECT("Table!A" &amp; $X83):INDIRECT("Table!" &amp; $AA$171 &amp; $X83),0)))))</f>
        <v>0.79067788282692153</v>
      </c>
      <c r="M83" s="33">
        <f ca="1">IF(ISERROR(MATCH(M$1,INDIRECT("Table!A"&amp;$X83):INDIRECT("Table!" &amp; $AA$171 &amp; $X83),0)),"",INDIRECT(CONCATENATE("Table!",ADDRESS($T83,MATCH(M$1,INDIRECT("Table!A" &amp; $X83):INDIRECT("Table!" &amp; $AA$171 &amp; $X83),0)))))</f>
        <v>0.36853166752691618</v>
      </c>
      <c r="N83" s="33">
        <f ca="1">IF(ISERROR(MATCH(N$1,INDIRECT("Table!A"&amp;$X83):INDIRECT("Table!" &amp; $AA$171 &amp; $X83),0)),"",INDIRECT(CONCATENATE("Table!",ADDRESS($T83,MATCH(N$1,INDIRECT("Table!A" &amp; $X83):INDIRECT("Table!" &amp; $AA$171 &amp; $X83),0)))))</f>
        <v>0.25097624860094386</v>
      </c>
      <c r="O83" s="33">
        <f ca="1">IF(ISERROR(MATCH(O$1,INDIRECT("Table!A"&amp;$X83):INDIRECT("Table!" &amp; $AA$171 &amp; $X83),0)),"",INDIRECT(CONCATENATE("Table!",ADDRESS($T83,MATCH(O$1,INDIRECT("Table!A" &amp; $X83):INDIRECT("Table!" &amp; $AA$171 &amp; $X83),0)))))</f>
        <v>0.46112621803723536</v>
      </c>
      <c r="P83" s="33">
        <f ca="1">IF(ISERROR(MATCH(P$1,INDIRECT("Table!A"&amp;$X83):INDIRECT("Table!" &amp; $AA$171 &amp; $X83),0)),"",INDIRECT(CONCATENATE("Table!",ADDRESS($T83,MATCH(P$1,INDIRECT("Table!A" &amp; $X83):INDIRECT("Table!" &amp; $AA$171 &amp; $X83),0)))))</f>
        <v>0.43638498934833669</v>
      </c>
      <c r="T83" s="31">
        <f>MATCH($A83,Table!$A:$A,0)+$V$2-1</f>
        <v>1106</v>
      </c>
      <c r="U83" s="206"/>
      <c r="V83" s="206"/>
      <c r="W83" s="206"/>
      <c r="X83" s="31">
        <f>MATCH($A83,Table!$A:$A,0)+$Z$2-1</f>
        <v>1103</v>
      </c>
      <c r="Y83" s="206"/>
      <c r="AA83" t="s">
        <v>209</v>
      </c>
    </row>
    <row r="84" spans="1:27" ht="15.75" customHeight="1">
      <c r="A84" s="5">
        <v>41075</v>
      </c>
      <c r="B84" s="33">
        <f ca="1">IF(ISERROR(MATCH(B$1,INDIRECT("Table!A"&amp;$X84):INDIRECT("Table!" &amp; $AA$171 &amp; $X84),0)),"",INDIRECT(CONCATENATE("Table!",ADDRESS($T84,MATCH(B$1,INDIRECT("Table!A" &amp; $X84):INDIRECT("Table!" &amp; $AA$171 &amp; $X84),0)))))</f>
        <v>0.79030676033183445</v>
      </c>
      <c r="C84" s="33">
        <f ca="1">IF(ISERROR(MATCH(C$1,INDIRECT("Table!A"&amp;$X84):INDIRECT("Table!" &amp; $AA$171 &amp; $X84),0)),"",INDIRECT(CONCATENATE("Table!",ADDRESS($T84,MATCH(C$1,INDIRECT("Table!A" &amp; $X84):INDIRECT("Table!" &amp; $AA$171 &amp; $X84),0)))))</f>
        <v>0.69788079162615346</v>
      </c>
      <c r="D84" s="33">
        <f ca="1">IF(ISERROR(MATCH(D$1,INDIRECT("Table!A"&amp;$X84):INDIRECT("Table!" &amp; $AA$171 &amp; $X84),0)),"",INDIRECT(CONCATENATE("Table!",ADDRESS($T84,MATCH(D$1,INDIRECT("Table!A" &amp; $X84):INDIRECT("Table!" &amp; $AA$171 &amp; $X84),0)))))</f>
        <v>0.71363375224779058</v>
      </c>
      <c r="E84" s="33">
        <f ca="1">IF(ISERROR(MATCH(E$1,INDIRECT("Table!A"&amp;$X84):INDIRECT("Table!" &amp; $AA$171 &amp; $X84),0)),"",INDIRECT(CONCATENATE("Table!",ADDRESS($T84,MATCH(E$1,INDIRECT("Table!A" &amp; $X84):INDIRECT("Table!" &amp; $AA$171 &amp; $X84),0)))))</f>
        <v>0.81888627225164268</v>
      </c>
      <c r="F84" s="33">
        <f ca="1">IF(ISERROR(MATCH(F$1,INDIRECT("Table!A"&amp;$X84):INDIRECT("Table!" &amp; $AA$171 &amp; $X84),0)),"",INDIRECT(CONCATENATE("Table!",ADDRESS($T84,MATCH(F$1,INDIRECT("Table!A" &amp; $X84):INDIRECT("Table!" &amp; $AA$171 &amp; $X84),0)))))</f>
        <v>0.17011121569118731</v>
      </c>
      <c r="G84" s="33">
        <f ca="1">IF(ISERROR(MATCH(G$1,INDIRECT("Table!A"&amp;$X84):INDIRECT("Table!" &amp; $AA$171 &amp; $X84),0)),"",INDIRECT(CONCATENATE("Table!",ADDRESS($T84,MATCH(G$1,INDIRECT("Table!A" &amp; $X84):INDIRECT("Table!" &amp; $AA$171 &amp; $X84),0)))))</f>
        <v>0.38626297901644291</v>
      </c>
      <c r="H84" s="33">
        <f ca="1">IF(ISERROR(MATCH(H$1,INDIRECT("Table!A"&amp;$X84):INDIRECT("Table!" &amp; $AA$171 &amp; $X84),0)),"",INDIRECT(CONCATENATE("Table!",ADDRESS($T84,MATCH(H$1,INDIRECT("Table!A" &amp; $X84):INDIRECT("Table!" &amp; $AA$171 &amp; $X84),0)))))</f>
        <v>0.1739840668316138</v>
      </c>
      <c r="I84" s="33" t="str">
        <f ca="1">IF(ISERROR(MATCH(I$1,INDIRECT("Table!A"&amp;$X84):INDIRECT("Table!" &amp; $AA$171 &amp; $X84),0)),"",INDIRECT(CONCATENATE("Table!",ADDRESS($T84,MATCH(I$1,INDIRECT("Table!A" &amp; $X84):INDIRECT("Table!" &amp; $AA$171 &amp; $X84),0)))))</f>
        <v/>
      </c>
      <c r="J84" s="33" t="str">
        <f ca="1">IF(ISERROR(MATCH(J$1,INDIRECT("Table!A"&amp;$X84):INDIRECT("Table!" &amp; $AA$171 &amp; $X84),0)),"",INDIRECT(CONCATENATE("Table!",ADDRESS($T84,MATCH(J$1,INDIRECT("Table!A" &amp; $X84):INDIRECT("Table!" &amp; $AA$171 &amp; $X84),0)))))</f>
        <v/>
      </c>
      <c r="K84" s="33" t="str">
        <f ca="1">IF(ISERROR(MATCH(K$1,INDIRECT("Table!A"&amp;$X84):INDIRECT("Table!" &amp; $AA$171 &amp; $X84),0)),"",INDIRECT(CONCATENATE("Table!",ADDRESS($T84,MATCH(K$1,INDIRECT("Table!A" &amp; $X84):INDIRECT("Table!" &amp; $AA$171 &amp; $X84),0)))))</f>
        <v/>
      </c>
      <c r="L84" s="33">
        <f ca="1">IF(ISERROR(MATCH(L$1,INDIRECT("Table!A"&amp;$X84):INDIRECT("Table!" &amp; $AA$171 &amp; $X84),0)),"",INDIRECT(CONCATENATE("Table!",ADDRESS($T84,MATCH(L$1,INDIRECT("Table!A" &amp; $X84):INDIRECT("Table!" &amp; $AA$171 &amp; $X84),0)))))</f>
        <v>0.78810722031542813</v>
      </c>
      <c r="M84" s="33">
        <f ca="1">IF(ISERROR(MATCH(M$1,INDIRECT("Table!A"&amp;$X84):INDIRECT("Table!" &amp; $AA$171 &amp; $X84),0)),"",INDIRECT(CONCATENATE("Table!",ADDRESS($T84,MATCH(M$1,INDIRECT("Table!A" &amp; $X84):INDIRECT("Table!" &amp; $AA$171 &amp; $X84),0)))))</f>
        <v>0.36875417195808441</v>
      </c>
      <c r="N84" s="33">
        <f ca="1">IF(ISERROR(MATCH(N$1,INDIRECT("Table!A"&amp;$X84):INDIRECT("Table!" &amp; $AA$171 &amp; $X84),0)),"",INDIRECT(CONCATENATE("Table!",ADDRESS($T84,MATCH(N$1,INDIRECT("Table!A" &amp; $X84):INDIRECT("Table!" &amp; $AA$171 &amp; $X84),0)))))</f>
        <v>0.24968392457706881</v>
      </c>
      <c r="O84" s="33">
        <f ca="1">IF(ISERROR(MATCH(O$1,INDIRECT("Table!A"&amp;$X84):INDIRECT("Table!" &amp; $AA$171 &amp; $X84),0)),"",INDIRECT(CONCATENATE("Table!",ADDRESS($T84,MATCH(O$1,INDIRECT("Table!A" &amp; $X84):INDIRECT("Table!" &amp; $AA$171 &amp; $X84),0)))))</f>
        <v>0.45930110996715257</v>
      </c>
      <c r="P84" s="33">
        <f ca="1">IF(ISERROR(MATCH(P$1,INDIRECT("Table!A"&amp;$X84):INDIRECT("Table!" &amp; $AA$171 &amp; $X84),0)),"",INDIRECT(CONCATENATE("Table!",ADDRESS($T84,MATCH(P$1,INDIRECT("Table!A" &amp; $X84):INDIRECT("Table!" &amp; $AA$171 &amp; $X84),0)))))</f>
        <v>0.43635767739116188</v>
      </c>
      <c r="T84" s="31">
        <f>MATCH($A84,Table!$A:$A,0)+$V$2-1</f>
        <v>1119</v>
      </c>
      <c r="U84" s="205"/>
      <c r="V84" s="205"/>
      <c r="W84" s="205"/>
      <c r="X84" s="31">
        <f>MATCH($A84,Table!$A:$A,0)+$Z$2-1</f>
        <v>1116</v>
      </c>
      <c r="Y84" s="205"/>
      <c r="AA84" t="s">
        <v>209</v>
      </c>
    </row>
    <row r="85" spans="1:27" ht="15.75" customHeight="1">
      <c r="A85" s="5">
        <v>41074</v>
      </c>
      <c r="B85" s="33">
        <f ca="1">IF(ISERROR(MATCH(B$1,INDIRECT("Table!A"&amp;$X85):INDIRECT("Table!" &amp; $AA$171 &amp; $X85),0)),"",INDIRECT(CONCATENATE("Table!",ADDRESS($T85,MATCH(B$1,INDIRECT("Table!A" &amp; $X85):INDIRECT("Table!" &amp; $AA$171 &amp; $X85),0)))))</f>
        <v>0.79012112232422238</v>
      </c>
      <c r="C85" s="33">
        <f ca="1">IF(ISERROR(MATCH(C$1,INDIRECT("Table!A"&amp;$X85):INDIRECT("Table!" &amp; $AA$171 &amp; $X85),0)),"",INDIRECT(CONCATENATE("Table!",ADDRESS($T85,MATCH(C$1,INDIRECT("Table!A" &amp; $X85):INDIRECT("Table!" &amp; $AA$171 &amp; $X85),0)))))</f>
        <v>0.6977939595140229</v>
      </c>
      <c r="D85" s="33">
        <f ca="1">IF(ISERROR(MATCH(D$1,INDIRECT("Table!A"&amp;$X85):INDIRECT("Table!" &amp; $AA$171 &amp; $X85),0)),"",INDIRECT(CONCATENATE("Table!",ADDRESS($T85,MATCH(D$1,INDIRECT("Table!A" &amp; $X85):INDIRECT("Table!" &amp; $AA$171 &amp; $X85),0)))))</f>
        <v>0.71356004592005184</v>
      </c>
      <c r="E85" s="33">
        <f ca="1">IF(ISERROR(MATCH(E$1,INDIRECT("Table!A"&amp;$X85):INDIRECT("Table!" &amp; $AA$171 &amp; $X85),0)),"",INDIRECT(CONCATENATE("Table!",ADDRESS($T85,MATCH(E$1,INDIRECT("Table!A" &amp; $X85):INDIRECT("Table!" &amp; $AA$171 &amp; $X85),0)))))</f>
        <v>0.81852088321946759</v>
      </c>
      <c r="F85" s="33">
        <f ca="1">IF(ISERROR(MATCH(F$1,INDIRECT("Table!A"&amp;$X85):INDIRECT("Table!" &amp; $AA$171 &amp; $X85),0)),"",INDIRECT(CONCATENATE("Table!",ADDRESS($T85,MATCH(F$1,INDIRECT("Table!A" &amp; $X85):INDIRECT("Table!" &amp; $AA$171 &amp; $X85),0)))))</f>
        <v>0.16912219220352787</v>
      </c>
      <c r="G85" s="33">
        <f ca="1">IF(ISERROR(MATCH(G$1,INDIRECT("Table!A"&amp;$X85):INDIRECT("Table!" &amp; $AA$171 &amp; $X85),0)),"",INDIRECT(CONCATENATE("Table!",ADDRESS($T85,MATCH(G$1,INDIRECT("Table!A" &amp; $X85):INDIRECT("Table!" &amp; $AA$171 &amp; $X85),0)))))</f>
        <v>0.38456136398117963</v>
      </c>
      <c r="H85" s="33">
        <f ca="1">IF(ISERROR(MATCH(H$1,INDIRECT("Table!A"&amp;$X85):INDIRECT("Table!" &amp; $AA$171 &amp; $X85),0)),"",INDIRECT(CONCATENATE("Table!",ADDRESS($T85,MATCH(H$1,INDIRECT("Table!A" &amp; $X85):INDIRECT("Table!" &amp; $AA$171 &amp; $X85),0)))))</f>
        <v>0.17395604449946347</v>
      </c>
      <c r="I85" s="33" t="str">
        <f ca="1">IF(ISERROR(MATCH(I$1,INDIRECT("Table!A"&amp;$X85):INDIRECT("Table!" &amp; $AA$171 &amp; $X85),0)),"",INDIRECT(CONCATENATE("Table!",ADDRESS($T85,MATCH(I$1,INDIRECT("Table!A" &amp; $X85):INDIRECT("Table!" &amp; $AA$171 &amp; $X85),0)))))</f>
        <v/>
      </c>
      <c r="J85" s="33" t="str">
        <f ca="1">IF(ISERROR(MATCH(J$1,INDIRECT("Table!A"&amp;$X85):INDIRECT("Table!" &amp; $AA$171 &amp; $X85),0)),"",INDIRECT(CONCATENATE("Table!",ADDRESS($T85,MATCH(J$1,INDIRECT("Table!A" &amp; $X85):INDIRECT("Table!" &amp; $AA$171 &amp; $X85),0)))))</f>
        <v/>
      </c>
      <c r="K85" s="33" t="str">
        <f ca="1">IF(ISERROR(MATCH(K$1,INDIRECT("Table!A"&amp;$X85):INDIRECT("Table!" &amp; $AA$171 &amp; $X85),0)),"",INDIRECT(CONCATENATE("Table!",ADDRESS($T85,MATCH(K$1,INDIRECT("Table!A" &amp; $X85):INDIRECT("Table!" &amp; $AA$171 &amp; $X85),0)))))</f>
        <v/>
      </c>
      <c r="L85" s="33">
        <f ca="1">IF(ISERROR(MATCH(L$1,INDIRECT("Table!A"&amp;$X85):INDIRECT("Table!" &amp; $AA$171 &amp; $X85),0)),"",INDIRECT(CONCATENATE("Table!",ADDRESS($T85,MATCH(L$1,INDIRECT("Table!A" &amp; $X85):INDIRECT("Table!" &amp; $AA$171 &amp; $X85),0)))))</f>
        <v>0.78788378616767152</v>
      </c>
      <c r="M85" s="33">
        <f ca="1">IF(ISERROR(MATCH(M$1,INDIRECT("Table!A"&amp;$X85):INDIRECT("Table!" &amp; $AA$171 &amp; $X85),0)),"",INDIRECT(CONCATENATE("Table!",ADDRESS($T85,MATCH(M$1,INDIRECT("Table!A" &amp; $X85):INDIRECT("Table!" &amp; $AA$171 &amp; $X85),0)))))</f>
        <v>0.36840527895547032</v>
      </c>
      <c r="N85" s="33">
        <f ca="1">IF(ISERROR(MATCH(N$1,INDIRECT("Table!A"&amp;$X85):INDIRECT("Table!" &amp; $AA$171 &amp; $X85),0)),"",INDIRECT(CONCATENATE("Table!",ADDRESS($T85,MATCH(N$1,INDIRECT("Table!A" &amp; $X85):INDIRECT("Table!" &amp; $AA$171 &amp; $X85),0)))))</f>
        <v>0.24868995597197108</v>
      </c>
      <c r="O85" s="33">
        <f ca="1">IF(ISERROR(MATCH(O$1,INDIRECT("Table!A"&amp;$X85):INDIRECT("Table!" &amp; $AA$171 &amp; $X85),0)),"",INDIRECT(CONCATENATE("Table!",ADDRESS($T85,MATCH(O$1,INDIRECT("Table!A" &amp; $X85):INDIRECT("Table!" &amp; $AA$171 &amp; $X85),0)))))</f>
        <v>0.45926654567274866</v>
      </c>
      <c r="P85" s="33">
        <f ca="1">IF(ISERROR(MATCH(P$1,INDIRECT("Table!A"&amp;$X85):INDIRECT("Table!" &amp; $AA$171 &amp; $X85),0)),"",INDIRECT(CONCATENATE("Table!",ADDRESS($T85,MATCH(P$1,INDIRECT("Table!A" &amp; $X85):INDIRECT("Table!" &amp; $AA$171 &amp; $X85),0)))))</f>
        <v>0.43635403579687188</v>
      </c>
      <c r="T85" s="31">
        <f>MATCH($A85,Table!$A:$A,0)+$V$2-1</f>
        <v>1132</v>
      </c>
      <c r="U85" s="204"/>
      <c r="V85" s="204"/>
      <c r="W85" s="204"/>
      <c r="X85" s="31">
        <f>MATCH($A85,Table!$A:$A,0)+$Z$2-1</f>
        <v>1129</v>
      </c>
      <c r="Y85" s="204"/>
      <c r="AA85" t="s">
        <v>209</v>
      </c>
    </row>
    <row r="86" spans="1:27" ht="15.75" customHeight="1">
      <c r="A86" s="5">
        <v>41071</v>
      </c>
      <c r="B86" s="33">
        <f ca="1">IF(ISERROR(MATCH(B$1,INDIRECT("Table!A"&amp;$X86):INDIRECT("Table!" &amp; $AA$171 &amp; $X86),0)),"",INDIRECT(CONCATENATE("Table!",ADDRESS($T86,MATCH(B$1,INDIRECT("Table!A" &amp; $X86):INDIRECT("Table!" &amp; $AA$171 &amp; $X86),0)))))</f>
        <v>0.78856003619509429</v>
      </c>
      <c r="C86" s="33">
        <f ca="1">IF(ISERROR(MATCH(C$1,INDIRECT("Table!A"&amp;$X86):INDIRECT("Table!" &amp; $AA$171 &amp; $X86),0)),"",INDIRECT(CONCATENATE("Table!",ADDRESS($T86,MATCH(C$1,INDIRECT("Table!A" &amp; $X86):INDIRECT("Table!" &amp; $AA$171 &amp; $X86),0)))))</f>
        <v>0.697598082423868</v>
      </c>
      <c r="D86" s="33">
        <f ca="1">IF(ISERROR(MATCH(D$1,INDIRECT("Table!A"&amp;$X86):INDIRECT("Table!" &amp; $AA$171 &amp; $X86),0)),"",INDIRECT(CONCATENATE("Table!",ADDRESS($T86,MATCH(D$1,INDIRECT("Table!A" &amp; $X86):INDIRECT("Table!" &amp; $AA$171 &amp; $X86),0)))))</f>
        <v>0.71335205272122759</v>
      </c>
      <c r="E86" s="33">
        <f ca="1">IF(ISERROR(MATCH(E$1,INDIRECT("Table!A"&amp;$X86):INDIRECT("Table!" &amp; $AA$171 &amp; $X86),0)),"",INDIRECT(CONCATENATE("Table!",ADDRESS($T86,MATCH(E$1,INDIRECT("Table!A" &amp; $X86):INDIRECT("Table!" &amp; $AA$171 &amp; $X86),0)))))</f>
        <v>0.81656646399022403</v>
      </c>
      <c r="F86" s="33">
        <f ca="1">IF(ISERROR(MATCH(F$1,INDIRECT("Table!A"&amp;$X86):INDIRECT("Table!" &amp; $AA$171 &amp; $X86),0)),"",INDIRECT(CONCATENATE("Table!",ADDRESS($T86,MATCH(F$1,INDIRECT("Table!A" &amp; $X86):INDIRECT("Table!" &amp; $AA$171 &amp; $X86),0)))))</f>
        <v>0.16894911309318744</v>
      </c>
      <c r="G86" s="33">
        <f ca="1">IF(ISERROR(MATCH(G$1,INDIRECT("Table!A"&amp;$X86):INDIRECT("Table!" &amp; $AA$171 &amp; $X86),0)),"",INDIRECT(CONCATENATE("Table!",ADDRESS($T86,MATCH(G$1,INDIRECT("Table!A" &amp; $X86):INDIRECT("Table!" &amp; $AA$171 &amp; $X86),0)))))</f>
        <v>0.38086196386180304</v>
      </c>
      <c r="H86" s="33">
        <f ca="1">IF(ISERROR(MATCH(H$1,INDIRECT("Table!A"&amp;$X86):INDIRECT("Table!" &amp; $AA$171 &amp; $X86),0)),"",INDIRECT(CONCATENATE("Table!",ADDRESS($T86,MATCH(H$1,INDIRECT("Table!A" &amp; $X86):INDIRECT("Table!" &amp; $AA$171 &amp; $X86),0)))))</f>
        <v>0.17276509538307352</v>
      </c>
      <c r="I86" s="33" t="str">
        <f ca="1">IF(ISERROR(MATCH(I$1,INDIRECT("Table!A"&amp;$X86):INDIRECT("Table!" &amp; $AA$171 &amp; $X86),0)),"",INDIRECT(CONCATENATE("Table!",ADDRESS($T86,MATCH(I$1,INDIRECT("Table!A" &amp; $X86):INDIRECT("Table!" &amp; $AA$171 &amp; $X86),0)))))</f>
        <v/>
      </c>
      <c r="J86" s="33" t="str">
        <f ca="1">IF(ISERROR(MATCH(J$1,INDIRECT("Table!A"&amp;$X86):INDIRECT("Table!" &amp; $AA$171 &amp; $X86),0)),"",INDIRECT(CONCATENATE("Table!",ADDRESS($T86,MATCH(J$1,INDIRECT("Table!A" &amp; $X86):INDIRECT("Table!" &amp; $AA$171 &amp; $X86),0)))))</f>
        <v/>
      </c>
      <c r="K86" s="33" t="str">
        <f ca="1">IF(ISERROR(MATCH(K$1,INDIRECT("Table!A"&amp;$X86):INDIRECT("Table!" &amp; $AA$171 &amp; $X86),0)),"",INDIRECT(CONCATENATE("Table!",ADDRESS($T86,MATCH(K$1,INDIRECT("Table!A" &amp; $X86):INDIRECT("Table!" &amp; $AA$171 &amp; $X86),0)))))</f>
        <v/>
      </c>
      <c r="L86" s="33">
        <f ca="1">IF(ISERROR(MATCH(L$1,INDIRECT("Table!A"&amp;$X86):INDIRECT("Table!" &amp; $AA$171 &amp; $X86),0)),"",INDIRECT(CONCATENATE("Table!",ADDRESS($T86,MATCH(L$1,INDIRECT("Table!A" &amp; $X86):INDIRECT("Table!" &amp; $AA$171 &amp; $X86),0)))))</f>
        <v>0.78715791764053533</v>
      </c>
      <c r="M86" s="33">
        <f ca="1">IF(ISERROR(MATCH(M$1,INDIRECT("Table!A"&amp;$X86):INDIRECT("Table!" &amp; $AA$171 &amp; $X86),0)),"",INDIRECT(CONCATENATE("Table!",ADDRESS($T86,MATCH(M$1,INDIRECT("Table!A" &amp; $X86):INDIRECT("Table!" &amp; $AA$171 &amp; $X86),0)))))</f>
        <v>0.35096592654931952</v>
      </c>
      <c r="N86" s="33">
        <f ca="1">IF(ISERROR(MATCH(N$1,INDIRECT("Table!A"&amp;$X86):INDIRECT("Table!" &amp; $AA$171 &amp; $X86),0)),"",INDIRECT(CONCATENATE("Table!",ADDRESS($T86,MATCH(N$1,INDIRECT("Table!A" &amp; $X86):INDIRECT("Table!" &amp; $AA$171 &amp; $X86),0)))))</f>
        <v>0.24839160055319379</v>
      </c>
      <c r="O86" s="33">
        <f ca="1">IF(ISERROR(MATCH(O$1,INDIRECT("Table!A"&amp;$X86):INDIRECT("Table!" &amp; $AA$171 &amp; $X86),0)),"",INDIRECT(CONCATENATE("Table!",ADDRESS($T86,MATCH(O$1,INDIRECT("Table!A" &amp; $X86):INDIRECT("Table!" &amp; $AA$171 &amp; $X86),0)))))</f>
        <v>0.45765448964686056</v>
      </c>
      <c r="P86" s="33">
        <f ca="1">IF(ISERROR(MATCH(P$1,INDIRECT("Table!A"&amp;$X86):INDIRECT("Table!" &amp; $AA$171 &amp; $X86),0)),"",INDIRECT(CONCATENATE("Table!",ADDRESS($T86,MATCH(P$1,INDIRECT("Table!A" &amp; $X86):INDIRECT("Table!" &amp; $AA$171 &amp; $X86),0)))))</f>
        <v>0.43634129021685691</v>
      </c>
      <c r="T86" s="31">
        <f>MATCH($A86,Table!$A:$A,0)+$V$2-1</f>
        <v>1145</v>
      </c>
      <c r="U86" s="177"/>
      <c r="V86" s="177"/>
      <c r="W86" s="177"/>
      <c r="X86" s="31">
        <f>MATCH($A86,Table!$A:$A,0)+$Z$2-1</f>
        <v>1142</v>
      </c>
      <c r="Y86" s="177"/>
      <c r="AA86" t="s">
        <v>209</v>
      </c>
    </row>
    <row r="87" spans="1:27" ht="15.75" customHeight="1">
      <c r="A87" s="5">
        <v>41068</v>
      </c>
      <c r="B87" s="33">
        <f ca="1">IF(ISERROR(MATCH(B$1,INDIRECT("Table!A"&amp;$X87):INDIRECT("Table!" &amp; $AA$171 &amp; $X87),0)),"",INDIRECT(CONCATENATE("Table!",ADDRESS($T87,MATCH(B$1,INDIRECT("Table!A" &amp; $X87):INDIRECT("Table!" &amp; $AA$171 &amp; $X87),0)))))</f>
        <v>0.78794958935145853</v>
      </c>
      <c r="C87" s="33">
        <f ca="1">IF(ISERROR(MATCH(C$1,INDIRECT("Table!A"&amp;$X87):INDIRECT("Table!" &amp; $AA$171 &amp; $X87),0)),"",INDIRECT(CONCATENATE("Table!",ADDRESS($T87,MATCH(C$1,INDIRECT("Table!A" &amp; $X87):INDIRECT("Table!" &amp; $AA$171 &amp; $X87),0)))))</f>
        <v>0.69628853301185267</v>
      </c>
      <c r="D87" s="33">
        <f ca="1">IF(ISERROR(MATCH(D$1,INDIRECT("Table!A"&amp;$X87):INDIRECT("Table!" &amp; $AA$171 &amp; $X87),0)),"",INDIRECT(CONCATENATE("Table!",ADDRESS($T87,MATCH(D$1,INDIRECT("Table!A" &amp; $X87):INDIRECT("Table!" &amp; $AA$171 &amp; $X87),0)))))</f>
        <v>0.71213236444851014</v>
      </c>
      <c r="E87" s="33">
        <f ca="1">IF(ISERROR(MATCH(E$1,INDIRECT("Table!A"&amp;$X87):INDIRECT("Table!" &amp; $AA$171 &amp; $X87),0)),"",INDIRECT(CONCATENATE("Table!",ADDRESS($T87,MATCH(E$1,INDIRECT("Table!A" &amp; $X87):INDIRECT("Table!" &amp; $AA$171 &amp; $X87),0)))))</f>
        <v>0.81478622269060397</v>
      </c>
      <c r="F87" s="33">
        <f ca="1">IF(ISERROR(MATCH(F$1,INDIRECT("Table!A"&amp;$X87):INDIRECT("Table!" &amp; $AA$171 &amp; $X87),0)),"",INDIRECT(CONCATENATE("Table!",ADDRESS($T87,MATCH(F$1,INDIRECT("Table!A" &amp; $X87):INDIRECT("Table!" &amp; $AA$171 &amp; $X87),0)))))</f>
        <v>0.16894828890694771</v>
      </c>
      <c r="G87" s="33">
        <f ca="1">IF(ISERROR(MATCH(G$1,INDIRECT("Table!A"&amp;$X87):INDIRECT("Table!" &amp; $AA$171 &amp; $X87),0)),"",INDIRECT(CONCATENATE("Table!",ADDRESS($T87,MATCH(G$1,INDIRECT("Table!A" &amp; $X87):INDIRECT("Table!" &amp; $AA$171 &amp; $X87),0)))))</f>
        <v>0.37653206676726758</v>
      </c>
      <c r="H87" s="33">
        <f ca="1">IF(ISERROR(MATCH(H$1,INDIRECT("Table!A"&amp;$X87):INDIRECT("Table!" &amp; $AA$171 &amp; $X87),0)),"",INDIRECT(CONCATENATE("Table!",ADDRESS($T87,MATCH(H$1,INDIRECT("Table!A" &amp; $X87):INDIRECT("Table!" &amp; $AA$171 &amp; $X87),0)))))</f>
        <v>0.17242058553487213</v>
      </c>
      <c r="I87" s="33" t="str">
        <f ca="1">IF(ISERROR(MATCH(I$1,INDIRECT("Table!A"&amp;$X87):INDIRECT("Table!" &amp; $AA$171 &amp; $X87),0)),"",INDIRECT(CONCATENATE("Table!",ADDRESS($T87,MATCH(I$1,INDIRECT("Table!A" &amp; $X87):INDIRECT("Table!" &amp; $AA$171 &amp; $X87),0)))))</f>
        <v/>
      </c>
      <c r="J87" s="33" t="str">
        <f ca="1">IF(ISERROR(MATCH(J$1,INDIRECT("Table!A"&amp;$X87):INDIRECT("Table!" &amp; $AA$171 &amp; $X87),0)),"",INDIRECT(CONCATENATE("Table!",ADDRESS($T87,MATCH(J$1,INDIRECT("Table!A" &amp; $X87):INDIRECT("Table!" &amp; $AA$171 &amp; $X87),0)))))</f>
        <v/>
      </c>
      <c r="K87" s="33" t="str">
        <f ca="1">IF(ISERROR(MATCH(K$1,INDIRECT("Table!A"&amp;$X87):INDIRECT("Table!" &amp; $AA$171 &amp; $X87),0)),"",INDIRECT(CONCATENATE("Table!",ADDRESS($T87,MATCH(K$1,INDIRECT("Table!A" &amp; $X87):INDIRECT("Table!" &amp; $AA$171 &amp; $X87),0)))))</f>
        <v/>
      </c>
      <c r="L87" s="33">
        <f ca="1">IF(ISERROR(MATCH(L$1,INDIRECT("Table!A"&amp;$X87):INDIRECT("Table!" &amp; $AA$171 &amp; $X87),0)),"",INDIRECT(CONCATENATE("Table!",ADDRESS($T87,MATCH(L$1,INDIRECT("Table!A" &amp; $X87):INDIRECT("Table!" &amp; $AA$171 &amp; $X87),0)))))</f>
        <v>0.78570091643094941</v>
      </c>
      <c r="M87" s="33">
        <f ca="1">IF(ISERROR(MATCH(M$1,INDIRECT("Table!A"&amp;$X87):INDIRECT("Table!" &amp; $AA$171 &amp; $X87),0)),"",INDIRECT(CONCATENATE("Table!",ADDRESS($T87,MATCH(M$1,INDIRECT("Table!A" &amp; $X87):INDIRECT("Table!" &amp; $AA$171 &amp; $X87),0)))))</f>
        <v>0.35083878116008055</v>
      </c>
      <c r="N87" s="33">
        <f ca="1">IF(ISERROR(MATCH(N$1,INDIRECT("Table!A"&amp;$X87):INDIRECT("Table!" &amp; $AA$171 &amp; $X87),0)),"",INDIRECT(CONCATENATE("Table!",ADDRESS($T87,MATCH(N$1,INDIRECT("Table!A" &amp; $X87):INDIRECT("Table!" &amp; $AA$171 &amp; $X87),0)))))</f>
        <v>0.23787828087937374</v>
      </c>
      <c r="O87" s="33">
        <f ca="1">IF(ISERROR(MATCH(O$1,INDIRECT("Table!A"&amp;$X87):INDIRECT("Table!" &amp; $AA$171 &amp; $X87),0)),"",INDIRECT(CONCATENATE("Table!",ADDRESS($T87,MATCH(O$1,INDIRECT("Table!A" &amp; $X87):INDIRECT("Table!" &amp; $AA$171 &amp; $X87),0)))))</f>
        <v>0.45720798695849507</v>
      </c>
      <c r="P87" s="33">
        <f ca="1">IF(ISERROR(MATCH(P$1,INDIRECT("Table!A"&amp;$X87):INDIRECT("Table!" &amp; $AA$171 &amp; $X87),0)),"",INDIRECT(CONCATENATE("Table!",ADDRESS($T87,MATCH(P$1,INDIRECT("Table!A" &amp; $X87):INDIRECT("Table!" &amp; $AA$171 &amp; $X87),0)))))</f>
        <v>0.43629577028823219</v>
      </c>
      <c r="T87" s="31">
        <f>MATCH($A87,Table!$A:$A,0)+$V$2-1</f>
        <v>1158</v>
      </c>
      <c r="U87" s="202"/>
      <c r="V87" s="202"/>
      <c r="W87" s="202"/>
      <c r="X87" s="31">
        <f>MATCH($A87,Table!$A:$A,0)+$Z$2-1</f>
        <v>1155</v>
      </c>
      <c r="Y87" s="202"/>
      <c r="AA87" t="s">
        <v>209</v>
      </c>
    </row>
    <row r="88" spans="1:27" ht="15.75" customHeight="1">
      <c r="A88" s="5">
        <v>41067</v>
      </c>
      <c r="B88" s="33">
        <f ca="1">IF(ISERROR(MATCH(B$1,INDIRECT("Table!A"&amp;$X88):INDIRECT("Table!" &amp; $AA$171 &amp; $X88),0)),"",INDIRECT(CONCATENATE("Table!",ADDRESS($T88,MATCH(B$1,INDIRECT("Table!A" &amp; $X88):INDIRECT("Table!" &amp; $AA$171 &amp; $X88),0)))))</f>
        <v>0.78770955509045315</v>
      </c>
      <c r="C88" s="33">
        <f ca="1">IF(ISERROR(MATCH(C$1,INDIRECT("Table!A"&amp;$X88):INDIRECT("Table!" &amp; $AA$171 &amp; $X88),0)),"",INDIRECT(CONCATENATE("Table!",ADDRESS($T88,MATCH(C$1,INDIRECT("Table!A" &amp; $X88):INDIRECT("Table!" &amp; $AA$171 &amp; $X88),0)))))</f>
        <v>0.69627944593035052</v>
      </c>
      <c r="D88" s="33">
        <f ca="1">IF(ISERROR(MATCH(D$1,INDIRECT("Table!A"&amp;$X88):INDIRECT("Table!" &amp; $AA$171 &amp; $X88),0)),"",INDIRECT(CONCATENATE("Table!",ADDRESS($T88,MATCH(D$1,INDIRECT("Table!A" &amp; $X88):INDIRECT("Table!" &amp; $AA$171 &amp; $X88),0)))))</f>
        <v>0.71212327736700798</v>
      </c>
      <c r="E88" s="33">
        <f ca="1">IF(ISERROR(MATCH(E$1,INDIRECT("Table!A"&amp;$X88):INDIRECT("Table!" &amp; $AA$171 &amp; $X88),0)),"",INDIRECT(CONCATENATE("Table!",ADDRESS($T88,MATCH(E$1,INDIRECT("Table!A" &amp; $X88):INDIRECT("Table!" &amp; $AA$171 &amp; $X88),0)))))</f>
        <v>0.81444995488956473</v>
      </c>
      <c r="F88" s="33">
        <f ca="1">IF(ISERROR(MATCH(F$1,INDIRECT("Table!A"&amp;$X88):INDIRECT("Table!" &amp; $AA$171 &amp; $X88),0)),"",INDIRECT(CONCATENATE("Table!",ADDRESS($T88,MATCH(F$1,INDIRECT("Table!A" &amp; $X88):INDIRECT("Table!" &amp; $AA$171 &amp; $X88),0)))))</f>
        <v>0.16888812331144842</v>
      </c>
      <c r="G88" s="33">
        <f ca="1">IF(ISERROR(MATCH(G$1,INDIRECT("Table!A"&amp;$X88):INDIRECT("Table!" &amp; $AA$171 &amp; $X88),0)),"",INDIRECT(CONCATENATE("Table!",ADDRESS($T88,MATCH(G$1,INDIRECT("Table!A" &amp; $X88):INDIRECT("Table!" &amp; $AA$171 &amp; $X88),0)))))</f>
        <v>0.37487678508320471</v>
      </c>
      <c r="H88" s="33">
        <f ca="1">IF(ISERROR(MATCH(H$1,INDIRECT("Table!A"&amp;$X88):INDIRECT("Table!" &amp; $AA$171 &amp; $X88),0)),"",INDIRECT(CONCATENATE("Table!",ADDRESS($T88,MATCH(H$1,INDIRECT("Table!A" &amp; $X88):INDIRECT("Table!" &amp; $AA$171 &amp; $X88),0)))))</f>
        <v>0.17236618924305086</v>
      </c>
      <c r="I88" s="33" t="str">
        <f ca="1">IF(ISERROR(MATCH(I$1,INDIRECT("Table!A"&amp;$X88):INDIRECT("Table!" &amp; $AA$171 &amp; $X88),0)),"",INDIRECT(CONCATENATE("Table!",ADDRESS($T88,MATCH(I$1,INDIRECT("Table!A" &amp; $X88):INDIRECT("Table!" &amp; $AA$171 &amp; $X88),0)))))</f>
        <v/>
      </c>
      <c r="J88" s="33" t="str">
        <f ca="1">IF(ISERROR(MATCH(J$1,INDIRECT("Table!A"&amp;$X88):INDIRECT("Table!" &amp; $AA$171 &amp; $X88),0)),"",INDIRECT(CONCATENATE("Table!",ADDRESS($T88,MATCH(J$1,INDIRECT("Table!A" &amp; $X88):INDIRECT("Table!" &amp; $AA$171 &amp; $X88),0)))))</f>
        <v/>
      </c>
      <c r="K88" s="33" t="str">
        <f ca="1">IF(ISERROR(MATCH(K$1,INDIRECT("Table!A"&amp;$X88):INDIRECT("Table!" &amp; $AA$171 &amp; $X88),0)),"",INDIRECT(CONCATENATE("Table!",ADDRESS($T88,MATCH(K$1,INDIRECT("Table!A" &amp; $X88):INDIRECT("Table!" &amp; $AA$171 &amp; $X88),0)))))</f>
        <v/>
      </c>
      <c r="L88" s="33">
        <f ca="1">IF(ISERROR(MATCH(L$1,INDIRECT("Table!A"&amp;$X88):INDIRECT("Table!" &amp; $AA$171 &amp; $X88),0)),"",INDIRECT(CONCATENATE("Table!",ADDRESS($T88,MATCH(L$1,INDIRECT("Table!A" &amp; $X88):INDIRECT("Table!" &amp; $AA$171 &amp; $X88),0)))))</f>
        <v>0.78538565201827715</v>
      </c>
      <c r="M88" s="33">
        <f ca="1">IF(ISERROR(MATCH(M$1,INDIRECT("Table!A"&amp;$X88):INDIRECT("Table!" &amp; $AA$171 &amp; $X88),0)),"",INDIRECT(CONCATENATE("Table!",ADDRESS($T88,MATCH(M$1,INDIRECT("Table!A" &amp; $X88):INDIRECT("Table!" &amp; $AA$171 &amp; $X88),0)))))</f>
        <v>0.35012812925236991</v>
      </c>
      <c r="N88" s="33">
        <f ca="1">IF(ISERROR(MATCH(N$1,INDIRECT("Table!A"&amp;$X88):INDIRECT("Table!" &amp; $AA$171 &amp; $X88),0)),"",INDIRECT(CONCATENATE("Table!",ADDRESS($T88,MATCH(N$1,INDIRECT("Table!A" &amp; $X88):INDIRECT("Table!" &amp; $AA$171 &amp; $X88),0)))))</f>
        <v>0.23780410411779929</v>
      </c>
      <c r="O88" s="33">
        <f ca="1">IF(ISERROR(MATCH(O$1,INDIRECT("Table!A"&amp;$X88):INDIRECT("Table!" &amp; $AA$171 &amp; $X88),0)),"",INDIRECT(CONCATENATE("Table!",ADDRESS($T88,MATCH(O$1,INDIRECT("Table!A" &amp; $X88):INDIRECT("Table!" &amp; $AA$171 &amp; $X88),0)))))</f>
        <v>0.45701873328093912</v>
      </c>
      <c r="P88" s="33">
        <f ca="1">IF(ISERROR(MATCH(P$1,INDIRECT("Table!A"&amp;$X88):INDIRECT("Table!" &amp; $AA$171 &amp; $X88),0)),"",INDIRECT(CONCATENATE("Table!",ADDRESS($T88,MATCH(P$1,INDIRECT("Table!A" &amp; $X88):INDIRECT("Table!" &amp; $AA$171 &amp; $X88),0)))))</f>
        <v>0.43629212869394218</v>
      </c>
      <c r="T88" s="31">
        <f>MATCH($A88,Table!$A:$A,0)+$V$2-1</f>
        <v>1171</v>
      </c>
      <c r="U88" s="201"/>
      <c r="V88" s="201"/>
      <c r="W88" s="201"/>
      <c r="X88" s="31">
        <f>MATCH($A88,Table!$A:$A,0)+$Z$2-1</f>
        <v>1168</v>
      </c>
      <c r="Y88" s="201"/>
      <c r="AA88" t="s">
        <v>209</v>
      </c>
    </row>
    <row r="89" spans="1:27" ht="15.75" customHeight="1">
      <c r="A89" s="5">
        <v>41066</v>
      </c>
      <c r="B89" s="33">
        <f ca="1">IF(ISERROR(MATCH(B$1,INDIRECT("Table!A"&amp;$X89):INDIRECT("Table!" &amp; $AA$171 &amp; $X89),0)),"",INDIRECT(CONCATENATE("Table!",ADDRESS($T89,MATCH(B$1,INDIRECT("Table!A" &amp; $X89):INDIRECT("Table!" &amp; $AA$171 &amp; $X89),0)))))</f>
        <v>0.7876983304667371</v>
      </c>
      <c r="C89" s="33">
        <f ca="1">IF(ISERROR(MATCH(C$1,INDIRECT("Table!A"&amp;$X89):INDIRECT("Table!" &amp; $AA$171 &amp; $X89),0)),"",INDIRECT(CONCATENATE("Table!",ADDRESS($T89,MATCH(C$1,INDIRECT("Table!A" &amp; $X89):INDIRECT("Table!" &amp; $AA$171 &amp; $X89),0)))))</f>
        <v>0.69626833949740374</v>
      </c>
      <c r="D89" s="33">
        <f ca="1">IF(ISERROR(MATCH(D$1,INDIRECT("Table!A"&amp;$X89):INDIRECT("Table!" &amp; $AA$171 &amp; $X89),0)),"",INDIRECT(CONCATENATE("Table!",ADDRESS($T89,MATCH(D$1,INDIRECT("Table!A" &amp; $X89):INDIRECT("Table!" &amp; $AA$171 &amp; $X89),0)))))</f>
        <v>0.71211116125833862</v>
      </c>
      <c r="E89" s="33">
        <f ca="1">IF(ISERROR(MATCH(E$1,INDIRECT("Table!A"&amp;$X89):INDIRECT("Table!" &amp; $AA$171 &amp; $X89),0)),"",INDIRECT(CONCATENATE("Table!",ADDRESS($T89,MATCH(E$1,INDIRECT("Table!A" &amp; $X89):INDIRECT("Table!" &amp; $AA$171 &amp; $X89),0)))))</f>
        <v>0.81406478539850491</v>
      </c>
      <c r="F89" s="33">
        <f ca="1">IF(ISERROR(MATCH(F$1,INDIRECT("Table!A"&amp;$X89):INDIRECT("Table!" &amp; $AA$171 &amp; $X89),0)),"",INDIRECT(CONCATENATE("Table!",ADDRESS($T89,MATCH(F$1,INDIRECT("Table!A" &amp; $X89):INDIRECT("Table!" &amp; $AA$171 &amp; $X89),0)))))</f>
        <v>0.16888812331144842</v>
      </c>
      <c r="G89" s="33">
        <f ca="1">IF(ISERROR(MATCH(G$1,INDIRECT("Table!A"&amp;$X89):INDIRECT("Table!" &amp; $AA$171 &amp; $X89),0)),"",INDIRECT(CONCATENATE("Table!",ADDRESS($T89,MATCH(G$1,INDIRECT("Table!A" &amp; $X89):INDIRECT("Table!" &amp; $AA$171 &amp; $X89),0)))))</f>
        <v>0.36946305096941184</v>
      </c>
      <c r="H89" s="33">
        <f ca="1">IF(ISERROR(MATCH(H$1,INDIRECT("Table!A"&amp;$X89):INDIRECT("Table!" &amp; $AA$171 &amp; $X89),0)),"",INDIRECT(CONCATENATE("Table!",ADDRESS($T89,MATCH(H$1,INDIRECT("Table!A" &amp; $X89):INDIRECT("Table!" &amp; $AA$171 &amp; $X89),0)))))</f>
        <v>0.1723422878420991</v>
      </c>
      <c r="I89" s="33" t="str">
        <f ca="1">IF(ISERROR(MATCH(I$1,INDIRECT("Table!A"&amp;$X89):INDIRECT("Table!" &amp; $AA$171 &amp; $X89),0)),"",INDIRECT(CONCATENATE("Table!",ADDRESS($T89,MATCH(I$1,INDIRECT("Table!A" &amp; $X89):INDIRECT("Table!" &amp; $AA$171 &amp; $X89),0)))))</f>
        <v/>
      </c>
      <c r="J89" s="33" t="str">
        <f ca="1">IF(ISERROR(MATCH(J$1,INDIRECT("Table!A"&amp;$X89):INDIRECT("Table!" &amp; $AA$171 &amp; $X89),0)),"",INDIRECT(CONCATENATE("Table!",ADDRESS($T89,MATCH(J$1,INDIRECT("Table!A" &amp; $X89):INDIRECT("Table!" &amp; $AA$171 &amp; $X89),0)))))</f>
        <v/>
      </c>
      <c r="K89" s="33" t="str">
        <f ca="1">IF(ISERROR(MATCH(K$1,INDIRECT("Table!A"&amp;$X89):INDIRECT("Table!" &amp; $AA$171 &amp; $X89),0)),"",INDIRECT(CONCATENATE("Table!",ADDRESS($T89,MATCH(K$1,INDIRECT("Table!A" &amp; $X89):INDIRECT("Table!" &amp; $AA$171 &amp; $X89),0)))))</f>
        <v/>
      </c>
      <c r="L89" s="33">
        <f ca="1">IF(ISERROR(MATCH(L$1,INDIRECT("Table!A"&amp;$X89):INDIRECT("Table!" &amp; $AA$171 &amp; $X89),0)),"",INDIRECT(CONCATENATE("Table!",ADDRESS($T89,MATCH(L$1,INDIRECT("Table!A" &amp; $X89):INDIRECT("Table!" &amp; $AA$171 &amp; $X89),0)))))</f>
        <v>0.78520316130073764</v>
      </c>
      <c r="M89" s="33">
        <f ca="1">IF(ISERROR(MATCH(M$1,INDIRECT("Table!A"&amp;$X89):INDIRECT("Table!" &amp; $AA$171 &amp; $X89),0)),"",INDIRECT(CONCATENATE("Table!",ADDRESS($T89,MATCH(M$1,INDIRECT("Table!A" &amp; $X89):INDIRECT("Table!" &amp; $AA$171 &amp; $X89),0)))))</f>
        <v>0.34967403857651652</v>
      </c>
      <c r="N89" s="33">
        <f ca="1">IF(ISERROR(MATCH(N$1,INDIRECT("Table!A"&amp;$X89):INDIRECT("Table!" &amp; $AA$171 &amp; $X89),0)),"",INDIRECT(CONCATENATE("Table!",ADDRESS($T89,MATCH(N$1,INDIRECT("Table!A" &amp; $X89):INDIRECT("Table!" &amp; $AA$171 &amp; $X89),0)))))</f>
        <v>0.2377084985139922</v>
      </c>
      <c r="O89" s="33">
        <f ca="1">IF(ISERROR(MATCH(O$1,INDIRECT("Table!A"&amp;$X89):INDIRECT("Table!" &amp; $AA$171 &amp; $X89),0)),"",INDIRECT(CONCATENATE("Table!",ADDRESS($T89,MATCH(O$1,INDIRECT("Table!A" &amp; $X89):INDIRECT("Table!" &amp; $AA$171 &amp; $X89),0)))))</f>
        <v>0.45698416898653521</v>
      </c>
      <c r="P89" s="33">
        <f ca="1">IF(ISERROR(MATCH(P$1,INDIRECT("Table!A"&amp;$X89):INDIRECT("Table!" &amp; $AA$171 &amp; $X89),0)),"",INDIRECT(CONCATENATE("Table!",ADDRESS($T89,MATCH(P$1,INDIRECT("Table!A" &amp; $X89):INDIRECT("Table!" &amp; $AA$171 &amp; $X89),0)))))</f>
        <v>0.43628302470821723</v>
      </c>
      <c r="T89" s="31">
        <f>MATCH($A89,Table!$A:$A,0)+$V$2-1</f>
        <v>1184</v>
      </c>
      <c r="U89" s="200"/>
      <c r="V89" s="200"/>
      <c r="W89" s="200"/>
      <c r="X89" s="31">
        <f>MATCH($A89,Table!$A:$A,0)+$Z$2-1</f>
        <v>1181</v>
      </c>
      <c r="Y89" s="200"/>
      <c r="AA89" t="s">
        <v>209</v>
      </c>
    </row>
    <row r="90" spans="1:27" ht="15.75" customHeight="1">
      <c r="A90" s="5">
        <v>41059</v>
      </c>
      <c r="B90" s="33">
        <f ca="1">IF(ISERROR(MATCH(B$1,INDIRECT("Table!A"&amp;$X90):INDIRECT("Table!" &amp; $AA$171 &amp; $X90),0)),"",INDIRECT(CONCATENATE("Table!",ADDRESS($T90,MATCH(B$1,INDIRECT("Table!A" &amp; $X90):INDIRECT("Table!" &amp; $AA$171 &amp; $X90),0)))))</f>
        <v>0.78629784280000825</v>
      </c>
      <c r="C90" s="33">
        <f ca="1">IF(ISERROR(MATCH(C$1,INDIRECT("Table!A"&amp;$X90):INDIRECT("Table!" &amp; $AA$171 &amp; $X90),0)),"",INDIRECT(CONCATENATE("Table!",ADDRESS($T90,MATCH(C$1,INDIRECT("Table!A" &amp; $X90):INDIRECT("Table!" &amp; $AA$171 &amp; $X90),0)))))</f>
        <v>0.69258403278619007</v>
      </c>
      <c r="D90" s="33">
        <f ca="1">IF(ISERROR(MATCH(D$1,INDIRECT("Table!A"&amp;$X90):INDIRECT("Table!" &amp; $AA$171 &amp; $X90),0)),"",INDIRECT(CONCATENATE("Table!",ADDRESS($T90,MATCH(D$1,INDIRECT("Table!A" &amp; $X90):INDIRECT("Table!" &amp; $AA$171 &amp; $X90),0)))))</f>
        <v>0.70845916417024346</v>
      </c>
      <c r="E90" s="33">
        <f ca="1">IF(ISERROR(MATCH(E$1,INDIRECT("Table!A"&amp;$X90):INDIRECT("Table!" &amp; $AA$171 &amp; $X90),0)),"",INDIRECT(CONCATENATE("Table!",ADDRESS($T90,MATCH(E$1,INDIRECT("Table!A" &amp; $X90):INDIRECT("Table!" &amp; $AA$171 &amp; $X90),0)))))</f>
        <v>0.8100900120770691</v>
      </c>
      <c r="F90" s="33">
        <f ca="1">IF(ISERROR(MATCH(F$1,INDIRECT("Table!A"&amp;$X90):INDIRECT("Table!" &amp; $AA$171 &amp; $X90),0)),"",INDIRECT(CONCATENATE("Table!",ADDRESS($T90,MATCH(F$1,INDIRECT("Table!A" &amp; $X90):INDIRECT("Table!" &amp; $AA$171 &amp; $X90),0)))))</f>
        <v>0.16888317819401016</v>
      </c>
      <c r="G90" s="33">
        <f ca="1">IF(ISERROR(MATCH(G$1,INDIRECT("Table!A"&amp;$X90):INDIRECT("Table!" &amp; $AA$171 &amp; $X90),0)),"",INDIRECT(CONCATENATE("Table!",ADDRESS($T90,MATCH(G$1,INDIRECT("Table!A" &amp; $X90):INDIRECT("Table!" &amp; $AA$171 &amp; $X90),0)))))</f>
        <v>0.34643900941112127</v>
      </c>
      <c r="H90" s="33">
        <f ca="1">IF(ISERROR(MATCH(H$1,INDIRECT("Table!A"&amp;$X90):INDIRECT("Table!" &amp; $AA$171 &amp; $X90),0)),"",INDIRECT(CONCATENATE("Table!",ADDRESS($T90,MATCH(H$1,INDIRECT("Table!A" &amp; $X90):INDIRECT("Table!" &amp; $AA$171 &amp; $X90),0)))))</f>
        <v>0.17045325298066955</v>
      </c>
      <c r="I90" s="33" t="str">
        <f ca="1">IF(ISERROR(MATCH(I$1,INDIRECT("Table!A"&amp;$X90):INDIRECT("Table!" &amp; $AA$171 &amp; $X90),0)),"",INDIRECT(CONCATENATE("Table!",ADDRESS($T90,MATCH(I$1,INDIRECT("Table!A" &amp; $X90):INDIRECT("Table!" &amp; $AA$171 &amp; $X90),0)))))</f>
        <v/>
      </c>
      <c r="J90" s="33" t="str">
        <f ca="1">IF(ISERROR(MATCH(J$1,INDIRECT("Table!A"&amp;$X90):INDIRECT("Table!" &amp; $AA$171 &amp; $X90),0)),"",INDIRECT(CONCATENATE("Table!",ADDRESS($T90,MATCH(J$1,INDIRECT("Table!A" &amp; $X90):INDIRECT("Table!" &amp; $AA$171 &amp; $X90),0)))))</f>
        <v/>
      </c>
      <c r="K90" s="33" t="str">
        <f ca="1">IF(ISERROR(MATCH(K$1,INDIRECT("Table!A"&amp;$X90):INDIRECT("Table!" &amp; $AA$171 &amp; $X90),0)),"",INDIRECT(CONCATENATE("Table!",ADDRESS($T90,MATCH(K$1,INDIRECT("Table!A" &amp; $X90):INDIRECT("Table!" &amp; $AA$171 &amp; $X90),0)))))</f>
        <v/>
      </c>
      <c r="L90" s="33">
        <f ca="1">IF(ISERROR(MATCH(L$1,INDIRECT("Table!A"&amp;$X90):INDIRECT("Table!" &amp; $AA$171 &amp; $X90),0)),"",INDIRECT(CONCATENATE("Table!",ADDRESS($T90,MATCH(L$1,INDIRECT("Table!A" &amp; $X90):INDIRECT("Table!" &amp; $AA$171 &amp; $X90),0)))))</f>
        <v>0.7809737049593023</v>
      </c>
      <c r="M90" s="33">
        <f ca="1">IF(ISERROR(MATCH(M$1,INDIRECT("Table!A"&amp;$X90):INDIRECT("Table!" &amp; $AA$171 &amp; $X90),0)),"",INDIRECT(CONCATENATE("Table!",ADDRESS($T90,MATCH(M$1,INDIRECT("Table!A" &amp; $X90):INDIRECT("Table!" &amp; $AA$171 &amp; $X90),0)))))</f>
        <v>0.34060509096193053</v>
      </c>
      <c r="N90" s="33">
        <f ca="1">IF(ISERROR(MATCH(N$1,INDIRECT("Table!A"&amp;$X90):INDIRECT("Table!" &amp; $AA$171 &amp; $X90),0)),"",INDIRECT(CONCATENATE("Table!",ADDRESS($T90,MATCH(N$1,INDIRECT("Table!A" &amp; $X90):INDIRECT("Table!" &amp; $AA$171 &amp; $X90),0)))))</f>
        <v>0.2357815510855357</v>
      </c>
      <c r="O90" s="33">
        <f ca="1">IF(ISERROR(MATCH(O$1,INDIRECT("Table!A"&amp;$X90):INDIRECT("Table!" &amp; $AA$171 &amp; $X90),0)),"",INDIRECT(CONCATENATE("Table!",ADDRESS($T90,MATCH(O$1,INDIRECT("Table!A" &amp; $X90):INDIRECT("Table!" &amp; $AA$171 &amp; $X90),0)))))</f>
        <v>0.45433858389519194</v>
      </c>
      <c r="P90" s="33">
        <f ca="1">IF(ISERROR(MATCH(P$1,INDIRECT("Table!A"&amp;$X90):INDIRECT("Table!" &amp; $AA$171 &amp; $X90),0)),"",INDIRECT(CONCATENATE("Table!",ADDRESS($T90,MATCH(P$1,INDIRECT("Table!A" &amp; $X90):INDIRECT("Table!" &amp; $AA$171 &amp; $X90),0)))))</f>
        <v>0.43607181223939839</v>
      </c>
      <c r="T90" s="31">
        <f>MATCH($A90,Table!$A:$A,0)+$V$2-1</f>
        <v>1197</v>
      </c>
      <c r="U90" s="200"/>
      <c r="V90" s="200"/>
      <c r="W90" s="200"/>
      <c r="X90" s="31">
        <f>MATCH($A90,Table!$A:$A,0)+$Z$2-1</f>
        <v>1194</v>
      </c>
      <c r="Y90" s="200"/>
      <c r="AA90" t="s">
        <v>209</v>
      </c>
    </row>
    <row r="91" spans="1:27" ht="15.75" customHeight="1">
      <c r="A91" s="5">
        <v>41058</v>
      </c>
      <c r="B91" s="33">
        <f ca="1">IF(ISERROR(MATCH(B$1,INDIRECT("Table!A"&amp;$X91):INDIRECT("Table!" &amp; $AA$171 &amp; $X91),0)),"",INDIRECT(CONCATENATE("Table!",ADDRESS($T91,MATCH(B$1,INDIRECT("Table!A" &amp; $X91):INDIRECT("Table!" &amp; $AA$171 &amp; $X91),0)))))</f>
        <v>0.78622272416436989</v>
      </c>
      <c r="C91" s="33">
        <f ca="1">IF(ISERROR(MATCH(C$1,INDIRECT("Table!A"&amp;$X91):INDIRECT("Table!" &amp; $AA$171 &amp; $X91),0)),"",INDIRECT(CONCATENATE("Table!",ADDRESS($T91,MATCH(C$1,INDIRECT("Table!A" &amp; $X91):INDIRECT("Table!" &amp; $AA$171 &amp; $X91),0)))))</f>
        <v>0.69257393602896555</v>
      </c>
      <c r="D91" s="33">
        <f ca="1">IF(ISERROR(MATCH(D$1,INDIRECT("Table!A"&amp;$X91):INDIRECT("Table!" &amp; $AA$171 &amp; $X91),0)),"",INDIRECT(CONCATENATE("Table!",ADDRESS($T91,MATCH(D$1,INDIRECT("Table!A" &amp; $X91):INDIRECT("Table!" &amp; $AA$171 &amp; $X91),0)))))</f>
        <v>0.70841877714134549</v>
      </c>
      <c r="E91" s="33">
        <f ca="1">IF(ISERROR(MATCH(E$1,INDIRECT("Table!A"&amp;$X91):INDIRECT("Table!" &amp; $AA$171 &amp; $X91),0)),"",INDIRECT(CONCATENATE("Table!",ADDRESS($T91,MATCH(E$1,INDIRECT("Table!A" &amp; $X91):INDIRECT("Table!" &amp; $AA$171 &amp; $X91),0)))))</f>
        <v>0.8073564625506463</v>
      </c>
      <c r="F91" s="33">
        <f ca="1">IF(ISERROR(MATCH(F$1,INDIRECT("Table!A"&amp;$X91):INDIRECT("Table!" &amp; $AA$171 &amp; $X91),0)),"",INDIRECT(CONCATENATE("Table!",ADDRESS($T91,MATCH(F$1,INDIRECT("Table!A" &amp; $X91):INDIRECT("Table!" &amp; $AA$171 &amp; $X91),0)))))</f>
        <v>0.16888317819401016</v>
      </c>
      <c r="G91" s="33">
        <f ca="1">IF(ISERROR(MATCH(G$1,INDIRECT("Table!A"&amp;$X91):INDIRECT("Table!" &amp; $AA$171 &amp; $X91),0)),"",INDIRECT(CONCATENATE("Table!",ADDRESS($T91,MATCH(G$1,INDIRECT("Table!A" &amp; $X91):INDIRECT("Table!" &amp; $AA$171 &amp; $X91),0)))))</f>
        <v>0.3422072300014809</v>
      </c>
      <c r="H91" s="33">
        <f ca="1">IF(ISERROR(MATCH(H$1,INDIRECT("Table!A"&amp;$X91):INDIRECT("Table!" &amp; $AA$171 &amp; $X91),0)),"",INDIRECT(CONCATENATE("Table!",ADDRESS($T91,MATCH(H$1,INDIRECT("Table!A" &amp; $X91):INDIRECT("Table!" &amp; $AA$171 &amp; $X91),0)))))</f>
        <v>0.17038731808149224</v>
      </c>
      <c r="I91" s="33" t="str">
        <f ca="1">IF(ISERROR(MATCH(I$1,INDIRECT("Table!A"&amp;$X91):INDIRECT("Table!" &amp; $AA$171 &amp; $X91),0)),"",INDIRECT(CONCATENATE("Table!",ADDRESS($T91,MATCH(I$1,INDIRECT("Table!A" &amp; $X91):INDIRECT("Table!" &amp; $AA$171 &amp; $X91),0)))))</f>
        <v/>
      </c>
      <c r="J91" s="33" t="str">
        <f ca="1">IF(ISERROR(MATCH(J$1,INDIRECT("Table!A"&amp;$X91):INDIRECT("Table!" &amp; $AA$171 &amp; $X91),0)),"",INDIRECT(CONCATENATE("Table!",ADDRESS($T91,MATCH(J$1,INDIRECT("Table!A" &amp; $X91):INDIRECT("Table!" &amp; $AA$171 &amp; $X91),0)))))</f>
        <v/>
      </c>
      <c r="K91" s="33" t="str">
        <f ca="1">IF(ISERROR(MATCH(K$1,INDIRECT("Table!A"&amp;$X91):INDIRECT("Table!" &amp; $AA$171 &amp; $X91),0)),"",INDIRECT(CONCATENATE("Table!",ADDRESS($T91,MATCH(K$1,INDIRECT("Table!A" &amp; $X91):INDIRECT("Table!" &amp; $AA$171 &amp; $X91),0)))))</f>
        <v/>
      </c>
      <c r="L91" s="33">
        <f ca="1">IF(ISERROR(MATCH(L$1,INDIRECT("Table!A"&amp;$X91):INDIRECT("Table!" &amp; $AA$171 &amp; $X91),0)),"",INDIRECT(CONCATENATE("Table!",ADDRESS($T91,MATCH(L$1,INDIRECT("Table!A" &amp; $X91):INDIRECT("Table!" &amp; $AA$171 &amp; $X91),0)))))</f>
        <v>0.77510241706615746</v>
      </c>
      <c r="M91" s="33">
        <f ca="1">IF(ISERROR(MATCH(M$1,INDIRECT("Table!A"&amp;$X91):INDIRECT("Table!" &amp; $AA$171 &amp; $X91),0)),"",INDIRECT(CONCATENATE("Table!",ADDRESS($T91,MATCH(M$1,INDIRECT("Table!A" &amp; $X91):INDIRECT("Table!" &amp; $AA$171 &amp; $X91),0)))))</f>
        <v>0.33919968032016412</v>
      </c>
      <c r="N91" s="33">
        <f ca="1">IF(ISERROR(MATCH(N$1,INDIRECT("Table!A"&amp;$X91):INDIRECT("Table!" &amp; $AA$171 &amp; $X91),0)),"",INDIRECT(CONCATENATE("Table!",ADDRESS($T91,MATCH(N$1,INDIRECT("Table!A" &amp; $X91):INDIRECT("Table!" &amp; $AA$171 &amp; $X91),0)))))</f>
        <v>0.23577330922313852</v>
      </c>
      <c r="O91" s="33">
        <f ca="1">IF(ISERROR(MATCH(O$1,INDIRECT("Table!A"&amp;$X91):INDIRECT("Table!" &amp; $AA$171 &amp; $X91),0)),"",INDIRECT(CONCATENATE("Table!",ADDRESS($T91,MATCH(O$1,INDIRECT("Table!A" &amp; $X91):INDIRECT("Table!" &amp; $AA$171 &amp; $X91),0)))))</f>
        <v>0.45424849007863088</v>
      </c>
      <c r="P91" s="33">
        <f ca="1">IF(ISERROR(MATCH(P$1,INDIRECT("Table!A"&amp;$X91):INDIRECT("Table!" &amp; $AA$171 &amp; $X91),0)),"",INDIRECT(CONCATENATE("Table!",ADDRESS($T91,MATCH(P$1,INDIRECT("Table!A" &amp; $X91):INDIRECT("Table!" &amp; $AA$171 &amp; $X91),0)))))</f>
        <v>0.43606999144225345</v>
      </c>
      <c r="T91" s="31">
        <f>MATCH($A91,Table!$A:$A,0)+$V$2-1</f>
        <v>1210</v>
      </c>
      <c r="U91" s="199"/>
      <c r="V91" s="199"/>
      <c r="W91" s="199"/>
      <c r="X91" s="31">
        <f>MATCH($A91,Table!$A:$A,0)+$Z$2-1</f>
        <v>1207</v>
      </c>
      <c r="Y91" s="199"/>
      <c r="AA91" t="s">
        <v>209</v>
      </c>
    </row>
    <row r="92" spans="1:27" ht="15.75" customHeight="1">
      <c r="A92" s="5">
        <v>41057</v>
      </c>
      <c r="B92" s="33">
        <f ca="1">IF(ISERROR(MATCH(B$1,INDIRECT("Table!A"&amp;$X92):INDIRECT("Table!" &amp; $AA$171 &amp; $X92),0)),"",INDIRECT(CONCATENATE("Table!",ADDRESS($T92,MATCH(B$1,INDIRECT("Table!A" &amp; $X92):INDIRECT("Table!" &amp; $AA$171 &amp; $X92),0)))))</f>
        <v>0.78596542125149371</v>
      </c>
      <c r="C92" s="33">
        <f ca="1">IF(ISERROR(MATCH(C$1,INDIRECT("Table!A"&amp;$X92):INDIRECT("Table!" &amp; $AA$171 &amp; $X92),0)),"",INDIRECT(CONCATENATE("Table!",ADDRESS($T92,MATCH(C$1,INDIRECT("Table!A" &amp; $X92):INDIRECT("Table!" &amp; $AA$171 &amp; $X92),0)))))</f>
        <v>0.69256484894746362</v>
      </c>
      <c r="D92" s="33">
        <f ca="1">IF(ISERROR(MATCH(D$1,INDIRECT("Table!A"&amp;$X92):INDIRECT("Table!" &amp; $AA$171 &amp; $X92),0)),"",INDIRECT(CONCATENATE("Table!",ADDRESS($T92,MATCH(D$1,INDIRECT("Table!A" &amp; $X92):INDIRECT("Table!" &amp; $AA$171 &amp; $X92),0)))))</f>
        <v>0.70589458783522496</v>
      </c>
      <c r="E92" s="33">
        <f ca="1">IF(ISERROR(MATCH(E$1,INDIRECT("Table!A"&amp;$X92):INDIRECT("Table!" &amp; $AA$171 &amp; $X92),0)),"",INDIRECT(CONCATENATE("Table!",ADDRESS($T92,MATCH(E$1,INDIRECT("Table!A" &amp; $X92):INDIRECT("Table!" &amp; $AA$171 &amp; $X92),0)))))</f>
        <v>0.80668612477733259</v>
      </c>
      <c r="F92" s="33">
        <f ca="1">IF(ISERROR(MATCH(F$1,INDIRECT("Table!A"&amp;$X92):INDIRECT("Table!" &amp; $AA$171 &amp; $X92),0)),"",INDIRECT(CONCATENATE("Table!",ADDRESS($T92,MATCH(F$1,INDIRECT("Table!A" &amp; $X92):INDIRECT("Table!" &amp; $AA$171 &amp; $X92),0)))))</f>
        <v>0.16888235400777041</v>
      </c>
      <c r="G92" s="33">
        <f ca="1">IF(ISERROR(MATCH(G$1,INDIRECT("Table!A"&amp;$X92):INDIRECT("Table!" &amp; $AA$171 &amp; $X92),0)),"",INDIRECT(CONCATENATE("Table!",ADDRESS($T92,MATCH(G$1,INDIRECT("Table!A" &amp; $X92):INDIRECT("Table!" &amp; $AA$171 &amp; $X92),0)))))</f>
        <v>0.34087900726706816</v>
      </c>
      <c r="H92" s="33">
        <f ca="1">IF(ISERROR(MATCH(H$1,INDIRECT("Table!A"&amp;$X92):INDIRECT("Table!" &amp; $AA$171 &amp; $X92),0)),"",INDIRECT(CONCATENATE("Table!",ADDRESS($T92,MATCH(H$1,INDIRECT("Table!A" &amp; $X92):INDIRECT("Table!" &amp; $AA$171 &amp; $X92),0)))))</f>
        <v>0.17032715248599295</v>
      </c>
      <c r="I92" s="33" t="str">
        <f ca="1">IF(ISERROR(MATCH(I$1,INDIRECT("Table!A"&amp;$X92):INDIRECT("Table!" &amp; $AA$171 &amp; $X92),0)),"",INDIRECT(CONCATENATE("Table!",ADDRESS($T92,MATCH(I$1,INDIRECT("Table!A" &amp; $X92):INDIRECT("Table!" &amp; $AA$171 &amp; $X92),0)))))</f>
        <v/>
      </c>
      <c r="J92" s="33" t="str">
        <f ca="1">IF(ISERROR(MATCH(J$1,INDIRECT("Table!A"&amp;$X92):INDIRECT("Table!" &amp; $AA$171 &amp; $X92),0)),"",INDIRECT(CONCATENATE("Table!",ADDRESS($T92,MATCH(J$1,INDIRECT("Table!A" &amp; $X92):INDIRECT("Table!" &amp; $AA$171 &amp; $X92),0)))))</f>
        <v/>
      </c>
      <c r="K92" s="33" t="str">
        <f ca="1">IF(ISERROR(MATCH(K$1,INDIRECT("Table!A"&amp;$X92):INDIRECT("Table!" &amp; $AA$171 &amp; $X92),0)),"",INDIRECT(CONCATENATE("Table!",ADDRESS($T92,MATCH(K$1,INDIRECT("Table!A" &amp; $X92):INDIRECT("Table!" &amp; $AA$171 &amp; $X92),0)))))</f>
        <v/>
      </c>
      <c r="L92" s="33">
        <f ca="1">IF(ISERROR(MATCH(L$1,INDIRECT("Table!A"&amp;$X92):INDIRECT("Table!" &amp; $AA$171 &amp; $X92),0)),"",INDIRECT(CONCATENATE("Table!",ADDRESS($T92,MATCH(L$1,INDIRECT("Table!A" &amp; $X92):INDIRECT("Table!" &amp; $AA$171 &amp; $X92),0)))))</f>
        <v>0.77485500176641653</v>
      </c>
      <c r="M92" s="33">
        <f ca="1">IF(ISERROR(MATCH(M$1,INDIRECT("Table!A"&amp;$X92):INDIRECT("Table!" &amp; $AA$171 &amp; $X92),0)),"",INDIRECT(CONCATENATE("Table!",ADDRESS($T92,MATCH(M$1,INDIRECT("Table!A" &amp; $X92):INDIRECT("Table!" &amp; $AA$171 &amp; $X92),0)))))</f>
        <v>0.34072466817323854</v>
      </c>
      <c r="N92" s="33">
        <f ca="1">IF(ISERROR(MATCH(N$1,INDIRECT("Table!A"&amp;$X92):INDIRECT("Table!" &amp; $AA$171 &amp; $X92),0)),"",INDIRECT(CONCATENATE("Table!",ADDRESS($T92,MATCH(N$1,INDIRECT("Table!A" &amp; $X92):INDIRECT("Table!" &amp; $AA$171 &amp; $X92),0)))))</f>
        <v>0.23534308400600665</v>
      </c>
      <c r="O92" s="33">
        <f ca="1">IF(ISERROR(MATCH(O$1,INDIRECT("Table!A"&amp;$X92):INDIRECT("Table!" &amp; $AA$171 &amp; $X92),0)),"",INDIRECT(CONCATENATE("Table!",ADDRESS($T92,MATCH(O$1,INDIRECT("Table!A" &amp; $X92):INDIRECT("Table!" &amp; $AA$171 &amp; $X92),0)))))</f>
        <v>0.45417482846760615</v>
      </c>
      <c r="P92" s="33">
        <f ca="1">IF(ISERROR(MATCH(P$1,INDIRECT("Table!A"&amp;$X92):INDIRECT("Table!" &amp; $AA$171 &amp; $X92),0)),"",INDIRECT(CONCATENATE("Table!",ADDRESS($T92,MATCH(P$1,INDIRECT("Table!A" &amp; $X92):INDIRECT("Table!" &amp; $AA$171 &amp; $X92),0)))))</f>
        <v>0.43606999144225345</v>
      </c>
      <c r="T92" s="31">
        <f>MATCH($A92,Table!$A:$A,0)+$V$2-1</f>
        <v>1223</v>
      </c>
      <c r="U92" s="198"/>
      <c r="V92" s="198"/>
      <c r="W92" s="198"/>
      <c r="X92" s="31">
        <f>MATCH($A92,Table!$A:$A,0)+$Z$2-1</f>
        <v>1220</v>
      </c>
      <c r="Y92" s="198"/>
      <c r="AA92" t="s">
        <v>209</v>
      </c>
    </row>
    <row r="93" spans="1:27" ht="15.75" customHeight="1">
      <c r="A93" s="5">
        <v>41054</v>
      </c>
      <c r="B93" s="33">
        <f ca="1">IF(ISERROR(MATCH(B$1,INDIRECT("Table!A"&amp;$X93):INDIRECT("Table!" &amp; $AA$171 &amp; $X93),0)),"",INDIRECT(CONCATENATE("Table!",ADDRESS($T93,MATCH(B$1,INDIRECT("Table!A" &amp; $X93):INDIRECT("Table!" &amp; $AA$171 &amp; $X93),0)))))</f>
        <v>0.78483691485173135</v>
      </c>
      <c r="C93" s="33">
        <f ca="1">IF(ISERROR(MATCH(C$1,INDIRECT("Table!A"&amp;$X93):INDIRECT("Table!" &amp; $AA$171 &amp; $X93),0)),"",INDIRECT(CONCATENATE("Table!",ADDRESS($T93,MATCH(C$1,INDIRECT("Table!A" &amp; $X93):INDIRECT("Table!" &amp; $AA$171 &amp; $X93),0)))))</f>
        <v>0.69230738163823935</v>
      </c>
      <c r="D93" s="33">
        <f ca="1">IF(ISERROR(MATCH(D$1,INDIRECT("Table!A"&amp;$X93):INDIRECT("Table!" &amp; $AA$171 &amp; $X93),0)),"",INDIRECT(CONCATENATE("Table!",ADDRESS($T93,MATCH(D$1,INDIRECT("Table!A" &amp; $X93):INDIRECT("Table!" &amp; $AA$171 &amp; $X93),0)))))</f>
        <v>0.70560582057860477</v>
      </c>
      <c r="E93" s="33">
        <f ca="1">IF(ISERROR(MATCH(E$1,INDIRECT("Table!A"&amp;$X93):INDIRECT("Table!" &amp; $AA$171 &amp; $X93),0)),"",INDIRECT(CONCATENATE("Table!",ADDRESS($T93,MATCH(E$1,INDIRECT("Table!A" &amp; $X93):INDIRECT("Table!" &amp; $AA$171 &amp; $X93),0)))))</f>
        <v>0.80391411324752282</v>
      </c>
      <c r="F93" s="33">
        <f ca="1">IF(ISERROR(MATCH(F$1,INDIRECT("Table!A"&amp;$X93):INDIRECT("Table!" &amp; $AA$171 &amp; $X93),0)),"",INDIRECT(CONCATENATE("Table!",ADDRESS($T93,MATCH(F$1,INDIRECT("Table!A" &amp; $X93):INDIRECT("Table!" &amp; $AA$171 &amp; $X93),0)))))</f>
        <v>0.16887576051785269</v>
      </c>
      <c r="G93" s="33">
        <f ca="1">IF(ISERROR(MATCH(G$1,INDIRECT("Table!A"&amp;$X93):INDIRECT("Table!" &amp; $AA$171 &amp; $X93),0)),"",INDIRECT(CONCATENATE("Table!",ADDRESS($T93,MATCH(G$1,INDIRECT("Table!A" &amp; $X93):INDIRECT("Table!" &amp; $AA$171 &amp; $X93),0)))))</f>
        <v>0.33432056682949968</v>
      </c>
      <c r="H93" s="33">
        <f ca="1">IF(ISERROR(MATCH(H$1,INDIRECT("Table!A"&amp;$X93):INDIRECT("Table!" &amp; $AA$171 &amp; $X93),0)),"",INDIRECT(CONCATENATE("Table!",ADDRESS($T93,MATCH(H$1,INDIRECT("Table!A" &amp; $X93):INDIRECT("Table!" &amp; $AA$171 &amp; $X93),0)))))</f>
        <v>0.17022495339226815</v>
      </c>
      <c r="I93" s="33" t="str">
        <f ca="1">IF(ISERROR(MATCH(I$1,INDIRECT("Table!A"&amp;$X93):INDIRECT("Table!" &amp; $AA$171 &amp; $X93),0)),"",INDIRECT(CONCATENATE("Table!",ADDRESS($T93,MATCH(I$1,INDIRECT("Table!A" &amp; $X93):INDIRECT("Table!" &amp; $AA$171 &amp; $X93),0)))))</f>
        <v/>
      </c>
      <c r="J93" s="33" t="str">
        <f ca="1">IF(ISERROR(MATCH(J$1,INDIRECT("Table!A"&amp;$X93):INDIRECT("Table!" &amp; $AA$171 &amp; $X93),0)),"",INDIRECT(CONCATENATE("Table!",ADDRESS($T93,MATCH(J$1,INDIRECT("Table!A" &amp; $X93):INDIRECT("Table!" &amp; $AA$171 &amp; $X93),0)))))</f>
        <v/>
      </c>
      <c r="K93" s="33" t="str">
        <f ca="1">IF(ISERROR(MATCH(K$1,INDIRECT("Table!A"&amp;$X93):INDIRECT("Table!" &amp; $AA$171 &amp; $X93),0)),"",INDIRECT(CONCATENATE("Table!",ADDRESS($T93,MATCH(K$1,INDIRECT("Table!A" &amp; $X93):INDIRECT("Table!" &amp; $AA$171 &amp; $X93),0)))))</f>
        <v/>
      </c>
      <c r="L93" s="33">
        <f ca="1">IF(ISERROR(MATCH(L$1,INDIRECT("Table!A"&amp;$X93):INDIRECT("Table!" &amp; $AA$171 &amp; $X93),0)),"",INDIRECT(CONCATENATE("Table!",ADDRESS($T93,MATCH(L$1,INDIRECT("Table!A" &amp; $X93):INDIRECT("Table!" &amp; $AA$171 &amp; $X93),0)))))</f>
        <v>0.76826135478301139</v>
      </c>
      <c r="M93" s="33">
        <f ca="1">IF(ISERROR(MATCH(M$1,INDIRECT("Table!A"&amp;$X93):INDIRECT("Table!" &amp; $AA$171 &amp; $X93),0)),"",INDIRECT(CONCATENATE("Table!",ADDRESS($T93,MATCH(M$1,INDIRECT("Table!A" &amp; $X93):INDIRECT("Table!" &amp; $AA$171 &amp; $X93),0)))))</f>
        <v>0.34265303991002949</v>
      </c>
      <c r="N93" s="33">
        <f ca="1">IF(ISERROR(MATCH(N$1,INDIRECT("Table!A"&amp;$X93):INDIRECT("Table!" &amp; $AA$171 &amp; $X93),0)),"",INDIRECT(CONCATENATE("Table!",ADDRESS($T93,MATCH(N$1,INDIRECT("Table!A" &amp; $X93):INDIRECT("Table!" &amp; $AA$171 &amp; $X93),0)))))</f>
        <v>0.22959520917022577</v>
      </c>
      <c r="O93" s="33">
        <f ca="1">IF(ISERROR(MATCH(O$1,INDIRECT("Table!A"&amp;$X93):INDIRECT("Table!" &amp; $AA$171 &amp; $X93),0)),"",INDIRECT(CONCATENATE("Table!",ADDRESS($T93,MATCH(O$1,INDIRECT("Table!A" &amp; $X93):INDIRECT("Table!" &amp; $AA$171 &amp; $X93),0)))))</f>
        <v>0.45403770454554465</v>
      </c>
      <c r="P93" s="33">
        <f ca="1">IF(ISERROR(MATCH(P$1,INDIRECT("Table!A"&amp;$X93):INDIRECT("Table!" &amp; $AA$171 &amp; $X93),0)),"",INDIRECT(CONCATENATE("Table!",ADDRESS($T93,MATCH(P$1,INDIRECT("Table!A" &amp; $X93):INDIRECT("Table!" &amp; $AA$171 &amp; $X93),0)))))</f>
        <v>0.43606088745652849</v>
      </c>
      <c r="T93" s="31">
        <f>MATCH($A93,Table!$A:$A,0)+$V$2-1</f>
        <v>1236</v>
      </c>
      <c r="U93" s="197"/>
      <c r="V93" s="197"/>
      <c r="W93" s="197"/>
      <c r="X93" s="31">
        <f>MATCH($A93,Table!$A:$A,0)+$Z$2-1</f>
        <v>1233</v>
      </c>
      <c r="Y93" s="197"/>
      <c r="AA93" t="s">
        <v>209</v>
      </c>
    </row>
    <row r="94" spans="1:27" ht="15.75" customHeight="1">
      <c r="A94" s="5">
        <v>41053</v>
      </c>
      <c r="B94" s="33">
        <f ca="1">IF(ISERROR(MATCH(B$1,INDIRECT("Table!A"&amp;$X94):INDIRECT("Table!" &amp; $AA$171 &amp; $X94),0)),"",INDIRECT(CONCATENATE("Table!",ADDRESS($T94,MATCH(B$1,INDIRECT("Table!A" &amp; $X94):INDIRECT("Table!" &amp; $AA$171 &amp; $X94),0)))))</f>
        <v>0.78440778885273987</v>
      </c>
      <c r="C94" s="33">
        <f ca="1">IF(ISERROR(MATCH(C$1,INDIRECT("Table!A"&amp;$X94):INDIRECT("Table!" &amp; $AA$171 &amp; $X94),0)),"",INDIRECT(CONCATENATE("Table!",ADDRESS($T94,MATCH(C$1,INDIRECT("Table!A" &amp; $X94):INDIRECT("Table!" &amp; $AA$171 &amp; $X94),0)))))</f>
        <v>0.69202063373306388</v>
      </c>
      <c r="D94" s="33">
        <f ca="1">IF(ISERROR(MATCH(D$1,INDIRECT("Table!A"&amp;$X94):INDIRECT("Table!" &amp; $AA$171 &amp; $X94),0)),"",INDIRECT(CONCATENATE("Table!",ADDRESS($T94,MATCH(D$1,INDIRECT("Table!A" &amp; $X94):INDIRECT("Table!" &amp; $AA$171 &amp; $X94),0)))))</f>
        <v>0.70531907267342953</v>
      </c>
      <c r="E94" s="33">
        <f ca="1">IF(ISERROR(MATCH(E$1,INDIRECT("Table!A"&amp;$X94):INDIRECT("Table!" &amp; $AA$171 &amp; $X94),0)),"",INDIRECT(CONCATENATE("Table!",ADDRESS($T94,MATCH(E$1,INDIRECT("Table!A" &amp; $X94):INDIRECT("Table!" &amp; $AA$171 &amp; $X94),0)))))</f>
        <v>0.80333113916761634</v>
      </c>
      <c r="F94" s="33">
        <f ca="1">IF(ISERROR(MATCH(F$1,INDIRECT("Table!A"&amp;$X94):INDIRECT("Table!" &amp; $AA$171 &amp; $X94),0)),"",INDIRECT(CONCATENATE("Table!",ADDRESS($T94,MATCH(F$1,INDIRECT("Table!A" &amp; $X94):INDIRECT("Table!" &amp; $AA$171 &amp; $X94),0)))))</f>
        <v>0.16884444144074348</v>
      </c>
      <c r="G94" s="33">
        <f ca="1">IF(ISERROR(MATCH(G$1,INDIRECT("Table!A"&amp;$X94):INDIRECT("Table!" &amp; $AA$171 &amp; $X94),0)),"",INDIRECT(CONCATENATE("Table!",ADDRESS($T94,MATCH(G$1,INDIRECT("Table!A" &amp; $X94):INDIRECT("Table!" &amp; $AA$171 &amp; $X94),0)))))</f>
        <v>0.3314369970900839</v>
      </c>
      <c r="H94" s="33">
        <f ca="1">IF(ISERROR(MATCH(H$1,INDIRECT("Table!A"&amp;$X94):INDIRECT("Table!" &amp; $AA$171 &amp; $X94),0)),"",INDIRECT(CONCATENATE("Table!",ADDRESS($T94,MATCH(H$1,INDIRECT("Table!A" &amp; $X94):INDIRECT("Table!" &amp; $AA$171 &amp; $X94),0)))))</f>
        <v>0.17018456826652203</v>
      </c>
      <c r="I94" s="33" t="str">
        <f ca="1">IF(ISERROR(MATCH(I$1,INDIRECT("Table!A"&amp;$X94):INDIRECT("Table!" &amp; $AA$171 &amp; $X94),0)),"",INDIRECT(CONCATENATE("Table!",ADDRESS($T94,MATCH(I$1,INDIRECT("Table!A" &amp; $X94):INDIRECT("Table!" &amp; $AA$171 &amp; $X94),0)))))</f>
        <v/>
      </c>
      <c r="J94" s="33" t="str">
        <f ca="1">IF(ISERROR(MATCH(J$1,INDIRECT("Table!A"&amp;$X94):INDIRECT("Table!" &amp; $AA$171 &amp; $X94),0)),"",INDIRECT(CONCATENATE("Table!",ADDRESS($T94,MATCH(J$1,INDIRECT("Table!A" &amp; $X94):INDIRECT("Table!" &amp; $AA$171 &amp; $X94),0)))))</f>
        <v/>
      </c>
      <c r="K94" s="33" t="str">
        <f ca="1">IF(ISERROR(MATCH(K$1,INDIRECT("Table!A"&amp;$X94):INDIRECT("Table!" &amp; $AA$171 &amp; $X94),0)),"",INDIRECT(CONCATENATE("Table!",ADDRESS($T94,MATCH(K$1,INDIRECT("Table!A" &amp; $X94):INDIRECT("Table!" &amp; $AA$171 &amp; $X94),0)))))</f>
        <v/>
      </c>
      <c r="L94" s="33">
        <f ca="1">IF(ISERROR(MATCH(L$1,INDIRECT("Table!A"&amp;$X94):INDIRECT("Table!" &amp; $AA$171 &amp; $X94),0)),"",INDIRECT(CONCATENATE("Table!",ADDRESS($T94,MATCH(L$1,INDIRECT("Table!A" &amp; $X94):INDIRECT("Table!" &amp; $AA$171 &amp; $X94),0)))))</f>
        <v>0.76750741076086926</v>
      </c>
      <c r="M94" s="33">
        <f ca="1">IF(ISERROR(MATCH(M$1,INDIRECT("Table!A"&amp;$X94):INDIRECT("Table!" &amp; $AA$171 &amp; $X94),0)),"",INDIRECT(CONCATENATE("Table!",ADDRESS($T94,MATCH(M$1,INDIRECT("Table!A" &amp; $X94):INDIRECT("Table!" &amp; $AA$171 &amp; $X94),0)))))</f>
        <v>0.34238588322906904</v>
      </c>
      <c r="N94" s="33">
        <f ca="1">IF(ISERROR(MATCH(N$1,INDIRECT("Table!A"&amp;$X94):INDIRECT("Table!" &amp; $AA$171 &amp; $X94),0)),"",INDIRECT(CONCATENATE("Table!",ADDRESS($T94,MATCH(N$1,INDIRECT("Table!A" &amp; $X94):INDIRECT("Table!" &amp; $AA$171 &amp; $X94),0)))))</f>
        <v>0.22956224172063713</v>
      </c>
      <c r="O94" s="33">
        <f ca="1">IF(ISERROR(MATCH(O$1,INDIRECT("Table!A"&amp;$X94):INDIRECT("Table!" &amp; $AA$171 &amp; $X94),0)),"",INDIRECT(CONCATENATE("Table!",ADDRESS($T94,MATCH(O$1,INDIRECT("Table!A" &amp; $X94):INDIRECT("Table!" &amp; $AA$171 &amp; $X94),0)))))</f>
        <v>0.45398670804560448</v>
      </c>
      <c r="P94" s="33">
        <f ca="1">IF(ISERROR(MATCH(P$1,INDIRECT("Table!A"&amp;$X94):INDIRECT("Table!" &amp; $AA$171 &amp; $X94),0)),"",INDIRECT(CONCATENATE("Table!",ADDRESS($T94,MATCH(P$1,INDIRECT("Table!A" &amp; $X94):INDIRECT("Table!" &amp; $AA$171 &amp; $X94),0)))))</f>
        <v>0.43606088745652849</v>
      </c>
      <c r="T94" s="31">
        <f>MATCH($A94,Table!$A:$A,0)+$V$2-1</f>
        <v>1249</v>
      </c>
      <c r="U94" s="196"/>
      <c r="V94" s="196"/>
      <c r="W94" s="196"/>
      <c r="X94" s="31">
        <f>MATCH($A94,Table!$A:$A,0)+$Z$2-1</f>
        <v>1246</v>
      </c>
      <c r="Y94" s="196"/>
      <c r="AA94" t="s">
        <v>209</v>
      </c>
    </row>
    <row r="95" spans="1:27" ht="15.75" customHeight="1">
      <c r="A95" s="5">
        <v>41051</v>
      </c>
      <c r="B95" s="33">
        <f ca="1">IF(ISERROR(MATCH(B$1,INDIRECT("Table!A"&amp;$X95):INDIRECT("Table!" &amp; $AA$171 &amp; $X95),0)),"",INDIRECT(CONCATENATE("Table!",ADDRESS($T95,MATCH(B$1,INDIRECT("Table!A" &amp; $X95):INDIRECT("Table!" &amp; $AA$171 &amp; $X95),0)))))</f>
        <v>0.78327755558779033</v>
      </c>
      <c r="C95" s="33">
        <f ca="1">IF(ISERROR(MATCH(C$1,INDIRECT("Table!A"&amp;$X95):INDIRECT("Table!" &amp; $AA$171 &amp; $X95),0)),"",INDIRECT(CONCATENATE("Table!",ADDRESS($T95,MATCH(C$1,INDIRECT("Table!A" &amp; $X95):INDIRECT("Table!" &amp; $AA$171 &amp; $X95),0)))))</f>
        <v>0.6915642603065173</v>
      </c>
      <c r="D95" s="33">
        <f ca="1">IF(ISERROR(MATCH(D$1,INDIRECT("Table!A"&amp;$X95):INDIRECT("Table!" &amp; $AA$171 &amp; $X95),0)),"",INDIRECT(CONCATENATE("Table!",ADDRESS($T95,MATCH(D$1,INDIRECT("Table!A" &amp; $X95):INDIRECT("Table!" &amp; $AA$171 &amp; $X95),0)))))</f>
        <v>0.7048637089226053</v>
      </c>
      <c r="E95" s="33">
        <f ca="1">IF(ISERROR(MATCH(E$1,INDIRECT("Table!A"&amp;$X95):INDIRECT("Table!" &amp; $AA$171 &amp; $X95),0)),"",INDIRECT(CONCATENATE("Table!",ADDRESS($T95,MATCH(E$1,INDIRECT("Table!A" &amp; $X95):INDIRECT("Table!" &amp; $AA$171 &amp; $X95),0)))))</f>
        <v>0.80181518677698305</v>
      </c>
      <c r="F95" s="33">
        <f ca="1">IF(ISERROR(MATCH(F$1,INDIRECT("Table!A"&amp;$X95):INDIRECT("Table!" &amp; $AA$171 &amp; $X95),0)),"",INDIRECT(CONCATENATE("Table!",ADDRESS($T95,MATCH(F$1,INDIRECT("Table!A" &amp; $X95):INDIRECT("Table!" &amp; $AA$171 &amp; $X95),0)))))</f>
        <v>0.16858235021651374</v>
      </c>
      <c r="G95" s="33">
        <f ca="1">IF(ISERROR(MATCH(G$1,INDIRECT("Table!A"&amp;$X95):INDIRECT("Table!" &amp; $AA$171 &amp; $X95),0)),"",INDIRECT(CONCATENATE("Table!",ADDRESS($T95,MATCH(G$1,INDIRECT("Table!A" &amp; $X95):INDIRECT("Table!" &amp; $AA$171 &amp; $X95),0)))))</f>
        <v>0.31997812339025672</v>
      </c>
      <c r="H95" s="33">
        <f ca="1">IF(ISERROR(MATCH(H$1,INDIRECT("Table!A"&amp;$X95):INDIRECT("Table!" &amp; $AA$171 &amp; $X95),0)),"",INDIRECT(CONCATENATE("Table!",ADDRESS($T95,MATCH(H$1,INDIRECT("Table!A" &amp; $X95):INDIRECT("Table!" &amp; $AA$171 &amp; $X95),0)))))</f>
        <v>0.17008484173151639</v>
      </c>
      <c r="I95" s="33" t="str">
        <f ca="1">IF(ISERROR(MATCH(I$1,INDIRECT("Table!A"&amp;$X95):INDIRECT("Table!" &amp; $AA$171 &amp; $X95),0)),"",INDIRECT(CONCATENATE("Table!",ADDRESS($T95,MATCH(I$1,INDIRECT("Table!A" &amp; $X95):INDIRECT("Table!" &amp; $AA$171 &amp; $X95),0)))))</f>
        <v/>
      </c>
      <c r="J95" s="33" t="str">
        <f ca="1">IF(ISERROR(MATCH(J$1,INDIRECT("Table!A"&amp;$X95):INDIRECT("Table!" &amp; $AA$171 &amp; $X95),0)),"",INDIRECT(CONCATENATE("Table!",ADDRESS($T95,MATCH(J$1,INDIRECT("Table!A" &amp; $X95):INDIRECT("Table!" &amp; $AA$171 &amp; $X95),0)))))</f>
        <v/>
      </c>
      <c r="K95" s="33" t="str">
        <f ca="1">IF(ISERROR(MATCH(K$1,INDIRECT("Table!A"&amp;$X95):INDIRECT("Table!" &amp; $AA$171 &amp; $X95),0)),"",INDIRECT(CONCATENATE("Table!",ADDRESS($T95,MATCH(K$1,INDIRECT("Table!A" &amp; $X95):INDIRECT("Table!" &amp; $AA$171 &amp; $X95),0)))))</f>
        <v/>
      </c>
      <c r="L95" s="33">
        <f ca="1">IF(ISERROR(MATCH(L$1,INDIRECT("Table!A"&amp;$X95):INDIRECT("Table!" &amp; $AA$171 &amp; $X95),0)),"",INDIRECT(CONCATENATE("Table!",ADDRESS($T95,MATCH(L$1,INDIRECT("Table!A" &amp; $X95):INDIRECT("Table!" &amp; $AA$171 &amp; $X95),0)))))</f>
        <v>0.76566905074411762</v>
      </c>
      <c r="M95" s="33">
        <f ca="1">IF(ISERROR(MATCH(M$1,INDIRECT("Table!A"&amp;$X95):INDIRECT("Table!" &amp; $AA$171 &amp; $X95),0)),"",INDIRECT(CONCATENATE("Table!",ADDRESS($T95,MATCH(M$1,INDIRECT("Table!A" &amp; $X95):INDIRECT("Table!" &amp; $AA$171 &amp; $X95),0)))))</f>
        <v>0.34256222177485879</v>
      </c>
      <c r="N95" s="33">
        <f ca="1">IF(ISERROR(MATCH(N$1,INDIRECT("Table!A"&amp;$X95):INDIRECT("Table!" &amp; $AA$171 &amp; $X95),0)),"",INDIRECT(CONCATENATE("Table!",ADDRESS($T95,MATCH(N$1,INDIRECT("Table!A" &amp; $X95):INDIRECT("Table!" &amp; $AA$171 &amp; $X95),0)))))</f>
        <v>0.22927377653673645</v>
      </c>
      <c r="O95" s="33">
        <f ca="1">IF(ISERROR(MATCH(O$1,INDIRECT("Table!A"&amp;$X95):INDIRECT("Table!" &amp; $AA$171 &amp; $X95),0)),"",INDIRECT(CONCATENATE("Table!",ADDRESS($T95,MATCH(O$1,INDIRECT("Table!A" &amp; $X95):INDIRECT("Table!" &amp; $AA$171 &amp; $X95),0)))))</f>
        <v>0.45384901749576584</v>
      </c>
      <c r="P95" s="33">
        <f ca="1">IF(ISERROR(MATCH(P$1,INDIRECT("Table!A"&amp;$X95):INDIRECT("Table!" &amp; $AA$171 &amp; $X95),0)),"",INDIRECT(CONCATENATE("Table!",ADDRESS($T95,MATCH(P$1,INDIRECT("Table!A" &amp; $X95):INDIRECT("Table!" &amp; $AA$171 &amp; $X95),0)))))</f>
        <v>0.43604996267365853</v>
      </c>
      <c r="T95" s="31">
        <f>MATCH($A95,Table!$A:$A,0)+$V$2-1</f>
        <v>1262</v>
      </c>
      <c r="U95" s="195"/>
      <c r="V95" s="195"/>
      <c r="W95" s="195"/>
      <c r="X95" s="31">
        <f>MATCH($A95,Table!$A:$A,0)+$Z$2-1</f>
        <v>1259</v>
      </c>
      <c r="Y95" s="195"/>
      <c r="AA95" t="s">
        <v>209</v>
      </c>
    </row>
    <row r="96" spans="1:27" ht="15.75" customHeight="1">
      <c r="A96" s="5">
        <v>41050</v>
      </c>
      <c r="B96" s="33">
        <f ca="1">IF(ISERROR(MATCH(B$1,INDIRECT("Table!A"&amp;$X96):INDIRECT("Table!" &amp; $AA$171 &amp; $X96),0)),"",INDIRECT(CONCATENATE("Table!",ADDRESS($T96,MATCH(B$1,INDIRECT("Table!A" &amp; $X96):INDIRECT("Table!" &amp; $AA$171 &amp; $X96),0)))))</f>
        <v>0.78228029094224671</v>
      </c>
      <c r="C96" s="33">
        <f ca="1">IF(ISERROR(MATCH(C$1,INDIRECT("Table!A"&amp;$X96):INDIRECT("Table!" &amp; $AA$171 &amp; $X96),0)),"",INDIRECT(CONCATENATE("Table!",ADDRESS($T96,MATCH(C$1,INDIRECT("Table!A" &amp; $X96):INDIRECT("Table!" &amp; $AA$171 &amp; $X96),0)))))</f>
        <v>0.69087869049097506</v>
      </c>
      <c r="D96" s="33">
        <f ca="1">IF(ISERROR(MATCH(D$1,INDIRECT("Table!A"&amp;$X96):INDIRECT("Table!" &amp; $AA$171 &amp; $X96),0)),"",INDIRECT(CONCATENATE("Table!",ADDRESS($T96,MATCH(D$1,INDIRECT("Table!A" &amp; $X96):INDIRECT("Table!" &amp; $AA$171 &amp; $X96),0)))))</f>
        <v>0.70417813910706295</v>
      </c>
      <c r="E96" s="33">
        <f ca="1">IF(ISERROR(MATCH(E$1,INDIRECT("Table!A"&amp;$X96):INDIRECT("Table!" &amp; $AA$171 &amp; $X96),0)),"",INDIRECT(CONCATENATE("Table!",ADDRESS($T96,MATCH(E$1,INDIRECT("Table!A" &amp; $X96):INDIRECT("Table!" &amp; $AA$171 &amp; $X96),0)))))</f>
        <v>0.80121572898133941</v>
      </c>
      <c r="F96" s="33">
        <f ca="1">IF(ISERROR(MATCH(F$1,INDIRECT("Table!A"&amp;$X96):INDIRECT("Table!" &amp; $AA$171 &amp; $X96),0)),"",INDIRECT(CONCATENATE("Table!",ADDRESS($T96,MATCH(F$1,INDIRECT("Table!A" &amp; $X96):INDIRECT("Table!" &amp; $AA$171 &amp; $X96),0)))))</f>
        <v>0.16856998742291798</v>
      </c>
      <c r="G96" s="33">
        <f ca="1">IF(ISERROR(MATCH(G$1,INDIRECT("Table!A"&amp;$X96):INDIRECT("Table!" &amp; $AA$171 &amp; $X96),0)),"",INDIRECT(CONCATENATE("Table!",ADDRESS($T96,MATCH(G$1,INDIRECT("Table!A" &amp; $X96):INDIRECT("Table!" &amp; $AA$171 &amp; $X96),0)))))</f>
        <v>0.31858267187174932</v>
      </c>
      <c r="H96" s="33">
        <f ca="1">IF(ISERROR(MATCH(H$1,INDIRECT("Table!A"&amp;$X96):INDIRECT("Table!" &amp; $AA$171 &amp; $X96),0)),"",INDIRECT(CONCATENATE("Table!",ADDRESS($T96,MATCH(H$1,INDIRECT("Table!A" &amp; $X96):INDIRECT("Table!" &amp; $AA$171 &amp; $X96),0)))))</f>
        <v>0.17004445660577028</v>
      </c>
      <c r="I96" s="33" t="str">
        <f ca="1">IF(ISERROR(MATCH(I$1,INDIRECT("Table!A"&amp;$X96):INDIRECT("Table!" &amp; $AA$171 &amp; $X96),0)),"",INDIRECT(CONCATENATE("Table!",ADDRESS($T96,MATCH(I$1,INDIRECT("Table!A" &amp; $X96):INDIRECT("Table!" &amp; $AA$171 &amp; $X96),0)))))</f>
        <v/>
      </c>
      <c r="J96" s="33" t="str">
        <f ca="1">IF(ISERROR(MATCH(J$1,INDIRECT("Table!A"&amp;$X96):INDIRECT("Table!" &amp; $AA$171 &amp; $X96),0)),"",INDIRECT(CONCATENATE("Table!",ADDRESS($T96,MATCH(J$1,INDIRECT("Table!A" &amp; $X96):INDIRECT("Table!" &amp; $AA$171 &amp; $X96),0)))))</f>
        <v/>
      </c>
      <c r="K96" s="33" t="str">
        <f ca="1">IF(ISERROR(MATCH(K$1,INDIRECT("Table!A"&amp;$X96):INDIRECT("Table!" &amp; $AA$171 &amp; $X96),0)),"",INDIRECT(CONCATENATE("Table!",ADDRESS($T96,MATCH(K$1,INDIRECT("Table!A" &amp; $X96):INDIRECT("Table!" &amp; $AA$171 &amp; $X96),0)))))</f>
        <v/>
      </c>
      <c r="L96" s="33">
        <f ca="1">IF(ISERROR(MATCH(L$1,INDIRECT("Table!A"&amp;$X96):INDIRECT("Table!" &amp; $AA$171 &amp; $X96),0)),"",INDIRECT(CONCATENATE("Table!",ADDRESS($T96,MATCH(L$1,INDIRECT("Table!A" &amp; $X96):INDIRECT("Table!" &amp; $AA$171 &amp; $X96),0)))))</f>
        <v>0.76528125796934621</v>
      </c>
      <c r="M96" s="33">
        <f ca="1">IF(ISERROR(MATCH(M$1,INDIRECT("Table!A"&amp;$X96):INDIRECT("Table!" &amp; $AA$171 &amp; $X96),0)),"",INDIRECT(CONCATENATE("Table!",ADDRESS($T96,MATCH(M$1,INDIRECT("Table!A" &amp; $X96):INDIRECT("Table!" &amp; $AA$171 &amp; $X96),0)))))</f>
        <v>0.34189470848135428</v>
      </c>
      <c r="N96" s="33">
        <f ca="1">IF(ISERROR(MATCH(N$1,INDIRECT("Table!A"&amp;$X96):INDIRECT("Table!" &amp; $AA$171 &amp; $X96),0)),"",INDIRECT(CONCATENATE("Table!",ADDRESS($T96,MATCH(N$1,INDIRECT("Table!A" &amp; $X96):INDIRECT("Table!" &amp; $AA$171 &amp; $X96),0)))))</f>
        <v>0.2292556444394627</v>
      </c>
      <c r="O96" s="33">
        <f ca="1">IF(ISERROR(MATCH(O$1,INDIRECT("Table!A"&amp;$X96):INDIRECT("Table!" &amp; $AA$171 &amp; $X96),0)),"",INDIRECT(CONCATENATE("Table!",ADDRESS($T96,MATCH(O$1,INDIRECT("Table!A" &amp; $X96):INDIRECT("Table!" &amp; $AA$171 &amp; $X96),0)))))</f>
        <v>0.45379178809027731</v>
      </c>
      <c r="P96" s="33">
        <f ca="1">IF(ISERROR(MATCH(P$1,INDIRECT("Table!A"&amp;$X96):INDIRECT("Table!" &amp; $AA$171 &amp; $X96),0)),"",INDIRECT(CONCATENATE("Table!",ADDRESS($T96,MATCH(P$1,INDIRECT("Table!A" &amp; $X96):INDIRECT("Table!" &amp; $AA$171 &amp; $X96),0)))))</f>
        <v>0.43604632107936853</v>
      </c>
      <c r="T96" s="31">
        <f>MATCH($A96,Table!$A:$A,0)+$V$2-1</f>
        <v>1275</v>
      </c>
      <c r="U96" s="194"/>
      <c r="V96" s="194"/>
      <c r="W96" s="194"/>
      <c r="X96" s="31">
        <f>MATCH($A96,Table!$A:$A,0)+$Z$2-1</f>
        <v>1272</v>
      </c>
      <c r="Y96" s="194"/>
      <c r="AA96" t="s">
        <v>209</v>
      </c>
    </row>
    <row r="97" spans="1:27" ht="15.75" customHeight="1">
      <c r="A97" s="5">
        <v>41047</v>
      </c>
      <c r="B97" s="33">
        <f ca="1">IF(ISERROR(MATCH(B$1,INDIRECT("Table!A"&amp;$X97):INDIRECT("Table!" &amp; $AA$171 &amp; $X97),0)),"",INDIRECT(CONCATENATE("Table!",ADDRESS($T97,MATCH(B$1,INDIRECT("Table!A" &amp; $X97):INDIRECT("Table!" &amp; $AA$171 &amp; $X97),0)))))</f>
        <v>0.77920992463960326</v>
      </c>
      <c r="C97" s="33">
        <f ca="1">IF(ISERROR(MATCH(C$1,INDIRECT("Table!A"&amp;$X97):INDIRECT("Table!" &amp; $AA$171 &amp; $X97),0)),"",INDIRECT(CONCATENATE("Table!",ADDRESS($T97,MATCH(C$1,INDIRECT("Table!A" &amp; $X97):INDIRECT("Table!" &amp; $AA$171 &amp; $X97),0)))))</f>
        <v>0.67613944429467587</v>
      </c>
      <c r="D97" s="33">
        <f ca="1">IF(ISERROR(MATCH(D$1,INDIRECT("Table!A"&amp;$X97):INDIRECT("Table!" &amp; $AA$171 &amp; $X97),0)),"",INDIRECT(CONCATENATE("Table!",ADDRESS($T97,MATCH(D$1,INDIRECT("Table!A" &amp; $X97):INDIRECT("Table!" &amp; $AA$171 &amp; $X97),0)))))</f>
        <v>0.68951158956278014</v>
      </c>
      <c r="E97" s="33">
        <f ca="1">IF(ISERROR(MATCH(E$1,INDIRECT("Table!A"&amp;$X97):INDIRECT("Table!" &amp; $AA$171 &amp; $X97),0)),"",INDIRECT(CONCATENATE("Table!",ADDRESS($T97,MATCH(E$1,INDIRECT("Table!A" &amp; $X97):INDIRECT("Table!" &amp; $AA$171 &amp; $X97),0)))))</f>
        <v>0.79994538395519066</v>
      </c>
      <c r="F97" s="33">
        <f ca="1">IF(ISERROR(MATCH(F$1,INDIRECT("Table!A"&amp;$X97):INDIRECT("Table!" &amp; $AA$171 &amp; $X97),0)),"",INDIRECT(CONCATENATE("Table!",ADDRESS($T97,MATCH(F$1,INDIRECT("Table!A" &amp; $X97):INDIRECT("Table!" &amp; $AA$171 &amp; $X97),0)))))</f>
        <v>0.13471818599905383</v>
      </c>
      <c r="G97" s="33">
        <f ca="1">IF(ISERROR(MATCH(G$1,INDIRECT("Table!A"&amp;$X97):INDIRECT("Table!" &amp; $AA$171 &amp; $X97),0)),"",INDIRECT(CONCATENATE("Table!",ADDRESS($T97,MATCH(G$1,INDIRECT("Table!A" &amp; $X97):INDIRECT("Table!" &amp; $AA$171 &amp; $X97),0)))))</f>
        <v>0.31215051252862902</v>
      </c>
      <c r="H97" s="33">
        <f ca="1">IF(ISERROR(MATCH(H$1,INDIRECT("Table!A"&amp;$X97):INDIRECT("Table!" &amp; $AA$171 &amp; $X97),0)),"",INDIRECT(CONCATENATE("Table!",ADDRESS($T97,MATCH(H$1,INDIRECT("Table!A" &amp; $X97):INDIRECT("Table!" &amp; $AA$171 &amp; $X97),0)))))</f>
        <v>0.16958950580144694</v>
      </c>
      <c r="I97" s="33" t="str">
        <f ca="1">IF(ISERROR(MATCH(I$1,INDIRECT("Table!A"&amp;$X97):INDIRECT("Table!" &amp; $AA$171 &amp; $X97),0)),"",INDIRECT(CONCATENATE("Table!",ADDRESS($T97,MATCH(I$1,INDIRECT("Table!A" &amp; $X97):INDIRECT("Table!" &amp; $AA$171 &amp; $X97),0)))))</f>
        <v/>
      </c>
      <c r="J97" s="33" t="str">
        <f ca="1">IF(ISERROR(MATCH(J$1,INDIRECT("Table!A"&amp;$X97):INDIRECT("Table!" &amp; $AA$171 &amp; $X97),0)),"",INDIRECT(CONCATENATE("Table!",ADDRESS($T97,MATCH(J$1,INDIRECT("Table!A" &amp; $X97):INDIRECT("Table!" &amp; $AA$171 &amp; $X97),0)))))</f>
        <v/>
      </c>
      <c r="K97" s="33" t="str">
        <f ca="1">IF(ISERROR(MATCH(K$1,INDIRECT("Table!A"&amp;$X97):INDIRECT("Table!" &amp; $AA$171 &amp; $X97),0)),"",INDIRECT(CONCATENATE("Table!",ADDRESS($T97,MATCH(K$1,INDIRECT("Table!A" &amp; $X97):INDIRECT("Table!" &amp; $AA$171 &amp; $X97),0)))))</f>
        <v/>
      </c>
      <c r="L97" s="33">
        <f ca="1">IF(ISERROR(MATCH(L$1,INDIRECT("Table!A"&amp;$X97):INDIRECT("Table!" &amp; $AA$171 &amp; $X97),0)),"",INDIRECT(CONCATENATE("Table!",ADDRESS($T97,MATCH(L$1,INDIRECT("Table!A" &amp; $X97):INDIRECT("Table!" &amp; $AA$171 &amp; $X97),0)))))</f>
        <v>0.76083948069692731</v>
      </c>
      <c r="M97" s="33">
        <f ca="1">IF(ISERROR(MATCH(M$1,INDIRECT("Table!A"&amp;$X97):INDIRECT("Table!" &amp; $AA$171 &amp; $X97),0)),"",INDIRECT(CONCATENATE("Table!",ADDRESS($T97,MATCH(M$1,INDIRECT("Table!A" &amp; $X97):INDIRECT("Table!" &amp; $AA$171 &amp; $X97),0)))))</f>
        <v>0.33856395337396933</v>
      </c>
      <c r="N97" s="33">
        <f ca="1">IF(ISERROR(MATCH(N$1,INDIRECT("Table!A"&amp;$X97):INDIRECT("Table!" &amp; $AA$171 &amp; $X97),0)),"",INDIRECT(CONCATENATE("Table!",ADDRESS($T97,MATCH(N$1,INDIRECT("Table!A" &amp; $X97):INDIRECT("Table!" &amp; $AA$171 &amp; $X97),0)))))</f>
        <v>0.19428212554334476</v>
      </c>
      <c r="O97" s="33">
        <f ca="1">IF(ISERROR(MATCH(O$1,INDIRECT("Table!A"&amp;$X97):INDIRECT("Table!" &amp; $AA$171 &amp; $X97),0)),"",INDIRECT(CONCATENATE("Table!",ADDRESS($T97,MATCH(O$1,INDIRECT("Table!A" &amp; $X97):INDIRECT("Table!" &amp; $AA$171 &amp; $X97),0)))))</f>
        <v>0.4531543318410246</v>
      </c>
      <c r="P97" s="33">
        <f ca="1">IF(ISERROR(MATCH(P$1,INDIRECT("Table!A"&amp;$X97):INDIRECT("Table!" &amp; $AA$171 &amp; $X97),0)),"",INDIRECT(CONCATENATE("Table!",ADDRESS($T97,MATCH(P$1,INDIRECT("Table!A" &amp; $X97):INDIRECT("Table!" &amp; $AA$171 &amp; $X97),0)))))</f>
        <v>0.43602629231077367</v>
      </c>
      <c r="T97" s="31">
        <f>MATCH($A97,Table!$A:$A,0)+$V$2-1</f>
        <v>1288</v>
      </c>
      <c r="U97" s="193"/>
      <c r="V97" s="193"/>
      <c r="W97" s="193"/>
      <c r="X97" s="31">
        <f>MATCH($A97,Table!$A:$A,0)+$Z$2-1</f>
        <v>1285</v>
      </c>
      <c r="Y97" s="193"/>
      <c r="AA97" t="s">
        <v>209</v>
      </c>
    </row>
    <row r="98" spans="1:27" ht="15.75" customHeight="1">
      <c r="A98" s="5">
        <v>41046</v>
      </c>
      <c r="B98" s="33">
        <f ca="1">IF(ISERROR(MATCH(B$1,INDIRECT("Table!A"&amp;$X98):INDIRECT("Table!" &amp; $AA$171 &amp; $X98),0)),"",INDIRECT(CONCATENATE("Table!",ADDRESS($T98,MATCH(B$1,INDIRECT("Table!A" &amp; $X98):INDIRECT("Table!" &amp; $AA$171 &amp; $X98),0)))))</f>
        <v>0.7791399865995261</v>
      </c>
      <c r="C98" s="33">
        <f ca="1">IF(ISERROR(MATCH(C$1,INDIRECT("Table!A"&amp;$X98):INDIRECT("Table!" &amp; $AA$171 &amp; $X98),0)),"",INDIRECT(CONCATENATE("Table!",ADDRESS($T98,MATCH(C$1,INDIRECT("Table!A" &amp; $X98):INDIRECT("Table!" &amp; $AA$171 &amp; $X98),0)))))</f>
        <v>0.67598799293630862</v>
      </c>
      <c r="D98" s="33">
        <f ca="1">IF(ISERROR(MATCH(D$1,INDIRECT("Table!A"&amp;$X98):INDIRECT("Table!" &amp; $AA$171 &amp; $X98),0)),"",INDIRECT(CONCATENATE("Table!",ADDRESS($T98,MATCH(D$1,INDIRECT("Table!A" &amp; $X98):INDIRECT("Table!" &amp; $AA$171 &amp; $X98),0)))))</f>
        <v>0.68936013820441289</v>
      </c>
      <c r="E98" s="33">
        <f ca="1">IF(ISERROR(MATCH(E$1,INDIRECT("Table!A"&amp;$X98):INDIRECT("Table!" &amp; $AA$171 &amp; $X98),0)),"",INDIRECT(CONCATENATE("Table!",ADDRESS($T98,MATCH(E$1,INDIRECT("Table!A" &amp; $X98):INDIRECT("Table!" &amp; $AA$171 &amp; $X98),0)))))</f>
        <v>0.79954922532030615</v>
      </c>
      <c r="F98" s="33">
        <f ca="1">IF(ISERROR(MATCH(F$1,INDIRECT("Table!A"&amp;$X98):INDIRECT("Table!" &amp; $AA$171 &amp; $X98),0)),"",INDIRECT(CONCATENATE("Table!",ADDRESS($T98,MATCH(F$1,INDIRECT("Table!A" &amp; $X98):INDIRECT("Table!" &amp; $AA$171 &amp; $X98),0)))))</f>
        <v>0.13440911615916026</v>
      </c>
      <c r="G98" s="33">
        <f ca="1">IF(ISERROR(MATCH(G$1,INDIRECT("Table!A"&amp;$X98):INDIRECT("Table!" &amp; $AA$171 &amp; $X98),0)),"",INDIRECT(CONCATENATE("Table!",ADDRESS($T98,MATCH(G$1,INDIRECT("Table!A" &amp; $X98):INDIRECT("Table!" &amp; $AA$171 &amp; $X98),0)))))</f>
        <v>0.31062423743026152</v>
      </c>
      <c r="H98" s="33">
        <f ca="1">IF(ISERROR(MATCH(H$1,INDIRECT("Table!A"&amp;$X98):INDIRECT("Table!" &amp; $AA$171 &amp; $X98),0)),"",INDIRECT(CONCATENATE("Table!",ADDRESS($T98,MATCH(H$1,INDIRECT("Table!A" &amp; $X98):INDIRECT("Table!" &amp; $AA$171 &amp; $X98),0)))))</f>
        <v>0.16952274671602993</v>
      </c>
      <c r="I98" s="33" t="str">
        <f ca="1">IF(ISERROR(MATCH(I$1,INDIRECT("Table!A"&amp;$X98):INDIRECT("Table!" &amp; $AA$171 &amp; $X98),0)),"",INDIRECT(CONCATENATE("Table!",ADDRESS($T98,MATCH(I$1,INDIRECT("Table!A" &amp; $X98):INDIRECT("Table!" &amp; $AA$171 &amp; $X98),0)))))</f>
        <v/>
      </c>
      <c r="J98" s="33" t="str">
        <f ca="1">IF(ISERROR(MATCH(J$1,INDIRECT("Table!A"&amp;$X98):INDIRECT("Table!" &amp; $AA$171 &amp; $X98),0)),"",INDIRECT(CONCATENATE("Table!",ADDRESS($T98,MATCH(J$1,INDIRECT("Table!A" &amp; $X98):INDIRECT("Table!" &amp; $AA$171 &amp; $X98),0)))))</f>
        <v/>
      </c>
      <c r="K98" s="33" t="str">
        <f ca="1">IF(ISERROR(MATCH(K$1,INDIRECT("Table!A"&amp;$X98):INDIRECT("Table!" &amp; $AA$171 &amp; $X98),0)),"",INDIRECT(CONCATENATE("Table!",ADDRESS($T98,MATCH(K$1,INDIRECT("Table!A" &amp; $X98):INDIRECT("Table!" &amp; $AA$171 &amp; $X98),0)))))</f>
        <v/>
      </c>
      <c r="L98" s="33">
        <f ca="1">IF(ISERROR(MATCH(L$1,INDIRECT("Table!A"&amp;$X98):INDIRECT("Table!" &amp; $AA$171 &amp; $X98),0)),"",INDIRECT(CONCATENATE("Table!",ADDRESS($T98,MATCH(L$1,INDIRECT("Table!A" &amp; $X98):INDIRECT("Table!" &amp; $AA$171 &amp; $X98),0)))))</f>
        <v>0.75587128789314462</v>
      </c>
      <c r="M98" s="33">
        <f ca="1">IF(ISERROR(MATCH(M$1,INDIRECT("Table!A"&amp;$X98):INDIRECT("Table!" &amp; $AA$171 &amp; $X98),0)),"",INDIRECT(CONCATENATE("Table!",ADDRESS($T98,MATCH(M$1,INDIRECT("Table!A" &amp; $X98):INDIRECT("Table!" &amp; $AA$171 &amp; $X98),0)))))</f>
        <v>0.33814846040556351</v>
      </c>
      <c r="N98" s="33">
        <f ca="1">IF(ISERROR(MATCH(N$1,INDIRECT("Table!A"&amp;$X98):INDIRECT("Table!" &amp; $AA$171 &amp; $X98),0)),"",INDIRECT(CONCATENATE("Table!",ADDRESS($T98,MATCH(N$1,INDIRECT("Table!A" &amp; $X98):INDIRECT("Table!" &amp; $AA$171 &amp; $X98),0)))))</f>
        <v>0.19304090106633215</v>
      </c>
      <c r="O98" s="33">
        <f ca="1">IF(ISERROR(MATCH(O$1,INDIRECT("Table!A"&amp;$X98):INDIRECT("Table!" &amp; $AA$171 &amp; $X98),0)),"",INDIRECT(CONCATENATE("Table!",ADDRESS($T98,MATCH(O$1,INDIRECT("Table!A" &amp; $X98):INDIRECT("Table!" &amp; $AA$171 &amp; $X98),0)))))</f>
        <v>0.45304837244670437</v>
      </c>
      <c r="P98" s="33">
        <f ca="1">IF(ISERROR(MATCH(P$1,INDIRECT("Table!A"&amp;$X98):INDIRECT("Table!" &amp; $AA$171 &amp; $X98),0)),"",INDIRECT(CONCATENATE("Table!",ADDRESS($T98,MATCH(P$1,INDIRECT("Table!A" &amp; $X98):INDIRECT("Table!" &amp; $AA$171 &amp; $X98),0)))))</f>
        <v>0.43601354673075871</v>
      </c>
      <c r="T98" s="31">
        <f>MATCH($A98,Table!$A:$A,0)+$V$2-1</f>
        <v>1301</v>
      </c>
      <c r="U98" s="192"/>
      <c r="V98" s="192"/>
      <c r="W98" s="192"/>
      <c r="X98" s="31">
        <f>MATCH($A98,Table!$A:$A,0)+$Z$2-1</f>
        <v>1298</v>
      </c>
      <c r="Y98" s="192"/>
      <c r="AA98" t="s">
        <v>209</v>
      </c>
    </row>
    <row r="99" spans="1:27" ht="15.75" customHeight="1">
      <c r="A99" s="5">
        <v>41045</v>
      </c>
      <c r="B99" s="33">
        <f ca="1">IF(ISERROR(MATCH(B$1,INDIRECT("Table!A"&amp;$X99):INDIRECT("Table!" &amp; $AA$171 &amp; $X99),0)),"",INDIRECT(CONCATENATE("Table!",ADDRESS($T99,MATCH(B$1,INDIRECT("Table!A" &amp; $X99):INDIRECT("Table!" &amp; $AA$171 &amp; $X99),0)))))</f>
        <v>0.77833699428752989</v>
      </c>
      <c r="C99" s="33">
        <f ca="1">IF(ISERROR(MATCH(C$1,INDIRECT("Table!A"&amp;$X99):INDIRECT("Table!" &amp; $AA$171 &amp; $X99),0)),"",INDIRECT(CONCATENATE("Table!",ADDRESS($T99,MATCH(C$1,INDIRECT("Table!A" &amp; $X99):INDIRECT("Table!" &amp; $AA$171 &amp; $X99),0)))))</f>
        <v>0.67593145109585151</v>
      </c>
      <c r="D99" s="33">
        <f ca="1">IF(ISERROR(MATCH(D$1,INDIRECT("Table!A"&amp;$X99):INDIRECT("Table!" &amp; $AA$171 &amp; $X99),0)),"",INDIRECT(CONCATENATE("Table!",ADDRESS($T99,MATCH(D$1,INDIRECT("Table!A" &amp; $X99):INDIRECT("Table!" &amp; $AA$171 &amp; $X99),0)))))</f>
        <v>0.68930460603967825</v>
      </c>
      <c r="E99" s="33">
        <f ca="1">IF(ISERROR(MATCH(E$1,INDIRECT("Table!A"&amp;$X99):INDIRECT("Table!" &amp; $AA$171 &amp; $X99),0)),"",INDIRECT(CONCATENATE("Table!",ADDRESS($T99,MATCH(E$1,INDIRECT("Table!A" &amp; $X99):INDIRECT("Table!" &amp; $AA$171 &amp; $X99),0)))))</f>
        <v>0.79759260826229772</v>
      </c>
      <c r="F99" s="33">
        <f ca="1">IF(ISERROR(MATCH(F$1,INDIRECT("Table!A"&amp;$X99):INDIRECT("Table!" &amp; $AA$171 &amp; $X99),0)),"",INDIRECT(CONCATENATE("Table!",ADDRESS($T99,MATCH(F$1,INDIRECT("Table!A" &amp; $X99):INDIRECT("Table!" &amp; $AA$171 &amp; $X99),0)))))</f>
        <v>0.13440252266924252</v>
      </c>
      <c r="G99" s="33">
        <f ca="1">IF(ISERROR(MATCH(G$1,INDIRECT("Table!A"&amp;$X99):INDIRECT("Table!" &amp; $AA$171 &amp; $X99),0)),"",INDIRECT(CONCATENATE("Table!",ADDRESS($T99,MATCH(G$1,INDIRECT("Table!A" &amp; $X99):INDIRECT("Table!" &amp; $AA$171 &amp; $X99),0)))))</f>
        <v>0.30970029589749976</v>
      </c>
      <c r="H99" s="33">
        <f ca="1">IF(ISERROR(MATCH(H$1,INDIRECT("Table!A"&amp;$X99):INDIRECT("Table!" &amp; $AA$171 &amp; $X99),0)),"",INDIRECT(CONCATENATE("Table!",ADDRESS($T99,MATCH(H$1,INDIRECT("Table!A" &amp; $X99):INDIRECT("Table!" &amp; $AA$171 &amp; $X99),0)))))</f>
        <v>0.16947411972788665</v>
      </c>
      <c r="I99" s="33" t="str">
        <f ca="1">IF(ISERROR(MATCH(I$1,INDIRECT("Table!A"&amp;$X99):INDIRECT("Table!" &amp; $AA$171 &amp; $X99),0)),"",INDIRECT(CONCATENATE("Table!",ADDRESS($T99,MATCH(I$1,INDIRECT("Table!A" &amp; $X99):INDIRECT("Table!" &amp; $AA$171 &amp; $X99),0)))))</f>
        <v/>
      </c>
      <c r="J99" s="33" t="str">
        <f ca="1">IF(ISERROR(MATCH(J$1,INDIRECT("Table!A"&amp;$X99):INDIRECT("Table!" &amp; $AA$171 &amp; $X99),0)),"",INDIRECT(CONCATENATE("Table!",ADDRESS($T99,MATCH(J$1,INDIRECT("Table!A" &amp; $X99):INDIRECT("Table!" &amp; $AA$171 &amp; $X99),0)))))</f>
        <v/>
      </c>
      <c r="K99" s="33" t="str">
        <f ca="1">IF(ISERROR(MATCH(K$1,INDIRECT("Table!A"&amp;$X99):INDIRECT("Table!" &amp; $AA$171 &amp; $X99),0)),"",INDIRECT(CONCATENATE("Table!",ADDRESS($T99,MATCH(K$1,INDIRECT("Table!A" &amp; $X99):INDIRECT("Table!" &amp; $AA$171 &amp; $X99),0)))))</f>
        <v/>
      </c>
      <c r="L99" s="33">
        <f ca="1">IF(ISERROR(MATCH(L$1,INDIRECT("Table!A"&amp;$X99):INDIRECT("Table!" &amp; $AA$171 &amp; $X99),0)),"",INDIRECT(CONCATENATE("Table!",ADDRESS($T99,MATCH(L$1,INDIRECT("Table!A" &amp; $X99):INDIRECT("Table!" &amp; $AA$171 &amp; $X99),0)))))</f>
        <v>0.75182958642456232</v>
      </c>
      <c r="M99" s="33">
        <f ca="1">IF(ISERROR(MATCH(M$1,INDIRECT("Table!A"&amp;$X99):INDIRECT("Table!" &amp; $AA$171 &amp; $X99),0)),"",INDIRECT(CONCATENATE("Table!",ADDRESS($T99,MATCH(M$1,INDIRECT("Table!A" &amp; $X99):INDIRECT("Table!" &amp; $AA$171 &amp; $X99),0)))))</f>
        <v>0.33349554461365205</v>
      </c>
      <c r="N99" s="33">
        <f ca="1">IF(ISERROR(MATCH(N$1,INDIRECT("Table!A"&amp;$X99):INDIRECT("Table!" &amp; $AA$171 &amp; $X99),0)),"",INDIRECT(CONCATENATE("Table!",ADDRESS($T99,MATCH(N$1,INDIRECT("Table!A" &amp; $X99):INDIRECT("Table!" &amp; $AA$171 &amp; $X99),0)))))</f>
        <v>0.19229253996066983</v>
      </c>
      <c r="O99" s="33">
        <f ca="1">IF(ISERROR(MATCH(O$1,INDIRECT("Table!A"&amp;$X99):INDIRECT("Table!" &amp; $AA$171 &amp; $X99),0)),"",INDIRECT(CONCATENATE("Table!",ADDRESS($T99,MATCH(O$1,INDIRECT("Table!A" &amp; $X99):INDIRECT("Table!" &amp; $AA$171 &amp; $X99),0)))))</f>
        <v>0.45298264362455926</v>
      </c>
      <c r="P99" s="33">
        <f ca="1">IF(ISERROR(MATCH(P$1,INDIRECT("Table!A"&amp;$X99):INDIRECT("Table!" &amp; $AA$171 &amp; $X99),0)),"",INDIRECT(CONCATENATE("Table!",ADDRESS($T99,MATCH(P$1,INDIRECT("Table!A" &amp; $X99):INDIRECT("Table!" &amp; $AA$171 &amp; $X99),0)))))</f>
        <v>0.43601172593361376</v>
      </c>
      <c r="T99" s="31">
        <f>MATCH($A99,Table!$A:$A,0)+$V$2-1</f>
        <v>1314</v>
      </c>
      <c r="U99" s="191"/>
      <c r="V99" s="191"/>
      <c r="W99" s="191"/>
      <c r="X99" s="31">
        <f>MATCH($A99,Table!$A:$A,0)+$Z$2-1</f>
        <v>1311</v>
      </c>
      <c r="Y99" s="191"/>
      <c r="AA99" t="s">
        <v>209</v>
      </c>
    </row>
    <row r="100" spans="1:27" ht="15.75" customHeight="1">
      <c r="A100" s="5">
        <v>41044</v>
      </c>
      <c r="B100" s="33">
        <f ca="1">IF(ISERROR(MATCH(B$1,INDIRECT("Table!A"&amp;$X100):INDIRECT("Table!" &amp; $AA$171 &amp; $X100),0)),"",INDIRECT(CONCATENATE("Table!",ADDRESS($T100,MATCH(B$1,INDIRECT("Table!A" &amp; $X100):INDIRECT("Table!" &amp; $AA$171 &amp; $X100),0)))))</f>
        <v>0.77819021074662742</v>
      </c>
      <c r="C100" s="33">
        <f ca="1">IF(ISERROR(MATCH(C$1,INDIRECT("Table!A"&amp;$X100):INDIRECT("Table!" &amp; $AA$171 &amp; $X100),0)),"",INDIRECT(CONCATENATE("Table!",ADDRESS($T100,MATCH(C$1,INDIRECT("Table!A" &amp; $X100):INDIRECT("Table!" &amp; $AA$171 &amp; $X100),0)))))</f>
        <v>0.67586683184961482</v>
      </c>
      <c r="D100" s="33">
        <f ca="1">IF(ISERROR(MATCH(D$1,INDIRECT("Table!A"&amp;$X100):INDIRECT("Table!" &amp; $AA$171 &amp; $X100),0)),"",INDIRECT(CONCATENATE("Table!",ADDRESS($T100,MATCH(D$1,INDIRECT("Table!A" &amp; $X100):INDIRECT("Table!" &amp; $AA$171 &amp; $X100),0)))))</f>
        <v>0.689153154681311</v>
      </c>
      <c r="E100" s="33">
        <f ca="1">IF(ISERROR(MATCH(E$1,INDIRECT("Table!A"&amp;$X100):INDIRECT("Table!" &amp; $AA$171 &amp; $X100),0)),"",INDIRECT(CONCATENATE("Table!",ADDRESS($T100,MATCH(E$1,INDIRECT("Table!A" &amp; $X100):INDIRECT("Table!" &amp; $AA$171 &amp; $X100),0)))))</f>
        <v>0.79690523731605556</v>
      </c>
      <c r="F100" s="33">
        <f ca="1">IF(ISERROR(MATCH(F$1,INDIRECT("Table!A"&amp;$X100):INDIRECT("Table!" &amp; $AA$171 &amp; $X100),0)),"",INDIRECT(CONCATENATE("Table!",ADDRESS($T100,MATCH(F$1,INDIRECT("Table!A" &amp; $X100):INDIRECT("Table!" &amp; $AA$171 &amp; $X100),0)))))</f>
        <v>0.13438768731692763</v>
      </c>
      <c r="G100" s="33">
        <f ca="1">IF(ISERROR(MATCH(G$1,INDIRECT("Table!A"&amp;$X100):INDIRECT("Table!" &amp; $AA$171 &amp; $X100),0)),"",INDIRECT(CONCATENATE("Table!",ADDRESS($T100,MATCH(G$1,INDIRECT("Table!A" &amp; $X100):INDIRECT("Table!" &amp; $AA$171 &amp; $X100),0)))))</f>
        <v>0.30591822254362833</v>
      </c>
      <c r="H100" s="33">
        <f ca="1">IF(ISERROR(MATCH(H$1,INDIRECT("Table!A"&amp;$X100):INDIRECT("Table!" &amp; $AA$171 &amp; $X100),0)),"",INDIRECT(CONCATENATE("Table!",ADDRESS($T100,MATCH(H$1,INDIRECT("Table!A" &amp; $X100):INDIRECT("Table!" &amp; $AA$171 &amp; $X100),0)))))</f>
        <v>0.169429613670942</v>
      </c>
      <c r="I100" s="33" t="str">
        <f ca="1">IF(ISERROR(MATCH(I$1,INDIRECT("Table!A"&amp;$X100):INDIRECT("Table!" &amp; $AA$171 &amp; $X100),0)),"",INDIRECT(CONCATENATE("Table!",ADDRESS($T100,MATCH(I$1,INDIRECT("Table!A" &amp; $X100):INDIRECT("Table!" &amp; $AA$171 &amp; $X100),0)))))</f>
        <v/>
      </c>
      <c r="J100" s="33" t="str">
        <f ca="1">IF(ISERROR(MATCH(J$1,INDIRECT("Table!A"&amp;$X100):INDIRECT("Table!" &amp; $AA$171 &amp; $X100),0)),"",INDIRECT(CONCATENATE("Table!",ADDRESS($T100,MATCH(J$1,INDIRECT("Table!A" &amp; $X100):INDIRECT("Table!" &amp; $AA$171 &amp; $X100),0)))))</f>
        <v/>
      </c>
      <c r="K100" s="33" t="str">
        <f ca="1">IF(ISERROR(MATCH(K$1,INDIRECT("Table!A"&amp;$X100):INDIRECT("Table!" &amp; $AA$171 &amp; $X100),0)),"",INDIRECT(CONCATENATE("Table!",ADDRESS($T100,MATCH(K$1,INDIRECT("Table!A" &amp; $X100):INDIRECT("Table!" &amp; $AA$171 &amp; $X100),0)))))</f>
        <v/>
      </c>
      <c r="L100" s="33">
        <f ca="1">IF(ISERROR(MATCH(L$1,INDIRECT("Table!A"&amp;$X100):INDIRECT("Table!" &amp; $AA$171 &amp; $X100),0)),"",INDIRECT(CONCATENATE("Table!",ADDRESS($T100,MATCH(L$1,INDIRECT("Table!A" &amp; $X100):INDIRECT("Table!" &amp; $AA$171 &amp; $X100),0)))))</f>
        <v>0.75122128403276411</v>
      </c>
      <c r="M100" s="33">
        <f ca="1">IF(ISERROR(MATCH(M$1,INDIRECT("Table!A"&amp;$X100):INDIRECT("Table!" &amp; $AA$171 &amp; $X100),0)),"",INDIRECT(CONCATENATE("Table!",ADDRESS($T100,MATCH(M$1,INDIRECT("Table!A" &amp; $X100):INDIRECT("Table!" &amp; $AA$171 &amp; $X100),0)))))</f>
        <v>0.33347284007985939</v>
      </c>
      <c r="N100" s="33">
        <f ca="1">IF(ISERROR(MATCH(N$1,INDIRECT("Table!A"&amp;$X100):INDIRECT("Table!" &amp; $AA$171 &amp; $X100),0)),"",INDIRECT(CONCATENATE("Table!",ADDRESS($T100,MATCH(N$1,INDIRECT("Table!A" &amp; $X100):INDIRECT("Table!" &amp; $AA$171 &amp; $X100),0)))))</f>
        <v>0.19192660127023581</v>
      </c>
      <c r="O100" s="33">
        <f ca="1">IF(ISERROR(MATCH(O$1,INDIRECT("Table!A"&amp;$X100):INDIRECT("Table!" &amp; $AA$171 &amp; $X100),0)),"",INDIRECT(CONCATENATE("Table!",ADDRESS($T100,MATCH(O$1,INDIRECT("Table!A" &amp; $X100):INDIRECT("Table!" &amp; $AA$171 &amp; $X100),0)))))</f>
        <v>0.45292484759129359</v>
      </c>
      <c r="P100" s="33">
        <f ca="1">IF(ISERROR(MATCH(P$1,INDIRECT("Table!A"&amp;$X100):INDIRECT("Table!" &amp; $AA$171 &amp; $X100),0)),"",INDIRECT(CONCATENATE("Table!",ADDRESS($T100,MATCH(P$1,INDIRECT("Table!A" &amp; $X100):INDIRECT("Table!" &amp; $AA$171 &amp; $X100),0)))))</f>
        <v>0.43600444274503375</v>
      </c>
      <c r="T100" s="31">
        <f>MATCH($A100,Table!$A:$A,0)+$V$2-1</f>
        <v>1327</v>
      </c>
      <c r="U100" s="190"/>
      <c r="V100" s="190"/>
      <c r="W100" s="190"/>
      <c r="X100" s="31">
        <f>MATCH($A100,Table!$A:$A,0)+$Z$2-1</f>
        <v>1324</v>
      </c>
      <c r="Y100" s="190"/>
      <c r="AA100" t="s">
        <v>209</v>
      </c>
    </row>
    <row r="101" spans="1:27" ht="15.75" customHeight="1">
      <c r="A101" s="5">
        <v>41043</v>
      </c>
      <c r="B101" s="33">
        <f ca="1">IF(ISERROR(MATCH(B$1,INDIRECT("Table!A"&amp;$X101):INDIRECT("Table!" &amp; $AA$171 &amp; $X101),0)),"",INDIRECT(CONCATENATE("Table!",ADDRESS($T101,MATCH(B$1,INDIRECT("Table!A" &amp; $X101):INDIRECT("Table!" &amp; $AA$171 &amp; $X101),0)))))</f>
        <v>0.7758131808166</v>
      </c>
      <c r="C101" s="33">
        <f ca="1">IF(ISERROR(MATCH(C$1,INDIRECT("Table!A"&amp;$X101):INDIRECT("Table!" &amp; $AA$171 &amp; $X101),0)),"",INDIRECT(CONCATENATE("Table!",ADDRESS($T101,MATCH(C$1,INDIRECT("Table!A" &amp; $X101):INDIRECT("Table!" &amp; $AA$171 &amp; $X101),0)))))</f>
        <v>0.67575071914153328</v>
      </c>
      <c r="D101" s="33">
        <f ca="1">IF(ISERROR(MATCH(D$1,INDIRECT("Table!A"&amp;$X101):INDIRECT("Table!" &amp; $AA$171 &amp; $X101),0)),"",INDIRECT(CONCATENATE("Table!",ADDRESS($T101,MATCH(D$1,INDIRECT("Table!A" &amp; $X101):INDIRECT("Table!" &amp; $AA$171 &amp; $X101),0)))))</f>
        <v>0.68903704197322946</v>
      </c>
      <c r="E101" s="33">
        <f ca="1">IF(ISERROR(MATCH(E$1,INDIRECT("Table!A"&amp;$X101):INDIRECT("Table!" &amp; $AA$171 &amp; $X101),0)),"",INDIRECT(CONCATENATE("Table!",ADDRESS($T101,MATCH(E$1,INDIRECT("Table!A" &amp; $X101):INDIRECT("Table!" &amp; $AA$171 &amp; $X101),0)))))</f>
        <v>0.79517609553522073</v>
      </c>
      <c r="F101" s="33">
        <f ca="1">IF(ISERROR(MATCH(F$1,INDIRECT("Table!A"&amp;$X101):INDIRECT("Table!" &amp; $AA$171 &amp; $X101),0)),"",INDIRECT(CONCATENATE("Table!",ADDRESS($T101,MATCH(F$1,INDIRECT("Table!A" &amp; $X101):INDIRECT("Table!" &amp; $AA$171 &amp; $X101),0)))))</f>
        <v>0.13429867520303829</v>
      </c>
      <c r="G101" s="33">
        <f ca="1">IF(ISERROR(MATCH(G$1,INDIRECT("Table!A"&amp;$X101):INDIRECT("Table!" &amp; $AA$171 &amp; $X101),0)),"",INDIRECT(CONCATENATE("Table!",ADDRESS($T101,MATCH(G$1,INDIRECT("Table!A" &amp; $X101):INDIRECT("Table!" &amp; $AA$171 &amp; $X101),0)))))</f>
        <v>0.3055275687982128</v>
      </c>
      <c r="H101" s="33">
        <f ca="1">IF(ISERROR(MATCH(H$1,INDIRECT("Table!A"&amp;$X101):INDIRECT("Table!" &amp; $AA$171 &amp; $X101),0)),"",INDIRECT(CONCATENATE("Table!",ADDRESS($T101,MATCH(H$1,INDIRECT("Table!A" &amp; $X101):INDIRECT("Table!" &amp; $AA$171 &amp; $X101),0)))))</f>
        <v>0.16936615133048386</v>
      </c>
      <c r="I101" s="33" t="str">
        <f ca="1">IF(ISERROR(MATCH(I$1,INDIRECT("Table!A"&amp;$X101):INDIRECT("Table!" &amp; $AA$171 &amp; $X101),0)),"",INDIRECT(CONCATENATE("Table!",ADDRESS($T101,MATCH(I$1,INDIRECT("Table!A" &amp; $X101):INDIRECT("Table!" &amp; $AA$171 &amp; $X101),0)))))</f>
        <v/>
      </c>
      <c r="J101" s="33" t="str">
        <f ca="1">IF(ISERROR(MATCH(J$1,INDIRECT("Table!A"&amp;$X101):INDIRECT("Table!" &amp; $AA$171 &amp; $X101),0)),"",INDIRECT(CONCATENATE("Table!",ADDRESS($T101,MATCH(J$1,INDIRECT("Table!A" &amp; $X101):INDIRECT("Table!" &amp; $AA$171 &amp; $X101),0)))))</f>
        <v/>
      </c>
      <c r="K101" s="33" t="str">
        <f ca="1">IF(ISERROR(MATCH(K$1,INDIRECT("Table!A"&amp;$X101):INDIRECT("Table!" &amp; $AA$171 &amp; $X101),0)),"",INDIRECT(CONCATENATE("Table!",ADDRESS($T101,MATCH(K$1,INDIRECT("Table!A" &amp; $X101):INDIRECT("Table!" &amp; $AA$171 &amp; $X101),0)))))</f>
        <v/>
      </c>
      <c r="L101" s="33">
        <f ca="1">IF(ISERROR(MATCH(L$1,INDIRECT("Table!A"&amp;$X101):INDIRECT("Table!" &amp; $AA$171 &amp; $X101),0)),"",INDIRECT(CONCATENATE("Table!",ADDRESS($T101,MATCH(L$1,INDIRECT("Table!A" &amp; $X101):INDIRECT("Table!" &amp; $AA$171 &amp; $X101),0)))))</f>
        <v>0.74847631948977467</v>
      </c>
      <c r="M101" s="33">
        <f ca="1">IF(ISERROR(MATCH(M$1,INDIRECT("Table!A"&amp;$X101):INDIRECT("Table!" &amp; $AA$171 &amp; $X101),0)),"",INDIRECT(CONCATENATE("Table!",ADDRESS($T101,MATCH(M$1,INDIRECT("Table!A" &amp; $X101):INDIRECT("Table!" &amp; $AA$171 &amp; $X101),0)))))</f>
        <v>0.33406467159405501</v>
      </c>
      <c r="N101" s="33">
        <f ca="1">IF(ISERROR(MATCH(N$1,INDIRECT("Table!A"&amp;$X101):INDIRECT("Table!" &amp; $AA$171 &amp; $X101),0)),"",INDIRECT(CONCATENATE("Table!",ADDRESS($T101,MATCH(N$1,INDIRECT("Table!A" &amp; $X101):INDIRECT("Table!" &amp; $AA$171 &amp; $X101),0)))))</f>
        <v>0.19149967279806282</v>
      </c>
      <c r="O101" s="33">
        <f ca="1">IF(ISERROR(MATCH(O$1,INDIRECT("Table!A"&amp;$X101):INDIRECT("Table!" &amp; $AA$171 &amp; $X101),0)),"",INDIRECT(CONCATENATE("Table!",ADDRESS($T101,MATCH(O$1,INDIRECT("Table!A" &amp; $X101):INDIRECT("Table!" &amp; $AA$171 &amp; $X101),0)))))</f>
        <v>0.45280698901365402</v>
      </c>
      <c r="P101" s="33">
        <f ca="1">IF(ISERROR(MATCH(P$1,INDIRECT("Table!A"&amp;$X101):INDIRECT("Table!" &amp; $AA$171 &amp; $X101),0)),"",INDIRECT(CONCATENATE("Table!",ADDRESS($T101,MATCH(P$1,INDIRECT("Table!A" &amp; $X101):INDIRECT("Table!" &amp; $AA$171 &amp; $X101),0)))))</f>
        <v>0.4359989803535988</v>
      </c>
      <c r="T101" s="31">
        <f>MATCH($A101,Table!$A:$A,0)+$V$2-1</f>
        <v>1340</v>
      </c>
      <c r="U101" s="189"/>
      <c r="V101" s="189"/>
      <c r="W101" s="189"/>
      <c r="X101" s="31">
        <f>MATCH($A101,Table!$A:$A,0)+$Z$2-1</f>
        <v>1337</v>
      </c>
      <c r="Y101" s="189"/>
      <c r="AA101" t="s">
        <v>209</v>
      </c>
    </row>
    <row r="102" spans="1:27" ht="15.75" customHeight="1">
      <c r="A102" s="5">
        <v>41040</v>
      </c>
      <c r="B102" s="33">
        <f ca="1">IF(ISERROR(MATCH(B$1,INDIRECT("Table!A"&amp;$X102):INDIRECT("Table!" &amp; $AA$171 &amp; $X102),0)),"",INDIRECT(CONCATENATE("Table!",ADDRESS($T102,MATCH(B$1,INDIRECT("Table!A" &amp; $X102):INDIRECT("Table!" &amp; $AA$171 &amp; $X102),0)))))</f>
        <v>0.76536391956952698</v>
      </c>
      <c r="C102" s="33">
        <f ca="1">IF(ISERROR(MATCH(C$1,INDIRECT("Table!A"&amp;$X102):INDIRECT("Table!" &amp; $AA$171 &amp; $X102),0)),"",INDIRECT(CONCATENATE("Table!",ADDRESS($T102,MATCH(C$1,INDIRECT("Table!A" &amp; $X102):INDIRECT("Table!" &amp; $AA$171 &amp; $X102),0)))))</f>
        <v>0.67497528818669306</v>
      </c>
      <c r="D102" s="33">
        <f ca="1">IF(ISERROR(MATCH(D$1,INDIRECT("Table!A"&amp;$X102):INDIRECT("Table!" &amp; $AA$171 &amp; $X102),0)),"",INDIRECT(CONCATENATE("Table!",ADDRESS($T102,MATCH(D$1,INDIRECT("Table!A" &amp; $X102):INDIRECT("Table!" &amp; $AA$171 &amp; $X102),0)))))</f>
        <v>0.68885933904607866</v>
      </c>
      <c r="E102" s="33">
        <f ca="1">IF(ISERROR(MATCH(E$1,INDIRECT("Table!A"&amp;$X102):INDIRECT("Table!" &amp; $AA$171 &amp; $X102),0)),"",INDIRECT(CONCATENATE("Table!",ADDRESS($T102,MATCH(E$1,INDIRECT("Table!A" &amp; $X102):INDIRECT("Table!" &amp; $AA$171 &amp; $X102),0)))))</f>
        <v>0.789507895150381</v>
      </c>
      <c r="F102" s="33">
        <f ca="1">IF(ISERROR(MATCH(F$1,INDIRECT("Table!A"&amp;$X102):INDIRECT("Table!" &amp; $AA$171 &amp; $X102),0)),"",INDIRECT(CONCATENATE("Table!",ADDRESS($T102,MATCH(F$1,INDIRECT("Table!A" &amp; $X102):INDIRECT("Table!" &amp; $AA$171 &amp; $X102),0)))))</f>
        <v>7.7966369904674607E-2</v>
      </c>
      <c r="G102" s="33">
        <f ca="1">IF(ISERROR(MATCH(G$1,INDIRECT("Table!A"&amp;$X102):INDIRECT("Table!" &amp; $AA$171 &amp; $X102),0)),"",INDIRECT(CONCATENATE("Table!",ADDRESS($T102,MATCH(G$1,INDIRECT("Table!A" &amp; $X102):INDIRECT("Table!" &amp; $AA$171 &amp; $X102),0)))))</f>
        <v>0.30267852194792677</v>
      </c>
      <c r="H102" s="33">
        <f ca="1">IF(ISERROR(MATCH(H$1,INDIRECT("Table!A"&amp;$X102):INDIRECT("Table!" &amp; $AA$171 &amp; $X102),0)),"",INDIRECT(CONCATENATE("Table!",ADDRESS($T102,MATCH(H$1,INDIRECT("Table!A" &amp; $X102):INDIRECT("Table!" &amp; $AA$171 &amp; $X102),0)))))</f>
        <v>0.16924169920828672</v>
      </c>
      <c r="I102" s="33" t="str">
        <f ca="1">IF(ISERROR(MATCH(I$1,INDIRECT("Table!A"&amp;$X102):INDIRECT("Table!" &amp; $AA$171 &amp; $X102),0)),"",INDIRECT(CONCATENATE("Table!",ADDRESS($T102,MATCH(I$1,INDIRECT("Table!A" &amp; $X102):INDIRECT("Table!" &amp; $AA$171 &amp; $X102),0)))))</f>
        <v/>
      </c>
      <c r="J102" s="33" t="str">
        <f ca="1">IF(ISERROR(MATCH(J$1,INDIRECT("Table!A"&amp;$X102):INDIRECT("Table!" &amp; $AA$171 &amp; $X102),0)),"",INDIRECT(CONCATENATE("Table!",ADDRESS($T102,MATCH(J$1,INDIRECT("Table!A" &amp; $X102):INDIRECT("Table!" &amp; $AA$171 &amp; $X102),0)))))</f>
        <v/>
      </c>
      <c r="K102" s="33" t="str">
        <f ca="1">IF(ISERROR(MATCH(K$1,INDIRECT("Table!A"&amp;$X102):INDIRECT("Table!" &amp; $AA$171 &amp; $X102),0)),"",INDIRECT(CONCATENATE("Table!",ADDRESS($T102,MATCH(K$1,INDIRECT("Table!A" &amp; $X102):INDIRECT("Table!" &amp; $AA$171 &amp; $X102),0)))))</f>
        <v/>
      </c>
      <c r="L102" s="33">
        <f ca="1">IF(ISERROR(MATCH(L$1,INDIRECT("Table!A"&amp;$X102):INDIRECT("Table!" &amp; $AA$171 &amp; $X102),0)),"",INDIRECT(CONCATENATE("Table!",ADDRESS($T102,MATCH(L$1,INDIRECT("Table!A" &amp; $X102):INDIRECT("Table!" &amp; $AA$171 &amp; $X102),0)))))</f>
        <v>0.74686431815150944</v>
      </c>
      <c r="M102" s="33">
        <f ca="1">IF(ISERROR(MATCH(M$1,INDIRECT("Table!A"&amp;$X102):INDIRECT("Table!" &amp; $AA$171 &amp; $X102),0)),"",INDIRECT(CONCATENATE("Table!",ADDRESS($T102,MATCH(M$1,INDIRECT("Table!A" &amp; $X102):INDIRECT("Table!" &amp; $AA$171 &amp; $X102),0)))))</f>
        <v>0.33330406971200049</v>
      </c>
      <c r="N102" s="33">
        <f ca="1">IF(ISERROR(MATCH(N$1,INDIRECT("Table!A"&amp;$X102):INDIRECT("Table!" &amp; $AA$171 &amp; $X102),0)),"",INDIRECT(CONCATENATE("Table!",ADDRESS($T102,MATCH(N$1,INDIRECT("Table!A" &amp; $X102):INDIRECT("Table!" &amp; $AA$171 &amp; $X102),0)))))</f>
        <v>0.10278756269996818</v>
      </c>
      <c r="O102" s="33">
        <f ca="1">IF(ISERROR(MATCH(O$1,INDIRECT("Table!A"&amp;$X102):INDIRECT("Table!" &amp; $AA$171 &amp; $X102),0)),"",INDIRECT(CONCATENATE("Table!",ADDRESS($T102,MATCH(O$1,INDIRECT("Table!A" &amp; $X102):INDIRECT("Table!" &amp; $AA$171 &amp; $X102),0)))))</f>
        <v>0.4526120690583269</v>
      </c>
      <c r="P102" s="33">
        <f ca="1">IF(ISERROR(MATCH(P$1,INDIRECT("Table!A"&amp;$X102):INDIRECT("Table!" &amp; $AA$171 &amp; $X102),0)),"",INDIRECT(CONCATENATE("Table!",ADDRESS($T102,MATCH(P$1,INDIRECT("Table!A" &amp; $X102):INDIRECT("Table!" &amp; $AA$171 &amp; $X102),0)))))</f>
        <v>0.43597348919356893</v>
      </c>
      <c r="T102" s="31">
        <f>MATCH($A102,Table!$A:$A,0)+$V$2-1</f>
        <v>1353</v>
      </c>
      <c r="U102" s="188"/>
      <c r="V102" s="188"/>
      <c r="W102" s="188"/>
      <c r="X102" s="31">
        <f>MATCH($A102,Table!$A:$A,0)+$Z$2-1</f>
        <v>1350</v>
      </c>
      <c r="Y102" s="188"/>
      <c r="AA102" t="s">
        <v>209</v>
      </c>
    </row>
    <row r="103" spans="1:27" ht="15.75" customHeight="1">
      <c r="A103" s="5">
        <v>41039</v>
      </c>
      <c r="B103" s="33">
        <f ca="1">IF(ISERROR(MATCH(B$1,INDIRECT("Table!A"&amp;$X103):INDIRECT("Table!" &amp; $AA$171 &amp; $X103),0)),"",INDIRECT(CONCATENATE("Table!",ADDRESS($T103,MATCH(B$1,INDIRECT("Table!A" &amp; $X103):INDIRECT("Table!" &amp; $AA$171 &amp; $X103),0)))))</f>
        <v>0.76416547512968758</v>
      </c>
      <c r="C103" s="33">
        <f ca="1">IF(ISERROR(MATCH(C$1,INDIRECT("Table!A"&amp;$X103):INDIRECT("Table!" &amp; $AA$171 &amp; $X103),0)),"",INDIRECT(CONCATENATE("Table!",ADDRESS($T103,MATCH(C$1,INDIRECT("Table!A" &amp; $X103):INDIRECT("Table!" &amp; $AA$171 &amp; $X103),0)))))</f>
        <v>0.67491773667051358</v>
      </c>
      <c r="D103" s="33">
        <f ca="1">IF(ISERROR(MATCH(D$1,INDIRECT("Table!A"&amp;$X103):INDIRECT("Table!" &amp; $AA$171 &amp; $X103),0)),"",INDIRECT(CONCATENATE("Table!",ADDRESS($T103,MATCH(D$1,INDIRECT("Table!A" &amp; $X103):INDIRECT("Table!" &amp; $AA$171 &amp; $X103),0)))))</f>
        <v>0.68880279720562143</v>
      </c>
      <c r="E103" s="33">
        <f ca="1">IF(ISERROR(MATCH(E$1,INDIRECT("Table!A"&amp;$X103):INDIRECT("Table!" &amp; $AA$171 &amp; $X103),0)),"",INDIRECT(CONCATENATE("Table!",ADDRESS($T103,MATCH(E$1,INDIRECT("Table!A" &amp; $X103):INDIRECT("Table!" &amp; $AA$171 &amp; $X103),0)))))</f>
        <v>0.78393584977400832</v>
      </c>
      <c r="F103" s="33">
        <f ca="1">IF(ISERROR(MATCH(F$1,INDIRECT("Table!A"&amp;$X103):INDIRECT("Table!" &amp; $AA$171 &amp; $X103),0)),"",INDIRECT(CONCATENATE("Table!",ADDRESS($T103,MATCH(F$1,INDIRECT("Table!A" &amp; $X103):INDIRECT("Table!" &amp; $AA$171 &amp; $X103),0)))))</f>
        <v>7.7441363269975388E-2</v>
      </c>
      <c r="G103" s="33">
        <f ca="1">IF(ISERROR(MATCH(G$1,INDIRECT("Table!A"&amp;$X103):INDIRECT("Table!" &amp; $AA$171 &amp; $X103),0)),"",INDIRECT(CONCATENATE("Table!",ADDRESS($T103,MATCH(G$1,INDIRECT("Table!A" &amp; $X103):INDIRECT("Table!" &amp; $AA$171 &amp; $X103),0)))))</f>
        <v>0.30204802497276784</v>
      </c>
      <c r="H103" s="33">
        <f ca="1">IF(ISERROR(MATCH(H$1,INDIRECT("Table!A"&amp;$X103):INDIRECT("Table!" &amp; $AA$171 &amp; $X103),0)),"",INDIRECT(CONCATENATE("Table!",ADDRESS($T103,MATCH(H$1,INDIRECT("Table!A" &amp; $X103):INDIRECT("Table!" &amp; $AA$171 &amp; $X103),0)))))</f>
        <v>0.16913208243840441</v>
      </c>
      <c r="I103" s="33" t="str">
        <f ca="1">IF(ISERROR(MATCH(I$1,INDIRECT("Table!A"&amp;$X103):INDIRECT("Table!" &amp; $AA$171 &amp; $X103),0)),"",INDIRECT(CONCATENATE("Table!",ADDRESS($T103,MATCH(I$1,INDIRECT("Table!A" &amp; $X103):INDIRECT("Table!" &amp; $AA$171 &amp; $X103),0)))))</f>
        <v/>
      </c>
      <c r="J103" s="33" t="str">
        <f ca="1">IF(ISERROR(MATCH(J$1,INDIRECT("Table!A"&amp;$X103):INDIRECT("Table!" &amp; $AA$171 &amp; $X103),0)),"",INDIRECT(CONCATENATE("Table!",ADDRESS($T103,MATCH(J$1,INDIRECT("Table!A" &amp; $X103):INDIRECT("Table!" &amp; $AA$171 &amp; $X103),0)))))</f>
        <v/>
      </c>
      <c r="K103" s="33" t="str">
        <f ca="1">IF(ISERROR(MATCH(K$1,INDIRECT("Table!A"&amp;$X103):INDIRECT("Table!" &amp; $AA$171 &amp; $X103),0)),"",INDIRECT(CONCATENATE("Table!",ADDRESS($T103,MATCH(K$1,INDIRECT("Table!A" &amp; $X103):INDIRECT("Table!" &amp; $AA$171 &amp; $X103),0)))))</f>
        <v/>
      </c>
      <c r="L103" s="33">
        <f ca="1">IF(ISERROR(MATCH(L$1,INDIRECT("Table!A"&amp;$X103):INDIRECT("Table!" &amp; $AA$171 &amp; $X103),0)),"",INDIRECT(CONCATENATE("Table!",ADDRESS($T103,MATCH(L$1,INDIRECT("Table!A" &amp; $X103):INDIRECT("Table!" &amp; $AA$171 &amp; $X103),0)))))</f>
        <v>0.74632620449722642</v>
      </c>
      <c r="M103" s="33">
        <f ca="1">IF(ISERROR(MATCH(M$1,INDIRECT("Table!A"&amp;$X103):INDIRECT("Table!" &amp; $AA$171 &amp; $X103),0)),"",INDIRECT(CONCATENATE("Table!",ADDRESS($T103,MATCH(M$1,INDIRECT("Table!A" &amp; $X103):INDIRECT("Table!" &amp; $AA$171 &amp; $X103),0)))))</f>
        <v>0.33427885102949922</v>
      </c>
      <c r="N103" s="33">
        <f ca="1">IF(ISERROR(MATCH(N$1,INDIRECT("Table!A"&amp;$X103):INDIRECT("Table!" &amp; $AA$171 &amp; $X103),0)),"",INDIRECT(CONCATENATE("Table!",ADDRESS($T103,MATCH(N$1,INDIRECT("Table!A" &amp; $X103):INDIRECT("Table!" &amp; $AA$171 &amp; $X103),0)))))</f>
        <v>0.10196172808777254</v>
      </c>
      <c r="O103" s="33">
        <f ca="1">IF(ISERROR(MATCH(O$1,INDIRECT("Table!A"&amp;$X103):INDIRECT("Table!" &amp; $AA$171 &amp; $X103),0)),"",INDIRECT(CONCATENATE("Table!",ADDRESS($T103,MATCH(O$1,INDIRECT("Table!A" &amp; $X103):INDIRECT("Table!" &amp; $AA$171 &amp; $X103),0)))))</f>
        <v>0.45248911083069326</v>
      </c>
      <c r="P103" s="33">
        <f ca="1">IF(ISERROR(MATCH(P$1,INDIRECT("Table!A"&amp;$X103):INDIRECT("Table!" &amp; $AA$171 &amp; $X103),0)),"",INDIRECT(CONCATENATE("Table!",ADDRESS($T103,MATCH(P$1,INDIRECT("Table!A" &amp; $X103):INDIRECT("Table!" &amp; $AA$171 &amp; $X103),0)))))</f>
        <v>0.43597348919356893</v>
      </c>
      <c r="T103" s="31">
        <f>MATCH($A103,Table!$A:$A,0)+$V$2-1</f>
        <v>1366</v>
      </c>
      <c r="U103" s="187"/>
      <c r="V103" s="187"/>
      <c r="W103" s="187"/>
      <c r="X103" s="31">
        <f>MATCH($A103,Table!$A:$A,0)+$Z$2-1</f>
        <v>1363</v>
      </c>
      <c r="Y103" s="187"/>
      <c r="AA103" t="s">
        <v>209</v>
      </c>
    </row>
    <row r="104" spans="1:27" ht="15.75" customHeight="1">
      <c r="A104" s="5">
        <v>41038</v>
      </c>
      <c r="B104" s="33">
        <f ca="1">IF(ISERROR(MATCH(B$1,INDIRECT("Table!A"&amp;$X104):INDIRECT("Table!" &amp; $AA$171 &amp; $X104),0)),"",INDIRECT(CONCATENATE("Table!",ADDRESS($T104,MATCH(B$1,INDIRECT("Table!A" &amp; $X104):INDIRECT("Table!" &amp; $AA$171 &amp; $X104),0)))))</f>
        <v>0.76253445096048245</v>
      </c>
      <c r="C104" s="33">
        <f ca="1">IF(ISERROR(MATCH(C$1,INDIRECT("Table!A"&amp;$X104):INDIRECT("Table!" &amp; $AA$171 &amp; $X104),0)),"",INDIRECT(CONCATENATE("Table!",ADDRESS($T104,MATCH(C$1,INDIRECT("Table!A" &amp; $X104):INDIRECT("Table!" &amp; $AA$171 &amp; $X104),0)))))</f>
        <v>0.67441794718790171</v>
      </c>
      <c r="D104" s="33">
        <f ca="1">IF(ISERROR(MATCH(D$1,INDIRECT("Table!A"&amp;$X104):INDIRECT("Table!" &amp; $AA$171 &amp; $X104),0)),"",INDIRECT(CONCATENATE("Table!",ADDRESS($T104,MATCH(D$1,INDIRECT("Table!A" &amp; $X104):INDIRECT("Table!" &amp; $AA$171 &amp; $X104),0)))))</f>
        <v>0.68830300772300956</v>
      </c>
      <c r="E104" s="33">
        <f ca="1">IF(ISERROR(MATCH(E$1,INDIRECT("Table!A"&amp;$X104):INDIRECT("Table!" &amp; $AA$171 &amp; $X104),0)),"",INDIRECT(CONCATENATE("Table!",ADDRESS($T104,MATCH(E$1,INDIRECT("Table!A" &amp; $X104):INDIRECT("Table!" &amp; $AA$171 &amp; $X104),0)))))</f>
        <v>0.77845061863385157</v>
      </c>
      <c r="F104" s="33">
        <f ca="1">IF(ISERROR(MATCH(F$1,INDIRECT("Table!A"&amp;$X104):INDIRECT("Table!" &amp; $AA$171 &amp; $X104),0)),"",INDIRECT(CONCATENATE("Table!",ADDRESS($T104,MATCH(F$1,INDIRECT("Table!A" &amp; $X104):INDIRECT("Table!" &amp; $AA$171 &amp; $X104),0)))))</f>
        <v>7.7243558572443499E-2</v>
      </c>
      <c r="G104" s="33">
        <f ca="1">IF(ISERROR(MATCH(G$1,INDIRECT("Table!A"&amp;$X104):INDIRECT("Table!" &amp; $AA$171 &amp; $X104),0)),"",INDIRECT(CONCATENATE("Table!",ADDRESS($T104,MATCH(G$1,INDIRECT("Table!A" &amp; $X104):INDIRECT("Table!" &amp; $AA$171 &amp; $X104),0)))))</f>
        <v>0.30190720792500175</v>
      </c>
      <c r="H104" s="33">
        <f ca="1">IF(ISERROR(MATCH(H$1,INDIRECT("Table!A"&amp;$X104):INDIRECT("Table!" &amp; $AA$171 &amp; $X104),0)),"",INDIRECT(CONCATENATE("Table!",ADDRESS($T104,MATCH(H$1,INDIRECT("Table!A" &amp; $X104):INDIRECT("Table!" &amp; $AA$171 &amp; $X104),0)))))</f>
        <v>0.16908427963650088</v>
      </c>
      <c r="I104" s="33" t="str">
        <f ca="1">IF(ISERROR(MATCH(I$1,INDIRECT("Table!A"&amp;$X104):INDIRECT("Table!" &amp; $AA$171 &amp; $X104),0)),"",INDIRECT(CONCATENATE("Table!",ADDRESS($T104,MATCH(I$1,INDIRECT("Table!A" &amp; $X104):INDIRECT("Table!" &amp; $AA$171 &amp; $X104),0)))))</f>
        <v/>
      </c>
      <c r="J104" s="33" t="str">
        <f ca="1">IF(ISERROR(MATCH(J$1,INDIRECT("Table!A"&amp;$X104):INDIRECT("Table!" &amp; $AA$171 &amp; $X104),0)),"",INDIRECT(CONCATENATE("Table!",ADDRESS($T104,MATCH(J$1,INDIRECT("Table!A" &amp; $X104):INDIRECT("Table!" &amp; $AA$171 &amp; $X104),0)))))</f>
        <v/>
      </c>
      <c r="K104" s="33" t="str">
        <f ca="1">IF(ISERROR(MATCH(K$1,INDIRECT("Table!A"&amp;$X104):INDIRECT("Table!" &amp; $AA$171 &amp; $X104),0)),"",INDIRECT(CONCATENATE("Table!",ADDRESS($T104,MATCH(K$1,INDIRECT("Table!A" &amp; $X104):INDIRECT("Table!" &amp; $AA$171 &amp; $X104),0)))))</f>
        <v/>
      </c>
      <c r="L104" s="33">
        <f ca="1">IF(ISERROR(MATCH(L$1,INDIRECT("Table!A"&amp;$X104):INDIRECT("Table!" &amp; $AA$171 &amp; $X104),0)),"",INDIRECT(CONCATENATE("Table!",ADDRESS($T104,MATCH(L$1,INDIRECT("Table!A" &amp; $X104):INDIRECT("Table!" &amp; $AA$171 &amp; $X104),0)))))</f>
        <v>0.74594016644089289</v>
      </c>
      <c r="M104" s="33">
        <f ca="1">IF(ISERROR(MATCH(M$1,INDIRECT("Table!A"&amp;$X104):INDIRECT("Table!" &amp; $AA$171 &amp; $X104),0)),"",INDIRECT(CONCATENATE("Table!",ADDRESS($T104,MATCH(M$1,INDIRECT("Table!A" &amp; $X104):INDIRECT("Table!" &amp; $AA$171 &amp; $X104),0)))))</f>
        <v>0.32456736510858064</v>
      </c>
      <c r="N104" s="33">
        <f ca="1">IF(ISERROR(MATCH(N$1,INDIRECT("Table!A"&amp;$X104):INDIRECT("Table!" &amp; $AA$171 &amp; $X104),0)),"",INDIRECT(CONCATENATE("Table!",ADDRESS($T104,MATCH(N$1,INDIRECT("Table!A" &amp; $X104):INDIRECT("Table!" &amp; $AA$171 &amp; $X104),0)))))</f>
        <v>0.10142600703195701</v>
      </c>
      <c r="O104" s="33">
        <f ca="1">IF(ISERROR(MATCH(O$1,INDIRECT("Table!A"&amp;$X104):INDIRECT("Table!" &amp; $AA$171 &amp; $X104),0)),"",INDIRECT(CONCATENATE("Table!",ADDRESS($T104,MATCH(O$1,INDIRECT("Table!A" &amp; $X104):INDIRECT("Table!" &amp; $AA$171 &amp; $X104),0)))))</f>
        <v>0.45242451526410238</v>
      </c>
      <c r="P104" s="33">
        <f ca="1">IF(ISERROR(MATCH(P$1,INDIRECT("Table!A"&amp;$X104):INDIRECT("Table!" &amp; $AA$171 &amp; $X104),0)),"",INDIRECT(CONCATENATE("Table!",ADDRESS($T104,MATCH(P$1,INDIRECT("Table!A" &amp; $X104):INDIRECT("Table!" &amp; $AA$171 &amp; $X104),0)))))</f>
        <v>0.43596438520784397</v>
      </c>
      <c r="T104" s="31">
        <f>MATCH($A104,Table!$A:$A,0)+$V$2-1</f>
        <v>1379</v>
      </c>
      <c r="U104" s="186"/>
      <c r="V104" s="186"/>
      <c r="W104" s="186"/>
      <c r="X104" s="31">
        <f>MATCH($A104,Table!$A:$A,0)+$Z$2-1</f>
        <v>1376</v>
      </c>
      <c r="Y104" s="186"/>
      <c r="AA104" t="s">
        <v>209</v>
      </c>
    </row>
    <row r="105" spans="1:27" ht="15.75" customHeight="1">
      <c r="A105" s="5">
        <v>41037</v>
      </c>
      <c r="B105" s="33">
        <f ca="1">IF(ISERROR(MATCH(B$1,INDIRECT("Table!A"&amp;$X105):INDIRECT("Table!" &amp; $AA$171 &amp; $X105),0)),"",INDIRECT(CONCATENATE("Table!",ADDRESS($T105,MATCH(B$1,INDIRECT("Table!A" &amp; $X105):INDIRECT("Table!" &amp; $AA$171 &amp; $X105),0)))))</f>
        <v>0.76211654958520691</v>
      </c>
      <c r="C105" s="33">
        <f ca="1">IF(ISERROR(MATCH(C$1,INDIRECT("Table!A"&amp;$X105):INDIRECT("Table!" &amp; $AA$171 &amp; $X105),0)),"",INDIRECT(CONCATENATE("Table!",ADDRESS($T105,MATCH(C$1,INDIRECT("Table!A" &amp; $X105):INDIRECT("Table!" &amp; $AA$171 &amp; $X105),0)))))</f>
        <v>0.67418875079890594</v>
      </c>
      <c r="D105" s="33">
        <f ca="1">IF(ISERROR(MATCH(D$1,INDIRECT("Table!A"&amp;$X105):INDIRECT("Table!" &amp; $AA$171 &amp; $X105),0)),"",INDIRECT(CONCATENATE("Table!",ADDRESS($T105,MATCH(D$1,INDIRECT("Table!A" &amp; $X105):INDIRECT("Table!" &amp; $AA$171 &amp; $X105),0)))))</f>
        <v>0.68807482100973638</v>
      </c>
      <c r="E105" s="33">
        <f ca="1">IF(ISERROR(MATCH(E$1,INDIRECT("Table!A"&amp;$X105):INDIRECT("Table!" &amp; $AA$171 &amp; $X105),0)),"",INDIRECT(CONCATENATE("Table!",ADDRESS($T105,MATCH(E$1,INDIRECT("Table!A" &amp; $X105):INDIRECT("Table!" &amp; $AA$171 &amp; $X105),0)))))</f>
        <v>0.77471815593375315</v>
      </c>
      <c r="F105" s="33">
        <f ca="1">IF(ISERROR(MATCH(F$1,INDIRECT("Table!A"&amp;$X105):INDIRECT("Table!" &amp; $AA$171 &amp; $X105),0)),"",INDIRECT(CONCATENATE("Table!",ADDRESS($T105,MATCH(F$1,INDIRECT("Table!A" &amp; $X105):INDIRECT("Table!" &amp; $AA$171 &amp; $X105),0)))))</f>
        <v>7.7164436693430732E-2</v>
      </c>
      <c r="G105" s="33">
        <f ca="1">IF(ISERROR(MATCH(G$1,INDIRECT("Table!A"&amp;$X105):INDIRECT("Table!" &amp; $AA$171 &amp; $X105),0)),"",INDIRECT(CONCATENATE("Table!",ADDRESS($T105,MATCH(G$1,INDIRECT("Table!A" &amp; $X105):INDIRECT("Table!" &amp; $AA$171 &amp; $X105),0)))))</f>
        <v>0.30002116798201905</v>
      </c>
      <c r="H105" s="33">
        <f ca="1">IF(ISERROR(MATCH(H$1,INDIRECT("Table!A"&amp;$X105):INDIRECT("Table!" &amp; $AA$171 &amp; $X105),0)),"",INDIRECT(CONCATENATE("Table!",ADDRESS($T105,MATCH(H$1,INDIRECT("Table!A" &amp; $X105):INDIRECT("Table!" &amp; $AA$171 &amp; $X105),0)))))</f>
        <v>0.16885350748938036</v>
      </c>
      <c r="I105" s="33" t="str">
        <f ca="1">IF(ISERROR(MATCH(I$1,INDIRECT("Table!A"&amp;$X105):INDIRECT("Table!" &amp; $AA$171 &amp; $X105),0)),"",INDIRECT(CONCATENATE("Table!",ADDRESS($T105,MATCH(I$1,INDIRECT("Table!A" &amp; $X105):INDIRECT("Table!" &amp; $AA$171 &amp; $X105),0)))))</f>
        <v/>
      </c>
      <c r="J105" s="33" t="str">
        <f ca="1">IF(ISERROR(MATCH(J$1,INDIRECT("Table!A"&amp;$X105):INDIRECT("Table!" &amp; $AA$171 &amp; $X105),0)),"",INDIRECT(CONCATENATE("Table!",ADDRESS($T105,MATCH(J$1,INDIRECT("Table!A" &amp; $X105):INDIRECT("Table!" &amp; $AA$171 &amp; $X105),0)))))</f>
        <v/>
      </c>
      <c r="K105" s="33" t="str">
        <f ca="1">IF(ISERROR(MATCH(K$1,INDIRECT("Table!A"&amp;$X105):INDIRECT("Table!" &amp; $AA$171 &amp; $X105),0)),"",INDIRECT(CONCATENATE("Table!",ADDRESS($T105,MATCH(K$1,INDIRECT("Table!A" &amp; $X105):INDIRECT("Table!" &amp; $AA$171 &amp; $X105),0)))))</f>
        <v/>
      </c>
      <c r="L105" s="33">
        <f ca="1">IF(ISERROR(MATCH(L$1,INDIRECT("Table!A"&amp;$X105):INDIRECT("Table!" &amp; $AA$171 &amp; $X105),0)),"",INDIRECT(CONCATENATE("Table!",ADDRESS($T105,MATCH(L$1,INDIRECT("Table!A" &amp; $X105):INDIRECT("Table!" &amp; $AA$171 &amp; $X105),0)))))</f>
        <v>0.74553014723257505</v>
      </c>
      <c r="M105" s="33">
        <f ca="1">IF(ISERROR(MATCH(M$1,INDIRECT("Table!A"&amp;$X105):INDIRECT("Table!" &amp; $AA$171 &amp; $X105),0)),"",INDIRECT(CONCATENATE("Table!",ADDRESS($T105,MATCH(M$1,INDIRECT("Table!A" &amp; $X105):INDIRECT("Table!" &amp; $AA$171 &amp; $X105),0)))))</f>
        <v>0.32384006320942205</v>
      </c>
      <c r="N105" s="33">
        <f ca="1">IF(ISERROR(MATCH(N$1,INDIRECT("Table!A"&amp;$X105):INDIRECT("Table!" &amp; $AA$171 &amp; $X105),0)),"",INDIRECT(CONCATENATE("Table!",ADDRESS($T105,MATCH(N$1,INDIRECT("Table!A" &amp; $X105):INDIRECT("Table!" &amp; $AA$171 &amp; $X105),0)))))</f>
        <v>0.10101226553961945</v>
      </c>
      <c r="O105" s="33">
        <f ca="1">IF(ISERROR(MATCH(O$1,INDIRECT("Table!A"&amp;$X105):INDIRECT("Table!" &amp; $AA$171 &amp; $X105),0)),"",INDIRECT(CONCATENATE("Table!",ADDRESS($T105,MATCH(O$1,INDIRECT("Table!A" &amp; $X105):INDIRECT("Table!" &amp; $AA$171 &amp; $X105),0)))))</f>
        <v>0.45210890359225003</v>
      </c>
      <c r="P105" s="33">
        <f ca="1">IF(ISERROR(MATCH(P$1,INDIRECT("Table!A"&amp;$X105):INDIRECT("Table!" &amp; $AA$171 &amp; $X105),0)),"",INDIRECT(CONCATENATE("Table!",ADDRESS($T105,MATCH(P$1,INDIRECT("Table!A" &amp; $X105):INDIRECT("Table!" &amp; $AA$171 &amp; $X105),0)))))</f>
        <v>0.43596438520784397</v>
      </c>
      <c r="T105" s="31">
        <f>MATCH($A105,Table!$A:$A,0)+$V$2-1</f>
        <v>1392</v>
      </c>
      <c r="U105" s="185"/>
      <c r="V105" s="185"/>
      <c r="W105" s="185"/>
      <c r="X105" s="31">
        <f>MATCH($A105,Table!$A:$A,0)+$Z$2-1</f>
        <v>1389</v>
      </c>
      <c r="Y105" s="185"/>
      <c r="AA105" t="s">
        <v>209</v>
      </c>
    </row>
    <row r="106" spans="1:27" ht="15.75" customHeight="1">
      <c r="A106" s="5">
        <v>41033</v>
      </c>
      <c r="B106" s="33">
        <f ca="1">IF(ISERROR(MATCH(B$1,INDIRECT("Table!A"&amp;$X106):INDIRECT("Table!" &amp; $AA$171 &amp; $X106),0)),"",INDIRECT(CONCATENATE("Table!",ADDRESS($T106,MATCH(B$1,INDIRECT("Table!A" &amp; $X106):INDIRECT("Table!" &amp; $AA$171 &amp; $X106),0)))))</f>
        <v>0.7610899282314828</v>
      </c>
      <c r="C106" s="33">
        <f ca="1">IF(ISERROR(MATCH(C$1,INDIRECT("Table!A"&amp;$X106):INDIRECT("Table!" &amp; $AA$171 &amp; $X106),0)),"",INDIRECT(CONCATENATE("Table!",ADDRESS($T106,MATCH(C$1,INDIRECT("Table!A" &amp; $X106):INDIRECT("Table!" &amp; $AA$171 &amp; $X106),0)))))</f>
        <v>0.67394037057118361</v>
      </c>
      <c r="D106" s="33">
        <f ca="1">IF(ISERROR(MATCH(D$1,INDIRECT("Table!A"&amp;$X106):INDIRECT("Table!" &amp; $AA$171 &amp; $X106),0)),"",INDIRECT(CONCATENATE("Table!",ADDRESS($T106,MATCH(D$1,INDIRECT("Table!A" &amp; $X106):INDIRECT("Table!" &amp; $AA$171 &amp; $X106),0)))))</f>
        <v>0.68782745045773652</v>
      </c>
      <c r="E106" s="33">
        <f ca="1">IF(ISERROR(MATCH(E$1,INDIRECT("Table!A"&amp;$X106):INDIRECT("Table!" &amp; $AA$171 &amp; $X106),0)),"",INDIRECT(CONCATENATE("Table!",ADDRESS($T106,MATCH(E$1,INDIRECT("Table!A" &amp; $X106):INDIRECT("Table!" &amp; $AA$171 &amp; $X106),0)))))</f>
        <v>0.76246581002627511</v>
      </c>
      <c r="F106" s="33">
        <f ca="1">IF(ISERROR(MATCH(F$1,INDIRECT("Table!A"&amp;$X106):INDIRECT("Table!" &amp; $AA$171 &amp; $X106),0)),"",INDIRECT(CONCATENATE("Table!",ADDRESS($T106,MATCH(F$1,INDIRECT("Table!A" &amp; $X106):INDIRECT("Table!" &amp; $AA$171 &amp; $X106),0)))))</f>
        <v>7.5193807394269258E-2</v>
      </c>
      <c r="G106" s="33">
        <f ca="1">IF(ISERROR(MATCH(G$1,INDIRECT("Table!A"&amp;$X106):INDIRECT("Table!" &amp; $AA$171 &amp; $X106),0)),"",INDIRECT(CONCATENATE("Table!",ADDRESS($T106,MATCH(G$1,INDIRECT("Table!A" &amp; $X106):INDIRECT("Table!" &amp; $AA$171 &amp; $X106),0)))))</f>
        <v>0.30101324679595792</v>
      </c>
      <c r="H106" s="33">
        <f ca="1">IF(ISERROR(MATCH(H$1,INDIRECT("Table!A"&amp;$X106):INDIRECT("Table!" &amp; $AA$171 &amp; $X106),0)),"",INDIRECT(CONCATENATE("Table!",ADDRESS($T106,MATCH(H$1,INDIRECT("Table!A" &amp; $X106):INDIRECT("Table!" &amp; $AA$171 &amp; $X106),0)))))</f>
        <v>0.16869443954511512</v>
      </c>
      <c r="I106" s="33" t="str">
        <f ca="1">IF(ISERROR(MATCH(I$1,INDIRECT("Table!A"&amp;$X106):INDIRECT("Table!" &amp; $AA$171 &amp; $X106),0)),"",INDIRECT(CONCATENATE("Table!",ADDRESS($T106,MATCH(I$1,INDIRECT("Table!A" &amp; $X106):INDIRECT("Table!" &amp; $AA$171 &amp; $X106),0)))))</f>
        <v/>
      </c>
      <c r="J106" s="33" t="str">
        <f ca="1">IF(ISERROR(MATCH(J$1,INDIRECT("Table!A"&amp;$X106):INDIRECT("Table!" &amp; $AA$171 &amp; $X106),0)),"",INDIRECT(CONCATENATE("Table!",ADDRESS($T106,MATCH(J$1,INDIRECT("Table!A" &amp; $X106):INDIRECT("Table!" &amp; $AA$171 &amp; $X106),0)))))</f>
        <v/>
      </c>
      <c r="K106" s="33" t="str">
        <f ca="1">IF(ISERROR(MATCH(K$1,INDIRECT("Table!A"&amp;$X106):INDIRECT("Table!" &amp; $AA$171 &amp; $X106),0)),"",INDIRECT(CONCATENATE("Table!",ADDRESS($T106,MATCH(K$1,INDIRECT("Table!A" &amp; $X106):INDIRECT("Table!" &amp; $AA$171 &amp; $X106),0)))))</f>
        <v/>
      </c>
      <c r="L106" s="33">
        <f ca="1">IF(ISERROR(MATCH(L$1,INDIRECT("Table!A"&amp;$X106):INDIRECT("Table!" &amp; $AA$171 &amp; $X106),0)),"",INDIRECT(CONCATENATE("Table!",ADDRESS($T106,MATCH(L$1,INDIRECT("Table!A" &amp; $X106):INDIRECT("Table!" &amp; $AA$171 &amp; $X106),0)))))</f>
        <v>0.74121353987539162</v>
      </c>
      <c r="M106" s="33">
        <f ca="1">IF(ISERROR(MATCH(M$1,INDIRECT("Table!A"&amp;$X106):INDIRECT("Table!" &amp; $AA$171 &amp; $X106),0)),"",INDIRECT(CONCATENATE("Table!",ADDRESS($T106,MATCH(M$1,INDIRECT("Table!A" &amp; $X106):INDIRECT("Table!" &amp; $AA$171 &amp; $X106),0)))))</f>
        <v>0.32151587576684559</v>
      </c>
      <c r="N106" s="33">
        <f ca="1">IF(ISERROR(MATCH(N$1,INDIRECT("Table!A"&amp;$X106):INDIRECT("Table!" &amp; $AA$171 &amp; $X106),0)),"",INDIRECT(CONCATENATE("Table!",ADDRESS($T106,MATCH(N$1,INDIRECT("Table!A" &amp; $X106):INDIRECT("Table!" &amp; $AA$171 &amp; $X106),0)))))</f>
        <v>7.9972439212143892E-2</v>
      </c>
      <c r="O106" s="33">
        <f ca="1">IF(ISERROR(MATCH(O$1,INDIRECT("Table!A"&amp;$X106):INDIRECT("Table!" &amp; $AA$171 &amp; $X106),0)),"",INDIRECT(CONCATENATE("Table!",ADDRESS($T106,MATCH(O$1,INDIRECT("Table!A" &amp; $X106):INDIRECT("Table!" &amp; $AA$171 &amp; $X106),0)))))</f>
        <v>0.45183918877034407</v>
      </c>
      <c r="P106" s="33">
        <f ca="1">IF(ISERROR(MATCH(P$1,INDIRECT("Table!A"&amp;$X106):INDIRECT("Table!" &amp; $AA$171 &amp; $X106),0)),"",INDIRECT(CONCATENATE("Table!",ADDRESS($T106,MATCH(P$1,INDIRECT("Table!A" &amp; $X106):INDIRECT("Table!" &amp; $AA$171 &amp; $X106),0)))))</f>
        <v>0.43585513737914455</v>
      </c>
      <c r="T106" s="31">
        <f>MATCH($A106,Table!$A:$A,0)+$V$2-1</f>
        <v>1405</v>
      </c>
      <c r="U106" s="184"/>
      <c r="V106" s="184"/>
      <c r="W106" s="184"/>
      <c r="X106" s="31">
        <f>MATCH($A106,Table!$A:$A,0)+$Z$2-1</f>
        <v>1402</v>
      </c>
      <c r="Y106" s="184"/>
      <c r="AA106" t="s">
        <v>209</v>
      </c>
    </row>
    <row r="107" spans="1:27" ht="15.75" customHeight="1">
      <c r="A107" s="5">
        <v>41031</v>
      </c>
      <c r="B107" s="33">
        <f ca="1">IF(ISERROR(MATCH(B$1,INDIRECT("Table!A"&amp;$X107):INDIRECT("Table!" &amp; $AA$171 &amp; $X107),0)),"",INDIRECT(CONCATENATE("Table!",ADDRESS($T107,MATCH(B$1,INDIRECT("Table!A" &amp; $X107):INDIRECT("Table!" &amp; $AA$171 &amp; $X107),0)))))</f>
        <v>0.76073074027256837</v>
      </c>
      <c r="C107" s="33">
        <f ca="1">IF(ISERROR(MATCH(C$1,INDIRECT("Table!A"&amp;$X107):INDIRECT("Table!" &amp; $AA$171 &amp; $X107),0)),"",INDIRECT(CONCATENATE("Table!",ADDRESS($T107,MATCH(C$1,INDIRECT("Table!A" &amp; $X107):INDIRECT("Table!" &amp; $AA$171 &amp; $X107),0)))))</f>
        <v>0.67379598694287357</v>
      </c>
      <c r="D107" s="33">
        <f ca="1">IF(ISERROR(MATCH(D$1,INDIRECT("Table!A"&amp;$X107):INDIRECT("Table!" &amp; $AA$171 &amp; $X107),0)),"",INDIRECT(CONCATENATE("Table!",ADDRESS($T107,MATCH(D$1,INDIRECT("Table!A" &amp; $X107):INDIRECT("Table!" &amp; $AA$171 &amp; $X107),0)))))</f>
        <v>0.68768407650514884</v>
      </c>
      <c r="E107" s="33">
        <f ca="1">IF(ISERROR(MATCH(E$1,INDIRECT("Table!A"&amp;$X107):INDIRECT("Table!" &amp; $AA$171 &amp; $X107),0)),"",INDIRECT(CONCATENATE("Table!",ADDRESS($T107,MATCH(E$1,INDIRECT("Table!A" &amp; $X107):INDIRECT("Table!" &amp; $AA$171 &amp; $X107),0)))))</f>
        <v>0.75503165422878749</v>
      </c>
      <c r="F107" s="33">
        <f ca="1">IF(ISERROR(MATCH(F$1,INDIRECT("Table!A"&amp;$X107):INDIRECT("Table!" &amp; $AA$171 &amp; $X107),0)),"",INDIRECT(CONCATENATE("Table!",ADDRESS($T107,MATCH(F$1,INDIRECT("Table!A" &amp; $X107):INDIRECT("Table!" &amp; $AA$171 &amp; $X107),0)))))</f>
        <v>7.3514940023967343E-2</v>
      </c>
      <c r="G107" s="33">
        <f ca="1">IF(ISERROR(MATCH(G$1,INDIRECT("Table!A"&amp;$X107):INDIRECT("Table!" &amp; $AA$171 &amp; $X107),0)),"",INDIRECT(CONCATENATE("Table!",ADDRESS($T107,MATCH(G$1,INDIRECT("Table!A" &amp; $X107):INDIRECT("Table!" &amp; $AA$171 &amp; $X107),0)))))</f>
        <v>0.30009203075444324</v>
      </c>
      <c r="H107" s="33">
        <f ca="1">IF(ISERROR(MATCH(H$1,INDIRECT("Table!A"&amp;$X107):INDIRECT("Table!" &amp; $AA$171 &amp; $X107),0)),"",INDIRECT(CONCATENATE("Table!",ADDRESS($T107,MATCH(H$1,INDIRECT("Table!A" &amp; $X107):INDIRECT("Table!" &amp; $AA$171 &amp; $X107),0)))))</f>
        <v>0.16860460324498605</v>
      </c>
      <c r="I107" s="33" t="str">
        <f ca="1">IF(ISERROR(MATCH(I$1,INDIRECT("Table!A"&amp;$X107):INDIRECT("Table!" &amp; $AA$171 &amp; $X107),0)),"",INDIRECT(CONCATENATE("Table!",ADDRESS($T107,MATCH(I$1,INDIRECT("Table!A" &amp; $X107):INDIRECT("Table!" &amp; $AA$171 &amp; $X107),0)))))</f>
        <v/>
      </c>
      <c r="J107" s="33" t="str">
        <f ca="1">IF(ISERROR(MATCH(J$1,INDIRECT("Table!A"&amp;$X107):INDIRECT("Table!" &amp; $AA$171 &amp; $X107),0)),"",INDIRECT(CONCATENATE("Table!",ADDRESS($T107,MATCH(J$1,INDIRECT("Table!A" &amp; $X107):INDIRECT("Table!" &amp; $AA$171 &amp; $X107),0)))))</f>
        <v/>
      </c>
      <c r="K107" s="33" t="str">
        <f ca="1">IF(ISERROR(MATCH(K$1,INDIRECT("Table!A"&amp;$X107):INDIRECT("Table!" &amp; $AA$171 &amp; $X107),0)),"",INDIRECT(CONCATENATE("Table!",ADDRESS($T107,MATCH(K$1,INDIRECT("Table!A" &amp; $X107):INDIRECT("Table!" &amp; $AA$171 &amp; $X107),0)))))</f>
        <v/>
      </c>
      <c r="L107" s="33">
        <f ca="1">IF(ISERROR(MATCH(L$1,INDIRECT("Table!A"&amp;$X107):INDIRECT("Table!" &amp; $AA$171 &amp; $X107),0)),"",INDIRECT(CONCATENATE("Table!",ADDRESS($T107,MATCH(L$1,INDIRECT("Table!A" &amp; $X107):INDIRECT("Table!" &amp; $AA$171 &amp; $X107),0)))))</f>
        <v>0.73614123377762808</v>
      </c>
      <c r="M107" s="33">
        <f ca="1">IF(ISERROR(MATCH(M$1,INDIRECT("Table!A"&amp;$X107):INDIRECT("Table!" &amp; $AA$171 &amp; $X107),0)),"",INDIRECT(CONCATENATE("Table!",ADDRESS($T107,MATCH(M$1,INDIRECT("Table!A" &amp; $X107):INDIRECT("Table!" &amp; $AA$171 &amp; $X107),0)))))</f>
        <v>0.32033524000962671</v>
      </c>
      <c r="N107" s="33">
        <f ca="1">IF(ISERROR(MATCH(N$1,INDIRECT("Table!A"&amp;$X107):INDIRECT("Table!" &amp; $AA$171 &amp; $X107),0)),"",INDIRECT(CONCATENATE("Table!",ADDRESS($T107,MATCH(N$1,INDIRECT("Table!A" &amp; $X107):INDIRECT("Table!" &amp; $AA$171 &amp; $X107),0)))))</f>
        <v>7.8068568998399437E-2</v>
      </c>
      <c r="O107" s="33">
        <f ca="1">IF(ISERROR(MATCH(O$1,INDIRECT("Table!A"&amp;$X107):INDIRECT("Table!" &amp; $AA$171 &amp; $X107),0)),"",INDIRECT(CONCATENATE("Table!",ADDRESS($T107,MATCH(O$1,INDIRECT("Table!A" &amp; $X107):INDIRECT("Table!" &amp; $AA$171 &amp; $X107),0)))))</f>
        <v>0.45116036869336196</v>
      </c>
      <c r="P107" s="33">
        <f ca="1">IF(ISERROR(MATCH(P$1,INDIRECT("Table!A"&amp;$X107):INDIRECT("Table!" &amp; $AA$171 &amp; $X107),0)),"",INDIRECT(CONCATENATE("Table!",ADDRESS($T107,MATCH(P$1,INDIRECT("Table!A" &amp; $X107):INDIRECT("Table!" &amp; $AA$171 &amp; $X107),0)))))</f>
        <v>0.43559658418455605</v>
      </c>
      <c r="T107" s="31">
        <f>MATCH($A107,Table!$A:$A,0)+$V$2-1</f>
        <v>1418</v>
      </c>
      <c r="U107" s="183"/>
      <c r="V107" s="183"/>
      <c r="W107" s="183"/>
      <c r="X107" s="31">
        <f>MATCH($A107,Table!$A:$A,0)+$Z$2-1</f>
        <v>1415</v>
      </c>
      <c r="Y107" s="183"/>
      <c r="AA107" t="s">
        <v>209</v>
      </c>
    </row>
    <row r="108" spans="1:27" ht="15.75" customHeight="1">
      <c r="A108" s="5">
        <v>41030</v>
      </c>
      <c r="B108" s="33">
        <f ca="1">IF(ISERROR(MATCH(B$1,INDIRECT("Table!A"&amp;$X108):INDIRECT("Table!" &amp; $AA$171 &amp; $X108),0)),"",INDIRECT(CONCATENATE("Table!",ADDRESS($T108,MATCH(B$1,INDIRECT("Table!A" &amp; $X108):INDIRECT("Table!" &amp; $AA$171 &amp; $X108),0)))))</f>
        <v>0.76066943655842678</v>
      </c>
      <c r="C108" s="33">
        <f ca="1">IF(ISERROR(MATCH(C$1,INDIRECT("Table!A"&amp;$X108):INDIRECT("Table!" &amp; $AA$171 &amp; $X108),0)),"",INDIRECT(CONCATENATE("Table!",ADDRESS($T108,MATCH(C$1,INDIRECT("Table!A" &amp; $X108):INDIRECT("Table!" &amp; $AA$171 &amp; $X108),0)))))</f>
        <v>0.67365261299028589</v>
      </c>
      <c r="D108" s="33">
        <f ca="1">IF(ISERROR(MATCH(D$1,INDIRECT("Table!A"&amp;$X108):INDIRECT("Table!" &amp; $AA$171 &amp; $X108),0)),"",INDIRECT(CONCATENATE("Table!",ADDRESS($T108,MATCH(D$1,INDIRECT("Table!A" &amp; $X108):INDIRECT("Table!" &amp; $AA$171 &amp; $X108),0)))))</f>
        <v>0.6875396928768388</v>
      </c>
      <c r="E108" s="33">
        <f ca="1">IF(ISERROR(MATCH(E$1,INDIRECT("Table!A"&amp;$X108):INDIRECT("Table!" &amp; $AA$171 &amp; $X108),0)),"",INDIRECT(CONCATENATE("Table!",ADDRESS($T108,MATCH(E$1,INDIRECT("Table!A" &amp; $X108):INDIRECT("Table!" &amp; $AA$171 &amp; $X108),0)))))</f>
        <v>0.75136897259197644</v>
      </c>
      <c r="F108" s="33">
        <f ca="1">IF(ISERROR(MATCH(F$1,INDIRECT("Table!A"&amp;$X108):INDIRECT("Table!" &amp; $AA$171 &amp; $X108),0)),"",INDIRECT(CONCATENATE("Table!",ADDRESS($T108,MATCH(F$1,INDIRECT("Table!A" &amp; $X108):INDIRECT("Table!" &amp; $AA$171 &amp; $X108),0)))))</f>
        <v>7.3063285964602848E-2</v>
      </c>
      <c r="G108" s="33">
        <f ca="1">IF(ISERROR(MATCH(G$1,INDIRECT("Table!A"&amp;$X108):INDIRECT("Table!" &amp; $AA$171 &amp; $X108),0)),"",INDIRECT(CONCATENATE("Table!",ADDRESS($T108,MATCH(G$1,INDIRECT("Table!A" &amp; $X108):INDIRECT("Table!" &amp; $AA$171 &amp; $X108),0)))))</f>
        <v>0.299558742967097</v>
      </c>
      <c r="H108" s="33">
        <f ca="1">IF(ISERROR(MATCH(H$1,INDIRECT("Table!A"&amp;$X108):INDIRECT("Table!" &amp; $AA$171 &amp; $X108),0)),"",INDIRECT(CONCATENATE("Table!",ADDRESS($T108,MATCH(H$1,INDIRECT("Table!A" &amp; $X108):INDIRECT("Table!" &amp; $AA$171 &amp; $X108),0)))))</f>
        <v>0.16855020695316478</v>
      </c>
      <c r="I108" s="33" t="str">
        <f ca="1">IF(ISERROR(MATCH(I$1,INDIRECT("Table!A"&amp;$X108):INDIRECT("Table!" &amp; $AA$171 &amp; $X108),0)),"",INDIRECT(CONCATENATE("Table!",ADDRESS($T108,MATCH(I$1,INDIRECT("Table!A" &amp; $X108):INDIRECT("Table!" &amp; $AA$171 &amp; $X108),0)))))</f>
        <v/>
      </c>
      <c r="J108" s="33" t="str">
        <f ca="1">IF(ISERROR(MATCH(J$1,INDIRECT("Table!A"&amp;$X108):INDIRECT("Table!" &amp; $AA$171 &amp; $X108),0)),"",INDIRECT(CONCATENATE("Table!",ADDRESS($T108,MATCH(J$1,INDIRECT("Table!A" &amp; $X108):INDIRECT("Table!" &amp; $AA$171 &amp; $X108),0)))))</f>
        <v/>
      </c>
      <c r="K108" s="33" t="str">
        <f ca="1">IF(ISERROR(MATCH(K$1,INDIRECT("Table!A"&amp;$X108):INDIRECT("Table!" &amp; $AA$171 &amp; $X108),0)),"",INDIRECT(CONCATENATE("Table!",ADDRESS($T108,MATCH(K$1,INDIRECT("Table!A" &amp; $X108):INDIRECT("Table!" &amp; $AA$171 &amp; $X108),0)))))</f>
        <v/>
      </c>
      <c r="L108" s="33">
        <f ca="1">IF(ISERROR(MATCH(L$1,INDIRECT("Table!A"&amp;$X108):INDIRECT("Table!" &amp; $AA$171 &amp; $X108),0)),"",INDIRECT(CONCATENATE("Table!",ADDRESS($T108,MATCH(L$1,INDIRECT("Table!A" &amp; $X108):INDIRECT("Table!" &amp; $AA$171 &amp; $X108),0)))))</f>
        <v>0.7349725912980003</v>
      </c>
      <c r="M108" s="33">
        <f ca="1">IF(ISERROR(MATCH(M$1,INDIRECT("Table!A"&amp;$X108):INDIRECT("Table!" &amp; $AA$171 &amp; $X108),0)),"",INDIRECT(CONCATENATE("Table!",ADDRESS($T108,MATCH(M$1,INDIRECT("Table!A" &amp; $X108):INDIRECT("Table!" &amp; $AA$171 &amp; $X108),0)))))</f>
        <v>0.32015436055707841</v>
      </c>
      <c r="N108" s="33">
        <f ca="1">IF(ISERROR(MATCH(N$1,INDIRECT("Table!A"&amp;$X108):INDIRECT("Table!" &amp; $AA$171 &amp; $X108),0)),"",INDIRECT(CONCATENATE("Table!",ADDRESS($T108,MATCH(N$1,INDIRECT("Table!A" &amp; $X108):INDIRECT("Table!" &amp; $AA$171 &amp; $X108),0)))))</f>
        <v>7.7376252557037811E-2</v>
      </c>
      <c r="O108" s="33">
        <f ca="1">IF(ISERROR(MATCH(O$1,INDIRECT("Table!A"&amp;$X108):INDIRECT("Table!" &amp; $AA$171 &amp; $X108),0)),"",INDIRECT(CONCATENATE("Table!",ADDRESS($T108,MATCH(O$1,INDIRECT("Table!A" &amp; $X108):INDIRECT("Table!" &amp; $AA$171 &amp; $X108),0)))))</f>
        <v>0.45077846157158746</v>
      </c>
      <c r="P108" s="33">
        <f ca="1">IF(ISERROR(MATCH(P$1,INDIRECT("Table!A"&amp;$X108):INDIRECT("Table!" &amp; $AA$171 &amp; $X108),0)),"",INDIRECT(CONCATENATE("Table!",ADDRESS($T108,MATCH(P$1,INDIRECT("Table!A" &amp; $X108):INDIRECT("Table!" &amp; $AA$171 &amp; $X108),0)))))</f>
        <v>0.43559112179312098</v>
      </c>
      <c r="T108" s="31">
        <f>MATCH($A108,Table!$A:$A,0)+$V$2-1</f>
        <v>1431</v>
      </c>
      <c r="U108" s="182"/>
      <c r="V108" s="182"/>
      <c r="W108" s="182"/>
      <c r="X108" s="31">
        <f>MATCH($A108,Table!$A:$A,0)+$Z$2-1</f>
        <v>1428</v>
      </c>
      <c r="Y108" s="182"/>
      <c r="AA108" t="s">
        <v>209</v>
      </c>
    </row>
    <row r="109" spans="1:27" ht="15.75" customHeight="1">
      <c r="A109" s="5">
        <v>41026</v>
      </c>
      <c r="B109" s="33">
        <f ca="1">IF(ISERROR(MATCH(B$1,INDIRECT("Table!A"&amp;$X109):INDIRECT("Table!" &amp; $AA$171 &amp; $X109),0)),"",INDIRECT(CONCATENATE("Table!",ADDRESS($T109,MATCH(B$1,INDIRECT("Table!A" &amp; $X109):INDIRECT("Table!" &amp; $AA$171 &amp; $X109),0)))))</f>
        <v>0.75922577726202078</v>
      </c>
      <c r="C109" s="33">
        <f ca="1">IF(ISERROR(MATCH(C$1,INDIRECT("Table!A"&amp;$X109):INDIRECT("Table!" &amp; $AA$171 &amp; $X109),0)),"",INDIRECT(CONCATENATE("Table!",ADDRESS($T109,MATCH(C$1,INDIRECT("Table!A" &amp; $X109):INDIRECT("Table!" &amp; $AA$171 &amp; $X109),0)))))</f>
        <v>0.67337192313944527</v>
      </c>
      <c r="D109" s="33">
        <f ca="1">IF(ISERROR(MATCH(D$1,INDIRECT("Table!A"&amp;$X109):INDIRECT("Table!" &amp; $AA$171 &amp; $X109),0)),"",INDIRECT(CONCATENATE("Table!",ADDRESS($T109,MATCH(D$1,INDIRECT("Table!A" &amp; $X109):INDIRECT("Table!" &amp; $AA$171 &amp; $X109),0)))))</f>
        <v>0.6872832352433369</v>
      </c>
      <c r="E109" s="33">
        <f ca="1">IF(ISERROR(MATCH(E$1,INDIRECT("Table!A"&amp;$X109):INDIRECT("Table!" &amp; $AA$171 &amp; $X109),0)),"",INDIRECT(CONCATENATE("Table!",ADDRESS($T109,MATCH(E$1,INDIRECT("Table!A" &amp; $X109):INDIRECT("Table!" &amp; $AA$171 &amp; $X109),0)))))</f>
        <v>0.74945686156645852</v>
      </c>
      <c r="F109" s="33">
        <f ca="1">IF(ISERROR(MATCH(F$1,INDIRECT("Table!A"&amp;$X109):INDIRECT("Table!" &amp; $AA$171 &amp; $X109),0)),"",INDIRECT(CONCATENATE("Table!",ADDRESS($T109,MATCH(F$1,INDIRECT("Table!A" &amp; $X109):INDIRECT("Table!" &amp; $AA$171 &amp; $X109),0)))))</f>
        <v>6.4291471815303161E-2</v>
      </c>
      <c r="G109" s="33">
        <f ca="1">IF(ISERROR(MATCH(G$1,INDIRECT("Table!A"&amp;$X109):INDIRECT("Table!" &amp; $AA$171 &amp; $X109),0)),"",INDIRECT(CONCATENATE("Table!",ADDRESS($T109,MATCH(G$1,INDIRECT("Table!A" &amp; $X109):INDIRECT("Table!" &amp; $AA$171 &amp; $X109),0)))))</f>
        <v>0.30547033348202401</v>
      </c>
      <c r="H109" s="33">
        <f ca="1">IF(ISERROR(MATCH(H$1,INDIRECT("Table!A"&amp;$X109):INDIRECT("Table!" &amp; $AA$171 &amp; $X109),0)),"",INDIRECT(CONCATENATE("Table!",ADDRESS($T109,MATCH(H$1,INDIRECT("Table!A" &amp; $X109):INDIRECT("Table!" &amp; $AA$171 &amp; $X109),0)))))</f>
        <v>0.16835652318683147</v>
      </c>
      <c r="I109" s="33" t="str">
        <f ca="1">IF(ISERROR(MATCH(I$1,INDIRECT("Table!A"&amp;$X109):INDIRECT("Table!" &amp; $AA$171 &amp; $X109),0)),"",INDIRECT(CONCATENATE("Table!",ADDRESS($T109,MATCH(I$1,INDIRECT("Table!A" &amp; $X109):INDIRECT("Table!" &amp; $AA$171 &amp; $X109),0)))))</f>
        <v/>
      </c>
      <c r="J109" s="33" t="str">
        <f ca="1">IF(ISERROR(MATCH(J$1,INDIRECT("Table!A"&amp;$X109):INDIRECT("Table!" &amp; $AA$171 &amp; $X109),0)),"",INDIRECT(CONCATENATE("Table!",ADDRESS($T109,MATCH(J$1,INDIRECT("Table!A" &amp; $X109):INDIRECT("Table!" &amp; $AA$171 &amp; $X109),0)))))</f>
        <v/>
      </c>
      <c r="K109" s="33" t="str">
        <f ca="1">IF(ISERROR(MATCH(K$1,INDIRECT("Table!A"&amp;$X109):INDIRECT("Table!" &amp; $AA$171 &amp; $X109),0)),"",INDIRECT(CONCATENATE("Table!",ADDRESS($T109,MATCH(K$1,INDIRECT("Table!A" &amp; $X109):INDIRECT("Table!" &amp; $AA$171 &amp; $X109),0)))))</f>
        <v/>
      </c>
      <c r="L109" s="33">
        <f ca="1">IF(ISERROR(MATCH(L$1,INDIRECT("Table!A"&amp;$X109):INDIRECT("Table!" &amp; $AA$171 &amp; $X109),0)),"",INDIRECT(CONCATENATE("Table!",ADDRESS($T109,MATCH(L$1,INDIRECT("Table!A" &amp; $X109):INDIRECT("Table!" &amp; $AA$171 &amp; $X109),0)))))</f>
        <v>0.73361502413322754</v>
      </c>
      <c r="M109" s="33">
        <f ca="1">IF(ISERROR(MATCH(M$1,INDIRECT("Table!A"&amp;$X109):INDIRECT("Table!" &amp; $AA$171 &amp; $X109),0)),"",INDIRECT(CONCATENATE("Table!",ADDRESS($T109,MATCH(M$1,INDIRECT("Table!A" &amp; $X109):INDIRECT("Table!" &amp; $AA$171 &amp; $X109),0)))))</f>
        <v>0.31618031032556781</v>
      </c>
      <c r="N109" s="33">
        <f ca="1">IF(ISERROR(MATCH(N$1,INDIRECT("Table!A"&amp;$X109):INDIRECT("Table!" &amp; $AA$171 &amp; $X109),0)),"",INDIRECT(CONCATENATE("Table!",ADDRESS($T109,MATCH(N$1,INDIRECT("Table!A" &amp; $X109):INDIRECT("Table!" &amp; $AA$171 &amp; $X109),0)))))</f>
        <v>6.7490962797881512E-2</v>
      </c>
      <c r="O109" s="33">
        <f ca="1">IF(ISERROR(MATCH(O$1,INDIRECT("Table!A"&amp;$X109):INDIRECT("Table!" &amp; $AA$171 &amp; $X109),0)),"",INDIRECT(CONCATENATE("Table!",ADDRESS($T109,MATCH(O$1,INDIRECT("Table!A" &amp; $X109):INDIRECT("Table!" &amp; $AA$171 &amp; $X109),0)))))</f>
        <v>0.45029399482215537</v>
      </c>
      <c r="P109" s="33">
        <f ca="1">IF(ISERROR(MATCH(P$1,INDIRECT("Table!A"&amp;$X109):INDIRECT("Table!" &amp; $AA$171 &amp; $X109),0)),"",INDIRECT(CONCATENATE("Table!",ADDRESS($T109,MATCH(P$1,INDIRECT("Table!A" &amp; $X109):INDIRECT("Table!" &amp; $AA$171 &amp; $X109),0)))))</f>
        <v>0.43558748019883109</v>
      </c>
      <c r="T109" s="31">
        <f>MATCH($A109,Table!$A:$A,0)+$V$2-1</f>
        <v>1444</v>
      </c>
      <c r="U109" s="181"/>
      <c r="V109" s="181"/>
      <c r="W109" s="181"/>
      <c r="X109" s="31">
        <f>MATCH($A109,Table!$A:$A,0)+$Z$2-1</f>
        <v>1441</v>
      </c>
      <c r="Y109" s="181"/>
      <c r="AA109" t="s">
        <v>209</v>
      </c>
    </row>
    <row r="110" spans="1:27" ht="15.75" customHeight="1">
      <c r="A110" s="5">
        <v>41024</v>
      </c>
      <c r="B110" s="33">
        <f ca="1">IF(ISERROR(MATCH(B$1,INDIRECT("Table!A"&amp;$X110):INDIRECT("Table!" &amp; $AA$171 &amp; $X110),0)),"",INDIRECT(CONCATENATE("Table!",ADDRESS($T110,MATCH(B$1,INDIRECT("Table!A" &amp; $X110):INDIRECT("Table!" &amp; $AA$171 &amp; $X110),0)))))</f>
        <v>0.75443199950266271</v>
      </c>
      <c r="C110" s="33">
        <f ca="1">IF(ISERROR(MATCH(C$1,INDIRECT("Table!A"&amp;$X110):INDIRECT("Table!" &amp; $AA$171 &amp; $X110),0)),"",INDIRECT(CONCATENATE("Table!",ADDRESS($T110,MATCH(C$1,INDIRECT("Table!A" &amp; $X110):INDIRECT("Table!" &amp; $AA$171 &amp; $X110),0)))))</f>
        <v>0.67241374087884198</v>
      </c>
      <c r="D110" s="33">
        <f ca="1">IF(ISERROR(MATCH(D$1,INDIRECT("Table!A"&amp;$X110):INDIRECT("Table!" &amp; $AA$171 &amp; $X110),0)),"",INDIRECT(CONCATENATE("Table!",ADDRESS($T110,MATCH(D$1,INDIRECT("Table!A" &amp; $X110):INDIRECT("Table!" &amp; $AA$171 &amp; $X110),0)))))</f>
        <v>0.68632404330701113</v>
      </c>
      <c r="E110" s="33">
        <f ca="1">IF(ISERROR(MATCH(E$1,INDIRECT("Table!A"&amp;$X110):INDIRECT("Table!" &amp; $AA$171 &amp; $X110),0)),"",INDIRECT(CONCATENATE("Table!",ADDRESS($T110,MATCH(E$1,INDIRECT("Table!A" &amp; $X110):INDIRECT("Table!" &amp; $AA$171 &amp; $X110),0)))))</f>
        <v>0.7464172643845145</v>
      </c>
      <c r="F110" s="33">
        <f ca="1">IF(ISERROR(MATCH(F$1,INDIRECT("Table!A"&amp;$X110):INDIRECT("Table!" &amp; $AA$171 &amp; $X110),0)),"",INDIRECT(CONCATENATE("Table!",ADDRESS($T110,MATCH(F$1,INDIRECT("Table!A" &amp; $X110):INDIRECT("Table!" &amp; $AA$171 &amp; $X110),0)))))</f>
        <v>6.4091194559052114E-2</v>
      </c>
      <c r="G110" s="33">
        <f ca="1">IF(ISERROR(MATCH(G$1,INDIRECT("Table!A"&amp;$X110):INDIRECT("Table!" &amp; $AA$171 &amp; $X110),0)),"",INDIRECT(CONCATENATE("Table!",ADDRESS($T110,MATCH(G$1,INDIRECT("Table!A" &amp; $X110):INDIRECT("Table!" &amp; $AA$171 &amp; $X110),0)))))</f>
        <v>0.30033823346376326</v>
      </c>
      <c r="H110" s="33">
        <f ca="1">IF(ISERROR(MATCH(H$1,INDIRECT("Table!A"&amp;$X110):INDIRECT("Table!" &amp; $AA$171 &amp; $X110),0)),"",INDIRECT(CONCATENATE("Table!",ADDRESS($T110,MATCH(H$1,INDIRECT("Table!A" &amp; $X110):INDIRECT("Table!" &amp; $AA$171 &amp; $X110),0)))))</f>
        <v>0.1681991036150457</v>
      </c>
      <c r="I110" s="33" t="str">
        <f ca="1">IF(ISERROR(MATCH(I$1,INDIRECT("Table!A"&amp;$X110):INDIRECT("Table!" &amp; $AA$171 &amp; $X110),0)),"",INDIRECT(CONCATENATE("Table!",ADDRESS($T110,MATCH(I$1,INDIRECT("Table!A" &amp; $X110):INDIRECT("Table!" &amp; $AA$171 &amp; $X110),0)))))</f>
        <v/>
      </c>
      <c r="J110" s="33" t="str">
        <f ca="1">IF(ISERROR(MATCH(J$1,INDIRECT("Table!A"&amp;$X110):INDIRECT("Table!" &amp; $AA$171 &amp; $X110),0)),"",INDIRECT(CONCATENATE("Table!",ADDRESS($T110,MATCH(J$1,INDIRECT("Table!A" &amp; $X110):INDIRECT("Table!" &amp; $AA$171 &amp; $X110),0)))))</f>
        <v/>
      </c>
      <c r="K110" s="33" t="str">
        <f ca="1">IF(ISERROR(MATCH(K$1,INDIRECT("Table!A"&amp;$X110):INDIRECT("Table!" &amp; $AA$171 &amp; $X110),0)),"",INDIRECT(CONCATENATE("Table!",ADDRESS($T110,MATCH(K$1,INDIRECT("Table!A" &amp; $X110):INDIRECT("Table!" &amp; $AA$171 &amp; $X110),0)))))</f>
        <v/>
      </c>
      <c r="L110" s="33">
        <f ca="1">IF(ISERROR(MATCH(L$1,INDIRECT("Table!A"&amp;$X110):INDIRECT("Table!" &amp; $AA$171 &amp; $X110),0)),"",INDIRECT(CONCATENATE("Table!",ADDRESS($T110,MATCH(L$1,INDIRECT("Table!A" &amp; $X110):INDIRECT("Table!" &amp; $AA$171 &amp; $X110),0)))))</f>
        <v>0.73151579597537775</v>
      </c>
      <c r="M110" s="33">
        <f ca="1">IF(ISERROR(MATCH(M$1,INDIRECT("Table!A"&amp;$X110):INDIRECT("Table!" &amp; $AA$171 &amp; $X110),0)),"",INDIRECT(CONCATENATE("Table!",ADDRESS($T110,MATCH(M$1,INDIRECT("Table!A" &amp; $X110):INDIRECT("Table!" &amp; $AA$171 &amp; $X110),0)))))</f>
        <v>0.31581325369591967</v>
      </c>
      <c r="N110" s="33">
        <f ca="1">IF(ISERROR(MATCH(N$1,INDIRECT("Table!A"&amp;$X110):INDIRECT("Table!" &amp; $AA$171 &amp; $X110),0)),"",INDIRECT(CONCATENATE("Table!",ADDRESS($T110,MATCH(N$1,INDIRECT("Table!A" &amp; $X110):INDIRECT("Table!" &amp; $AA$171 &amp; $X110),0)))))</f>
        <v>6.7055792463311351E-2</v>
      </c>
      <c r="O110" s="33">
        <f ca="1">IF(ISERROR(MATCH(O$1,INDIRECT("Table!A"&amp;$X110):INDIRECT("Table!" &amp; $AA$171 &amp; $X110),0)),"",INDIRECT(CONCATENATE("Table!",ADDRESS($T110,MATCH(O$1,INDIRECT("Table!A" &amp; $X110):INDIRECT("Table!" &amp; $AA$171 &amp; $X110),0)))))</f>
        <v>0.4501438384612203</v>
      </c>
      <c r="P110" s="33">
        <f ca="1">IF(ISERROR(MATCH(P$1,INDIRECT("Table!A"&amp;$X110):INDIRECT("Table!" &amp; $AA$171 &amp; $X110),0)),"",INDIRECT(CONCATENATE("Table!",ADDRESS($T110,MATCH(P$1,INDIRECT("Table!A" &amp; $X110):INDIRECT("Table!" &amp; $AA$171 &amp; $X110),0)))))</f>
        <v>0.4305129185557437</v>
      </c>
      <c r="T110" s="31">
        <f>MATCH($A110,Table!$A:$A,0)+$V$2-1</f>
        <v>1457</v>
      </c>
      <c r="U110" s="180"/>
      <c r="V110" s="180"/>
      <c r="W110" s="180"/>
      <c r="X110" s="31">
        <f>MATCH($A110,Table!$A:$A,0)+$Z$2-1</f>
        <v>1454</v>
      </c>
      <c r="Y110" s="180"/>
      <c r="AA110" t="s">
        <v>209</v>
      </c>
    </row>
    <row r="111" spans="1:27" ht="15.75" customHeight="1">
      <c r="A111" s="5">
        <v>41023</v>
      </c>
      <c r="B111" s="33">
        <f ca="1">IF(ISERROR(MATCH(B$1,INDIRECT("Table!A"&amp;$X111):INDIRECT("Table!" &amp; $AA$171 &amp; $X111),0)),"",INDIRECT(CONCATENATE("Table!",ADDRESS($T111,MATCH(B$1,INDIRECT("Table!A" &amp; $X111):INDIRECT("Table!" &amp; $AA$171 &amp; $X111),0)))))</f>
        <v>0.75424722492764429</v>
      </c>
      <c r="C111" s="33">
        <f ca="1">IF(ISERROR(MATCH(C$1,INDIRECT("Table!A"&amp;$X111):INDIRECT("Table!" &amp; $AA$171 &amp; $X111),0)),"",INDIRECT(CONCATENATE("Table!",ADDRESS($T111,MATCH(C$1,INDIRECT("Table!A" &amp; $X111):INDIRECT("Table!" &amp; $AA$171 &amp; $X111),0)))))</f>
        <v>0.67234609260543798</v>
      </c>
      <c r="D111" s="33">
        <f ca="1">IF(ISERROR(MATCH(D$1,INDIRECT("Table!A"&amp;$X111):INDIRECT("Table!" &amp; $AA$171 &amp; $X111),0)),"",INDIRECT(CONCATENATE("Table!",ADDRESS($T111,MATCH(D$1,INDIRECT("Table!A" &amp; $X111):INDIRECT("Table!" &amp; $AA$171 &amp; $X111),0)))))</f>
        <v>0.68625639503360703</v>
      </c>
      <c r="E111" s="33">
        <f ca="1">IF(ISERROR(MATCH(E$1,INDIRECT("Table!A"&amp;$X111):INDIRECT("Table!" &amp; $AA$171 &amp; $X111),0)),"",INDIRECT(CONCATENATE("Table!",ADDRESS($T111,MATCH(E$1,INDIRECT("Table!A" &amp; $X111):INDIRECT("Table!" &amp; $AA$171 &amp; $X111),0)))))</f>
        <v>0.74534527340440393</v>
      </c>
      <c r="F111" s="33">
        <f ca="1">IF(ISERROR(MATCH(F$1,INDIRECT("Table!A"&amp;$X111):INDIRECT("Table!" &amp; $AA$171 &amp; $X111),0)),"",INDIRECT(CONCATENATE("Table!",ADDRESS($T111,MATCH(F$1,INDIRECT("Table!A" &amp; $X111):INDIRECT("Table!" &amp; $AA$171 &amp; $X111),0)))))</f>
        <v>6.3836521010979808E-2</v>
      </c>
      <c r="G111" s="33">
        <f ca="1">IF(ISERROR(MATCH(G$1,INDIRECT("Table!A"&amp;$X111):INDIRECT("Table!" &amp; $AA$171 &amp; $X111),0)),"",INDIRECT(CONCATENATE("Table!",ADDRESS($T111,MATCH(G$1,INDIRECT("Table!A" &amp; $X111):INDIRECT("Table!" &amp; $AA$171 &amp; $X111),0)))))</f>
        <v>0.29541872176277506</v>
      </c>
      <c r="H111" s="33">
        <f ca="1">IF(ISERROR(MATCH(H$1,INDIRECT("Table!A"&amp;$X111):INDIRECT("Table!" &amp; $AA$171 &amp; $X111),0)),"",INDIRECT(CONCATENATE("Table!",ADDRESS($T111,MATCH(H$1,INDIRECT("Table!A" &amp; $X111):INDIRECT("Table!" &amp; $AA$171 &amp; $X111),0)))))</f>
        <v>0.1676963500088188</v>
      </c>
      <c r="I111" s="33" t="str">
        <f ca="1">IF(ISERROR(MATCH(I$1,INDIRECT("Table!A"&amp;$X111):INDIRECT("Table!" &amp; $AA$171 &amp; $X111),0)),"",INDIRECT(CONCATENATE("Table!",ADDRESS($T111,MATCH(I$1,INDIRECT("Table!A" &amp; $X111):INDIRECT("Table!" &amp; $AA$171 &amp; $X111),0)))))</f>
        <v/>
      </c>
      <c r="J111" s="33" t="str">
        <f ca="1">IF(ISERROR(MATCH(J$1,INDIRECT("Table!A"&amp;$X111):INDIRECT("Table!" &amp; $AA$171 &amp; $X111),0)),"",INDIRECT(CONCATENATE("Table!",ADDRESS($T111,MATCH(J$1,INDIRECT("Table!A" &amp; $X111):INDIRECT("Table!" &amp; $AA$171 &amp; $X111),0)))))</f>
        <v/>
      </c>
      <c r="K111" s="33" t="str">
        <f ca="1">IF(ISERROR(MATCH(K$1,INDIRECT("Table!A"&amp;$X111):INDIRECT("Table!" &amp; $AA$171 &amp; $X111),0)),"",INDIRECT(CONCATENATE("Table!",ADDRESS($T111,MATCH(K$1,INDIRECT("Table!A" &amp; $X111):INDIRECT("Table!" &amp; $AA$171 &amp; $X111),0)))))</f>
        <v/>
      </c>
      <c r="L111" s="33">
        <f ca="1">IF(ISERROR(MATCH(L$1,INDIRECT("Table!A"&amp;$X111):INDIRECT("Table!" &amp; $AA$171 &amp; $X111),0)),"",INDIRECT(CONCATENATE("Table!",ADDRESS($T111,MATCH(L$1,INDIRECT("Table!A" &amp; $X111):INDIRECT("Table!" &amp; $AA$171 &amp; $X111),0)))))</f>
        <v>0.73100926725297655</v>
      </c>
      <c r="M111" s="33">
        <f ca="1">IF(ISERROR(MATCH(M$1,INDIRECT("Table!A"&amp;$X111):INDIRECT("Table!" &amp; $AA$171 &amp; $X111),0)),"",INDIRECT(CONCATENATE("Table!",ADDRESS($T111,MATCH(M$1,INDIRECT("Table!A" &amp; $X111):INDIRECT("Table!" &amp; $AA$171 &amp; $X111),0)))))</f>
        <v>0.31580492870019566</v>
      </c>
      <c r="N111" s="33">
        <f ca="1">IF(ISERROR(MATCH(N$1,INDIRECT("Table!A"&amp;$X111):INDIRECT("Table!" &amp; $AA$171 &amp; $X111),0)),"",INDIRECT(CONCATENATE("Table!",ADDRESS($T111,MATCH(N$1,INDIRECT("Table!A" &amp; $X111):INDIRECT("Table!" &amp; $AA$171 &amp; $X111),0)))))</f>
        <v>6.6711282615109974E-2</v>
      </c>
      <c r="O111" s="33">
        <f ca="1">IF(ISERROR(MATCH(O$1,INDIRECT("Table!A"&amp;$X111):INDIRECT("Table!" &amp; $AA$171 &amp; $X111),0)),"",INDIRECT(CONCATENATE("Table!",ADDRESS($T111,MATCH(O$1,INDIRECT("Table!A" &amp; $X111):INDIRECT("Table!" &amp; $AA$171 &amp; $X111),0)))))</f>
        <v>0.44993021978924841</v>
      </c>
      <c r="P111" s="33">
        <f ca="1">IF(ISERROR(MATCH(P$1,INDIRECT("Table!A"&amp;$X111):INDIRECT("Table!" &amp; $AA$171 &amp; $X111),0)),"",INDIRECT(CONCATENATE("Table!",ADDRESS($T111,MATCH(P$1,INDIRECT("Table!A" &amp; $X111):INDIRECT("Table!" &amp; $AA$171 &amp; $X111),0)))))</f>
        <v>0.43050927696145375</v>
      </c>
      <c r="T111" s="31">
        <f>MATCH($A111,Table!$A:$A,0)+$V$2-1</f>
        <v>1470</v>
      </c>
      <c r="U111" s="179"/>
      <c r="V111" s="179"/>
      <c r="W111" s="179"/>
      <c r="X111" s="31">
        <f>MATCH($A111,Table!$A:$A,0)+$Z$2-1</f>
        <v>1467</v>
      </c>
      <c r="Y111" s="179"/>
      <c r="AA111" t="s">
        <v>209</v>
      </c>
    </row>
    <row r="112" spans="1:27" ht="15.75" customHeight="1">
      <c r="A112" s="5">
        <v>41022</v>
      </c>
      <c r="B112" s="33">
        <f ca="1">IF(ISERROR(MATCH(B$1,INDIRECT("Table!A"&amp;$X112):INDIRECT("Table!" &amp; $AA$171 &amp; $X112),0)),"",INDIRECT(CONCATENATE("Table!",ADDRESS($T112,MATCH(B$1,INDIRECT("Table!A" &amp; $X112):INDIRECT("Table!" &amp; $AA$171 &amp; $X112),0)))))</f>
        <v>0.75399078544736176</v>
      </c>
      <c r="C112" s="33">
        <f ca="1">IF(ISERROR(MATCH(C$1,INDIRECT("Table!A"&amp;$X112):INDIRECT("Table!" &amp; $AA$171 &amp; $X112),0)),"",INDIRECT(CONCATENATE("Table!",ADDRESS($T112,MATCH(C$1,INDIRECT("Table!A" &amp; $X112):INDIRECT("Table!" &amp; $AA$171 &amp; $X112),0)))))</f>
        <v>0.67213608005516867</v>
      </c>
      <c r="D112" s="33">
        <f ca="1">IF(ISERROR(MATCH(D$1,INDIRECT("Table!A"&amp;$X112):INDIRECT("Table!" &amp; $AA$171 &amp; $X112),0)),"",INDIRECT(CONCATENATE("Table!",ADDRESS($T112,MATCH(D$1,INDIRECT("Table!A" &amp; $X112):INDIRECT("Table!" &amp; $AA$171 &amp; $X112),0)))))</f>
        <v>0.68604638248333782</v>
      </c>
      <c r="E112" s="33">
        <f ca="1">IF(ISERROR(MATCH(E$1,INDIRECT("Table!A"&amp;$X112):INDIRECT("Table!" &amp; $AA$171 &amp; $X112),0)),"",INDIRECT(CONCATENATE("Table!",ADDRESS($T112,MATCH(E$1,INDIRECT("Table!A" &amp; $X112):INDIRECT("Table!" &amp; $AA$171 &amp; $X112),0)))))</f>
        <v>0.74493977399726807</v>
      </c>
      <c r="F112" s="33">
        <f ca="1">IF(ISERROR(MATCH(F$1,INDIRECT("Table!A"&amp;$X112):INDIRECT("Table!" &amp; $AA$171 &amp; $X112),0)),"",INDIRECT(CONCATENATE("Table!",ADDRESS($T112,MATCH(F$1,INDIRECT("Table!A" &amp; $X112):INDIRECT("Table!" &amp; $AA$171 &amp; $X112),0)))))</f>
        <v>6.3705475398864925E-2</v>
      </c>
      <c r="G112" s="33">
        <f ca="1">IF(ISERROR(MATCH(G$1,INDIRECT("Table!A"&amp;$X112):INDIRECT("Table!" &amp; $AA$171 &amp; $X112),0)),"",INDIRECT(CONCATENATE("Table!",ADDRESS($T112,MATCH(G$1,INDIRECT("Table!A" &amp; $X112):INDIRECT("Table!" &amp; $AA$171 &amp; $X112),0)))))</f>
        <v>0.29338005430995562</v>
      </c>
      <c r="H112" s="33">
        <f ca="1">IF(ISERROR(MATCH(H$1,INDIRECT("Table!A"&amp;$X112):INDIRECT("Table!" &amp; $AA$171 &amp; $X112),0)),"",INDIRECT(CONCATENATE("Table!",ADDRESS($T112,MATCH(H$1,INDIRECT("Table!A" &amp; $X112):INDIRECT("Table!" &amp; $AA$171 &amp; $X112),0)))))</f>
        <v>0.16767162442162731</v>
      </c>
      <c r="I112" s="33" t="str">
        <f ca="1">IF(ISERROR(MATCH(I$1,INDIRECT("Table!A"&amp;$X112):INDIRECT("Table!" &amp; $AA$171 &amp; $X112),0)),"",INDIRECT(CONCATENATE("Table!",ADDRESS($T112,MATCH(I$1,INDIRECT("Table!A" &amp; $X112):INDIRECT("Table!" &amp; $AA$171 &amp; $X112),0)))))</f>
        <v/>
      </c>
      <c r="J112" s="33" t="str">
        <f ca="1">IF(ISERROR(MATCH(J$1,INDIRECT("Table!A"&amp;$X112):INDIRECT("Table!" &amp; $AA$171 &amp; $X112),0)),"",INDIRECT(CONCATENATE("Table!",ADDRESS($T112,MATCH(J$1,INDIRECT("Table!A" &amp; $X112):INDIRECT("Table!" &amp; $AA$171 &amp; $X112),0)))))</f>
        <v/>
      </c>
      <c r="K112" s="33" t="str">
        <f ca="1">IF(ISERROR(MATCH(K$1,INDIRECT("Table!A"&amp;$X112):INDIRECT("Table!" &amp; $AA$171 &amp; $X112),0)),"",INDIRECT(CONCATENATE("Table!",ADDRESS($T112,MATCH(K$1,INDIRECT("Table!A" &amp; $X112):INDIRECT("Table!" &amp; $AA$171 &amp; $X112),0)))))</f>
        <v/>
      </c>
      <c r="L112" s="33">
        <f ca="1">IF(ISERROR(MATCH(L$1,INDIRECT("Table!A"&amp;$X112):INDIRECT("Table!" &amp; $AA$171 &amp; $X112),0)),"",INDIRECT(CONCATENATE("Table!",ADDRESS($T112,MATCH(L$1,INDIRECT("Table!A" &amp; $X112):INDIRECT("Table!" &amp; $AA$171 &amp; $X112),0)))))</f>
        <v>0.73013132312789086</v>
      </c>
      <c r="M112" s="33">
        <f ca="1">IF(ISERROR(MATCH(M$1,INDIRECT("Table!A"&amp;$X112):INDIRECT("Table!" &amp; $AA$171 &amp; $X112),0)),"",INDIRECT(CONCATENATE("Table!",ADDRESS($T112,MATCH(M$1,INDIRECT("Table!A" &amp; $X112):INDIRECT("Table!" &amp; $AA$171 &amp; $X112),0)))))</f>
        <v>0.31578373780198915</v>
      </c>
      <c r="N112" s="33">
        <f ca="1">IF(ISERROR(MATCH(N$1,INDIRECT("Table!A"&amp;$X112):INDIRECT("Table!" &amp; $AA$171 &amp; $X112),0)),"",INDIRECT(CONCATENATE("Table!",ADDRESS($T112,MATCH(N$1,INDIRECT("Table!A" &amp; $X112):INDIRECT("Table!" &amp; $AA$171 &amp; $X112),0)))))</f>
        <v>6.6534906759810705E-2</v>
      </c>
      <c r="O112" s="33">
        <f ca="1">IF(ISERROR(MATCH(O$1,INDIRECT("Table!A"&amp;$X112):INDIRECT("Table!" &amp; $AA$171 &amp; $X112),0)),"",INDIRECT(CONCATENATE("Table!",ADDRESS($T112,MATCH(O$1,INDIRECT("Table!A" &amp; $X112):INDIRECT("Table!" &amp; $AA$171 &amp; $X112),0)))))</f>
        <v>0.4499047215392783</v>
      </c>
      <c r="P112" s="33">
        <f ca="1">IF(ISERROR(MATCH(P$1,INDIRECT("Table!A"&amp;$X112):INDIRECT("Table!" &amp; $AA$171 &amp; $X112),0)),"",INDIRECT(CONCATENATE("Table!",ADDRESS($T112,MATCH(P$1,INDIRECT("Table!A" &amp; $X112):INDIRECT("Table!" &amp; $AA$171 &amp; $X112),0)))))</f>
        <v>0.43050927696145375</v>
      </c>
      <c r="T112" s="31">
        <f>MATCH($A112,Table!$A:$A,0)+$V$2-1</f>
        <v>1483</v>
      </c>
      <c r="U112" s="178"/>
      <c r="V112" s="178"/>
      <c r="W112" s="178"/>
      <c r="X112" s="31">
        <f>MATCH($A112,Table!$A:$A,0)+$Z$2-1</f>
        <v>1480</v>
      </c>
      <c r="Y112" s="178"/>
      <c r="AA112" t="s">
        <v>209</v>
      </c>
    </row>
    <row r="113" spans="1:27" ht="15.75" customHeight="1">
      <c r="A113" s="5">
        <v>41019</v>
      </c>
      <c r="B113" s="33">
        <f ca="1">IF(ISERROR(MATCH(B$1,INDIRECT("Table!A"&amp;$X113):INDIRECT("Table!" &amp; $AA$171 &amp; $X113),0)),"",INDIRECT(CONCATENATE("Table!",ADDRESS($T113,MATCH(B$1,INDIRECT("Table!A" &amp; $X113):INDIRECT("Table!" &amp; $AA$171 &amp; $X113),0)))))</f>
        <v>0.75127960710363262</v>
      </c>
      <c r="C113" s="33">
        <f ca="1">IF(ISERROR(MATCH(C$1,INDIRECT("Table!A"&amp;$X113):INDIRECT("Table!" &amp; $AA$171 &amp; $X113),0)),"",INDIRECT(CONCATENATE("Table!",ADDRESS($T113,MATCH(C$1,INDIRECT("Table!A" &amp; $X113):INDIRECT("Table!" &amp; $AA$171 &amp; $X113),0)))))</f>
        <v>0.67030048959175781</v>
      </c>
      <c r="D113" s="33">
        <f ca="1">IF(ISERROR(MATCH(D$1,INDIRECT("Table!A"&amp;$X113):INDIRECT("Table!" &amp; $AA$171 &amp; $X113),0)),"",INDIRECT(CONCATENATE("Table!",ADDRESS($T113,MATCH(D$1,INDIRECT("Table!A" &amp; $X113):INDIRECT("Table!" &amp; $AA$171 &amp; $X113),0)))))</f>
        <v>0.68421079201992696</v>
      </c>
      <c r="E113" s="33">
        <f ca="1">IF(ISERROR(MATCH(E$1,INDIRECT("Table!A"&amp;$X113):INDIRECT("Table!" &amp; $AA$171 &amp; $X113),0)),"",INDIRECT(CONCATENATE("Table!",ADDRESS($T113,MATCH(E$1,INDIRECT("Table!A" &amp; $X113):INDIRECT("Table!" &amp; $AA$171 &amp; $X113),0)))))</f>
        <v>0.73964960016000203</v>
      </c>
      <c r="F113" s="33">
        <f ca="1">IF(ISERROR(MATCH(F$1,INDIRECT("Table!A"&amp;$X113):INDIRECT("Table!" &amp; $AA$171 &amp; $X113),0)),"",INDIRECT(CONCATENATE("Table!",ADDRESS($T113,MATCH(F$1,INDIRECT("Table!A" &amp; $X113):INDIRECT("Table!" &amp; $AA$171 &amp; $X113),0)))))</f>
        <v>6.3276898554212493E-2</v>
      </c>
      <c r="G113" s="33">
        <f ca="1">IF(ISERROR(MATCH(G$1,INDIRECT("Table!A"&amp;$X113):INDIRECT("Table!" &amp; $AA$171 &amp; $X113),0)),"",INDIRECT(CONCATENATE("Table!",ADDRESS($T113,MATCH(G$1,INDIRECT("Table!A" &amp; $X113):INDIRECT("Table!" &amp; $AA$171 &amp; $X113),0)))))</f>
        <v>0.29392061007396075</v>
      </c>
      <c r="H113" s="33">
        <f ca="1">IF(ISERROR(MATCH(H$1,INDIRECT("Table!A"&amp;$X113):INDIRECT("Table!" &amp; $AA$171 &amp; $X113),0)),"",INDIRECT(CONCATENATE("Table!",ADDRESS($T113,MATCH(H$1,INDIRECT("Table!A" &amp; $X113):INDIRECT("Table!" &amp; $AA$171 &amp; $X113),0)))))</f>
        <v>0.16763288766836065</v>
      </c>
      <c r="I113" s="33" t="str">
        <f ca="1">IF(ISERROR(MATCH(I$1,INDIRECT("Table!A"&amp;$X113):INDIRECT("Table!" &amp; $AA$171 &amp; $X113),0)),"",INDIRECT(CONCATENATE("Table!",ADDRESS($T113,MATCH(I$1,INDIRECT("Table!A" &amp; $X113):INDIRECT("Table!" &amp; $AA$171 &amp; $X113),0)))))</f>
        <v/>
      </c>
      <c r="J113" s="33" t="str">
        <f ca="1">IF(ISERROR(MATCH(J$1,INDIRECT("Table!A"&amp;$X113):INDIRECT("Table!" &amp; $AA$171 &amp; $X113),0)),"",INDIRECT(CONCATENATE("Table!",ADDRESS($T113,MATCH(J$1,INDIRECT("Table!A" &amp; $X113):INDIRECT("Table!" &amp; $AA$171 &amp; $X113),0)))))</f>
        <v/>
      </c>
      <c r="K113" s="33" t="str">
        <f ca="1">IF(ISERROR(MATCH(K$1,INDIRECT("Table!A"&amp;$X113):INDIRECT("Table!" &amp; $AA$171 &amp; $X113),0)),"",INDIRECT(CONCATENATE("Table!",ADDRESS($T113,MATCH(K$1,INDIRECT("Table!A" &amp; $X113):INDIRECT("Table!" &amp; $AA$171 &amp; $X113),0)))))</f>
        <v/>
      </c>
      <c r="L113" s="33">
        <f ca="1">IF(ISERROR(MATCH(L$1,INDIRECT("Table!A"&amp;$X113):INDIRECT("Table!" &amp; $AA$171 &amp; $X113),0)),"",INDIRECT(CONCATENATE("Table!",ADDRESS($T113,MATCH(L$1,INDIRECT("Table!A" &amp; $X113):INDIRECT("Table!" &amp; $AA$171 &amp; $X113),0)))))</f>
        <v>0.72860705771151957</v>
      </c>
      <c r="M113" s="33">
        <f ca="1">IF(ISERROR(MATCH(M$1,INDIRECT("Table!A"&amp;$X113):INDIRECT("Table!" &amp; $AA$171 &amp; $X113),0)),"",INDIRECT(CONCATENATE("Table!",ADDRESS($T113,MATCH(M$1,INDIRECT("Table!A" &amp; $X113):INDIRECT("Table!" &amp; $AA$171 &amp; $X113),0)))))</f>
        <v>0.31481955193359379</v>
      </c>
      <c r="N113" s="33">
        <f ca="1">IF(ISERROR(MATCH(N$1,INDIRECT("Table!A"&amp;$X113):INDIRECT("Table!" &amp; $AA$171 &amp; $X113),0)),"",INDIRECT(CONCATENATE("Table!",ADDRESS($T113,MATCH(N$1,INDIRECT("Table!A" &amp; $X113):INDIRECT("Table!" &amp; $AA$171 &amp; $X113),0)))))</f>
        <v>6.5982701979200836E-2</v>
      </c>
      <c r="O113" s="33">
        <f ca="1">IF(ISERROR(MATCH(O$1,INDIRECT("Table!A"&amp;$X113):INDIRECT("Table!" &amp; $AA$171 &amp; $X113),0)),"",INDIRECT(CONCATENATE("Table!",ADDRESS($T113,MATCH(O$1,INDIRECT("Table!A" &amp; $X113):INDIRECT("Table!" &amp; $AA$171 &amp; $X113),0)))))</f>
        <v>0.44985485829489236</v>
      </c>
      <c r="P113" s="33">
        <f ca="1">IF(ISERROR(MATCH(P$1,INDIRECT("Table!A"&amp;$X113):INDIRECT("Table!" &amp; $AA$171 &amp; $X113),0)),"",INDIRECT(CONCATENATE("Table!",ADDRESS($T113,MATCH(P$1,INDIRECT("Table!A" &amp; $X113):INDIRECT("Table!" &amp; $AA$171 &amp; $X113),0)))))</f>
        <v>0.42583893228455416</v>
      </c>
      <c r="T113" s="31">
        <f>MATCH($A113,Table!$A:$A,0)+$V$2-1</f>
        <v>1496</v>
      </c>
      <c r="U113" s="177"/>
      <c r="V113" s="177"/>
      <c r="W113" s="177"/>
      <c r="X113" s="31">
        <f>MATCH($A113,Table!$A:$A,0)+$Z$2-1</f>
        <v>1493</v>
      </c>
      <c r="Y113" s="177"/>
      <c r="AA113" t="s">
        <v>209</v>
      </c>
    </row>
    <row r="114" spans="1:27" ht="15.75" customHeight="1">
      <c r="A114" s="5">
        <v>41018</v>
      </c>
      <c r="B114" s="33">
        <f ca="1">IF(ISERROR(MATCH(B$1,INDIRECT("Table!A"&amp;$X114):INDIRECT("Table!" &amp; $AA$171 &amp; $X114),0)),"",INDIRECT(CONCATENATE("Table!",ADDRESS($T114,MATCH(B$1,INDIRECT("Table!A" &amp; $X114):INDIRECT("Table!" &amp; $AA$171 &amp; $X114),0)))))</f>
        <v>0.75019513576614094</v>
      </c>
      <c r="C114" s="33">
        <f ca="1">IF(ISERROR(MATCH(C$1,INDIRECT("Table!A"&amp;$X114):INDIRECT("Table!" &amp; $AA$171 &amp; $X114),0)),"",INDIRECT(CONCATENATE("Table!",ADDRESS($T114,MATCH(C$1,INDIRECT("Table!A" &amp; $X114):INDIRECT("Table!" &amp; $AA$171 &amp; $X114),0)))))</f>
        <v>0.67025505418424769</v>
      </c>
      <c r="D114" s="33">
        <f ca="1">IF(ISERROR(MATCH(D$1,INDIRECT("Table!A"&amp;$X114):INDIRECT("Table!" &amp; $AA$171 &amp; $X114),0)),"",INDIRECT(CONCATENATE("Table!",ADDRESS($T114,MATCH(D$1,INDIRECT("Table!A" &amp; $X114):INDIRECT("Table!" &amp; $AA$171 &amp; $X114),0)))))</f>
        <v>0.6841663662881392</v>
      </c>
      <c r="E114" s="33">
        <f ca="1">IF(ISERROR(MATCH(E$1,INDIRECT("Table!A"&amp;$X114):INDIRECT("Table!" &amp; $AA$171 &amp; $X114),0)),"",INDIRECT(CONCATENATE("Table!",ADDRESS($T114,MATCH(E$1,INDIRECT("Table!A" &amp; $X114):INDIRECT("Table!" &amp; $AA$171 &amp; $X114),0)))))</f>
        <v>0.73715286668300395</v>
      </c>
      <c r="F114" s="33">
        <f ca="1">IF(ISERROR(MATCH(F$1,INDIRECT("Table!A"&amp;$X114):INDIRECT("Table!" &amp; $AA$171 &amp; $X114),0)),"",INDIRECT(CONCATENATE("Table!",ADDRESS($T114,MATCH(F$1,INDIRECT("Table!A" &amp; $X114):INDIRECT("Table!" &amp; $AA$171 &amp; $X114),0)))))</f>
        <v>6.3276898554212493E-2</v>
      </c>
      <c r="G114" s="33">
        <f ca="1">IF(ISERROR(MATCH(G$1,INDIRECT("Table!A"&amp;$X114):INDIRECT("Table!" &amp; $AA$171 &amp; $X114),0)),"",INDIRECT(CONCATENATE("Table!",ADDRESS($T114,MATCH(G$1,INDIRECT("Table!A" &amp; $X114):INDIRECT("Table!" &amp; $AA$171 &amp; $X114),0)))))</f>
        <v>0.28680980341031637</v>
      </c>
      <c r="H114" s="33">
        <f ca="1">IF(ISERROR(MATCH(H$1,INDIRECT("Table!A"&amp;$X114):INDIRECT("Table!" &amp; $AA$171 &amp; $X114),0)),"",INDIRECT(CONCATENATE("Table!",ADDRESS($T114,MATCH(H$1,INDIRECT("Table!A" &amp; $X114):INDIRECT("Table!" &amp; $AA$171 &amp; $X114),0)))))</f>
        <v>0.16760156859125144</v>
      </c>
      <c r="I114" s="33" t="str">
        <f ca="1">IF(ISERROR(MATCH(I$1,INDIRECT("Table!A"&amp;$X114):INDIRECT("Table!" &amp; $AA$171 &amp; $X114),0)),"",INDIRECT(CONCATENATE("Table!",ADDRESS($T114,MATCH(I$1,INDIRECT("Table!A" &amp; $X114):INDIRECT("Table!" &amp; $AA$171 &amp; $X114),0)))))</f>
        <v/>
      </c>
      <c r="J114" s="33" t="str">
        <f ca="1">IF(ISERROR(MATCH(J$1,INDIRECT("Table!A"&amp;$X114):INDIRECT("Table!" &amp; $AA$171 &amp; $X114),0)),"",INDIRECT(CONCATENATE("Table!",ADDRESS($T114,MATCH(J$1,INDIRECT("Table!A" &amp; $X114):INDIRECT("Table!" &amp; $AA$171 &amp; $X114),0)))))</f>
        <v/>
      </c>
      <c r="K114" s="33" t="str">
        <f ca="1">IF(ISERROR(MATCH(K$1,INDIRECT("Table!A"&amp;$X114):INDIRECT("Table!" &amp; $AA$171 &amp; $X114),0)),"",INDIRECT(CONCATENATE("Table!",ADDRESS($T114,MATCH(K$1,INDIRECT("Table!A" &amp; $X114):INDIRECT("Table!" &amp; $AA$171 &amp; $X114),0)))))</f>
        <v/>
      </c>
      <c r="L114" s="33">
        <f ca="1">IF(ISERROR(MATCH(L$1,INDIRECT("Table!A"&amp;$X114):INDIRECT("Table!" &amp; $AA$171 &amp; $X114),0)),"",INDIRECT(CONCATENATE("Table!",ADDRESS($T114,MATCH(L$1,INDIRECT("Table!A" &amp; $X114):INDIRECT("Table!" &amp; $AA$171 &amp; $X114),0)))))</f>
        <v>0.72759341536057121</v>
      </c>
      <c r="M114" s="33">
        <f ca="1">IF(ISERROR(MATCH(M$1,INDIRECT("Table!A"&amp;$X114):INDIRECT("Table!" &amp; $AA$171 &amp; $X114),0)),"",INDIRECT(CONCATENATE("Table!",ADDRESS($T114,MATCH(M$1,INDIRECT("Table!A" &amp; $X114):INDIRECT("Table!" &amp; $AA$171 &amp; $X114),0)))))</f>
        <v>0.31478776558628402</v>
      </c>
      <c r="N114" s="33">
        <f ca="1">IF(ISERROR(MATCH(N$1,INDIRECT("Table!A"&amp;$X114):INDIRECT("Table!" &amp; $AA$171 &amp; $X114),0)),"",INDIRECT(CONCATENATE("Table!",ADDRESS($T114,MATCH(N$1,INDIRECT("Table!A" &amp; $X114):INDIRECT("Table!" &amp; $AA$171 &amp; $X114),0)))))</f>
        <v>6.5883799630434892E-2</v>
      </c>
      <c r="O114" s="33">
        <f ca="1">IF(ISERROR(MATCH(O$1,INDIRECT("Table!A"&amp;$X114):INDIRECT("Table!" &amp; $AA$171 &amp; $X114),0)),"",INDIRECT(CONCATENATE("Table!",ADDRESS($T114,MATCH(O$1,INDIRECT("Table!A" &amp; $X114):INDIRECT("Table!" &amp; $AA$171 &amp; $X114),0)))))</f>
        <v>0.4498168942338257</v>
      </c>
      <c r="P114" s="33">
        <f ca="1">IF(ISERROR(MATCH(P$1,INDIRECT("Table!A"&amp;$X114):INDIRECT("Table!" &amp; $AA$171 &amp; $X114),0)),"",INDIRECT(CONCATENATE("Table!",ADDRESS($T114,MATCH(P$1,INDIRECT("Table!A" &amp; $X114):INDIRECT("Table!" &amp; $AA$171 &amp; $X114),0)))))</f>
        <v>0.42494856248065399</v>
      </c>
      <c r="T114" s="31">
        <f>MATCH($A114,Table!$A:$A,0)+$V$2-1</f>
        <v>1509</v>
      </c>
      <c r="U114" s="177"/>
      <c r="V114" s="177"/>
      <c r="W114" s="177"/>
      <c r="X114" s="31">
        <f>MATCH($A114,Table!$A:$A,0)+$Z$2-1</f>
        <v>1506</v>
      </c>
      <c r="Y114" s="177"/>
      <c r="AA114" t="s">
        <v>209</v>
      </c>
    </row>
    <row r="115" spans="1:27" ht="15.75" customHeight="1">
      <c r="A115" s="5">
        <v>41017</v>
      </c>
      <c r="B115" s="33">
        <f ca="1">IF(ISERROR(MATCH(B$1,INDIRECT("Table!A"&amp;$X115):INDIRECT("Table!" &amp; $AA$171 &amp; $X115),0)),"",INDIRECT(CONCATENATE("Table!",ADDRESS($T115,MATCH(B$1,INDIRECT("Table!A" &amp; $X115):INDIRECT("Table!" &amp; $AA$171 &amp; $X115),0)))))</f>
        <v>0.75002676641039978</v>
      </c>
      <c r="C115" s="33">
        <f ca="1">IF(ISERROR(MATCH(C$1,INDIRECT("Table!A"&amp;$X115):INDIRECT("Table!" &amp; $AA$171 &amp; $X115),0)),"",INDIRECT(CONCATENATE("Table!",ADDRESS($T115,MATCH(C$1,INDIRECT("Table!A" &amp; $X115):INDIRECT("Table!" &amp; $AA$171 &amp; $X115),0)))))</f>
        <v>0.67016721239639465</v>
      </c>
      <c r="D115" s="33">
        <f ca="1">IF(ISERROR(MATCH(D$1,INDIRECT("Table!A"&amp;$X115):INDIRECT("Table!" &amp; $AA$171 &amp; $X115),0)),"",INDIRECT(CONCATENATE("Table!",ADDRESS($T115,MATCH(D$1,INDIRECT("Table!A" &amp; $X115):INDIRECT("Table!" &amp; $AA$171 &amp; $X115),0)))))</f>
        <v>0.6840775148245638</v>
      </c>
      <c r="E115" s="33">
        <f ca="1">IF(ISERROR(MATCH(E$1,INDIRECT("Table!A"&amp;$X115):INDIRECT("Table!" &amp; $AA$171 &amp; $X115),0)),"",INDIRECT(CONCATENATE("Table!",ADDRESS($T115,MATCH(E$1,INDIRECT("Table!A" &amp; $X115):INDIRECT("Table!" &amp; $AA$171 &amp; $X115),0)))))</f>
        <v>0.73526822851704809</v>
      </c>
      <c r="F115" s="33">
        <f ca="1">IF(ISERROR(MATCH(F$1,INDIRECT("Table!A"&amp;$X115):INDIRECT("Table!" &amp; $AA$171 &amp; $X115),0)),"",INDIRECT(CONCATENATE("Table!",ADDRESS($T115,MATCH(F$1,INDIRECT("Table!A" &amp; $X115):INDIRECT("Table!" &amp; $AA$171 &amp; $X115),0)))))</f>
        <v>6.2814530073731695E-2</v>
      </c>
      <c r="G115" s="33">
        <f ca="1">IF(ISERROR(MATCH(G$1,INDIRECT("Table!A"&amp;$X115):INDIRECT("Table!" &amp; $AA$171 &amp; $X115),0)),"",INDIRECT(CONCATENATE("Table!",ADDRESS($T115,MATCH(G$1,INDIRECT("Table!A" &amp; $X115):INDIRECT("Table!" &amp; $AA$171 &amp; $X115),0)))))</f>
        <v>0.28574050234437676</v>
      </c>
      <c r="H115" s="33">
        <f ca="1">IF(ISERROR(MATCH(H$1,INDIRECT("Table!A"&amp;$X115):INDIRECT("Table!" &amp; $AA$171 &amp; $X115),0)),"",INDIRECT(CONCATENATE("Table!",ADDRESS($T115,MATCH(H$1,INDIRECT("Table!A" &amp; $X115):INDIRECT("Table!" &amp; $AA$171 &amp; $X115),0)))))</f>
        <v>0.16731227922111103</v>
      </c>
      <c r="I115" s="33" t="str">
        <f ca="1">IF(ISERROR(MATCH(I$1,INDIRECT("Table!A"&amp;$X115):INDIRECT("Table!" &amp; $AA$171 &amp; $X115),0)),"",INDIRECT(CONCATENATE("Table!",ADDRESS($T115,MATCH(I$1,INDIRECT("Table!A" &amp; $X115):INDIRECT("Table!" &amp; $AA$171 &amp; $X115),0)))))</f>
        <v/>
      </c>
      <c r="J115" s="33" t="str">
        <f ca="1">IF(ISERROR(MATCH(J$1,INDIRECT("Table!A"&amp;$X115):INDIRECT("Table!" &amp; $AA$171 &amp; $X115),0)),"",INDIRECT(CONCATENATE("Table!",ADDRESS($T115,MATCH(J$1,INDIRECT("Table!A" &amp; $X115):INDIRECT("Table!" &amp; $AA$171 &amp; $X115),0)))))</f>
        <v/>
      </c>
      <c r="K115" s="33" t="str">
        <f ca="1">IF(ISERROR(MATCH(K$1,INDIRECT("Table!A"&amp;$X115):INDIRECT("Table!" &amp; $AA$171 &amp; $X115),0)),"",INDIRECT(CONCATENATE("Table!",ADDRESS($T115,MATCH(K$1,INDIRECT("Table!A" &amp; $X115):INDIRECT("Table!" &amp; $AA$171 &amp; $X115),0)))))</f>
        <v/>
      </c>
      <c r="L115" s="33">
        <f ca="1">IF(ISERROR(MATCH(L$1,INDIRECT("Table!A"&amp;$X115):INDIRECT("Table!" &amp; $AA$171 &amp; $X115),0)),"",INDIRECT(CONCATENATE("Table!",ADDRESS($T115,MATCH(L$1,INDIRECT("Table!A" &amp; $X115):INDIRECT("Table!" &amp; $AA$171 &amp; $X115),0)))))</f>
        <v>0.72692662235417704</v>
      </c>
      <c r="M115" s="33">
        <f ca="1">IF(ISERROR(MATCH(M$1,INDIRECT("Table!A"&amp;$X115):INDIRECT("Table!" &amp; $AA$171 &amp; $X115),0)),"",INDIRECT(CONCATENATE("Table!",ADDRESS($T115,MATCH(M$1,INDIRECT("Table!A" &amp; $X115):INDIRECT("Table!" &amp; $AA$171 &amp; $X115),0)))))</f>
        <v>0.31464094293442474</v>
      </c>
      <c r="N115" s="33">
        <f ca="1">IF(ISERROR(MATCH(N$1,INDIRECT("Table!A"&amp;$X115):INDIRECT("Table!" &amp; $AA$171 &amp; $X115),0)),"",INDIRECT(CONCATENATE("Table!",ADDRESS($T115,MATCH(N$1,INDIRECT("Table!A" &amp; $X115):INDIRECT("Table!" &amp; $AA$171 &amp; $X115),0)))))</f>
        <v>6.5751929832080294E-2</v>
      </c>
      <c r="O115" s="33">
        <f ca="1">IF(ISERROR(MATCH(O$1,INDIRECT("Table!A"&amp;$X115):INDIRECT("Table!" &amp; $AA$171 &amp; $X115),0)),"",INDIRECT(CONCATENATE("Table!",ADDRESS($T115,MATCH(O$1,INDIRECT("Table!A" &amp; $X115):INDIRECT("Table!" &amp; $AA$171 &amp; $X115),0)))))</f>
        <v>0.44971660111727663</v>
      </c>
      <c r="P115" s="33">
        <f ca="1">IF(ISERROR(MATCH(P$1,INDIRECT("Table!A"&amp;$X115):INDIRECT("Table!" &amp; $AA$171 &amp; $X115),0)),"",INDIRECT(CONCATENATE("Table!",ADDRESS($T115,MATCH(P$1,INDIRECT("Table!A" &amp; $X115):INDIRECT("Table!" &amp; $AA$171 &amp; $X115),0)))))</f>
        <v>0.42282551300959559</v>
      </c>
      <c r="T115" s="31">
        <f>MATCH($A115,Table!$A:$A,0)+$V$2-1</f>
        <v>1522</v>
      </c>
      <c r="U115" s="177"/>
      <c r="V115" s="177"/>
      <c r="W115" s="177"/>
      <c r="X115" s="31">
        <f>MATCH($A115,Table!$A:$A,0)+$Z$2-1</f>
        <v>1519</v>
      </c>
      <c r="Y115" s="177"/>
      <c r="AA115" t="s">
        <v>209</v>
      </c>
    </row>
    <row r="116" spans="1:27" ht="15.75" customHeight="1">
      <c r="A116" s="5">
        <v>41015</v>
      </c>
      <c r="B116" s="33">
        <f ca="1">IF(ISERROR(MATCH(B$1,INDIRECT("Table!A"&amp;$X116):INDIRECT("Table!" &amp; $AA$171 &amp; $X116),0)),"",INDIRECT(CONCATENATE("Table!",ADDRESS($T116,MATCH(B$1,INDIRECT("Table!A" &amp; $X116):INDIRECT("Table!" &amp; $AA$171 &amp; $X116),0)))))</f>
        <v>0.7494206367297318</v>
      </c>
      <c r="C116" s="33">
        <f ca="1">IF(ISERROR(MATCH(C$1,INDIRECT("Table!A"&amp;$X116):INDIRECT("Table!" &amp; $AA$171 &amp; $X116),0)),"",INDIRECT(CONCATENATE("Table!",ADDRESS($T116,MATCH(C$1,INDIRECT("Table!A" &amp; $X116):INDIRECT("Table!" &amp; $AA$171 &amp; $X116),0)))))</f>
        <v>0.66783183245037192</v>
      </c>
      <c r="D116" s="33">
        <f ca="1">IF(ISERROR(MATCH(D$1,INDIRECT("Table!A"&amp;$X116):INDIRECT("Table!" &amp; $AA$171 &amp; $X116),0)),"",INDIRECT(CONCATENATE("Table!",ADDRESS($T116,MATCH(D$1,INDIRECT("Table!A" &amp; $X116):INDIRECT("Table!" &amp; $AA$171 &amp; $X116),0)))))</f>
        <v>0.68174213487854107</v>
      </c>
      <c r="E116" s="33">
        <f ca="1">IF(ISERROR(MATCH(E$1,INDIRECT("Table!A"&amp;$X116):INDIRECT("Table!" &amp; $AA$171 &amp; $X116),0)),"",INDIRECT(CONCATENATE("Table!",ADDRESS($T116,MATCH(E$1,INDIRECT("Table!A" &amp; $X116):INDIRECT("Table!" &amp; $AA$171 &amp; $X116),0)))))</f>
        <v>0.73146488583927938</v>
      </c>
      <c r="F116" s="33">
        <f ca="1">IF(ISERROR(MATCH(F$1,INDIRECT("Table!A"&amp;$X116):INDIRECT("Table!" &amp; $AA$171 &amp; $X116),0)),"",INDIRECT(CONCATENATE("Table!",ADDRESS($T116,MATCH(F$1,INDIRECT("Table!A" &amp; $X116):INDIRECT("Table!" &amp; $AA$171 &amp; $X116),0)))))</f>
        <v>6.270079237265086E-2</v>
      </c>
      <c r="G116" s="33">
        <f ca="1">IF(ISERROR(MATCH(G$1,INDIRECT("Table!A"&amp;$X116):INDIRECT("Table!" &amp; $AA$171 &amp; $X116),0)),"",INDIRECT(CONCATENATE("Table!",ADDRESS($T116,MATCH(G$1,INDIRECT("Table!A" &amp; $X116):INDIRECT("Table!" &amp; $AA$171 &amp; $X116),0)))))</f>
        <v>0.28497645629811064</v>
      </c>
      <c r="H116" s="33">
        <f ca="1">IF(ISERROR(MATCH(H$1,INDIRECT("Table!A"&amp;$X116):INDIRECT("Table!" &amp; $AA$171 &amp; $X116),0)),"",INDIRECT(CONCATENATE("Table!",ADDRESS($T116,MATCH(H$1,INDIRECT("Table!A" &amp; $X116):INDIRECT("Table!" &amp; $AA$171 &amp; $X116),0)))))</f>
        <v>0.16707079265287417</v>
      </c>
      <c r="I116" s="33" t="str">
        <f ca="1">IF(ISERROR(MATCH(I$1,INDIRECT("Table!A"&amp;$X116):INDIRECT("Table!" &amp; $AA$171 &amp; $X116),0)),"",INDIRECT(CONCATENATE("Table!",ADDRESS($T116,MATCH(I$1,INDIRECT("Table!A" &amp; $X116):INDIRECT("Table!" &amp; $AA$171 &amp; $X116),0)))))</f>
        <v/>
      </c>
      <c r="J116" s="33" t="str">
        <f ca="1">IF(ISERROR(MATCH(J$1,INDIRECT("Table!A"&amp;$X116):INDIRECT("Table!" &amp; $AA$171 &amp; $X116),0)),"",INDIRECT(CONCATENATE("Table!",ADDRESS($T116,MATCH(J$1,INDIRECT("Table!A" &amp; $X116):INDIRECT("Table!" &amp; $AA$171 &amp; $X116),0)))))</f>
        <v/>
      </c>
      <c r="K116" s="33" t="str">
        <f ca="1">IF(ISERROR(MATCH(K$1,INDIRECT("Table!A"&amp;$X116):INDIRECT("Table!" &amp; $AA$171 &amp; $X116),0)),"",INDIRECT(CONCATENATE("Table!",ADDRESS($T116,MATCH(K$1,INDIRECT("Table!A" &amp; $X116):INDIRECT("Table!" &amp; $AA$171 &amp; $X116),0)))))</f>
        <v/>
      </c>
      <c r="L116" s="33">
        <f ca="1">IF(ISERROR(MATCH(L$1,INDIRECT("Table!A"&amp;$X116):INDIRECT("Table!" &amp; $AA$171 &amp; $X116),0)),"",INDIRECT(CONCATENATE("Table!",ADDRESS($T116,MATCH(L$1,INDIRECT("Table!A" &amp; $X116):INDIRECT("Table!" &amp; $AA$171 &amp; $X116),0)))))</f>
        <v>0.72316158149263365</v>
      </c>
      <c r="M116" s="33">
        <f ca="1">IF(ISERROR(MATCH(M$1,INDIRECT("Table!A"&amp;$X116):INDIRECT("Table!" &amp; $AA$171 &amp; $X116),0)),"",INDIRECT(CONCATENATE("Table!",ADDRESS($T116,MATCH(M$1,INDIRECT("Table!A" &amp; $X116):INDIRECT("Table!" &amp; $AA$171 &amp; $X116),0)))))</f>
        <v>0.31259602125749814</v>
      </c>
      <c r="N116" s="33">
        <f ca="1">IF(ISERROR(MATCH(N$1,INDIRECT("Table!A"&amp;$X116):INDIRECT("Table!" &amp; $AA$171 &amp; $X116),0)),"",INDIRECT(CONCATENATE("Table!",ADDRESS($T116,MATCH(N$1,INDIRECT("Table!A" &amp; $X116):INDIRECT("Table!" &amp; $AA$171 &amp; $X116),0)))))</f>
        <v>6.5529399547356912E-2</v>
      </c>
      <c r="O116" s="33">
        <f ca="1">IF(ISERROR(MATCH(O$1,INDIRECT("Table!A"&amp;$X116):INDIRECT("Table!" &amp; $AA$171 &amp; $X116),0)),"",INDIRECT(CONCATENATE("Table!",ADDRESS($T116,MATCH(O$1,INDIRECT("Table!A" &amp; $X116):INDIRECT("Table!" &amp; $AA$171 &amp; $X116),0)))))</f>
        <v>0.44961800788405887</v>
      </c>
      <c r="P116" s="33">
        <f ca="1">IF(ISERROR(MATCH(P$1,INDIRECT("Table!A"&amp;$X116):INDIRECT("Table!" &amp; $AA$171 &amp; $X116),0)),"",INDIRECT(CONCATENATE("Table!",ADDRESS($T116,MATCH(P$1,INDIRECT("Table!A" &amp; $X116):INDIRECT("Table!" &amp; $AA$171 &amp; $X116),0)))))</f>
        <v>0.42233389778044828</v>
      </c>
      <c r="T116" s="31">
        <f>MATCH($A116,Table!$A:$A,0)+$V$2-1</f>
        <v>1535</v>
      </c>
      <c r="U116" s="173"/>
      <c r="V116" s="173"/>
      <c r="W116" s="173"/>
      <c r="X116" s="31">
        <f>MATCH($A116,Table!$A:$A,0)+$Z$2-1</f>
        <v>1532</v>
      </c>
      <c r="Y116" s="173"/>
      <c r="AA116" t="s">
        <v>209</v>
      </c>
    </row>
    <row r="117" spans="1:27" ht="15.75" customHeight="1">
      <c r="A117" s="5">
        <v>41012</v>
      </c>
      <c r="B117" s="33">
        <f ca="1">IF(ISERROR(MATCH(B$1,INDIRECT("Table!A"&amp;$X117):INDIRECT("Table!" &amp; $AA$171 &amp; $X117),0)),"",INDIRECT(CONCATENATE("Table!",ADDRESS($T117,MATCH(B$1,INDIRECT("Table!A" &amp; $X117):INDIRECT("Table!" &amp; $AA$171 &amp; $X117),0)))))</f>
        <v>0.74905713160784959</v>
      </c>
      <c r="C117" s="33">
        <f ca="1">IF(ISERROR(MATCH(C$1,INDIRECT("Table!A"&amp;$X117):INDIRECT("Table!" &amp; $AA$171 &amp; $X117),0)),"",INDIRECT(CONCATENATE("Table!",ADDRESS($T117,MATCH(C$1,INDIRECT("Table!A" &amp; $X117):INDIRECT("Table!" &amp; $AA$171 &amp; $X117),0)))))</f>
        <v>0.66636477362565461</v>
      </c>
      <c r="D117" s="33">
        <f ca="1">IF(ISERROR(MATCH(D$1,INDIRECT("Table!A"&amp;$X117):INDIRECT("Table!" &amp; $AA$171 &amp; $X117),0)),"",INDIRECT(CONCATENATE("Table!",ADDRESS($T117,MATCH(D$1,INDIRECT("Table!A" &amp; $X117):INDIRECT("Table!" &amp; $AA$171 &amp; $X117),0)))))</f>
        <v>0.68027507605382387</v>
      </c>
      <c r="E117" s="33">
        <f ca="1">IF(ISERROR(MATCH(E$1,INDIRECT("Table!A"&amp;$X117):INDIRECT("Table!" &amp; $AA$171 &amp; $X117),0)),"",INDIRECT(CONCATENATE("Table!",ADDRESS($T117,MATCH(E$1,INDIRECT("Table!A" &amp; $X117):INDIRECT("Table!" &amp; $AA$171 &amp; $X117),0)))))</f>
        <v>0.85891295563337966</v>
      </c>
      <c r="F117" s="33">
        <f ca="1">IF(ISERROR(MATCH(F$1,INDIRECT("Table!A"&amp;$X117):INDIRECT("Table!" &amp; $AA$171 &amp; $X117),0)),"",INDIRECT(CONCATENATE("Table!",ADDRESS($T117,MATCH(F$1,INDIRECT("Table!A" &amp; $X117):INDIRECT("Table!" &amp; $AA$171 &amp; $X117),0)))))</f>
        <v>5.4099584774972433E-2</v>
      </c>
      <c r="G117" s="33">
        <f ca="1">IF(ISERROR(MATCH(G$1,INDIRECT("Table!A"&amp;$X117):INDIRECT("Table!" &amp; $AA$171 &amp; $X117),0)),"",INDIRECT(CONCATENATE("Table!",ADDRESS($T117,MATCH(G$1,INDIRECT("Table!A" &amp; $X117):INDIRECT("Table!" &amp; $AA$171 &amp; $X117),0)))))</f>
        <v>0.28551973755336285</v>
      </c>
      <c r="H117" s="33">
        <f ca="1">IF(ISERROR(MATCH(H$1,INDIRECT("Table!A"&amp;$X117):INDIRECT("Table!" &amp; $AA$171 &amp; $X117),0)),"",INDIRECT(CONCATENATE("Table!",ADDRESS($T117,MATCH(H$1,INDIRECT("Table!A" &amp; $X117):INDIRECT("Table!" &amp; $AA$171 &amp; $X117),0)))))</f>
        <v>0.16698425309770398</v>
      </c>
      <c r="I117" s="33" t="str">
        <f ca="1">IF(ISERROR(MATCH(I$1,INDIRECT("Table!A"&amp;$X117):INDIRECT("Table!" &amp; $AA$171 &amp; $X117),0)),"",INDIRECT(CONCATENATE("Table!",ADDRESS($T117,MATCH(I$1,INDIRECT("Table!A" &amp; $X117):INDIRECT("Table!" &amp; $AA$171 &amp; $X117),0)))))</f>
        <v/>
      </c>
      <c r="J117" s="33" t="str">
        <f ca="1">IF(ISERROR(MATCH(J$1,INDIRECT("Table!A"&amp;$X117):INDIRECT("Table!" &amp; $AA$171 &amp; $X117),0)),"",INDIRECT(CONCATENATE("Table!",ADDRESS($T117,MATCH(J$1,INDIRECT("Table!A" &amp; $X117):INDIRECT("Table!" &amp; $AA$171 &amp; $X117),0)))))</f>
        <v/>
      </c>
      <c r="K117" s="33" t="str">
        <f ca="1">IF(ISERROR(MATCH(K$1,INDIRECT("Table!A"&amp;$X117):INDIRECT("Table!" &amp; $AA$171 &amp; $X117),0)),"",INDIRECT(CONCATENATE("Table!",ADDRESS($T117,MATCH(K$1,INDIRECT("Table!A" &amp; $X117):INDIRECT("Table!" &amp; $AA$171 &amp; $X117),0)))))</f>
        <v/>
      </c>
      <c r="L117" s="33">
        <f ca="1">IF(ISERROR(MATCH(L$1,INDIRECT("Table!A"&amp;$X117):INDIRECT("Table!" &amp; $AA$171 &amp; $X117),0)),"",INDIRECT(CONCATENATE("Table!",ADDRESS($T117,MATCH(L$1,INDIRECT("Table!A" &amp; $X117):INDIRECT("Table!" &amp; $AA$171 &amp; $X117),0)))))</f>
        <v>0.71982937117910062</v>
      </c>
      <c r="M117" s="33">
        <f ca="1">IF(ISERROR(MATCH(M$1,INDIRECT("Table!A"&amp;$X117):INDIRECT("Table!" &amp; $AA$171 &amp; $X117),0)),"",INDIRECT(CONCATENATE("Table!",ADDRESS($T117,MATCH(M$1,INDIRECT("Table!A" &amp; $X117):INDIRECT("Table!" &amp; $AA$171 &amp; $X117),0)))))</f>
        <v>0.50723584785419062</v>
      </c>
      <c r="N117" s="33">
        <f ca="1">IF(ISERROR(MATCH(N$1,INDIRECT("Table!A"&amp;$X117):INDIRECT("Table!" &amp; $AA$171 &amp; $X117),0)),"",INDIRECT(CONCATENATE("Table!",ADDRESS($T117,MATCH(N$1,INDIRECT("Table!A" &amp; $X117):INDIRECT("Table!" &amp; $AA$171 &amp; $X117),0)))))</f>
        <v>5.6427086715931024E-2</v>
      </c>
      <c r="O117" s="33">
        <f ca="1">IF(ISERROR(MATCH(O$1,INDIRECT("Table!A"&amp;$X117):INDIRECT("Table!" &amp; $AA$171 &amp; $X117),0)),"",INDIRECT(CONCATENATE("Table!",ADDRESS($T117,MATCH(O$1,INDIRECT("Table!A" &amp; $X117):INDIRECT("Table!" &amp; $AA$171 &amp; $X117),0)))))</f>
        <v>0.44943272060094275</v>
      </c>
      <c r="P117" s="33">
        <f ca="1">IF(ISERROR(MATCH(P$1,INDIRECT("Table!A"&amp;$X117):INDIRECT("Table!" &amp; $AA$171 &amp; $X117),0)),"",INDIRECT(CONCATENATE("Table!",ADDRESS($T117,MATCH(P$1,INDIRECT("Table!A" &amp; $X117):INDIRECT("Table!" &amp; $AA$171 &amp; $X117),0)))))</f>
        <v>0.42217184683454412</v>
      </c>
      <c r="T117" s="31">
        <f>MATCH($A117,Table!$A:$A,0)+$V$2-1</f>
        <v>1548</v>
      </c>
      <c r="U117" s="123"/>
      <c r="V117" s="123"/>
      <c r="W117" s="123"/>
      <c r="X117" s="31">
        <f>MATCH($A117,Table!$A:$A,0)+$Z$2-1</f>
        <v>1545</v>
      </c>
      <c r="Y117" s="123"/>
      <c r="AA117" t="s">
        <v>209</v>
      </c>
    </row>
    <row r="118" spans="1:27" ht="15.75" customHeight="1">
      <c r="A118" s="5">
        <v>41011</v>
      </c>
      <c r="B118" s="33">
        <f ca="1">IF(ISERROR(MATCH(B$1,INDIRECT("Table!A"&amp;$X118):INDIRECT("Table!" &amp; $AA$171 &amp; $X118),0)),"",INDIRECT(CONCATENATE("Table!",ADDRESS($T118,MATCH(B$1,INDIRECT("Table!A" &amp; $X118):INDIRECT("Table!" &amp; $AA$171 &amp; $X118),0)))))</f>
        <v>0.74872902722230272</v>
      </c>
      <c r="C118" s="33">
        <f ca="1">IF(ISERROR(MATCH(C$1,INDIRECT("Table!A"&amp;$X118):INDIRECT("Table!" &amp; $AA$171 &amp; $X118),0)),"",INDIRECT(CONCATENATE("Table!",ADDRESS($T118,MATCH(C$1,INDIRECT("Table!A" &amp; $X118):INDIRECT("Table!" &amp; $AA$171 &amp; $X118),0)))))</f>
        <v>0.66626481572913232</v>
      </c>
      <c r="D118" s="33">
        <f ca="1">IF(ISERROR(MATCH(D$1,INDIRECT("Table!A"&amp;$X118):INDIRECT("Table!" &amp; $AA$171 &amp; $X118),0)),"",INDIRECT(CONCATENATE("Table!",ADDRESS($T118,MATCH(D$1,INDIRECT("Table!A" &amp; $X118):INDIRECT("Table!" &amp; $AA$171 &amp; $X118),0)))))</f>
        <v>0.68017511815730136</v>
      </c>
      <c r="E118" s="33">
        <f ca="1">IF(ISERROR(MATCH(E$1,INDIRECT("Table!A"&amp;$X118):INDIRECT("Table!" &amp; $AA$171 &amp; $X118),0)),"",INDIRECT(CONCATENATE("Table!",ADDRESS($T118,MATCH(E$1,INDIRECT("Table!A" &amp; $X118):INDIRECT("Table!" &amp; $AA$171 &amp; $X118),0)))))</f>
        <v>0.85829452203825352</v>
      </c>
      <c r="F118" s="33">
        <f ca="1">IF(ISERROR(MATCH(F$1,INDIRECT("Table!A"&amp;$X118):INDIRECT("Table!" &amp; $AA$171 &amp; $X118),0)),"",INDIRECT(CONCATENATE("Table!",ADDRESS($T118,MATCH(F$1,INDIRECT("Table!A" &amp; $X118):INDIRECT("Table!" &amp; $AA$171 &amp; $X118),0)))))</f>
        <v>3.9037581244158577E-2</v>
      </c>
      <c r="G118" s="33">
        <f ca="1">IF(ISERROR(MATCH(G$1,INDIRECT("Table!A"&amp;$X118):INDIRECT("Table!" &amp; $AA$171 &amp; $X118),0)),"",INDIRECT(CONCATENATE("Table!",ADDRESS($T118,MATCH(G$1,INDIRECT("Table!A" &amp; $X118):INDIRECT("Table!" &amp; $AA$171 &amp; $X118),0)))))</f>
        <v>0.28483291375909747</v>
      </c>
      <c r="H118" s="33">
        <f ca="1">IF(ISERROR(MATCH(H$1,INDIRECT("Table!A"&amp;$X118):INDIRECT("Table!" &amp; $AA$171 &amp; $X118),0)),"",INDIRECT(CONCATENATE("Table!",ADDRESS($T118,MATCH(H$1,INDIRECT("Table!A" &amp; $X118):INDIRECT("Table!" &amp; $AA$171 &amp; $X118),0)))))</f>
        <v>0.16690348284621179</v>
      </c>
      <c r="I118" s="33" t="str">
        <f ca="1">IF(ISERROR(MATCH(I$1,INDIRECT("Table!A"&amp;$X118):INDIRECT("Table!" &amp; $AA$171 &amp; $X118),0)),"",INDIRECT(CONCATENATE("Table!",ADDRESS($T118,MATCH(I$1,INDIRECT("Table!A" &amp; $X118):INDIRECT("Table!" &amp; $AA$171 &amp; $X118),0)))))</f>
        <v/>
      </c>
      <c r="J118" s="33" t="str">
        <f ca="1">IF(ISERROR(MATCH(J$1,INDIRECT("Table!A"&amp;$X118):INDIRECT("Table!" &amp; $AA$171 &amp; $X118),0)),"",INDIRECT(CONCATENATE("Table!",ADDRESS($T118,MATCH(J$1,INDIRECT("Table!A" &amp; $X118):INDIRECT("Table!" &amp; $AA$171 &amp; $X118),0)))))</f>
        <v/>
      </c>
      <c r="K118" s="33" t="str">
        <f ca="1">IF(ISERROR(MATCH(K$1,INDIRECT("Table!A"&amp;$X118):INDIRECT("Table!" &amp; $AA$171 &amp; $X118),0)),"",INDIRECT(CONCATENATE("Table!",ADDRESS($T118,MATCH(K$1,INDIRECT("Table!A" &amp; $X118):INDIRECT("Table!" &amp; $AA$171 &amp; $X118),0)))))</f>
        <v/>
      </c>
      <c r="L118" s="33">
        <f ca="1">IF(ISERROR(MATCH(L$1,INDIRECT("Table!A"&amp;$X118):INDIRECT("Table!" &amp; $AA$171 &amp; $X118),0)),"",INDIRECT(CONCATENATE("Table!",ADDRESS($T118,MATCH(L$1,INDIRECT("Table!A" &amp; $X118):INDIRECT("Table!" &amp; $AA$171 &amp; $X118),0)))))</f>
        <v>0.71719027464852991</v>
      </c>
      <c r="M118" s="33">
        <f ca="1">IF(ISERROR(MATCH(M$1,INDIRECT("Table!A"&amp;$X118):INDIRECT("Table!" &amp; $AA$171 &amp; $X118),0)),"",INDIRECT(CONCATENATE("Table!",ADDRESS($T118,MATCH(M$1,INDIRECT("Table!A" &amp; $X118):INDIRECT("Table!" &amp; $AA$171 &amp; $X118),0)))))</f>
        <v>0.50708654248830143</v>
      </c>
      <c r="N118" s="33">
        <f ca="1">IF(ISERROR(MATCH(N$1,INDIRECT("Table!A"&amp;$X118):INDIRECT("Table!" &amp; $AA$171 &amp; $X118),0)),"",INDIRECT(CONCATENATE("Table!",ADDRESS($T118,MATCH(N$1,INDIRECT("Table!A" &amp; $X118):INDIRECT("Table!" &amp; $AA$171 &amp; $X118),0)))))</f>
        <v>5.6346316464438835E-2</v>
      </c>
      <c r="O118" s="33">
        <f ca="1">IF(ISERROR(MATCH(O$1,INDIRECT("Table!A"&amp;$X118):INDIRECT("Table!" &amp; $AA$171 &amp; $X118),0)),"",INDIRECT(CONCATENATE("Table!",ADDRESS($T118,MATCH(O$1,INDIRECT("Table!A" &amp; $X118):INDIRECT("Table!" &amp; $AA$171 &amp; $X118),0)))))</f>
        <v>0.44934602655104439</v>
      </c>
      <c r="P118" s="33">
        <f ca="1">IF(ISERROR(MATCH(P$1,INDIRECT("Table!A"&amp;$X118):INDIRECT("Table!" &amp; $AA$171 &amp; $X118),0)),"",INDIRECT(CONCATENATE("Table!",ADDRESS($T118,MATCH(P$1,INDIRECT("Table!A" &amp; $X118):INDIRECT("Table!" &amp; $AA$171 &amp; $X118),0)))))</f>
        <v>0.42216274284881916</v>
      </c>
      <c r="T118" s="31">
        <f>MATCH($A118,Table!$A:$A,0)+$V$2-1</f>
        <v>1561</v>
      </c>
      <c r="U118" s="171"/>
      <c r="V118" s="171"/>
      <c r="W118" s="171"/>
      <c r="X118" s="31">
        <f>MATCH($A118,Table!$A:$A,0)+$Z$2-1</f>
        <v>1558</v>
      </c>
      <c r="Y118" s="171"/>
      <c r="AA118" t="s">
        <v>209</v>
      </c>
    </row>
    <row r="119" spans="1:27" ht="15.75" customHeight="1">
      <c r="A119" s="5">
        <v>41009</v>
      </c>
      <c r="B119" s="33">
        <f ca="1">IF(ISERROR(MATCH(B$1,INDIRECT("Table!A"&amp;$X119):INDIRECT("Table!" &amp; $AA$171 &amp; $X119),0)),"",INDIRECT(CONCATENATE("Table!",ADDRESS($T119,MATCH(B$1,INDIRECT("Table!A" &amp; $X119):INDIRECT("Table!" &amp; $AA$171 &amp; $X119),0)))))</f>
        <v>0.74843632357309131</v>
      </c>
      <c r="C119" s="33">
        <f ca="1">IF(ISERROR(MATCH(C$1,INDIRECT("Table!A"&amp;$X119):INDIRECT("Table!" &amp; $AA$171 &amp; $X119),0)),"",INDIRECT(CONCATENATE("Table!",ADDRESS($T119,MATCH(C$1,INDIRECT("Table!A" &amp; $X119):INDIRECT("Table!" &amp; $AA$171 &amp; $X119),0)))))</f>
        <v>0.66612447080371207</v>
      </c>
      <c r="D119" s="33">
        <f ca="1">IF(ISERROR(MATCH(D$1,INDIRECT("Table!A"&amp;$X119):INDIRECT("Table!" &amp; $AA$171 &amp; $X119),0)),"",INDIRECT(CONCATENATE("Table!",ADDRESS($T119,MATCH(D$1,INDIRECT("Table!A" &amp; $X119):INDIRECT("Table!" &amp; $AA$171 &amp; $X119),0)))))</f>
        <v>0.68003477323188122</v>
      </c>
      <c r="E119" s="33">
        <f ca="1">IF(ISERROR(MATCH(E$1,INDIRECT("Table!A"&amp;$X119):INDIRECT("Table!" &amp; $AA$171 &amp; $X119),0)),"",INDIRECT(CONCATENATE("Table!",ADDRESS($T119,MATCH(E$1,INDIRECT("Table!A" &amp; $X119):INDIRECT("Table!" &amp; $AA$171 &amp; $X119),0)))))</f>
        <v>0.85739050811281259</v>
      </c>
      <c r="F119" s="33">
        <f ca="1">IF(ISERROR(MATCH(F$1,INDIRECT("Table!A"&amp;$X119):INDIRECT("Table!" &amp; $AA$171 &amp; $X119),0)),"",INDIRECT(CONCATENATE("Table!",ADDRESS($T119,MATCH(F$1,INDIRECT("Table!A" &amp; $X119):INDIRECT("Table!" &amp; $AA$171 &amp; $X119),0)))))</f>
        <v>1.9177989611956634E-2</v>
      </c>
      <c r="G119" s="33">
        <f ca="1">IF(ISERROR(MATCH(G$1,INDIRECT("Table!A"&amp;$X119):INDIRECT("Table!" &amp; $AA$171 &amp; $X119),0)),"",INDIRECT(CONCATENATE("Table!",ADDRESS($T119,MATCH(G$1,INDIRECT("Table!A" &amp; $X119):INDIRECT("Table!" &amp; $AA$171 &amp; $X119),0)))))</f>
        <v>0.28243084747333336</v>
      </c>
      <c r="H119" s="33">
        <f ca="1">IF(ISERROR(MATCH(H$1,INDIRECT("Table!A"&amp;$X119):INDIRECT("Table!" &amp; $AA$171 &amp; $X119),0)),"",INDIRECT(CONCATENATE("Table!",ADDRESS($T119,MATCH(H$1,INDIRECT("Table!A" &amp; $X119):INDIRECT("Table!" &amp; $AA$171 &amp; $X119),0)))))</f>
        <v>0.1668177674772813</v>
      </c>
      <c r="I119" s="33" t="str">
        <f ca="1">IF(ISERROR(MATCH(I$1,INDIRECT("Table!A"&amp;$X119):INDIRECT("Table!" &amp; $AA$171 &amp; $X119),0)),"",INDIRECT(CONCATENATE("Table!",ADDRESS($T119,MATCH(I$1,INDIRECT("Table!A" &amp; $X119):INDIRECT("Table!" &amp; $AA$171 &amp; $X119),0)))))</f>
        <v/>
      </c>
      <c r="J119" s="33" t="str">
        <f ca="1">IF(ISERROR(MATCH(J$1,INDIRECT("Table!A"&amp;$X119):INDIRECT("Table!" &amp; $AA$171 &amp; $X119),0)),"",INDIRECT(CONCATENATE("Table!",ADDRESS($T119,MATCH(J$1,INDIRECT("Table!A" &amp; $X119):INDIRECT("Table!" &amp; $AA$171 &amp; $X119),0)))))</f>
        <v/>
      </c>
      <c r="K119" s="33" t="str">
        <f ca="1">IF(ISERROR(MATCH(K$1,INDIRECT("Table!A"&amp;$X119):INDIRECT("Table!" &amp; $AA$171 &amp; $X119),0)),"",INDIRECT(CONCATENATE("Table!",ADDRESS($T119,MATCH(K$1,INDIRECT("Table!A" &amp; $X119):INDIRECT("Table!" &amp; $AA$171 &amp; $X119),0)))))</f>
        <v/>
      </c>
      <c r="L119" s="33">
        <f ca="1">IF(ISERROR(MATCH(L$1,INDIRECT("Table!A"&amp;$X119):INDIRECT("Table!" &amp; $AA$171 &amp; $X119),0)),"",INDIRECT(CONCATENATE("Table!",ADDRESS($T119,MATCH(L$1,INDIRECT("Table!A" &amp; $X119):INDIRECT("Table!" &amp; $AA$171 &amp; $X119),0)))))</f>
        <v>0.71594793399451118</v>
      </c>
      <c r="M119" s="33">
        <f ca="1">IF(ISERROR(MATCH(M$1,INDIRECT("Table!A"&amp;$X119):INDIRECT("Table!" &amp; $AA$171 &amp; $X119),0)),"",INDIRECT(CONCATENATE("Table!",ADDRESS($T119,MATCH(M$1,INDIRECT("Table!A" &amp; $X119):INDIRECT("Table!" &amp; $AA$171 &amp; $X119),0)))))</f>
        <v>0.50494164345150305</v>
      </c>
      <c r="N119" s="33">
        <f ca="1">IF(ISERROR(MATCH(N$1,INDIRECT("Table!A"&amp;$X119):INDIRECT("Table!" &amp; $AA$171 &amp; $X119),0)),"",INDIRECT(CONCATENATE("Table!",ADDRESS($T119,MATCH(N$1,INDIRECT("Table!A" &amp; $X119):INDIRECT("Table!" &amp; $AA$171 &amp; $X119),0)))))</f>
        <v>5.6047961045661565E-2</v>
      </c>
      <c r="O119" s="33">
        <f ca="1">IF(ISERROR(MATCH(O$1,INDIRECT("Table!A"&amp;$X119):INDIRECT("Table!" &amp; $AA$171 &amp; $X119),0)),"",INDIRECT(CONCATENATE("Table!",ADDRESS($T119,MATCH(O$1,INDIRECT("Table!A" &amp; $X119):INDIRECT("Table!" &amp; $AA$171 &amp; $X119),0)))))</f>
        <v>0.44922760134562756</v>
      </c>
      <c r="P119" s="33">
        <f ca="1">IF(ISERROR(MATCH(P$1,INDIRECT("Table!A"&amp;$X119):INDIRECT("Table!" &amp; $AA$171 &amp; $X119),0)),"",INDIRECT(CONCATENATE("Table!",ADDRESS($T119,MATCH(P$1,INDIRECT("Table!A" &amp; $X119):INDIRECT("Table!" &amp; $AA$171 &amp; $X119),0)))))</f>
        <v>0.42031281294950928</v>
      </c>
      <c r="T119" s="31">
        <f>MATCH($A119,Table!$A:$A,0)+$V$2-1</f>
        <v>1574</v>
      </c>
      <c r="U119" s="170"/>
      <c r="V119" s="170"/>
      <c r="W119" s="170"/>
      <c r="X119" s="31">
        <f>MATCH($A119,Table!$A:$A,0)+$Z$2-1</f>
        <v>1571</v>
      </c>
      <c r="Y119" s="170"/>
      <c r="AA119" t="s">
        <v>209</v>
      </c>
    </row>
    <row r="120" spans="1:27" ht="15.75" customHeight="1">
      <c r="A120" s="5">
        <v>41003</v>
      </c>
      <c r="B120" s="33">
        <f ca="1">IF(ISERROR(MATCH(B$1,INDIRECT("Table!A"&amp;$X120):INDIRECT("Table!" &amp; $AA$171 &amp; $X120),0)),"",INDIRECT(CONCATENATE("Table!",ADDRESS($T120,MATCH(B$1,INDIRECT("Table!A" &amp; $X120):INDIRECT("Table!" &amp; $AA$171 &amp; $X120),0)))))</f>
        <v>0.74733976417929004</v>
      </c>
      <c r="C120" s="33">
        <f ca="1">IF(ISERROR(MATCH(C$1,INDIRECT("Table!A"&amp;$X120):INDIRECT("Table!" &amp; $AA$171 &amp; $X120),0)),"",INDIRECT(CONCATENATE("Table!",ADDRESS($T120,MATCH(C$1,INDIRECT("Table!A" &amp; $X120):INDIRECT("Table!" &amp; $AA$171 &amp; $X120),0)))))</f>
        <v>0.66559439429736877</v>
      </c>
      <c r="D120" s="33">
        <f ca="1">IF(ISERROR(MATCH(D$1,INDIRECT("Table!A"&amp;$X120):INDIRECT("Table!" &amp; $AA$171 &amp; $X120),0)),"",INDIRECT(CONCATENATE("Table!",ADDRESS($T120,MATCH(D$1,INDIRECT("Table!A" &amp; $X120):INDIRECT("Table!" &amp; $AA$171 &amp; $X120),0)))))</f>
        <v>0.67950768360897396</v>
      </c>
      <c r="E120" s="33">
        <f ca="1">IF(ISERROR(MATCH(E$1,INDIRECT("Table!A"&amp;$X120):INDIRECT("Table!" &amp; $AA$171 &amp; $X120),0)),"",INDIRECT(CONCATENATE("Table!",ADDRESS($T120,MATCH(E$1,INDIRECT("Table!A" &amp; $X120):INDIRECT("Table!" &amp; $AA$171 &amp; $X120),0)))))</f>
        <v>0.85394800236235169</v>
      </c>
      <c r="F120" s="33">
        <f ca="1">IF(ISERROR(MATCH(F$1,INDIRECT("Table!A"&amp;$X120):INDIRECT("Table!" &amp; $AA$171 &amp; $X120),0)),"",INDIRECT(CONCATENATE("Table!",ADDRESS($T120,MATCH(F$1,INDIRECT("Table!A" &amp; $X120):INDIRECT("Table!" &amp; $AA$171 &amp; $X120),0)))))</f>
        <v>1.9145846348607703E-2</v>
      </c>
      <c r="G120" s="33">
        <f ca="1">IF(ISERROR(MATCH(G$1,INDIRECT("Table!A"&amp;$X120):INDIRECT("Table!" &amp; $AA$171 &amp; $X120),0)),"",INDIRECT(CONCATENATE("Table!",ADDRESS($T120,MATCH(G$1,INDIRECT("Table!A" &amp; $X120):INDIRECT("Table!" &amp; $AA$171 &amp; $X120),0)))))</f>
        <v>0.27677363614146755</v>
      </c>
      <c r="H120" s="33">
        <f ca="1">IF(ISERROR(MATCH(H$1,INDIRECT("Table!A"&amp;$X120):INDIRECT("Table!" &amp; $AA$171 &amp; $X120),0)),"",INDIRECT(CONCATENATE("Table!",ADDRESS($T120,MATCH(H$1,INDIRECT("Table!A" &amp; $X120):INDIRECT("Table!" &amp; $AA$171 &amp; $X120),0)))))</f>
        <v>0.16547928902398218</v>
      </c>
      <c r="I120" s="33" t="str">
        <f ca="1">IF(ISERROR(MATCH(I$1,INDIRECT("Table!A"&amp;$X120):INDIRECT("Table!" &amp; $AA$171 &amp; $X120),0)),"",INDIRECT(CONCATENATE("Table!",ADDRESS($T120,MATCH(I$1,INDIRECT("Table!A" &amp; $X120):INDIRECT("Table!" &amp; $AA$171 &amp; $X120),0)))))</f>
        <v/>
      </c>
      <c r="J120" s="33" t="str">
        <f ca="1">IF(ISERROR(MATCH(J$1,INDIRECT("Table!A"&amp;$X120):INDIRECT("Table!" &amp; $AA$171 &amp; $X120),0)),"",INDIRECT(CONCATENATE("Table!",ADDRESS($T120,MATCH(J$1,INDIRECT("Table!A" &amp; $X120):INDIRECT("Table!" &amp; $AA$171 &amp; $X120),0)))))</f>
        <v/>
      </c>
      <c r="K120" s="33" t="str">
        <f ca="1">IF(ISERROR(MATCH(K$1,INDIRECT("Table!A"&amp;$X120):INDIRECT("Table!" &amp; $AA$171 &amp; $X120),0)),"",INDIRECT(CONCATENATE("Table!",ADDRESS($T120,MATCH(K$1,INDIRECT("Table!A" &amp; $X120):INDIRECT("Table!" &amp; $AA$171 &amp; $X120),0)))))</f>
        <v/>
      </c>
      <c r="L120" s="33">
        <f ca="1">IF(ISERROR(MATCH(L$1,INDIRECT("Table!A"&amp;$X120):INDIRECT("Table!" &amp; $AA$171 &amp; $X120),0)),"",INDIRECT(CONCATENATE("Table!",ADDRESS($T120,MATCH(L$1,INDIRECT("Table!A" &amp; $X120):INDIRECT("Table!" &amp; $AA$171 &amp; $X120),0)))))</f>
        <v>0.71297895039761916</v>
      </c>
      <c r="M120" s="33">
        <f ca="1">IF(ISERROR(MATCH(M$1,INDIRECT("Table!A"&amp;$X120):INDIRECT("Table!" &amp; $AA$171 &amp; $X120),0)),"",INDIRECT(CONCATENATE("Table!",ADDRESS($T120,MATCH(M$1,INDIRECT("Table!A" &amp; $X120):INDIRECT("Table!" &amp; $AA$171 &amp; $X120),0)))))</f>
        <v>0.50436262995939618</v>
      </c>
      <c r="N120" s="33">
        <f ca="1">IF(ISERROR(MATCH(N$1,INDIRECT("Table!A"&amp;$X120):INDIRECT("Table!" &amp; $AA$171 &amp; $X120),0)),"",INDIRECT(CONCATENATE("Table!",ADDRESS($T120,MATCH(N$1,INDIRECT("Table!A" &amp; $X120):INDIRECT("Table!" &amp; $AA$171 &amp; $X120),0)))))</f>
        <v>2.1296972434267026E-2</v>
      </c>
      <c r="O120" s="33">
        <f ca="1">IF(ISERROR(MATCH(O$1,INDIRECT("Table!A"&amp;$X120):INDIRECT("Table!" &amp; $AA$171 &amp; $X120),0)),"",INDIRECT(CONCATENATE("Table!",ADDRESS($T120,MATCH(O$1,INDIRECT("Table!A" &amp; $X120):INDIRECT("Table!" &amp; $AA$171 &amp; $X120),0)))))</f>
        <v>0.44737302863113493</v>
      </c>
      <c r="P120" s="33">
        <f ca="1">IF(ISERROR(MATCH(P$1,INDIRECT("Table!A"&amp;$X120):INDIRECT("Table!" &amp; $AA$171 &amp; $X120),0)),"",INDIRECT(CONCATENATE("Table!",ADDRESS($T120,MATCH(P$1,INDIRECT("Table!A" &amp; $X120):INDIRECT("Table!" &amp; $AA$171 &amp; $X120),0)))))</f>
        <v>0.42019264033793996</v>
      </c>
      <c r="T120" s="31">
        <f>MATCH($A120,Table!$A:$A,0)+$V$2-1</f>
        <v>1587</v>
      </c>
      <c r="U120" s="169"/>
      <c r="V120" s="169"/>
      <c r="W120" s="169"/>
      <c r="X120" s="31">
        <f>MATCH($A120,Table!$A:$A,0)+$Z$2-1</f>
        <v>1584</v>
      </c>
      <c r="Y120" s="169"/>
      <c r="AA120" t="s">
        <v>209</v>
      </c>
    </row>
    <row r="121" spans="1:27" ht="15.75" customHeight="1">
      <c r="A121" s="5">
        <v>41002</v>
      </c>
      <c r="B121" s="33">
        <f ca="1">IF(ISERROR(MATCH(B$1,INDIRECT("Table!A"&amp;$X121):INDIRECT("Table!" &amp; $AA$171 &amp; $X121),0)),"",INDIRECT(CONCATENATE("Table!",ADDRESS($T121,MATCH(B$1,INDIRECT("Table!A" &amp; $X121):INDIRECT("Table!" &amp; $AA$171 &amp; $X121),0)))))</f>
        <v>0.74683983670762799</v>
      </c>
      <c r="C121" s="33">
        <f ca="1">IF(ISERROR(MATCH(C$1,INDIRECT("Table!A"&amp;$X121):INDIRECT("Table!" &amp; $AA$171 &amp; $X121),0)),"",INDIRECT(CONCATENATE("Table!",ADDRESS($T121,MATCH(C$1,INDIRECT("Table!A" &amp; $X121):INDIRECT("Table!" &amp; $AA$171 &amp; $X121),0)))))</f>
        <v>0.66542375961713207</v>
      </c>
      <c r="D121" s="33">
        <f ca="1">IF(ISERROR(MATCH(D$1,INDIRECT("Table!A"&amp;$X121):INDIRECT("Table!" &amp; $AA$171 &amp; $X121),0)),"",INDIRECT(CONCATENATE("Table!",ADDRESS($T121,MATCH(D$1,INDIRECT("Table!A" &amp; $X121):INDIRECT("Table!" &amp; $AA$171 &amp; $X121),0)))))</f>
        <v>0.67933401991074505</v>
      </c>
      <c r="E121" s="33">
        <f ca="1">IF(ISERROR(MATCH(E$1,INDIRECT("Table!A"&amp;$X121):INDIRECT("Table!" &amp; $AA$171 &amp; $X121),0)),"",INDIRECT(CONCATENATE("Table!",ADDRESS($T121,MATCH(E$1,INDIRECT("Table!A" &amp; $X121):INDIRECT("Table!" &amp; $AA$171 &amp; $X121),0)))))</f>
        <v>0.85174754439770395</v>
      </c>
      <c r="F121" s="33">
        <f ca="1">IF(ISERROR(MATCH(F$1,INDIRECT("Table!A"&amp;$X121):INDIRECT("Table!" &amp; $AA$171 &amp; $X121),0)),"",INDIRECT(CONCATENATE("Table!",ADDRESS($T121,MATCH(F$1,INDIRECT("Table!A" &amp; $X121):INDIRECT("Table!" &amp; $AA$171 &amp; $X121),0)))))</f>
        <v>1.9145846348607703E-2</v>
      </c>
      <c r="G121" s="33">
        <f ca="1">IF(ISERROR(MATCH(G$1,INDIRECT("Table!A"&amp;$X121):INDIRECT("Table!" &amp; $AA$171 &amp; $X121),0)),"",INDIRECT(CONCATENATE("Table!",ADDRESS($T121,MATCH(G$1,INDIRECT("Table!A" &amp; $X121):INDIRECT("Table!" &amp; $AA$171 &amp; $X121),0)))))</f>
        <v>0.27589875345115333</v>
      </c>
      <c r="H121" s="33">
        <f ca="1">IF(ISERROR(MATCH(H$1,INDIRECT("Table!A"&amp;$X121):INDIRECT("Table!" &amp; $AA$171 &amp; $X121),0)),"",INDIRECT(CONCATENATE("Table!",ADDRESS($T121,MATCH(H$1,INDIRECT("Table!A" &amp; $X121):INDIRECT("Table!" &amp; $AA$171 &amp; $X121),0)))))</f>
        <v>0.16539274946881197</v>
      </c>
      <c r="I121" s="33" t="str">
        <f ca="1">IF(ISERROR(MATCH(I$1,INDIRECT("Table!A"&amp;$X121):INDIRECT("Table!" &amp; $AA$171 &amp; $X121),0)),"",INDIRECT(CONCATENATE("Table!",ADDRESS($T121,MATCH(I$1,INDIRECT("Table!A" &amp; $X121):INDIRECT("Table!" &amp; $AA$171 &amp; $X121),0)))))</f>
        <v/>
      </c>
      <c r="J121" s="33" t="str">
        <f ca="1">IF(ISERROR(MATCH(J$1,INDIRECT("Table!A"&amp;$X121):INDIRECT("Table!" &amp; $AA$171 &amp; $X121),0)),"",INDIRECT(CONCATENATE("Table!",ADDRESS($T121,MATCH(J$1,INDIRECT("Table!A" &amp; $X121):INDIRECT("Table!" &amp; $AA$171 &amp; $X121),0)))))</f>
        <v/>
      </c>
      <c r="K121" s="33" t="str">
        <f ca="1">IF(ISERROR(MATCH(K$1,INDIRECT("Table!A"&amp;$X121):INDIRECT("Table!" &amp; $AA$171 &amp; $X121),0)),"",INDIRECT(CONCATENATE("Table!",ADDRESS($T121,MATCH(K$1,INDIRECT("Table!A" &amp; $X121):INDIRECT("Table!" &amp; $AA$171 &amp; $X121),0)))))</f>
        <v/>
      </c>
      <c r="L121" s="33">
        <f ca="1">IF(ISERROR(MATCH(L$1,INDIRECT("Table!A"&amp;$X121):INDIRECT("Table!" &amp; $AA$171 &amp; $X121),0)),"",INDIRECT(CONCATENATE("Table!",ADDRESS($T121,MATCH(L$1,INDIRECT("Table!A" &amp; $X121):INDIRECT("Table!" &amp; $AA$171 &amp; $X121),0)))))</f>
        <v>0.71223436487381231</v>
      </c>
      <c r="M121" s="33">
        <f ca="1">IF(ISERROR(MATCH(M$1,INDIRECT("Table!A"&amp;$X121):INDIRECT("Table!" &amp; $AA$171 &amp; $X121),0)),"",INDIRECT(CONCATENATE("Table!",ADDRESS($T121,MATCH(M$1,INDIRECT("Table!A" &amp; $X121):INDIRECT("Table!" &amp; $AA$171 &amp; $X121),0)))))</f>
        <v>0.50419329582491212</v>
      </c>
      <c r="N121" s="33">
        <f ca="1">IF(ISERROR(MATCH(N$1,INDIRECT("Table!A"&amp;$X121):INDIRECT("Table!" &amp; $AA$171 &amp; $X121),0)),"",INDIRECT(CONCATENATE("Table!",ADDRESS($T121,MATCH(N$1,INDIRECT("Table!A" &amp; $X121):INDIRECT("Table!" &amp; $AA$171 &amp; $X121),0)))))</f>
        <v>2.1229389162610298E-2</v>
      </c>
      <c r="O121" s="33">
        <f ca="1">IF(ISERROR(MATCH(O$1,INDIRECT("Table!A"&amp;$X121):INDIRECT("Table!" &amp; $AA$171 &amp; $X121),0)),"",INDIRECT(CONCATENATE("Table!",ADDRESS($T121,MATCH(O$1,INDIRECT("Table!A" &amp; $X121):INDIRECT("Table!" &amp; $AA$171 &amp; $X121),0)))))</f>
        <v>0.44725120365905552</v>
      </c>
      <c r="P121" s="33">
        <f ca="1">IF(ISERROR(MATCH(P$1,INDIRECT("Table!A"&amp;$X121):INDIRECT("Table!" &amp; $AA$171 &amp; $X121),0)),"",INDIRECT(CONCATENATE("Table!",ADDRESS($T121,MATCH(P$1,INDIRECT("Table!A" &amp; $X121):INDIRECT("Table!" &amp; $AA$171 &amp; $X121),0)))))</f>
        <v>0.42018899874365001</v>
      </c>
      <c r="T121" s="31">
        <f>MATCH($A121,Table!$A:$A,0)+$V$2-1</f>
        <v>1600</v>
      </c>
      <c r="U121" s="168"/>
      <c r="V121" s="168"/>
      <c r="W121" s="168"/>
      <c r="X121" s="31">
        <f>MATCH($A121,Table!$A:$A,0)+$Z$2-1</f>
        <v>1597</v>
      </c>
      <c r="Y121" s="168"/>
      <c r="AA121" t="s">
        <v>209</v>
      </c>
    </row>
    <row r="122" spans="1:27" ht="15.75" customHeight="1">
      <c r="A122" s="5">
        <v>41001</v>
      </c>
      <c r="B122" s="33">
        <f ca="1">IF(ISERROR(MATCH(B$1,INDIRECT("Table!A"&amp;$X122):INDIRECT("Table!" &amp; $AA$171 &amp; $X122),0)),"",INDIRECT(CONCATENATE("Table!",ADDRESS($T122,MATCH(B$1,INDIRECT("Table!A" &amp; $X122):INDIRECT("Table!" &amp; $AA$171 &amp; $X122),0)))))</f>
        <v>0.74643920398422337</v>
      </c>
      <c r="C122" s="33">
        <f ca="1">IF(ISERROR(MATCH(C$1,INDIRECT("Table!A"&amp;$X122):INDIRECT("Table!" &amp; $AA$171 &amp; $X122),0)),"",INDIRECT(CONCATENATE("Table!",ADDRESS($T122,MATCH(C$1,INDIRECT("Table!A" &amp; $X122):INDIRECT("Table!" &amp; $AA$171 &amp; $X122),0)))))</f>
        <v>0.66523394115627721</v>
      </c>
      <c r="D122" s="33">
        <f ca="1">IF(ISERROR(MATCH(D$1,INDIRECT("Table!A"&amp;$X122):INDIRECT("Table!" &amp; $AA$171 &amp; $X122),0)),"",INDIRECT(CONCATENATE("Table!",ADDRESS($T122,MATCH(D$1,INDIRECT("Table!A" &amp; $X122):INDIRECT("Table!" &amp; $AA$171 &amp; $X122),0)))))</f>
        <v>0.67913915308656936</v>
      </c>
      <c r="E122" s="33">
        <f ca="1">IF(ISERROR(MATCH(E$1,INDIRECT("Table!A"&amp;$X122):INDIRECT("Table!" &amp; $AA$171 &amp; $X122),0)),"",INDIRECT(CONCATENATE("Table!",ADDRESS($T122,MATCH(E$1,INDIRECT("Table!A" &amp; $X122):INDIRECT("Table!" &amp; $AA$171 &amp; $X122),0)))))</f>
        <v>0.85075157490105069</v>
      </c>
      <c r="F122" s="33">
        <f ca="1">IF(ISERROR(MATCH(F$1,INDIRECT("Table!A"&amp;$X122):INDIRECT("Table!" &amp; $AA$171 &amp; $X122),0)),"",INDIRECT(CONCATENATE("Table!",ADDRESS($T122,MATCH(F$1,INDIRECT("Table!A" &amp; $X122):INDIRECT("Table!" &amp; $AA$171 &amp; $X122),0)))))</f>
        <v>1.9145022162367985E-2</v>
      </c>
      <c r="G122" s="33">
        <f ca="1">IF(ISERROR(MATCH(G$1,INDIRECT("Table!A"&amp;$X122):INDIRECT("Table!" &amp; $AA$171 &amp; $X122),0)),"",INDIRECT(CONCATENATE("Table!",ADDRESS($T122,MATCH(G$1,INDIRECT("Table!A" &amp; $X122):INDIRECT("Table!" &amp; $AA$171 &amp; $X122),0)))))</f>
        <v>0.27144802624466374</v>
      </c>
      <c r="H122" s="33">
        <f ca="1">IF(ISERROR(MATCH(H$1,INDIRECT("Table!A"&amp;$X122):INDIRECT("Table!" &amp; $AA$171 &amp; $X122),0)),"",INDIRECT(CONCATENATE("Table!",ADDRESS($T122,MATCH(H$1,INDIRECT("Table!A" &amp; $X122):INDIRECT("Table!" &amp; $AA$171 &amp; $X122),0)))))</f>
        <v>0.16528066014021056</v>
      </c>
      <c r="I122" s="33" t="str">
        <f ca="1">IF(ISERROR(MATCH(I$1,INDIRECT("Table!A"&amp;$X122):INDIRECT("Table!" &amp; $AA$171 &amp; $X122),0)),"",INDIRECT(CONCATENATE("Table!",ADDRESS($T122,MATCH(I$1,INDIRECT("Table!A" &amp; $X122):INDIRECT("Table!" &amp; $AA$171 &amp; $X122),0)))))</f>
        <v/>
      </c>
      <c r="J122" s="33" t="str">
        <f ca="1">IF(ISERROR(MATCH(J$1,INDIRECT("Table!A"&amp;$X122):INDIRECT("Table!" &amp; $AA$171 &amp; $X122),0)),"",INDIRECT(CONCATENATE("Table!",ADDRESS($T122,MATCH(J$1,INDIRECT("Table!A" &amp; $X122):INDIRECT("Table!" &amp; $AA$171 &amp; $X122),0)))))</f>
        <v/>
      </c>
      <c r="K122" s="33" t="str">
        <f ca="1">IF(ISERROR(MATCH(K$1,INDIRECT("Table!A"&amp;$X122):INDIRECT("Table!" &amp; $AA$171 &amp; $X122),0)),"",INDIRECT(CONCATENATE("Table!",ADDRESS($T122,MATCH(K$1,INDIRECT("Table!A" &amp; $X122):INDIRECT("Table!" &amp; $AA$171 &amp; $X122),0)))))</f>
        <v/>
      </c>
      <c r="L122" s="33">
        <f ca="1">IF(ISERROR(MATCH(L$1,INDIRECT("Table!A"&amp;$X122):INDIRECT("Table!" &amp; $AA$171 &amp; $X122),0)),"",INDIRECT(CONCATENATE("Table!",ADDRESS($T122,MATCH(L$1,INDIRECT("Table!A" &amp; $X122):INDIRECT("Table!" &amp; $AA$171 &amp; $X122),0)))))</f>
        <v>0.71196589295281676</v>
      </c>
      <c r="M122" s="33">
        <f ca="1">IF(ISERROR(MATCH(M$1,INDIRECT("Table!A"&amp;$X122):INDIRECT("Table!" &amp; $AA$171 &amp; $X122),0)),"",INDIRECT(CONCATENATE("Table!",ADDRESS($T122,MATCH(M$1,INDIRECT("Table!A" &amp; $X122):INDIRECT("Table!" &amp; $AA$171 &amp; $X122),0)))))</f>
        <v>0.50413685111341744</v>
      </c>
      <c r="N122" s="33">
        <f ca="1">IF(ISERROR(MATCH(N$1,INDIRECT("Table!A"&amp;$X122):INDIRECT("Table!" &amp; $AA$171 &amp; $X122),0)),"",INDIRECT(CONCATENATE("Table!",ADDRESS($T122,MATCH(N$1,INDIRECT("Table!A" &amp; $X122):INDIRECT("Table!" &amp; $AA$171 &amp; $X122),0)))))</f>
        <v>2.1198070085501081E-2</v>
      </c>
      <c r="O122" s="33">
        <f ca="1">IF(ISERROR(MATCH(O$1,INDIRECT("Table!A"&amp;$X122):INDIRECT("Table!" &amp; $AA$171 &amp; $X122),0)),"",INDIRECT(CONCATENATE("Table!",ADDRESS($T122,MATCH(O$1,INDIRECT("Table!A" &amp; $X122):INDIRECT("Table!" &amp; $AA$171 &amp; $X122),0)))))</f>
        <v>0.44709368113701797</v>
      </c>
      <c r="P122" s="33">
        <f ca="1">IF(ISERROR(MATCH(P$1,INDIRECT("Table!A"&amp;$X122):INDIRECT("Table!" &amp; $AA$171 &amp; $X122),0)),"",INDIRECT(CONCATENATE("Table!",ADDRESS($T122,MATCH(P$1,INDIRECT("Table!A" &amp; $X122):INDIRECT("Table!" &amp; $AA$171 &amp; $X122),0)))))</f>
        <v>0.42016532838076515</v>
      </c>
      <c r="T122" s="31">
        <f>MATCH($A122,Table!$A:$A,0)+$V$2-1</f>
        <v>1613</v>
      </c>
      <c r="U122" s="167"/>
      <c r="V122" s="167"/>
      <c r="W122" s="167"/>
      <c r="X122" s="31">
        <f>MATCH($A122,Table!$A:$A,0)+$Z$2-1</f>
        <v>1610</v>
      </c>
      <c r="Y122" s="167"/>
      <c r="AA122" t="s">
        <v>209</v>
      </c>
    </row>
    <row r="123" spans="1:27" ht="15.75" customHeight="1">
      <c r="A123" s="5">
        <v>40998</v>
      </c>
      <c r="B123" s="33">
        <f ca="1">IF(ISERROR(MATCH(B$1,INDIRECT("Table!A"&amp;$X123):INDIRECT("Table!" &amp; $AA$171 &amp; $X123),0)),"",INDIRECT(CONCATENATE("Table!",ADDRESS($T123,MATCH(B$1,INDIRECT("Table!A" &amp; $X123):INDIRECT("Table!" &amp; $AA$171 &amp; $X123),0)))))</f>
        <v>0.74580458102796832</v>
      </c>
      <c r="C123" s="33">
        <f ca="1">IF(ISERROR(MATCH(C$1,INDIRECT("Table!A"&amp;$X123):INDIRECT("Table!" &amp; $AA$171 &amp; $X123),0)),"",INDIRECT(CONCATENATE("Table!",ADDRESS($T123,MATCH(C$1,INDIRECT("Table!A" &amp; $X123):INDIRECT("Table!" &amp; $AA$171 &amp; $X123),0)))))</f>
        <v>0.66499868742553669</v>
      </c>
      <c r="D123" s="33">
        <f ca="1">IF(ISERROR(MATCH(D$1,INDIRECT("Table!A"&amp;$X123):INDIRECT("Table!" &amp; $AA$171 &amp; $X123),0)),"",INDIRECT(CONCATENATE("Table!",ADDRESS($T123,MATCH(D$1,INDIRECT("Table!A" &amp; $X123):INDIRECT("Table!" &amp; $AA$171 &amp; $X123),0)))))</f>
        <v>0.67890894771914945</v>
      </c>
      <c r="E123" s="33">
        <f ca="1">IF(ISERROR(MATCH(E$1,INDIRECT("Table!A"&amp;$X123):INDIRECT("Table!" &amp; $AA$171 &amp; $X123),0)),"",INDIRECT(CONCATENATE("Table!",ADDRESS($T123,MATCH(E$1,INDIRECT("Table!A" &amp; $X123):INDIRECT("Table!" &amp; $AA$171 &amp; $X123),0)))))</f>
        <v>0.8483717388150942</v>
      </c>
      <c r="F123" s="33">
        <f ca="1">IF(ISERROR(MATCH(F$1,INDIRECT("Table!A"&amp;$X123):INDIRECT("Table!" &amp; $AA$171 &amp; $X123),0)),"",INDIRECT(CONCATENATE("Table!",ADDRESS($T123,MATCH(F$1,INDIRECT("Table!A" &amp; $X123):INDIRECT("Table!" &amp; $AA$171 &amp; $X123),0)))))</f>
        <v>1.9145022162367985E-2</v>
      </c>
      <c r="G123" s="33">
        <f ca="1">IF(ISERROR(MATCH(G$1,INDIRECT("Table!A"&amp;$X123):INDIRECT("Table!" &amp; $AA$171 &amp; $X123),0)),"",INDIRECT(CONCATENATE("Table!",ADDRESS($T123,MATCH(G$1,INDIRECT("Table!A" &amp; $X123):INDIRECT("Table!" &amp; $AA$171 &amp; $X123),0)))))</f>
        <v>0.26832643026966924</v>
      </c>
      <c r="H123" s="33">
        <f ca="1">IF(ISERROR(MATCH(H$1,INDIRECT("Table!A"&amp;$X123):INDIRECT("Table!" &amp; $AA$171 &amp; $X123),0)),"",INDIRECT(CONCATENATE("Table!",ADDRESS($T123,MATCH(H$1,INDIRECT("Table!A" &amp; $X123):INDIRECT("Table!" &amp; $AA$171 &amp; $X123),0)))))</f>
        <v>0.16517269174280774</v>
      </c>
      <c r="I123" s="33" t="str">
        <f ca="1">IF(ISERROR(MATCH(I$1,INDIRECT("Table!A"&amp;$X123):INDIRECT("Table!" &amp; $AA$171 &amp; $X123),0)),"",INDIRECT(CONCATENATE("Table!",ADDRESS($T123,MATCH(I$1,INDIRECT("Table!A" &amp; $X123):INDIRECT("Table!" &amp; $AA$171 &amp; $X123),0)))))</f>
        <v/>
      </c>
      <c r="J123" s="33" t="str">
        <f ca="1">IF(ISERROR(MATCH(J$1,INDIRECT("Table!A"&amp;$X123):INDIRECT("Table!" &amp; $AA$171 &amp; $X123),0)),"",INDIRECT(CONCATENATE("Table!",ADDRESS($T123,MATCH(J$1,INDIRECT("Table!A" &amp; $X123):INDIRECT("Table!" &amp; $AA$171 &amp; $X123),0)))))</f>
        <v/>
      </c>
      <c r="K123" s="33" t="str">
        <f ca="1">IF(ISERROR(MATCH(K$1,INDIRECT("Table!A"&amp;$X123):INDIRECT("Table!" &amp; $AA$171 &amp; $X123),0)),"",INDIRECT(CONCATENATE("Table!",ADDRESS($T123,MATCH(K$1,INDIRECT("Table!A" &amp; $X123):INDIRECT("Table!" &amp; $AA$171 &amp; $X123),0)))))</f>
        <v/>
      </c>
      <c r="L123" s="33">
        <f ca="1">IF(ISERROR(MATCH(L$1,INDIRECT("Table!A"&amp;$X123):INDIRECT("Table!" &amp; $AA$171 &amp; $X123),0)),"",INDIRECT(CONCATENATE("Table!",ADDRESS($T123,MATCH(L$1,INDIRECT("Table!A" &amp; $X123):INDIRECT("Table!" &amp; $AA$171 &amp; $X123),0)))))</f>
        <v>0.71055392951646978</v>
      </c>
      <c r="M123" s="33">
        <f ca="1">IF(ISERROR(MATCH(M$1,INDIRECT("Table!A"&amp;$X123):INDIRECT("Table!" &amp; $AA$171 &amp; $X123),0)),"",INDIRECT(CONCATENATE("Table!",ADDRESS($T123,MATCH(M$1,INDIRECT("Table!A" &amp; $X123):INDIRECT("Table!" &amp; $AA$171 &amp; $X123),0)))))</f>
        <v>0.50349593051838093</v>
      </c>
      <c r="N123" s="33">
        <f ca="1">IF(ISERROR(MATCH(N$1,INDIRECT("Table!A"&amp;$X123):INDIRECT("Table!" &amp; $AA$171 &amp; $X123),0)),"",INDIRECT(CONCATENATE("Table!",ADDRESS($T123,MATCH(N$1,INDIRECT("Table!A" &amp; $X123):INDIRECT("Table!" &amp; $AA$171 &amp; $X123),0)))))</f>
        <v>2.1133783558803215E-2</v>
      </c>
      <c r="O123" s="33">
        <f ca="1">IF(ISERROR(MATCH(O$1,INDIRECT("Table!A"&amp;$X123):INDIRECT("Table!" &amp; $AA$171 &amp; $X123),0)),"",INDIRECT(CONCATENATE("Table!",ADDRESS($T123,MATCH(O$1,INDIRECT("Table!A" &amp; $X123):INDIRECT("Table!" &amp; $AA$171 &amp; $X123),0)))))</f>
        <v>0.44692369280388389</v>
      </c>
      <c r="P123" s="33">
        <f ca="1">IF(ISERROR(MATCH(P$1,INDIRECT("Table!A"&amp;$X123):INDIRECT("Table!" &amp; $AA$171 &amp; $X123),0)),"",INDIRECT(CONCATENATE("Table!",ADDRESS($T123,MATCH(P$1,INDIRECT("Table!A" &amp; $X123):INDIRECT("Table!" &amp; $AA$171 &amp; $X123),0)))))</f>
        <v>0.42014712040931523</v>
      </c>
      <c r="T123" s="31">
        <f>MATCH($A123,Table!$A:$A,0)+$V$2-1</f>
        <v>1626</v>
      </c>
      <c r="U123" s="166"/>
      <c r="V123" s="166"/>
      <c r="W123" s="166"/>
      <c r="X123" s="31">
        <f>MATCH($A123,Table!$A:$A,0)+$Z$2-1</f>
        <v>1623</v>
      </c>
      <c r="Y123" s="166"/>
      <c r="AA123" t="s">
        <v>209</v>
      </c>
    </row>
    <row r="124" spans="1:27" ht="15.75" customHeight="1">
      <c r="A124" s="5">
        <v>40997</v>
      </c>
      <c r="B124" s="33">
        <f ca="1">IF(ISERROR(MATCH(B$1,INDIRECT("Table!A"&amp;$X124):INDIRECT("Table!" &amp; $AA$171 &amp; $X124),0)),"",INDIRECT(CONCATENATE("Table!",ADDRESS($T124,MATCH(B$1,INDIRECT("Table!A" &amp; $X124):INDIRECT("Table!" &amp; $AA$171 &amp; $X124),0)))))</f>
        <v>0.74577781461756842</v>
      </c>
      <c r="C124" s="33">
        <f ca="1">IF(ISERROR(MATCH(C$1,INDIRECT("Table!A"&amp;$X124):INDIRECT("Table!" &amp; $AA$171 &amp; $X124),0)),"",INDIRECT(CONCATENATE("Table!",ADDRESS($T124,MATCH(C$1,INDIRECT("Table!A" &amp; $X124):INDIRECT("Table!" &amp; $AA$171 &amp; $X124),0)))))</f>
        <v>0.66486339128854421</v>
      </c>
      <c r="D124" s="33">
        <f ca="1">IF(ISERROR(MATCH(D$1,INDIRECT("Table!A"&amp;$X124):INDIRECT("Table!" &amp; $AA$171 &amp; $X124),0)),"",INDIRECT(CONCATENATE("Table!",ADDRESS($T124,MATCH(D$1,INDIRECT("Table!A" &amp; $X124):INDIRECT("Table!" &amp; $AA$171 &amp; $X124),0)))))</f>
        <v>0.67877365158215708</v>
      </c>
      <c r="E124" s="33">
        <f ca="1">IF(ISERROR(MATCH(E$1,INDIRECT("Table!A"&amp;$X124):INDIRECT("Table!" &amp; $AA$171 &amp; $X124),0)),"",INDIRECT(CONCATENATE("Table!",ADDRESS($T124,MATCH(E$1,INDIRECT("Table!A" &amp; $X124):INDIRECT("Table!" &amp; $AA$171 &amp; $X124),0)))))</f>
        <v>0.84800197380690889</v>
      </c>
      <c r="F124" s="33">
        <f ca="1">IF(ISERROR(MATCH(F$1,INDIRECT("Table!A"&amp;$X124):INDIRECT("Table!" &amp; $AA$171 &amp; $X124),0)),"",INDIRECT(CONCATENATE("Table!",ADDRESS($T124,MATCH(F$1,INDIRECT("Table!A" &amp; $X124):INDIRECT("Table!" &amp; $AA$171 &amp; $X124),0)))))</f>
        <v>1.9145022162367985E-2</v>
      </c>
      <c r="G124" s="33">
        <f ca="1">IF(ISERROR(MATCH(G$1,INDIRECT("Table!A"&amp;$X124):INDIRECT("Table!" &amp; $AA$171 &amp; $X124),0)),"",INDIRECT(CONCATENATE("Table!",ADDRESS($T124,MATCH(G$1,INDIRECT("Table!A" &amp; $X124):INDIRECT("Table!" &amp; $AA$171 &amp; $X124),0)))))</f>
        <v>0.26803026022081933</v>
      </c>
      <c r="H124" s="33">
        <f ca="1">IF(ISERROR(MATCH(H$1,INDIRECT("Table!A"&amp;$X124):INDIRECT("Table!" &amp; $AA$171 &amp; $X124),0)),"",INDIRECT(CONCATENATE("Table!",ADDRESS($T124,MATCH(H$1,INDIRECT("Table!A" &amp; $X124):INDIRECT("Table!" &amp; $AA$171 &amp; $X124),0)))))</f>
        <v>0.16514796615561625</v>
      </c>
      <c r="I124" s="33" t="str">
        <f ca="1">IF(ISERROR(MATCH(I$1,INDIRECT("Table!A"&amp;$X124):INDIRECT("Table!" &amp; $AA$171 &amp; $X124),0)),"",INDIRECT(CONCATENATE("Table!",ADDRESS($T124,MATCH(I$1,INDIRECT("Table!A" &amp; $X124):INDIRECT("Table!" &amp; $AA$171 &amp; $X124),0)))))</f>
        <v/>
      </c>
      <c r="J124" s="33" t="str">
        <f ca="1">IF(ISERROR(MATCH(J$1,INDIRECT("Table!A"&amp;$X124):INDIRECT("Table!" &amp; $AA$171 &amp; $X124),0)),"",INDIRECT(CONCATENATE("Table!",ADDRESS($T124,MATCH(J$1,INDIRECT("Table!A" &amp; $X124):INDIRECT("Table!" &amp; $AA$171 &amp; $X124),0)))))</f>
        <v/>
      </c>
      <c r="K124" s="33" t="str">
        <f ca="1">IF(ISERROR(MATCH(K$1,INDIRECT("Table!A"&amp;$X124):INDIRECT("Table!" &amp; $AA$171 &amp; $X124),0)),"",INDIRECT(CONCATENATE("Table!",ADDRESS($T124,MATCH(K$1,INDIRECT("Table!A" &amp; $X124):INDIRECT("Table!" &amp; $AA$171 &amp; $X124),0)))))</f>
        <v/>
      </c>
      <c r="L124" s="33">
        <f ca="1">IF(ISERROR(MATCH(L$1,INDIRECT("Table!A"&amp;$X124):INDIRECT("Table!" &amp; $AA$171 &amp; $X124),0)),"",INDIRECT(CONCATENATE("Table!",ADDRESS($T124,MATCH(L$1,INDIRECT("Table!A" &amp; $X124):INDIRECT("Table!" &amp; $AA$171 &amp; $X124),0)))))</f>
        <v>0.71031528780891817</v>
      </c>
      <c r="M124" s="33">
        <f ca="1">IF(ISERROR(MATCH(M$1,INDIRECT("Table!A"&amp;$X124):INDIRECT("Table!" &amp; $AA$171 &amp; $X124),0)),"",INDIRECT(CONCATENATE("Table!",ADDRESS($T124,MATCH(M$1,INDIRECT("Table!A" &amp; $X124):INDIRECT("Table!" &amp; $AA$171 &amp; $X124),0)))))</f>
        <v>0.50317000782942767</v>
      </c>
      <c r="N124" s="33">
        <f ca="1">IF(ISERROR(MATCH(N$1,INDIRECT("Table!A"&amp;$X124):INDIRECT("Table!" &amp; $AA$171 &amp; $X124),0)),"",INDIRECT(CONCATENATE("Table!",ADDRESS($T124,MATCH(N$1,INDIRECT("Table!A" &amp; $X124):INDIRECT("Table!" &amp; $AA$171 &amp; $X124),0)))))</f>
        <v>2.1104112854173431E-2</v>
      </c>
      <c r="O124" s="33">
        <f ca="1">IF(ISERROR(MATCH(O$1,INDIRECT("Table!A"&amp;$X124):INDIRECT("Table!" &amp; $AA$171 &amp; $X124),0)),"",INDIRECT(CONCATENATE("Table!",ADDRESS($T124,MATCH(O$1,INDIRECT("Table!A" &amp; $X124):INDIRECT("Table!" &amp; $AA$171 &amp; $X124),0)))))</f>
        <v>0.44688969513725707</v>
      </c>
      <c r="P124" s="33">
        <f ca="1">IF(ISERROR(MATCH(P$1,INDIRECT("Table!A"&amp;$X124):INDIRECT("Table!" &amp; $AA$171 &amp; $X124),0)),"",INDIRECT(CONCATENATE("Table!",ADDRESS($T124,MATCH(P$1,INDIRECT("Table!A" &amp; $X124):INDIRECT("Table!" &amp; $AA$171 &amp; $X124),0)))))</f>
        <v>0.42014712040931523</v>
      </c>
      <c r="T124" s="31">
        <f>MATCH($A124,Table!$A:$A,0)+$V$2-1</f>
        <v>1639</v>
      </c>
      <c r="U124" s="165"/>
      <c r="V124" s="165"/>
      <c r="W124" s="165"/>
      <c r="X124" s="31">
        <f>MATCH($A124,Table!$A:$A,0)+$Z$2-1</f>
        <v>1636</v>
      </c>
      <c r="Y124" s="165"/>
      <c r="AA124" t="s">
        <v>209</v>
      </c>
    </row>
    <row r="125" spans="1:27" ht="15.75" customHeight="1">
      <c r="A125" s="5">
        <v>40996</v>
      </c>
      <c r="B125" s="33">
        <f ca="1">IF(ISERROR(MATCH(B$1,INDIRECT("Table!A"&amp;$X125):INDIRECT("Table!" &amp; $AA$171 &amp; $X125),0)),"",INDIRECT(CONCATENATE("Table!",ADDRESS($T125,MATCH(B$1,INDIRECT("Table!A" &amp; $X125):INDIRECT("Table!" &amp; $AA$171 &amp; $X125),0)))))</f>
        <v>0.74539013338306703</v>
      </c>
      <c r="C125" s="33">
        <f ca="1">IF(ISERROR(MATCH(C$1,INDIRECT("Table!A"&amp;$X125):INDIRECT("Table!" &amp; $AA$171 &amp; $X125),0)),"",INDIRECT(CONCATENATE("Table!",ADDRESS($T125,MATCH(C$1,INDIRECT("Table!A" &amp; $X125):INDIRECT("Table!" &amp; $AA$171 &amp; $X125),0)))))</f>
        <v>0.66456149916197171</v>
      </c>
      <c r="D125" s="33">
        <f ca="1">IF(ISERROR(MATCH(D$1,INDIRECT("Table!A"&amp;$X125):INDIRECT("Table!" &amp; $AA$171 &amp; $X125),0)),"",INDIRECT(CONCATENATE("Table!",ADDRESS($T125,MATCH(D$1,INDIRECT("Table!A" &amp; $X125):INDIRECT("Table!" &amp; $AA$171 &amp; $X125),0)))))</f>
        <v>0.67847074978292043</v>
      </c>
      <c r="E125" s="33">
        <f ca="1">IF(ISERROR(MATCH(E$1,INDIRECT("Table!A"&amp;$X125):INDIRECT("Table!" &amp; $AA$171 &amp; $X125),0)),"",INDIRECT(CONCATENATE("Table!",ADDRESS($T125,MATCH(E$1,INDIRECT("Table!A" &amp; $X125):INDIRECT("Table!" &amp; $AA$171 &amp; $X125),0)))))</f>
        <v>0.84720739996269978</v>
      </c>
      <c r="F125" s="33">
        <f ca="1">IF(ISERROR(MATCH(F$1,INDIRECT("Table!A"&amp;$X125):INDIRECT("Table!" &amp; $AA$171 &amp; $X125),0)),"",INDIRECT(CONCATENATE("Table!",ADDRESS($T125,MATCH(F$1,INDIRECT("Table!A" &amp; $X125):INDIRECT("Table!" &amp; $AA$171 &amp; $X125),0)))))</f>
        <v>1.6793618820457622E-2</v>
      </c>
      <c r="G125" s="33">
        <f ca="1">IF(ISERROR(MATCH(G$1,INDIRECT("Table!A"&amp;$X125):INDIRECT("Table!" &amp; $AA$171 &amp; $X125),0)),"",INDIRECT(CONCATENATE("Table!",ADDRESS($T125,MATCH(G$1,INDIRECT("Table!A" &amp; $X125):INDIRECT("Table!" &amp; $AA$171 &amp; $X125),0)))))</f>
        <v>0.26675473031718361</v>
      </c>
      <c r="H125" s="33">
        <f ca="1">IF(ISERROR(MATCH(H$1,INDIRECT("Table!A"&amp;$X125):INDIRECT("Table!" &amp; $AA$171 &amp; $X125),0)),"",INDIRECT(CONCATENATE("Table!",ADDRESS($T125,MATCH(H$1,INDIRECT("Table!A" &amp; $X125):INDIRECT("Table!" &amp; $AA$171 &amp; $X125),0)))))</f>
        <v>0.16506307497292549</v>
      </c>
      <c r="I125" s="33" t="str">
        <f ca="1">IF(ISERROR(MATCH(I$1,INDIRECT("Table!A"&amp;$X125):INDIRECT("Table!" &amp; $AA$171 &amp; $X125),0)),"",INDIRECT(CONCATENATE("Table!",ADDRESS($T125,MATCH(I$1,INDIRECT("Table!A" &amp; $X125):INDIRECT("Table!" &amp; $AA$171 &amp; $X125),0)))))</f>
        <v/>
      </c>
      <c r="J125" s="33" t="str">
        <f ca="1">IF(ISERROR(MATCH(J$1,INDIRECT("Table!A"&amp;$X125):INDIRECT("Table!" &amp; $AA$171 &amp; $X125),0)),"",INDIRECT(CONCATENATE("Table!",ADDRESS($T125,MATCH(J$1,INDIRECT("Table!A" &amp; $X125):INDIRECT("Table!" &amp; $AA$171 &amp; $X125),0)))))</f>
        <v/>
      </c>
      <c r="K125" s="33" t="str">
        <f ca="1">IF(ISERROR(MATCH(K$1,INDIRECT("Table!A"&amp;$X125):INDIRECT("Table!" &amp; $AA$171 &amp; $X125),0)),"",INDIRECT(CONCATENATE("Table!",ADDRESS($T125,MATCH(K$1,INDIRECT("Table!A" &amp; $X125):INDIRECT("Table!" &amp; $AA$171 &amp; $X125),0)))))</f>
        <v/>
      </c>
      <c r="L125" s="33">
        <f ca="1">IF(ISERROR(MATCH(L$1,INDIRECT("Table!A"&amp;$X125):INDIRECT("Table!" &amp; $AA$171 &amp; $X125),0)),"",INDIRECT(CONCATENATE("Table!",ADDRESS($T125,MATCH(L$1,INDIRECT("Table!A" &amp; $X125):INDIRECT("Table!" &amp; $AA$171 &amp; $X125),0)))))</f>
        <v>0.70970990994784966</v>
      </c>
      <c r="M125" s="33">
        <f ca="1">IF(ISERROR(MATCH(M$1,INDIRECT("Table!A"&amp;$X125):INDIRECT("Table!" &amp; $AA$171 &amp; $X125),0)),"",INDIRECT(CONCATENATE("Table!",ADDRESS($T125,MATCH(M$1,INDIRECT("Table!A" &amp; $X125):INDIRECT("Table!" &amp; $AA$171 &amp; $X125),0)))))</f>
        <v>0.50271298774603523</v>
      </c>
      <c r="N125" s="33">
        <f ca="1">IF(ISERROR(MATCH(N$1,INDIRECT("Table!A"&amp;$X125):INDIRECT("Table!" &amp; $AA$171 &amp; $X125),0)),"",INDIRECT(CONCATENATE("Table!",ADDRESS($T125,MATCH(N$1,INDIRECT("Table!A" &amp; $X125):INDIRECT("Table!" &amp; $AA$171 &amp; $X125),0)))))</f>
        <v>2.0952462586065645E-2</v>
      </c>
      <c r="O125" s="33">
        <f ca="1">IF(ISERROR(MATCH(O$1,INDIRECT("Table!A"&amp;$X125):INDIRECT("Table!" &amp; $AA$171 &amp; $X125),0)),"",INDIRECT(CONCATENATE("Table!",ADDRESS($T125,MATCH(O$1,INDIRECT("Table!A" &amp; $X125):INDIRECT("Table!" &amp; $AA$171 &amp; $X125),0)))))</f>
        <v>0.44683416561509992</v>
      </c>
      <c r="P125" s="33">
        <f ca="1">IF(ISERROR(MATCH(P$1,INDIRECT("Table!A"&amp;$X125):INDIRECT("Table!" &amp; $AA$171 &amp; $X125),0)),"",INDIRECT(CONCATENATE("Table!",ADDRESS($T125,MATCH(P$1,INDIRECT("Table!A" &amp; $X125):INDIRECT("Table!" &amp; $AA$171 &amp; $X125),0)))))</f>
        <v>0.42014712040931523</v>
      </c>
      <c r="T125" s="31">
        <f>MATCH($A125,Table!$A:$A,0)+$V$2-1</f>
        <v>1652</v>
      </c>
      <c r="U125" s="164"/>
      <c r="V125" s="164"/>
      <c r="W125" s="164"/>
      <c r="X125" s="31">
        <f>MATCH($A125,Table!$A:$A,0)+$Z$2-1</f>
        <v>1649</v>
      </c>
      <c r="Y125" s="164"/>
      <c r="AA125" t="s">
        <v>209</v>
      </c>
    </row>
    <row r="126" spans="1:27" ht="15.75" customHeight="1">
      <c r="A126" s="5">
        <v>40994</v>
      </c>
      <c r="B126" s="33">
        <f ca="1">IF(ISERROR(MATCH(B$1,INDIRECT("Table!A"&amp;$X126):INDIRECT("Table!" &amp; $AA$171 &amp; $X126),0)),"",INDIRECT(CONCATENATE("Table!",ADDRESS($T126,MATCH(B$1,INDIRECT("Table!A" &amp; $X126):INDIRECT("Table!" &amp; $AA$171 &amp; $X126),0)))))</f>
        <v>0.74171968142791034</v>
      </c>
      <c r="C126" s="33">
        <f ca="1">IF(ISERROR(MATCH(C$1,INDIRECT("Table!A"&amp;$X126):INDIRECT("Table!" &amp; $AA$171 &amp; $X126),0)),"",INDIRECT(CONCATENATE("Table!",ADDRESS($T126,MATCH(C$1,INDIRECT("Table!A" &amp; $X126):INDIRECT("Table!" &amp; $AA$171 &amp; $X126),0)))))</f>
        <v>0.66420003634821589</v>
      </c>
      <c r="D126" s="33">
        <f ca="1">IF(ISERROR(MATCH(D$1,INDIRECT("Table!A"&amp;$X126):INDIRECT("Table!" &amp; $AA$171 &amp; $X126),0)),"",INDIRECT(CONCATENATE("Table!",ADDRESS($T126,MATCH(D$1,INDIRECT("Table!A" &amp; $X126):INDIRECT("Table!" &amp; $AA$171 &amp; $X126),0)))))</f>
        <v>0.67811029664182865</v>
      </c>
      <c r="E126" s="33">
        <f ca="1">IF(ISERROR(MATCH(E$1,INDIRECT("Table!A"&amp;$X126):INDIRECT("Table!" &amp; $AA$171 &amp; $X126),0)),"",INDIRECT(CONCATENATE("Table!",ADDRESS($T126,MATCH(E$1,INDIRECT("Table!A" &amp; $X126):INDIRECT("Table!" &amp; $AA$171 &amp; $X126),0)))))</f>
        <v>0.84557486478645583</v>
      </c>
      <c r="F126" s="33">
        <f ca="1">IF(ISERROR(MATCH(F$1,INDIRECT("Table!A"&amp;$X126):INDIRECT("Table!" &amp; $AA$171 &amp; $X126),0)),"",INDIRECT(CONCATENATE("Table!",ADDRESS($T126,MATCH(F$1,INDIRECT("Table!A" &amp; $X126):INDIRECT("Table!" &amp; $AA$171 &amp; $X126),0)))))</f>
        <v>1.6742519273595217E-2</v>
      </c>
      <c r="G126" s="33">
        <f ca="1">IF(ISERROR(MATCH(G$1,INDIRECT("Table!A"&amp;$X126):INDIRECT("Table!" &amp; $AA$171 &amp; $X126),0)),"",INDIRECT(CONCATENATE("Table!",ADDRESS($T126,MATCH(G$1,INDIRECT("Table!A" &amp; $X126):INDIRECT("Table!" &amp; $AA$171 &amp; $X126),0)))))</f>
        <v>0.26728075012787095</v>
      </c>
      <c r="H126" s="33">
        <f ca="1">IF(ISERROR(MATCH(H$1,INDIRECT("Table!A"&amp;$X126):INDIRECT("Table!" &amp; $AA$171 &amp; $X126),0)),"",INDIRECT(CONCATENATE("Table!",ADDRESS($T126,MATCH(H$1,INDIRECT("Table!A" &amp; $X126):INDIRECT("Table!" &amp; $AA$171 &amp; $X126),0)))))</f>
        <v>0.16483972050196238</v>
      </c>
      <c r="I126" s="33" t="str">
        <f ca="1">IF(ISERROR(MATCH(I$1,INDIRECT("Table!A"&amp;$X126):INDIRECT("Table!" &amp; $AA$171 &amp; $X126),0)),"",INDIRECT(CONCATENATE("Table!",ADDRESS($T126,MATCH(I$1,INDIRECT("Table!A" &amp; $X126):INDIRECT("Table!" &amp; $AA$171 &amp; $X126),0)))))</f>
        <v/>
      </c>
      <c r="J126" s="33" t="str">
        <f ca="1">IF(ISERROR(MATCH(J$1,INDIRECT("Table!A"&amp;$X126):INDIRECT("Table!" &amp; $AA$171 &amp; $X126),0)),"",INDIRECT(CONCATENATE("Table!",ADDRESS($T126,MATCH(J$1,INDIRECT("Table!A" &amp; $X126):INDIRECT("Table!" &amp; $AA$171 &amp; $X126),0)))))</f>
        <v/>
      </c>
      <c r="K126" s="33" t="str">
        <f ca="1">IF(ISERROR(MATCH(K$1,INDIRECT("Table!A"&amp;$X126):INDIRECT("Table!" &amp; $AA$171 &amp; $X126),0)),"",INDIRECT(CONCATENATE("Table!",ADDRESS($T126,MATCH(K$1,INDIRECT("Table!A" &amp; $X126):INDIRECT("Table!" &amp; $AA$171 &amp; $X126),0)))))</f>
        <v/>
      </c>
      <c r="L126" s="33">
        <f ca="1">IF(ISERROR(MATCH(L$1,INDIRECT("Table!A"&amp;$X126):INDIRECT("Table!" &amp; $AA$171 &amp; $X126),0)),"",INDIRECT(CONCATENATE("Table!",ADDRESS($T126,MATCH(L$1,INDIRECT("Table!A" &amp; $X126):INDIRECT("Table!" &amp; $AA$171 &amp; $X126),0)))))</f>
        <v>0.70581443501575736</v>
      </c>
      <c r="M126" s="33">
        <f ca="1">IF(ISERROR(MATCH(M$1,INDIRECT("Table!A"&amp;$X126):INDIRECT("Table!" &amp; $AA$171 &amp; $X126),0)),"",INDIRECT(CONCATENATE("Table!",ADDRESS($T126,MATCH(M$1,INDIRECT("Table!A" &amp; $X126):INDIRECT("Table!" &amp; $AA$171 &amp; $X126),0)))))</f>
        <v>0.50207752954243368</v>
      </c>
      <c r="N126" s="33">
        <f ca="1">IF(ISERROR(MATCH(N$1,INDIRECT("Table!A"&amp;$X126):INDIRECT("Table!" &amp; $AA$171 &amp; $X126),0)),"",INDIRECT(CONCATENATE("Table!",ADDRESS($T126,MATCH(N$1,INDIRECT("Table!A" &amp; $X126):INDIRECT("Table!" &amp; $AA$171 &amp; $X126),0)))))</f>
        <v>1.864968623229854E-2</v>
      </c>
      <c r="O126" s="33">
        <f ca="1">IF(ISERROR(MATCH(O$1,INDIRECT("Table!A"&amp;$X126):INDIRECT("Table!" &amp; $AA$171 &amp; $X126),0)),"",INDIRECT(CONCATENATE("Table!",ADDRESS($T126,MATCH(O$1,INDIRECT("Table!A" &amp; $X126):INDIRECT("Table!" &amp; $AA$171 &amp; $X126),0)))))</f>
        <v>0.44646019128220499</v>
      </c>
      <c r="P126" s="33">
        <f ca="1">IF(ISERROR(MATCH(P$1,INDIRECT("Table!A"&amp;$X126):INDIRECT("Table!" &amp; $AA$171 &amp; $X126),0)),"",INDIRECT(CONCATENATE("Table!",ADDRESS($T126,MATCH(P$1,INDIRECT("Table!A" &amp; $X126):INDIRECT("Table!" &amp; $AA$171 &amp; $X126),0)))))</f>
        <v>0.42013801642359028</v>
      </c>
      <c r="T126" s="31">
        <f>MATCH($A126,Table!$A:$A,0)+$V$2-1</f>
        <v>1665</v>
      </c>
      <c r="U126" s="163"/>
      <c r="V126" s="163"/>
      <c r="W126" s="163"/>
      <c r="X126" s="31">
        <f>MATCH($A126,Table!$A:$A,0)+$Z$2-1</f>
        <v>1662</v>
      </c>
      <c r="Y126" s="163"/>
      <c r="AA126" t="s">
        <v>209</v>
      </c>
    </row>
    <row r="127" spans="1:27" ht="15.75" customHeight="1">
      <c r="A127" s="5">
        <v>40989</v>
      </c>
      <c r="B127" s="33">
        <f ca="1">IF(ISERROR(MATCH(B$1,INDIRECT("Table!A"&amp;$X127):INDIRECT("Table!" &amp; $AA$171 &amp; $X127),0)),"",INDIRECT(CONCATENATE("Table!",ADDRESS($T127,MATCH(B$1,INDIRECT("Table!A" &amp; $X127):INDIRECT("Table!" &amp; $AA$171 &amp; $X127),0)))))</f>
        <v>0.75149719211720578</v>
      </c>
      <c r="C127" s="33">
        <f ca="1">IF(ISERROR(MATCH(C$1,INDIRECT("Table!A"&amp;$X127):INDIRECT("Table!" &amp; $AA$171 &amp; $X127),0)),"",INDIRECT(CONCATENATE("Table!",ADDRESS($T127,MATCH(C$1,INDIRECT("Table!A" &amp; $X127):INDIRECT("Table!" &amp; $AA$171 &amp; $X127),0)))))</f>
        <v>0.66350235253730749</v>
      </c>
      <c r="D127" s="33">
        <f ca="1">IF(ISERROR(MATCH(D$1,INDIRECT("Table!A"&amp;$X127):INDIRECT("Table!" &amp; $AA$171 &amp; $X127),0)),"",INDIRECT(CONCATENATE("Table!",ADDRESS($T127,MATCH(D$1,INDIRECT("Table!A" &amp; $X127):INDIRECT("Table!" &amp; $AA$171 &amp; $X127),0)))))</f>
        <v>0.67741362250358428</v>
      </c>
      <c r="E127" s="33">
        <f ca="1">IF(ISERROR(MATCH(E$1,INDIRECT("Table!A"&amp;$X127):INDIRECT("Table!" &amp; $AA$171 &amp; $X127),0)),"",INDIRECT(CONCATENATE("Table!",ADDRESS($T127,MATCH(E$1,INDIRECT("Table!A" &amp; $X127):INDIRECT("Table!" &amp; $AA$171 &amp; $X127),0)))))</f>
        <v>0.84035476718403557</v>
      </c>
      <c r="F127" s="33">
        <f ca="1">IF(ISERROR(MATCH(F$1,INDIRECT("Table!A"&amp;$X127):INDIRECT("Table!" &amp; $AA$171 &amp; $X127),0)),"",INDIRECT(CONCATENATE("Table!",ADDRESS($T127,MATCH(F$1,INDIRECT("Table!A" &amp; $X127):INDIRECT("Table!" &amp; $AA$171 &amp; $X127),0)))))</f>
        <v>1.397984699806646E-2</v>
      </c>
      <c r="G127" s="33">
        <f ca="1">IF(ISERROR(MATCH(G$1,INDIRECT("Table!A"&amp;$X127):INDIRECT("Table!" &amp; $AA$171 &amp; $X127),0)),"",INDIRECT(CONCATENATE("Table!",ADDRESS($T127,MATCH(G$1,INDIRECT("Table!A" &amp; $X127):INDIRECT("Table!" &amp; $AA$171 &amp; $X127),0)))))</f>
        <v>0.29174930204711652</v>
      </c>
      <c r="H127" s="33">
        <f ca="1">IF(ISERROR(MATCH(H$1,INDIRECT("Table!A"&amp;$X127):INDIRECT("Table!" &amp; $AA$171 &amp; $X127),0)),"",INDIRECT(CONCATENATE("Table!",ADDRESS($T127,MATCH(H$1,INDIRECT("Table!A" &amp; $X127):INDIRECT("Table!" &amp; $AA$171 &amp; $X127),0)))))</f>
        <v>0.1645718599740546</v>
      </c>
      <c r="I127" s="33" t="str">
        <f ca="1">IF(ISERROR(MATCH(I$1,INDIRECT("Table!A"&amp;$X127):INDIRECT("Table!" &amp; $AA$171 &amp; $X127),0)),"",INDIRECT(CONCATENATE("Table!",ADDRESS($T127,MATCH(I$1,INDIRECT("Table!A" &amp; $X127):INDIRECT("Table!" &amp; $AA$171 &amp; $X127),0)))))</f>
        <v/>
      </c>
      <c r="J127" s="33" t="str">
        <f ca="1">IF(ISERROR(MATCH(J$1,INDIRECT("Table!A"&amp;$X127):INDIRECT("Table!" &amp; $AA$171 &amp; $X127),0)),"",INDIRECT(CONCATENATE("Table!",ADDRESS($T127,MATCH(J$1,INDIRECT("Table!A" &amp; $X127):INDIRECT("Table!" &amp; $AA$171 &amp; $X127),0)))))</f>
        <v/>
      </c>
      <c r="K127" s="33" t="str">
        <f ca="1">IF(ISERROR(MATCH(K$1,INDIRECT("Table!A"&amp;$X127):INDIRECT("Table!" &amp; $AA$171 &amp; $X127),0)),"",INDIRECT(CONCATENATE("Table!",ADDRESS($T127,MATCH(K$1,INDIRECT("Table!A" &amp; $X127):INDIRECT("Table!" &amp; $AA$171 &amp; $X127),0)))))</f>
        <v/>
      </c>
      <c r="L127" s="33">
        <f ca="1">IF(ISERROR(MATCH(L$1,INDIRECT("Table!A"&amp;$X127):INDIRECT("Table!" &amp; $AA$171 &amp; $X127),0)),"",INDIRECT(CONCATENATE("Table!",ADDRESS($T127,MATCH(L$1,INDIRECT("Table!A" &amp; $X127):INDIRECT("Table!" &amp; $AA$171 &amp; $X127),0)))))</f>
        <v>0.69524167152138772</v>
      </c>
      <c r="M127" s="33">
        <f ca="1">IF(ISERROR(MATCH(M$1,INDIRECT("Table!A"&amp;$X127):INDIRECT("Table!" &amp; $AA$171 &amp; $X127),0)),"",INDIRECT(CONCATENATE("Table!",ADDRESS($T127,MATCH(M$1,INDIRECT("Table!A" &amp; $X127):INDIRECT("Table!" &amp; $AA$171 &amp; $X127),0)))))</f>
        <v>0.50081571712095552</v>
      </c>
      <c r="N127" s="33">
        <f ca="1">IF(ISERROR(MATCH(N$1,INDIRECT("Table!A"&amp;$X127):INDIRECT("Table!" &amp; $AA$171 &amp; $X127),0)),"",INDIRECT(CONCATENATE("Table!",ADDRESS($T127,MATCH(N$1,INDIRECT("Table!A" &amp; $X127):INDIRECT("Table!" &amp; $AA$171 &amp; $X127),0)))))</f>
        <v>1.5184807280531568E-2</v>
      </c>
      <c r="O127" s="33">
        <f ca="1">IF(ISERROR(MATCH(O$1,INDIRECT("Table!A"&amp;$X127):INDIRECT("Table!" &amp; $AA$171 &amp; $X127),0)),"",INDIRECT(CONCATENATE("Table!",ADDRESS($T127,MATCH(O$1,INDIRECT("Table!A" &amp; $X127):INDIRECT("Table!" &amp; $AA$171 &amp; $X127),0)))))</f>
        <v>0.4460777175326533</v>
      </c>
      <c r="P127" s="33">
        <f ca="1">IF(ISERROR(MATCH(P$1,INDIRECT("Table!A"&amp;$X127):INDIRECT("Table!" &amp; $AA$171 &amp; $X127),0)),"",INDIRECT(CONCATENATE("Table!",ADDRESS($T127,MATCH(P$1,INDIRECT("Table!A" &amp; $X127):INDIRECT("Table!" &amp; $AA$171 &amp; $X127),0)))))</f>
        <v>0.41817155550700097</v>
      </c>
      <c r="T127" s="31">
        <f>MATCH($A127,Table!$A:$A,0)+$V$2-1</f>
        <v>1678</v>
      </c>
      <c r="U127" s="162"/>
      <c r="V127" s="162"/>
      <c r="W127" s="162"/>
      <c r="X127" s="31">
        <f>MATCH($A127,Table!$A:$A,0)+$Z$2-1</f>
        <v>1675</v>
      </c>
      <c r="Y127" s="162"/>
      <c r="AA127" t="s">
        <v>209</v>
      </c>
    </row>
    <row r="128" spans="1:27" ht="15.75" customHeight="1">
      <c r="A128" s="5">
        <v>40984</v>
      </c>
      <c r="B128" s="33">
        <f ca="1">IF(ISERROR(MATCH(B$1,INDIRECT("Table!A"&amp;$X128):INDIRECT("Table!" &amp; $AA$171 &amp; $X128),0)),"",INDIRECT(CONCATENATE("Table!",ADDRESS($T128,MATCH(B$1,INDIRECT("Table!A" &amp; $X128):INDIRECT("Table!" &amp; $AA$171 &amp; $X128),0)))))</f>
        <v>0.81007073239806315</v>
      </c>
      <c r="C128" s="33">
        <f ca="1">IF(ISERROR(MATCH(C$1,INDIRECT("Table!A"&amp;$X128):INDIRECT("Table!" &amp; $AA$171 &amp; $X128),0)),"",INDIRECT(CONCATENATE("Table!",ADDRESS($T128,MATCH(C$1,INDIRECT("Table!A" &amp; $X128):INDIRECT("Table!" &amp; $AA$171 &amp; $X128),0)))))</f>
        <v>0.66227963894105535</v>
      </c>
      <c r="D128" s="33">
        <f ca="1">IF(ISERROR(MATCH(D$1,INDIRECT("Table!A"&amp;$X128):INDIRECT("Table!" &amp; $AA$171 &amp; $X128),0)),"",INDIRECT(CONCATENATE("Table!",ADDRESS($T128,MATCH(D$1,INDIRECT("Table!A" &amp; $X128):INDIRECT("Table!" &amp; $AA$171 &amp; $X128),0)))))</f>
        <v>0.67619090890733224</v>
      </c>
      <c r="E128" s="33">
        <f ca="1">IF(ISERROR(MATCH(E$1,INDIRECT("Table!A"&amp;$X128):INDIRECT("Table!" &amp; $AA$171 &amp; $X128),0)),"",INDIRECT(CONCATENATE("Table!",ADDRESS($T128,MATCH(E$1,INDIRECT("Table!A" &amp; $X128):INDIRECT("Table!" &amp; $AA$171 &amp; $X128),0)))))</f>
        <v>0.85135252398615746</v>
      </c>
      <c r="F128" s="33">
        <f ca="1">IF(ISERROR(MATCH(F$1,INDIRECT("Table!A"&amp;$X128):INDIRECT("Table!" &amp; $AA$171 &amp; $X128),0)),"",INDIRECT(CONCATENATE("Table!",ADDRESS($T128,MATCH(F$1,INDIRECT("Table!A" &amp; $X128):INDIRECT("Table!" &amp; $AA$171 &amp; $X128),0)))))</f>
        <v>1.3878472090581365E-2</v>
      </c>
      <c r="G128" s="33">
        <f ca="1">IF(ISERROR(MATCH(G$1,INDIRECT("Table!A"&amp;$X128):INDIRECT("Table!" &amp; $AA$171 &amp; $X128),0)),"",INDIRECT(CONCATENATE("Table!",ADDRESS($T128,MATCH(G$1,INDIRECT("Table!A" &amp; $X128):INDIRECT("Table!" &amp; $AA$171 &amp; $X128),0)))))</f>
        <v>0.28694880346391771</v>
      </c>
      <c r="H128" s="33">
        <f ca="1">IF(ISERROR(MATCH(H$1,INDIRECT("Table!A"&amp;$X128):INDIRECT("Table!" &amp; $AA$171 &amp; $X128),0)),"",INDIRECT(CONCATENATE("Table!",ADDRESS($T128,MATCH(H$1,INDIRECT("Table!A" &amp; $X128):INDIRECT("Table!" &amp; $AA$171 &amp; $X128),0)))))</f>
        <v>0.16451004600607588</v>
      </c>
      <c r="I128" s="33" t="str">
        <f ca="1">IF(ISERROR(MATCH(I$1,INDIRECT("Table!A"&amp;$X128):INDIRECT("Table!" &amp; $AA$171 &amp; $X128),0)),"",INDIRECT(CONCATENATE("Table!",ADDRESS($T128,MATCH(I$1,INDIRECT("Table!A" &amp; $X128):INDIRECT("Table!" &amp; $AA$171 &amp; $X128),0)))))</f>
        <v/>
      </c>
      <c r="J128" s="33" t="str">
        <f ca="1">IF(ISERROR(MATCH(J$1,INDIRECT("Table!A"&amp;$X128):INDIRECT("Table!" &amp; $AA$171 &amp; $X128),0)),"",INDIRECT(CONCATENATE("Table!",ADDRESS($T128,MATCH(J$1,INDIRECT("Table!A" &amp; $X128):INDIRECT("Table!" &amp; $AA$171 &amp; $X128),0)))))</f>
        <v/>
      </c>
      <c r="K128" s="33" t="str">
        <f ca="1">IF(ISERROR(MATCH(K$1,INDIRECT("Table!A"&amp;$X128):INDIRECT("Table!" &amp; $AA$171 &amp; $X128),0)),"",INDIRECT(CONCATENATE("Table!",ADDRESS($T128,MATCH(K$1,INDIRECT("Table!A" &amp; $X128):INDIRECT("Table!" &amp; $AA$171 &amp; $X128),0)))))</f>
        <v/>
      </c>
      <c r="L128" s="33">
        <f ca="1">IF(ISERROR(MATCH(L$1,INDIRECT("Table!A"&amp;$X128):INDIRECT("Table!" &amp; $AA$171 &amp; $X128),0)),"",INDIRECT(CONCATENATE("Table!",ADDRESS($T128,MATCH(L$1,INDIRECT("Table!A" &amp; $X128):INDIRECT("Table!" &amp; $AA$171 &amp; $X128),0)))))</f>
        <v>0.70223246977789944</v>
      </c>
      <c r="M128" s="33">
        <f ca="1">IF(ISERROR(MATCH(M$1,INDIRECT("Table!A"&amp;$X128):INDIRECT("Table!" &amp; $AA$171 &amp; $X128),0)),"",INDIRECT(CONCATENATE("Table!",ADDRESS($T128,MATCH(M$1,INDIRECT("Table!A" &amp; $X128):INDIRECT("Table!" &amp; $AA$171 &amp; $X128),0)))))</f>
        <v>0.54682179858341984</v>
      </c>
      <c r="N128" s="33">
        <f ca="1">IF(ISERROR(MATCH(N$1,INDIRECT("Table!A"&amp;$X128):INDIRECT("Table!" &amp; $AA$171 &amp; $X128),0)),"",INDIRECT(CONCATENATE("Table!",ADDRESS($T128,MATCH(N$1,INDIRECT("Table!A" &amp; $X128):INDIRECT("Table!" &amp; $AA$171 &amp; $X128),0)))))</f>
        <v>1.486172627456281E-2</v>
      </c>
      <c r="O128" s="33">
        <f ca="1">IF(ISERROR(MATCH(O$1,INDIRECT("Table!A"&amp;$X128):INDIRECT("Table!" &amp; $AA$171 &amp; $X128),0)),"",INDIRECT(CONCATENATE("Table!",ADDRESS($T128,MATCH(O$1,INDIRECT("Table!A" &amp; $X128):INDIRECT("Table!" &amp; $AA$171 &amp; $X128),0)))))</f>
        <v>0.44597119151055592</v>
      </c>
      <c r="P128" s="33">
        <f ca="1">IF(ISERROR(MATCH(P$1,INDIRECT("Table!A"&amp;$X128):INDIRECT("Table!" &amp; $AA$171 &amp; $X128),0)),"",INDIRECT(CONCATENATE("Table!",ADDRESS($T128,MATCH(P$1,INDIRECT("Table!A" &amp; $X128):INDIRECT("Table!" &amp; $AA$171 &amp; $X128),0)))))</f>
        <v>0.41773456419220339</v>
      </c>
      <c r="T128" s="31">
        <f>MATCH($A128,Table!$A:$A,0)+$V$2-1</f>
        <v>1691</v>
      </c>
      <c r="U128" s="161"/>
      <c r="V128" s="161"/>
      <c r="W128" s="161"/>
      <c r="X128" s="31">
        <f>MATCH($A128,Table!$A:$A,0)+$Z$2-1</f>
        <v>1688</v>
      </c>
      <c r="Y128" s="161"/>
      <c r="AA128" t="s">
        <v>209</v>
      </c>
    </row>
    <row r="129" spans="1:27" ht="15.75" customHeight="1">
      <c r="A129" s="5">
        <v>40983</v>
      </c>
      <c r="B129" s="33">
        <f ca="1">IF(ISERROR(MATCH(B$1,INDIRECT("Table!A"&amp;$X129):INDIRECT("Table!" &amp; $AA$171 &amp; $X129),0)),"",INDIRECT(CONCATENATE("Table!",ADDRESS($T129,MATCH(B$1,INDIRECT("Table!A" &amp; $X129):INDIRECT("Table!" &amp; $AA$171 &amp; $X129),0)))))</f>
        <v>0.80816168293373669</v>
      </c>
      <c r="C129" s="33">
        <f ca="1">IF(ISERROR(MATCH(C$1,INDIRECT("Table!A"&amp;$X129):INDIRECT("Table!" &amp; $AA$171 &amp; $X129),0)),"",INDIRECT(CONCATENATE("Table!",ADDRESS($T129,MATCH(C$1,INDIRECT("Table!A" &amp; $X129):INDIRECT("Table!" &amp; $AA$171 &amp; $X129),0)))))</f>
        <v>0.66203226913834534</v>
      </c>
      <c r="D129" s="33">
        <f ca="1">IF(ISERROR(MATCH(D$1,INDIRECT("Table!A"&amp;$X129):INDIRECT("Table!" &amp; $AA$171 &amp; $X129),0)),"",INDIRECT(CONCATENATE("Table!",ADDRESS($T129,MATCH(D$1,INDIRECT("Table!A" &amp; $X129):INDIRECT("Table!" &amp; $AA$171 &amp; $X129),0)))))</f>
        <v>0.67594252943195809</v>
      </c>
      <c r="E129" s="33">
        <f ca="1">IF(ISERROR(MATCH(E$1,INDIRECT("Table!A"&amp;$X129):INDIRECT("Table!" &amp; $AA$171 &amp; $X129),0)),"",INDIRECT(CONCATENATE("Table!",ADDRESS($T129,MATCH(E$1,INDIRECT("Table!A" &amp; $X129):INDIRECT("Table!" &amp; $AA$171 &amp; $X129),0)))))</f>
        <v>0.86329120645709434</v>
      </c>
      <c r="F129" s="33">
        <f ca="1">IF(ISERROR(MATCH(F$1,INDIRECT("Table!A"&amp;$X129):INDIRECT("Table!" &amp; $AA$171 &amp; $X129),0)),"",INDIRECT(CONCATENATE("Table!",ADDRESS($T129,MATCH(F$1,INDIRECT("Table!A" &amp; $X129):INDIRECT("Table!" &amp; $AA$171 &amp; $X129),0)))))</f>
        <v>1.3594952024118985E-2</v>
      </c>
      <c r="G129" s="33">
        <f ca="1">IF(ISERROR(MATCH(G$1,INDIRECT("Table!A"&amp;$X129):INDIRECT("Table!" &amp; $AA$171 &amp; $X129),0)),"",INDIRECT(CONCATENATE("Table!",ADDRESS($T129,MATCH(G$1,INDIRECT("Table!A" &amp; $X129):INDIRECT("Table!" &amp; $AA$171 &amp; $X129),0)))))</f>
        <v>0.28196933095549365</v>
      </c>
      <c r="H129" s="33">
        <f ca="1">IF(ISERROR(MATCH(H$1,INDIRECT("Table!A"&amp;$X129):INDIRECT("Table!" &amp; $AA$171 &amp; $X129),0)),"",INDIRECT(CONCATENATE("Table!",ADDRESS($T129,MATCH(H$1,INDIRECT("Table!A" &amp; $X129):INDIRECT("Table!" &amp; $AA$171 &amp; $X129),0)))))</f>
        <v>0.16448037530144613</v>
      </c>
      <c r="I129" s="33" t="str">
        <f ca="1">IF(ISERROR(MATCH(I$1,INDIRECT("Table!A"&amp;$X129):INDIRECT("Table!" &amp; $AA$171 &amp; $X129),0)),"",INDIRECT(CONCATENATE("Table!",ADDRESS($T129,MATCH(I$1,INDIRECT("Table!A" &amp; $X129):INDIRECT("Table!" &amp; $AA$171 &amp; $X129),0)))))</f>
        <v/>
      </c>
      <c r="J129" s="33" t="str">
        <f ca="1">IF(ISERROR(MATCH(J$1,INDIRECT("Table!A"&amp;$X129):INDIRECT("Table!" &amp; $AA$171 &amp; $X129),0)),"",INDIRECT(CONCATENATE("Table!",ADDRESS($T129,MATCH(J$1,INDIRECT("Table!A" &amp; $X129):INDIRECT("Table!" &amp; $AA$171 &amp; $X129),0)))))</f>
        <v/>
      </c>
      <c r="K129" s="33" t="str">
        <f ca="1">IF(ISERROR(MATCH(K$1,INDIRECT("Table!A"&amp;$X129):INDIRECT("Table!" &amp; $AA$171 &amp; $X129),0)),"",INDIRECT(CONCATENATE("Table!",ADDRESS($T129,MATCH(K$1,INDIRECT("Table!A" &amp; $X129):INDIRECT("Table!" &amp; $AA$171 &amp; $X129),0)))))</f>
        <v/>
      </c>
      <c r="L129" s="33">
        <f ca="1">IF(ISERROR(MATCH(L$1,INDIRECT("Table!A"&amp;$X129):INDIRECT("Table!" &amp; $AA$171 &amp; $X129),0)),"",INDIRECT(CONCATENATE("Table!",ADDRESS($T129,MATCH(L$1,INDIRECT("Table!A" &amp; $X129):INDIRECT("Table!" &amp; $AA$171 &amp; $X129),0)))))</f>
        <v>0.70586824638118573</v>
      </c>
      <c r="M129" s="33">
        <f ca="1">IF(ISERROR(MATCH(M$1,INDIRECT("Table!A"&amp;$X129):INDIRECT("Table!" &amp; $AA$171 &amp; $X129),0)),"",INDIRECT(CONCATENATE("Table!",ADDRESS($T129,MATCH(M$1,INDIRECT("Table!A" &amp; $X129):INDIRECT("Table!" &amp; $AA$171 &amp; $X129),0)))))</f>
        <v>0.54554177819049177</v>
      </c>
      <c r="N129" s="33">
        <f ca="1">IF(ISERROR(MATCH(N$1,INDIRECT("Table!A"&amp;$X129):INDIRECT("Table!" &amp; $AA$171 &amp; $X129),0)),"",INDIRECT(CONCATENATE("Table!",ADDRESS($T129,MATCH(N$1,INDIRECT("Table!A" &amp; $X129):INDIRECT("Table!" &amp; $AA$171 &amp; $X129),0)))))</f>
        <v>1.452216154379973E-2</v>
      </c>
      <c r="O129" s="33">
        <f ca="1">IF(ISERROR(MATCH(O$1,INDIRECT("Table!A"&amp;$X129):INDIRECT("Table!" &amp; $AA$171 &amp; $X129),0)),"",INDIRECT(CONCATENATE("Table!",ADDRESS($T129,MATCH(O$1,INDIRECT("Table!A" &amp; $X129):INDIRECT("Table!" &amp; $AA$171 &amp; $X129),0)))))</f>
        <v>0.44592699454394108</v>
      </c>
      <c r="P129" s="33">
        <f ca="1">IF(ISERROR(MATCH(P$1,INDIRECT("Table!A"&amp;$X129):INDIRECT("Table!" &amp; $AA$171 &amp; $X129),0)),"",INDIRECT(CONCATENATE("Table!",ADDRESS($T129,MATCH(P$1,INDIRECT("Table!A" &amp; $X129):INDIRECT("Table!" &amp; $AA$171 &amp; $X129),0)))))</f>
        <v>0.41773092259791339</v>
      </c>
      <c r="T129" s="31">
        <f>MATCH($A129,Table!$A:$A,0)+$V$2-1</f>
        <v>1704</v>
      </c>
      <c r="U129" s="160"/>
      <c r="V129" s="160"/>
      <c r="W129" s="160"/>
      <c r="X129" s="31">
        <f>MATCH($A129,Table!$A:$A,0)+$Z$2-1</f>
        <v>1701</v>
      </c>
      <c r="Y129" s="160"/>
      <c r="AA129" t="s">
        <v>209</v>
      </c>
    </row>
    <row r="130" spans="1:27" ht="15.75" customHeight="1">
      <c r="A130" s="5">
        <v>40982</v>
      </c>
      <c r="B130" s="33">
        <f ca="1">IF(ISERROR(MATCH(B$1,INDIRECT("Table!A"&amp;$X130):INDIRECT("Table!" &amp; $AA$171 &amp; $X130),0)),"",INDIRECT(CONCATENATE("Table!",ADDRESS($T130,MATCH(B$1,INDIRECT("Table!A" &amp; $X130):INDIRECT("Table!" &amp; $AA$171 &amp; $X130),0)))))</f>
        <v>0.82779009608277898</v>
      </c>
      <c r="C130" s="33">
        <f ca="1">IF(ISERROR(MATCH(C$1,INDIRECT("Table!A"&amp;$X130):INDIRECT("Table!" &amp; $AA$171 &amp; $X130),0)),"",INDIRECT(CONCATENATE("Table!",ADDRESS($T130,MATCH(C$1,INDIRECT("Table!A" &amp; $X130):INDIRECT("Table!" &amp; $AA$171 &amp; $X130),0)))))</f>
        <v>0.66173643504775748</v>
      </c>
      <c r="D130" s="33">
        <f ca="1">IF(ISERROR(MATCH(D$1,INDIRECT("Table!A"&amp;$X130):INDIRECT("Table!" &amp; $AA$171 &amp; $X130),0)),"",INDIRECT(CONCATENATE("Table!",ADDRESS($T130,MATCH(D$1,INDIRECT("Table!A" &amp; $X130):INDIRECT("Table!" &amp; $AA$171 &amp; $X130),0)))))</f>
        <v>0.67564669534137023</v>
      </c>
      <c r="E130" s="33">
        <f ca="1">IF(ISERROR(MATCH(E$1,INDIRECT("Table!A"&amp;$X130):INDIRECT("Table!" &amp; $AA$171 &amp; $X130),0)),"",INDIRECT(CONCATENATE("Table!",ADDRESS($T130,MATCH(E$1,INDIRECT("Table!A" &amp; $X130):INDIRECT("Table!" &amp; $AA$171 &amp; $X130),0)))))</f>
        <v>0.86249404231510451</v>
      </c>
      <c r="F130" s="33">
        <f ca="1">IF(ISERROR(MATCH(F$1,INDIRECT("Table!A"&amp;$X130):INDIRECT("Table!" &amp; $AA$171 &amp; $X130),0)),"",INDIRECT(CONCATENATE("Table!",ADDRESS($T130,MATCH(F$1,INDIRECT("Table!A" &amp; $X130):INDIRECT("Table!" &amp; $AA$171 &amp; $X130),0)))))</f>
        <v>1.312763842619989E-2</v>
      </c>
      <c r="G130" s="33">
        <f ca="1">IF(ISERROR(MATCH(G$1,INDIRECT("Table!A"&amp;$X130):INDIRECT("Table!" &amp; $AA$171 &amp; $X130),0)),"",INDIRECT(CONCATENATE("Table!",ADDRESS($T130,MATCH(G$1,INDIRECT("Table!A" &amp; $X130):INDIRECT("Table!" &amp; $AA$171 &amp; $X130),0)))))</f>
        <v>0.27949912738855243</v>
      </c>
      <c r="H130" s="33">
        <f ca="1">IF(ISERROR(MATCH(H$1,INDIRECT("Table!A"&amp;$X130):INDIRECT("Table!" &amp; $AA$171 &amp; $X130),0)),"",INDIRECT(CONCATENATE("Table!",ADDRESS($T130,MATCH(H$1,INDIRECT("Table!A" &amp; $X130):INDIRECT("Table!" &amp; $AA$171 &amp; $X130),0)))))</f>
        <v>0.16446059483169292</v>
      </c>
      <c r="I130" s="33" t="str">
        <f ca="1">IF(ISERROR(MATCH(I$1,INDIRECT("Table!A"&amp;$X130):INDIRECT("Table!" &amp; $AA$171 &amp; $X130),0)),"",INDIRECT(CONCATENATE("Table!",ADDRESS($T130,MATCH(I$1,INDIRECT("Table!A" &amp; $X130):INDIRECT("Table!" &amp; $AA$171 &amp; $X130),0)))))</f>
        <v/>
      </c>
      <c r="J130" s="33" t="str">
        <f ca="1">IF(ISERROR(MATCH(J$1,INDIRECT("Table!A"&amp;$X130):INDIRECT("Table!" &amp; $AA$171 &amp; $X130),0)),"",INDIRECT(CONCATENATE("Table!",ADDRESS($T130,MATCH(J$1,INDIRECT("Table!A" &amp; $X130):INDIRECT("Table!" &amp; $AA$171 &amp; $X130),0)))))</f>
        <v/>
      </c>
      <c r="K130" s="33" t="str">
        <f ca="1">IF(ISERROR(MATCH(K$1,INDIRECT("Table!A"&amp;$X130):INDIRECT("Table!" &amp; $AA$171 &amp; $X130),0)),"",INDIRECT(CONCATENATE("Table!",ADDRESS($T130,MATCH(K$1,INDIRECT("Table!A" &amp; $X130):INDIRECT("Table!" &amp; $AA$171 &amp; $X130),0)))))</f>
        <v/>
      </c>
      <c r="L130" s="33">
        <f ca="1">IF(ISERROR(MATCH(L$1,INDIRECT("Table!A"&amp;$X130):INDIRECT("Table!" &amp; $AA$171 &amp; $X130),0)),"",INDIRECT(CONCATENATE("Table!",ADDRESS($T130,MATCH(L$1,INDIRECT("Table!A" &amp; $X130):INDIRECT("Table!" &amp; $AA$171 &amp; $X130),0)))))</f>
        <v>0.70546349132818142</v>
      </c>
      <c r="M130" s="33">
        <f ca="1">IF(ISERROR(MATCH(M$1,INDIRECT("Table!A"&amp;$X130):INDIRECT("Table!" &amp; $AA$171 &amp; $X130),0)),"",INDIRECT(CONCATENATE("Table!",ADDRESS($T130,MATCH(M$1,INDIRECT("Table!A" &amp; $X130):INDIRECT("Table!" &amp; $AA$171 &amp; $X130),0)))))</f>
        <v>0.54402505416871505</v>
      </c>
      <c r="N130" s="33">
        <f ca="1">IF(ISERROR(MATCH(N$1,INDIRECT("Table!A"&amp;$X130):INDIRECT("Table!" &amp; $AA$171 &amp; $X130),0)),"",INDIRECT(CONCATENATE("Table!",ADDRESS($T130,MATCH(N$1,INDIRECT("Table!A" &amp; $X130):INDIRECT("Table!" &amp; $AA$171 &amp; $X130),0)))))</f>
        <v>1.397490188062816E-2</v>
      </c>
      <c r="O130" s="33">
        <f ca="1">IF(ISERROR(MATCH(O$1,INDIRECT("Table!A"&amp;$X130):INDIRECT("Table!" &amp; $AA$171 &amp; $X130),0)),"",INDIRECT(CONCATENATE("Table!",ADDRESS($T130,MATCH(O$1,INDIRECT("Table!A" &amp; $X130):INDIRECT("Table!" &amp; $AA$171 &amp; $X130),0)))))</f>
        <v>0.44589469676064564</v>
      </c>
      <c r="P130" s="33">
        <f ca="1">IF(ISERROR(MATCH(P$1,INDIRECT("Table!A"&amp;$X130):INDIRECT("Table!" &amp; $AA$171 &amp; $X130),0)),"",INDIRECT(CONCATENATE("Table!",ADDRESS($T130,MATCH(P$1,INDIRECT("Table!A" &amp; $X130):INDIRECT("Table!" &amp; $AA$171 &amp; $X130),0)))))</f>
        <v>0.41772363940933338</v>
      </c>
      <c r="T130" s="31">
        <f>MATCH($A130,Table!$A:$A,0)+$V$2-1</f>
        <v>1717</v>
      </c>
      <c r="U130" s="159"/>
      <c r="V130" s="159"/>
      <c r="W130" s="159"/>
      <c r="X130" s="31">
        <f>MATCH($A130,Table!$A:$A,0)+$Z$2-1</f>
        <v>1714</v>
      </c>
      <c r="Y130" s="159"/>
      <c r="AA130" t="s">
        <v>209</v>
      </c>
    </row>
    <row r="131" spans="1:27" ht="15.75" customHeight="1">
      <c r="A131" s="5">
        <v>40981</v>
      </c>
      <c r="B131" s="33">
        <f ca="1">IF(ISERROR(MATCH(B$1,INDIRECT("Table!A"&amp;$X131):INDIRECT("Table!" &amp; $AA$171 &amp; $X131),0)),"",INDIRECT(CONCATENATE("Table!",ADDRESS($T131,MATCH(B$1,INDIRECT("Table!A" &amp; $X131):INDIRECT("Table!" &amp; $AA$171 &amp; $X131),0)))))</f>
        <v>0.82623419054921221</v>
      </c>
      <c r="C131" s="33">
        <f ca="1">IF(ISERROR(MATCH(C$1,INDIRECT("Table!A"&amp;$X131):INDIRECT("Table!" &amp; $AA$171 &amp; $X131),0)),"",INDIRECT(CONCATENATE("Table!",ADDRESS($T131,MATCH(C$1,INDIRECT("Table!A" &amp; $X131):INDIRECT("Table!" &amp; $AA$171 &amp; $X131),0)))))</f>
        <v>0.66170109650451325</v>
      </c>
      <c r="D131" s="33">
        <f ca="1">IF(ISERROR(MATCH(D$1,INDIRECT("Table!A"&amp;$X131):INDIRECT("Table!" &amp; $AA$171 &amp; $X131),0)),"",INDIRECT(CONCATENATE("Table!",ADDRESS($T131,MATCH(D$1,INDIRECT("Table!A" &amp; $X131):INDIRECT("Table!" &amp; $AA$171 &amp; $X131),0)))))</f>
        <v>0.67561135679812601</v>
      </c>
      <c r="E131" s="33">
        <f ca="1">IF(ISERROR(MATCH(E$1,INDIRECT("Table!A"&amp;$X131):INDIRECT("Table!" &amp; $AA$171 &amp; $X131),0)),"",INDIRECT(CONCATENATE("Table!",ADDRESS($T131,MATCH(E$1,INDIRECT("Table!A" &amp; $X131):INDIRECT("Table!" &amp; $AA$171 &amp; $X131),0)))))</f>
        <v>0.86206340530907433</v>
      </c>
      <c r="F131" s="33">
        <f ca="1">IF(ISERROR(MATCH(F$1,INDIRECT("Table!A"&amp;$X131):INDIRECT("Table!" &amp; $AA$171 &amp; $X131),0)),"",INDIRECT(CONCATENATE("Table!",ADDRESS($T131,MATCH(F$1,INDIRECT("Table!A" &amp; $X131):INDIRECT("Table!" &amp; $AA$171 &amp; $X131),0)))))</f>
        <v>1.312763842619989E-2</v>
      </c>
      <c r="G131" s="33">
        <f ca="1">IF(ISERROR(MATCH(G$1,INDIRECT("Table!A"&amp;$X131):INDIRECT("Table!" &amp; $AA$171 &amp; $X131),0)),"",INDIRECT(CONCATENATE("Table!",ADDRESS($T131,MATCH(G$1,INDIRECT("Table!A" &amp; $X131):INDIRECT("Table!" &amp; $AA$171 &amp; $X131),0)))))</f>
        <v>0.27725150560678974</v>
      </c>
      <c r="H131" s="33">
        <f ca="1">IF(ISERROR(MATCH(H$1,INDIRECT("Table!A"&amp;$X131):INDIRECT("Table!" &amp; $AA$171 &amp; $X131),0)),"",INDIRECT(CONCATENATE("Table!",ADDRESS($T131,MATCH(H$1,INDIRECT("Table!A" &amp; $X131):INDIRECT("Table!" &amp; $AA$171 &amp; $X131),0)))))</f>
        <v>0.16439960504995393</v>
      </c>
      <c r="I131" s="33" t="str">
        <f ca="1">IF(ISERROR(MATCH(I$1,INDIRECT("Table!A"&amp;$X131):INDIRECT("Table!" &amp; $AA$171 &amp; $X131),0)),"",INDIRECT(CONCATENATE("Table!",ADDRESS($T131,MATCH(I$1,INDIRECT("Table!A" &amp; $X131):INDIRECT("Table!" &amp; $AA$171 &amp; $X131),0)))))</f>
        <v/>
      </c>
      <c r="J131" s="33" t="str">
        <f ca="1">IF(ISERROR(MATCH(J$1,INDIRECT("Table!A"&amp;$X131):INDIRECT("Table!" &amp; $AA$171 &amp; $X131),0)),"",INDIRECT(CONCATENATE("Table!",ADDRESS($T131,MATCH(J$1,INDIRECT("Table!A" &amp; $X131):INDIRECT("Table!" &amp; $AA$171 &amp; $X131),0)))))</f>
        <v/>
      </c>
      <c r="K131" s="33" t="str">
        <f ca="1">IF(ISERROR(MATCH(K$1,INDIRECT("Table!A"&amp;$X131):INDIRECT("Table!" &amp; $AA$171 &amp; $X131),0)),"",INDIRECT(CONCATENATE("Table!",ADDRESS($T131,MATCH(K$1,INDIRECT("Table!A" &amp; $X131):INDIRECT("Table!" &amp; $AA$171 &amp; $X131),0)))))</f>
        <v/>
      </c>
      <c r="L131" s="33">
        <f ca="1">IF(ISERROR(MATCH(L$1,INDIRECT("Table!A"&amp;$X131):INDIRECT("Table!" &amp; $AA$171 &amp; $X131),0)),"",INDIRECT(CONCATENATE("Table!",ADDRESS($T131,MATCH(L$1,INDIRECT("Table!A" &amp; $X131):INDIRECT("Table!" &amp; $AA$171 &amp; $X131),0)))))</f>
        <v>0.70524883077261413</v>
      </c>
      <c r="M131" s="33">
        <f ca="1">IF(ISERROR(MATCH(M$1,INDIRECT("Table!A"&amp;$X131):INDIRECT("Table!" &amp; $AA$171 &amp; $X131),0)),"",INDIRECT(CONCATENATE("Table!",ADDRESS($T131,MATCH(M$1,INDIRECT("Table!A" &amp; $X131):INDIRECT("Table!" &amp; $AA$171 &amp; $X131),0)))))</f>
        <v>0.54396860945722036</v>
      </c>
      <c r="N131" s="33">
        <f ca="1">IF(ISERROR(MATCH(N$1,INDIRECT("Table!A"&amp;$X131):INDIRECT("Table!" &amp; $AA$171 &amp; $X131),0)),"",INDIRECT(CONCATENATE("Table!",ADDRESS($T131,MATCH(N$1,INDIRECT("Table!A" &amp; $X131):INDIRECT("Table!" &amp; $AA$171 &amp; $X131),0)))))</f>
        <v>1.3950176293436674E-2</v>
      </c>
      <c r="O131" s="33">
        <f ca="1">IF(ISERROR(MATCH(O$1,INDIRECT("Table!A"&amp;$X131):INDIRECT("Table!" &amp; $AA$171 &amp; $X131),0)),"",INDIRECT(CONCATENATE("Table!",ADDRESS($T131,MATCH(O$1,INDIRECT("Table!A" &amp; $X131):INDIRECT("Table!" &amp; $AA$171 &amp; $X131),0)))))</f>
        <v>0.44581083584963277</v>
      </c>
      <c r="P131" s="33">
        <f ca="1">IF(ISERROR(MATCH(P$1,INDIRECT("Table!A"&amp;$X131):INDIRECT("Table!" &amp; $AA$171 &amp; $X131),0)),"",INDIRECT(CONCATENATE("Table!",ADDRESS($T131,MATCH(P$1,INDIRECT("Table!A" &amp; $X131):INDIRECT("Table!" &amp; $AA$171 &amp; $X131),0)))))</f>
        <v>0.41772181861218843</v>
      </c>
      <c r="T131" s="31">
        <f>MATCH($A131,Table!$A:$A,0)+$V$2-1</f>
        <v>1730</v>
      </c>
      <c r="U131" s="158"/>
      <c r="V131" s="158"/>
      <c r="W131" s="158"/>
      <c r="X131" s="31">
        <f>MATCH($A131,Table!$A:$A,0)+$Z$2-1</f>
        <v>1727</v>
      </c>
      <c r="Y131" s="158"/>
      <c r="AA131" t="s">
        <v>209</v>
      </c>
    </row>
    <row r="132" spans="1:27" ht="15.75" customHeight="1">
      <c r="A132" s="5">
        <v>40980</v>
      </c>
      <c r="B132" s="33">
        <f ca="1">IF(ISERROR(MATCH(B$1,INDIRECT("Table!A"&amp;$X132):INDIRECT("Table!" &amp; $AA$171 &amp; $X132),0)),"",INDIRECT(CONCATENATE("Table!",ADDRESS($T132,MATCH(B$1,INDIRECT("Table!A" &amp; $X132):INDIRECT("Table!" &amp; $AA$171 &amp; $X132),0)))))</f>
        <v>0.82381916958506884</v>
      </c>
      <c r="C132" s="33">
        <f ca="1">IF(ISERROR(MATCH(C$1,INDIRECT("Table!A"&amp;$X132):INDIRECT("Table!" &amp; $AA$171 &amp; $X132),0)),"",INDIRECT(CONCATENATE("Table!",ADDRESS($T132,MATCH(C$1,INDIRECT("Table!A" &amp; $X132):INDIRECT("Table!" &amp; $AA$171 &amp; $X132),0)))))</f>
        <v>0.66112154439530713</v>
      </c>
      <c r="D132" s="33">
        <f ca="1">IF(ISERROR(MATCH(D$1,INDIRECT("Table!A"&amp;$X132):INDIRECT("Table!" &amp; $AA$171 &amp; $X132),0)),"",INDIRECT(CONCATENATE("Table!",ADDRESS($T132,MATCH(D$1,INDIRECT("Table!A" &amp; $X132):INDIRECT("Table!" &amp; $AA$171 &amp; $X132),0)))))</f>
        <v>0.67503180468891988</v>
      </c>
      <c r="E132" s="33">
        <f ca="1">IF(ISERROR(MATCH(E$1,INDIRECT("Table!A"&amp;$X132):INDIRECT("Table!" &amp; $AA$171 &amp; $X132),0)),"",INDIRECT(CONCATENATE("Table!",ADDRESS($T132,MATCH(E$1,INDIRECT("Table!A" &amp; $X132):INDIRECT("Table!" &amp; $AA$171 &amp; $X132),0)))))</f>
        <v>0.86052412085293339</v>
      </c>
      <c r="F132" s="33">
        <f ca="1">IF(ISERROR(MATCH(F$1,INDIRECT("Table!A"&amp;$X132):INDIRECT("Table!" &amp; $AA$171 &amp; $X132),0)),"",INDIRECT(CONCATENATE("Table!",ADDRESS($T132,MATCH(F$1,INDIRECT("Table!A" &amp; $X132):INDIRECT("Table!" &amp; $AA$171 &amp; $X132),0)))))</f>
        <v>1.312763842619989E-2</v>
      </c>
      <c r="G132" s="33">
        <f ca="1">IF(ISERROR(MATCH(G$1,INDIRECT("Table!A"&amp;$X132):INDIRECT("Table!" &amp; $AA$171 &amp; $X132),0)),"",INDIRECT(CONCATENATE("Table!",ADDRESS($T132,MATCH(G$1,INDIRECT("Table!A" &amp; $X132):INDIRECT("Table!" &amp; $AA$171 &amp; $X132),0)))))</f>
        <v>0.27458234117881131</v>
      </c>
      <c r="H132" s="33">
        <f ca="1">IF(ISERROR(MATCH(H$1,INDIRECT("Table!A"&amp;$X132):INDIRECT("Table!" &amp; $AA$171 &amp; $X132),0)),"",INDIRECT(CONCATENATE("Table!",ADDRESS($T132,MATCH(H$1,INDIRECT("Table!A" &amp; $X132):INDIRECT("Table!" &amp; $AA$171 &amp; $X132),0)))))</f>
        <v>0.16426691106535959</v>
      </c>
      <c r="I132" s="33" t="str">
        <f ca="1">IF(ISERROR(MATCH(I$1,INDIRECT("Table!A"&amp;$X132):INDIRECT("Table!" &amp; $AA$171 &amp; $X132),0)),"",INDIRECT(CONCATENATE("Table!",ADDRESS($T132,MATCH(I$1,INDIRECT("Table!A" &amp; $X132):INDIRECT("Table!" &amp; $AA$171 &amp; $X132),0)))))</f>
        <v/>
      </c>
      <c r="J132" s="33" t="str">
        <f ca="1">IF(ISERROR(MATCH(J$1,INDIRECT("Table!A"&amp;$X132):INDIRECT("Table!" &amp; $AA$171 &amp; $X132),0)),"",INDIRECT(CONCATENATE("Table!",ADDRESS($T132,MATCH(J$1,INDIRECT("Table!A" &amp; $X132):INDIRECT("Table!" &amp; $AA$171 &amp; $X132),0)))))</f>
        <v/>
      </c>
      <c r="K132" s="33" t="str">
        <f ca="1">IF(ISERROR(MATCH(K$1,INDIRECT("Table!A"&amp;$X132):INDIRECT("Table!" &amp; $AA$171 &amp; $X132),0)),"",INDIRECT(CONCATENATE("Table!",ADDRESS($T132,MATCH(K$1,INDIRECT("Table!A" &amp; $X132):INDIRECT("Table!" &amp; $AA$171 &amp; $X132),0)))))</f>
        <v/>
      </c>
      <c r="L132" s="33">
        <f ca="1">IF(ISERROR(MATCH(L$1,INDIRECT("Table!A"&amp;$X132):INDIRECT("Table!" &amp; $AA$171 &amp; $X132),0)),"",INDIRECT(CONCATENATE("Table!",ADDRESS($T132,MATCH(L$1,INDIRECT("Table!A" &amp; $X132):INDIRECT("Table!" &amp; $AA$171 &amp; $X132),0)))))</f>
        <v>0.70474522658094285</v>
      </c>
      <c r="M132" s="33">
        <f ca="1">IF(ISERROR(MATCH(M$1,INDIRECT("Table!A"&amp;$X132):INDIRECT("Table!" &amp; $AA$171 &amp; $X132),0)),"",INDIRECT(CONCATENATE("Table!",ADDRESS($T132,MATCH(M$1,INDIRECT("Table!A" &amp; $X132):INDIRECT("Table!" &amp; $AA$171 &amp; $X132),0)))))</f>
        <v>0.53955863877205434</v>
      </c>
      <c r="N132" s="33">
        <f ca="1">IF(ISERROR(MATCH(N$1,INDIRECT("Table!A"&amp;$X132):INDIRECT("Table!" &amp; $AA$171 &amp; $X132),0)),"",INDIRECT(CONCATENATE("Table!",ADDRESS($T132,MATCH(N$1,INDIRECT("Table!A" &amp; $X132):INDIRECT("Table!" &amp; $AA$171 &amp; $X132),0)))))</f>
        <v>1.3932044196162919E-2</v>
      </c>
      <c r="O132" s="33">
        <f ca="1">IF(ISERROR(MATCH(O$1,INDIRECT("Table!A"&amp;$X132):INDIRECT("Table!" &amp; $AA$171 &amp; $X132),0)),"",INDIRECT(CONCATENATE("Table!",ADDRESS($T132,MATCH(O$1,INDIRECT("Table!A" &amp; $X132):INDIRECT("Table!" &amp; $AA$171 &amp; $X132),0)))))</f>
        <v>0.44562441531096247</v>
      </c>
      <c r="P132" s="33">
        <f ca="1">IF(ISERROR(MATCH(P$1,INDIRECT("Table!A"&amp;$X132):INDIRECT("Table!" &amp; $AA$171 &amp; $X132),0)),"",INDIRECT(CONCATENATE("Table!",ADDRESS($T132,MATCH(P$1,INDIRECT("Table!A" &amp; $X132):INDIRECT("Table!" &amp; $AA$171 &amp; $X132),0)))))</f>
        <v>0.41771635622075348</v>
      </c>
      <c r="T132" s="31">
        <f>MATCH($A132,Table!$A:$A,0)+$V$2-1</f>
        <v>1743</v>
      </c>
      <c r="U132" s="157"/>
      <c r="V132" s="157"/>
      <c r="W132" s="157"/>
      <c r="X132" s="31">
        <f>MATCH($A132,Table!$A:$A,0)+$Z$2-1</f>
        <v>1740</v>
      </c>
      <c r="Y132" s="157"/>
      <c r="AA132" t="s">
        <v>209</v>
      </c>
    </row>
    <row r="133" spans="1:27" ht="15.75" customHeight="1">
      <c r="A133" s="5">
        <v>40977</v>
      </c>
      <c r="B133" s="33">
        <f ca="1">IF(ISERROR(MATCH(B$1,INDIRECT("Table!A"&amp;$X133):INDIRECT("Table!" &amp; $AA$171 &amp; $X133),0)),"",INDIRECT(CONCATENATE("Table!",ADDRESS($T133,MATCH(B$1,INDIRECT("Table!A" &amp; $X133):INDIRECT("Table!" &amp; $AA$171 &amp; $X133),0)))))</f>
        <v>0.82000366095419663</v>
      </c>
      <c r="C133" s="33">
        <f ca="1">IF(ISERROR(MATCH(C$1,INDIRECT("Table!A"&amp;$X133):INDIRECT("Table!" &amp; $AA$171 &amp; $X133),0)),"",INDIRECT(CONCATENATE("Table!",ADDRESS($T133,MATCH(C$1,INDIRECT("Table!A" &amp; $X133):INDIRECT("Table!" &amp; $AA$171 &amp; $X133),0)))))</f>
        <v>0.66031481593667329</v>
      </c>
      <c r="D133" s="33">
        <f ca="1">IF(ISERROR(MATCH(D$1,INDIRECT("Table!A"&amp;$X133):INDIRECT("Table!" &amp; $AA$171 &amp; $X133),0)),"",INDIRECT(CONCATENATE("Table!",ADDRESS($T133,MATCH(D$1,INDIRECT("Table!A" &amp; $X133):INDIRECT("Table!" &amp; $AA$171 &amp; $X133),0)))))</f>
        <v>0.67422507623028616</v>
      </c>
      <c r="E133" s="33">
        <f ca="1">IF(ISERROR(MATCH(E$1,INDIRECT("Table!A"&amp;$X133):INDIRECT("Table!" &amp; $AA$171 &amp; $X133),0)),"",INDIRECT(CONCATENATE("Table!",ADDRESS($T133,MATCH(E$1,INDIRECT("Table!A" &amp; $X133):INDIRECT("Table!" &amp; $AA$171 &amp; $X133),0)))))</f>
        <v>0.85933387902273239</v>
      </c>
      <c r="F133" s="33">
        <f ca="1">IF(ISERROR(MATCH(F$1,INDIRECT("Table!A"&amp;$X133):INDIRECT("Table!" &amp; $AA$171 &amp; $X133),0)),"",INDIRECT(CONCATENATE("Table!",ADDRESS($T133,MATCH(F$1,INDIRECT("Table!A" &amp; $X133):INDIRECT("Table!" &amp; $AA$171 &amp; $X133),0)))))</f>
        <v>1.2905108141476513E-2</v>
      </c>
      <c r="G133" s="33">
        <f ca="1">IF(ISERROR(MATCH(G$1,INDIRECT("Table!A"&amp;$X133):INDIRECT("Table!" &amp; $AA$171 &amp; $X133),0)),"",INDIRECT(CONCATENATE("Table!",ADDRESS($T133,MATCH(G$1,INDIRECT("Table!A" &amp; $X133):INDIRECT("Table!" &amp; $AA$171 &amp; $X133),0)))))</f>
        <v>0.27240649066655526</v>
      </c>
      <c r="H133" s="33">
        <f ca="1">IF(ISERROR(MATCH(H$1,INDIRECT("Table!A"&amp;$X133):INDIRECT("Table!" &amp; $AA$171 &amp; $X133),0)),"",INDIRECT(CONCATENATE("Table!",ADDRESS($T133,MATCH(H$1,INDIRECT("Table!A" &amp; $X133):INDIRECT("Table!" &amp; $AA$171 &amp; $X133),0)))))</f>
        <v>0.16306195078289448</v>
      </c>
      <c r="I133" s="33" t="str">
        <f ca="1">IF(ISERROR(MATCH(I$1,INDIRECT("Table!A"&amp;$X133):INDIRECT("Table!" &amp; $AA$171 &amp; $X133),0)),"",INDIRECT(CONCATENATE("Table!",ADDRESS($T133,MATCH(I$1,INDIRECT("Table!A" &amp; $X133):INDIRECT("Table!" &amp; $AA$171 &amp; $X133),0)))))</f>
        <v/>
      </c>
      <c r="J133" s="33" t="str">
        <f ca="1">IF(ISERROR(MATCH(J$1,INDIRECT("Table!A"&amp;$X133):INDIRECT("Table!" &amp; $AA$171 &amp; $X133),0)),"",INDIRECT(CONCATENATE("Table!",ADDRESS($T133,MATCH(J$1,INDIRECT("Table!A" &amp; $X133):INDIRECT("Table!" &amp; $AA$171 &amp; $X133),0)))))</f>
        <v/>
      </c>
      <c r="K133" s="33" t="str">
        <f ca="1">IF(ISERROR(MATCH(K$1,INDIRECT("Table!A"&amp;$X133):INDIRECT("Table!" &amp; $AA$171 &amp; $X133),0)),"",INDIRECT(CONCATENATE("Table!",ADDRESS($T133,MATCH(K$1,INDIRECT("Table!A" &amp; $X133):INDIRECT("Table!" &amp; $AA$171 &amp; $X133),0)))))</f>
        <v/>
      </c>
      <c r="L133" s="33">
        <f ca="1">IF(ISERROR(MATCH(L$1,INDIRECT("Table!A"&amp;$X133):INDIRECT("Table!" &amp; $AA$171 &amp; $X133),0)),"",INDIRECT(CONCATENATE("Table!",ADDRESS($T133,MATCH(L$1,INDIRECT("Table!A" &amp; $X133):INDIRECT("Table!" &amp; $AA$171 &amp; $X133),0)))))</f>
        <v>0.70271443244217024</v>
      </c>
      <c r="M133" s="33">
        <f ca="1">IF(ISERROR(MATCH(M$1,INDIRECT("Table!A"&amp;$X133):INDIRECT("Table!" &amp; $AA$171 &amp; $X133),0)),"",INDIRECT(CONCATENATE("Table!",ADDRESS($T133,MATCH(M$1,INDIRECT("Table!A" &amp; $X133):INDIRECT("Table!" &amp; $AA$171 &amp; $X133),0)))))</f>
        <v>0.53894320933704776</v>
      </c>
      <c r="N133" s="33">
        <f ca="1">IF(ISERROR(MATCH(N$1,INDIRECT("Table!A"&amp;$X133):INDIRECT("Table!" &amp; $AA$171 &amp; $X133),0)),"",INDIRECT(CONCATENATE("Table!",ADDRESS($T133,MATCH(N$1,INDIRECT("Table!A" &amp; $X133):INDIRECT("Table!" &amp; $AA$171 &amp; $X133),0)))))</f>
        <v>1.3663359482015431E-2</v>
      </c>
      <c r="O133" s="33">
        <f ca="1">IF(ISERROR(MATCH(O$1,INDIRECT("Table!A"&amp;$X133):INDIRECT("Table!" &amp; $AA$171 &amp; $X133),0)),"",INDIRECT(CONCATENATE("Table!",ADDRESS($T133,MATCH(O$1,INDIRECT("Table!A" &amp; $X133):INDIRECT("Table!" &amp; $AA$171 &amp; $X133),0)))))</f>
        <v>0.44474614225643644</v>
      </c>
      <c r="P133" s="33">
        <f ca="1">IF(ISERROR(MATCH(P$1,INDIRECT("Table!A"&amp;$X133):INDIRECT("Table!" &amp; $AA$171 &amp; $X133),0)),"",INDIRECT(CONCATENATE("Table!",ADDRESS($T133,MATCH(P$1,INDIRECT("Table!A" &amp; $X133):INDIRECT("Table!" &amp; $AA$171 &amp; $X133),0)))))</f>
        <v>0.41770725223502853</v>
      </c>
      <c r="T133" s="31">
        <f>MATCH($A133,Table!$A:$A,0)+$V$2-1</f>
        <v>1756</v>
      </c>
      <c r="U133" s="156"/>
      <c r="V133" s="156"/>
      <c r="W133" s="156"/>
      <c r="X133" s="31">
        <f>MATCH($A133,Table!$A:$A,0)+$Z$2-1</f>
        <v>1753</v>
      </c>
      <c r="Y133" s="156"/>
      <c r="AA133" t="s">
        <v>209</v>
      </c>
    </row>
    <row r="134" spans="1:27" ht="15.75" customHeight="1">
      <c r="A134" s="5">
        <v>40976</v>
      </c>
      <c r="B134" s="33">
        <f ca="1">IF(ISERROR(MATCH(B$1,INDIRECT("Table!A"&amp;$X134):INDIRECT("Table!" &amp; $AA$171 &amp; $X134),0)),"",INDIRECT(CONCATENATE("Table!",ADDRESS($T134,MATCH(B$1,INDIRECT("Table!A" &amp; $X134):INDIRECT("Table!" &amp; $AA$171 &amp; $X134),0)))))</f>
        <v>0.81775441904801371</v>
      </c>
      <c r="C134" s="33">
        <f ca="1">IF(ISERROR(MATCH(C$1,INDIRECT("Table!A"&amp;$X134):INDIRECT("Table!" &amp; $AA$171 &amp; $X134),0)),"",INDIRECT(CONCATENATE("Table!",ADDRESS($T134,MATCH(C$1,INDIRECT("Table!A" &amp; $X134):INDIRECT("Table!" &amp; $AA$171 &amp; $X134),0)))))</f>
        <v>0.6604410250196886</v>
      </c>
      <c r="D134" s="33">
        <f ca="1">IF(ISERROR(MATCH(D$1,INDIRECT("Table!A"&amp;$X134):INDIRECT("Table!" &amp; $AA$171 &amp; $X134),0)),"",INDIRECT(CONCATENATE("Table!",ADDRESS($T134,MATCH(D$1,INDIRECT("Table!A" &amp; $X134):INDIRECT("Table!" &amp; $AA$171 &amp; $X134),0)))))</f>
        <v>0.67435027564063732</v>
      </c>
      <c r="E134" s="33">
        <f ca="1">IF(ISERROR(MATCH(E$1,INDIRECT("Table!A"&amp;$X134):INDIRECT("Table!" &amp; $AA$171 &amp; $X134),0)),"",INDIRECT(CONCATENATE("Table!",ADDRESS($T134,MATCH(E$1,INDIRECT("Table!A" &amp; $X134):INDIRECT("Table!" &amp; $AA$171 &amp; $X134),0)))))</f>
        <v>0.85852959156184605</v>
      </c>
      <c r="F134" s="33">
        <f ca="1">IF(ISERROR(MATCH(F$1,INDIRECT("Table!A"&amp;$X134):INDIRECT("Table!" &amp; $AA$171 &amp; $X134),0)),"",INDIRECT(CONCATENATE("Table!",ADDRESS($T134,MATCH(F$1,INDIRECT("Table!A" &amp; $X134):INDIRECT("Table!" &amp; $AA$171 &amp; $X134),0)))))</f>
        <v>1.2905108141476513E-2</v>
      </c>
      <c r="G134" s="33">
        <f ca="1">IF(ISERROR(MATCH(G$1,INDIRECT("Table!A"&amp;$X134):INDIRECT("Table!" &amp; $AA$171 &amp; $X134),0)),"",INDIRECT(CONCATENATE("Table!",ADDRESS($T134,MATCH(G$1,INDIRECT("Table!A" &amp; $X134):INDIRECT("Table!" &amp; $AA$171 &amp; $X134),0)))))</f>
        <v>0.26970734583485889</v>
      </c>
      <c r="H134" s="33">
        <f ca="1">IF(ISERROR(MATCH(H$1,INDIRECT("Table!A"&amp;$X134):INDIRECT("Table!" &amp; $AA$171 &amp; $X134),0)),"",INDIRECT(CONCATENATE("Table!",ADDRESS($T134,MATCH(H$1,INDIRECT("Table!A" &amp; $X134):INDIRECT("Table!" &amp; $AA$171 &amp; $X134),0)))))</f>
        <v>0.16304464287186046</v>
      </c>
      <c r="I134" s="33" t="str">
        <f ca="1">IF(ISERROR(MATCH(I$1,INDIRECT("Table!A"&amp;$X134):INDIRECT("Table!" &amp; $AA$171 &amp; $X134),0)),"",INDIRECT(CONCATENATE("Table!",ADDRESS($T134,MATCH(I$1,INDIRECT("Table!A" &amp; $X134):INDIRECT("Table!" &amp; $AA$171 &amp; $X134),0)))))</f>
        <v/>
      </c>
      <c r="J134" s="33" t="str">
        <f ca="1">IF(ISERROR(MATCH(J$1,INDIRECT("Table!A"&amp;$X134):INDIRECT("Table!" &amp; $AA$171 &amp; $X134),0)),"",INDIRECT(CONCATENATE("Table!",ADDRESS($T134,MATCH(J$1,INDIRECT("Table!A" &amp; $X134):INDIRECT("Table!" &amp; $AA$171 &amp; $X134),0)))))</f>
        <v/>
      </c>
      <c r="K134" s="33" t="str">
        <f ca="1">IF(ISERROR(MATCH(K$1,INDIRECT("Table!A"&amp;$X134):INDIRECT("Table!" &amp; $AA$171 &amp; $X134),0)),"",INDIRECT(CONCATENATE("Table!",ADDRESS($T134,MATCH(K$1,INDIRECT("Table!A" &amp; $X134):INDIRECT("Table!" &amp; $AA$171 &amp; $X134),0)))))</f>
        <v/>
      </c>
      <c r="L134" s="33">
        <f ca="1">IF(ISERROR(MATCH(L$1,INDIRECT("Table!A"&amp;$X134):INDIRECT("Table!" &amp; $AA$171 &amp; $X134),0)),"",INDIRECT(CONCATENATE("Table!",ADDRESS($T134,MATCH(L$1,INDIRECT("Table!A" &amp; $X134):INDIRECT("Table!" &amp; $AA$171 &amp; $X134),0)))))</f>
        <v>0.69829195707256808</v>
      </c>
      <c r="M134" s="33">
        <f ca="1">IF(ISERROR(MATCH(M$1,INDIRECT("Table!A"&amp;$X134):INDIRECT("Table!" &amp; $AA$171 &amp; $X134),0)),"",INDIRECT(CONCATENATE("Table!",ADDRESS($T134,MATCH(M$1,INDIRECT("Table!A" &amp; $X134):INDIRECT("Table!" &amp; $AA$171 &amp; $X134),0)))))</f>
        <v>0.53871378889677901</v>
      </c>
      <c r="N134" s="33">
        <f ca="1">IF(ISERROR(MATCH(N$1,INDIRECT("Table!A"&amp;$X134):INDIRECT("Table!" &amp; $AA$171 &amp; $X134),0)),"",INDIRECT(CONCATENATE("Table!",ADDRESS($T134,MATCH(N$1,INDIRECT("Table!A" &amp; $X134):INDIRECT("Table!" &amp; $AA$171 &amp; $X134),0)))))</f>
        <v>1.3620501797550187E-2</v>
      </c>
      <c r="O134" s="33">
        <f ca="1">IF(ISERROR(MATCH(O$1,INDIRECT("Table!A"&amp;$X134):INDIRECT("Table!" &amp; $AA$171 &amp; $X134),0)),"",INDIRECT(CONCATENATE("Table!",ADDRESS($T134,MATCH(O$1,INDIRECT("Table!A" &amp; $X134):INDIRECT("Table!" &amp; $AA$171 &amp; $X134),0)))))</f>
        <v>0.4447223438897977</v>
      </c>
      <c r="P134" s="33">
        <f ca="1">IF(ISERROR(MATCH(P$1,INDIRECT("Table!A"&amp;$X134):INDIRECT("Table!" &amp; $AA$171 &amp; $X134),0)),"",INDIRECT(CONCATENATE("Table!",ADDRESS($T134,MATCH(P$1,INDIRECT("Table!A" &amp; $X134):INDIRECT("Table!" &amp; $AA$171 &amp; $X134),0)))))</f>
        <v>0.41770725223502853</v>
      </c>
      <c r="T134" s="31">
        <f>MATCH($A134,Table!$A:$A,0)+$V$2-1</f>
        <v>1769</v>
      </c>
      <c r="U134" s="155"/>
      <c r="V134" s="155"/>
      <c r="W134" s="155"/>
      <c r="X134" s="31">
        <f>MATCH($A134,Table!$A:$A,0)+$Z$2-1</f>
        <v>1766</v>
      </c>
      <c r="Y134" s="155"/>
      <c r="AA134" t="s">
        <v>209</v>
      </c>
    </row>
    <row r="135" spans="1:27" ht="15.75" customHeight="1">
      <c r="A135" s="5">
        <v>40974</v>
      </c>
      <c r="B135" s="33">
        <f ca="1">IF(ISERROR(MATCH(B$1,INDIRECT("Table!A"&amp;$X135):INDIRECT("Table!" &amp; $AA$171 &amp; $X135),0)),"",INDIRECT(CONCATENATE("Table!",ADDRESS($T135,MATCH(B$1,INDIRECT("Table!A" &amp; $X135):INDIRECT("Table!" &amp; $AA$171 &amp; $X135),0)))))</f>
        <v>0.81373427689247158</v>
      </c>
      <c r="C135" s="33">
        <f ca="1">IF(ISERROR(MATCH(C$1,INDIRECT("Table!A"&amp;$X135):INDIRECT("Table!" &amp; $AA$171 &amp; $X135),0)),"",INDIRECT(CONCATENATE("Table!",ADDRESS($T135,MATCH(C$1,INDIRECT("Table!A" &amp; $X135):INDIRECT("Table!" &amp; $AA$171 &amp; $X135),0)))))</f>
        <v>0.66804991821651416</v>
      </c>
      <c r="D135" s="33">
        <f ca="1">IF(ISERROR(MATCH(D$1,INDIRECT("Table!A"&amp;$X135):INDIRECT("Table!" &amp; $AA$171 &amp; $X135),0)),"",INDIRECT(CONCATENATE("Table!",ADDRESS($T135,MATCH(D$1,INDIRECT("Table!A" &amp; $X135):INDIRECT("Table!" &amp; $AA$171 &amp; $X135),0)))))</f>
        <v>0.68196017851012702</v>
      </c>
      <c r="E135" s="33">
        <f ca="1">IF(ISERROR(MATCH(E$1,INDIRECT("Table!A"&amp;$X135):INDIRECT("Table!" &amp; $AA$171 &amp; $X135),0)),"",INDIRECT(CONCATENATE("Table!",ADDRESS($T135,MATCH(E$1,INDIRECT("Table!A" &amp; $X135):INDIRECT("Table!" &amp; $AA$171 &amp; $X135),0)))))</f>
        <v>0.85685820191889261</v>
      </c>
      <c r="F135" s="33">
        <f ca="1">IF(ISERROR(MATCH(F$1,INDIRECT("Table!A"&amp;$X135):INDIRECT("Table!" &amp; $AA$171 &amp; $X135),0)),"",INDIRECT(CONCATENATE("Table!",ADDRESS($T135,MATCH(F$1,INDIRECT("Table!A" &amp; $X135):INDIRECT("Table!" &amp; $AA$171 &amp; $X135),0)))))</f>
        <v>1.2905108141476513E-2</v>
      </c>
      <c r="G135" s="33">
        <f ca="1">IF(ISERROR(MATCH(G$1,INDIRECT("Table!A"&amp;$X135):INDIRECT("Table!" &amp; $AA$171 &amp; $X135),0)),"",INDIRECT(CONCATENATE("Table!",ADDRESS($T135,MATCH(G$1,INDIRECT("Table!A" &amp; $X135):INDIRECT("Table!" &amp; $AA$171 &amp; $X135),0)))))</f>
        <v>0.26724986122707067</v>
      </c>
      <c r="H135" s="33">
        <f ca="1">IF(ISERROR(MATCH(H$1,INDIRECT("Table!A"&amp;$X135):INDIRECT("Table!" &amp; $AA$171 &amp; $X135),0)),"",INDIRECT(CONCATENATE("Table!",ADDRESS($T135,MATCH(H$1,INDIRECT("Table!A" &amp; $X135):INDIRECT("Table!" &amp; $AA$171 &amp; $X135),0)))))</f>
        <v>0.16285837678168461</v>
      </c>
      <c r="I135" s="33" t="str">
        <f ca="1">IF(ISERROR(MATCH(I$1,INDIRECT("Table!A"&amp;$X135):INDIRECT("Table!" &amp; $AA$171 &amp; $X135),0)),"",INDIRECT(CONCATENATE("Table!",ADDRESS($T135,MATCH(I$1,INDIRECT("Table!A" &amp; $X135):INDIRECT("Table!" &amp; $AA$171 &amp; $X135),0)))))</f>
        <v/>
      </c>
      <c r="J135" s="33" t="str">
        <f ca="1">IF(ISERROR(MATCH(J$1,INDIRECT("Table!A"&amp;$X135):INDIRECT("Table!" &amp; $AA$171 &amp; $X135),0)),"",INDIRECT(CONCATENATE("Table!",ADDRESS($T135,MATCH(J$1,INDIRECT("Table!A" &amp; $X135):INDIRECT("Table!" &amp; $AA$171 &amp; $X135),0)))))</f>
        <v/>
      </c>
      <c r="K135" s="33" t="str">
        <f ca="1">IF(ISERROR(MATCH(K$1,INDIRECT("Table!A"&amp;$X135):INDIRECT("Table!" &amp; $AA$171 &amp; $X135),0)),"",INDIRECT(CONCATENATE("Table!",ADDRESS($T135,MATCH(K$1,INDIRECT("Table!A" &amp; $X135):INDIRECT("Table!" &amp; $AA$171 &amp; $X135),0)))))</f>
        <v/>
      </c>
      <c r="L135" s="33">
        <f ca="1">IF(ISERROR(MATCH(L$1,INDIRECT("Table!A"&amp;$X135):INDIRECT("Table!" &amp; $AA$171 &amp; $X135),0)),"",INDIRECT(CONCATENATE("Table!",ADDRESS($T135,MATCH(L$1,INDIRECT("Table!A" &amp; $X135):INDIRECT("Table!" &amp; $AA$171 &amp; $X135),0)))))</f>
        <v>0.69730872984120962</v>
      </c>
      <c r="M135" s="33">
        <f ca="1">IF(ISERROR(MATCH(M$1,INDIRECT("Table!A"&amp;$X135):INDIRECT("Table!" &amp; $AA$171 &amp; $X135),0)),"",INDIRECT(CONCATENATE("Table!",ADDRESS($T135,MATCH(M$1,INDIRECT("Table!A" &amp; $X135):INDIRECT("Table!" &amp; $AA$171 &amp; $X135),0)))))</f>
        <v>0.53819122011616682</v>
      </c>
      <c r="N135" s="33">
        <f ca="1">IF(ISERROR(MATCH(N$1,INDIRECT("Table!A"&amp;$X135):INDIRECT("Table!" &amp; $AA$171 &amp; $X135),0)),"",INDIRECT(CONCATENATE("Table!",ADDRESS($T135,MATCH(N$1,INDIRECT("Table!A" &amp; $X135):INDIRECT("Table!" &amp; $AA$171 &amp; $X135),0)))))</f>
        <v>1.3521599448784241E-2</v>
      </c>
      <c r="O135" s="33">
        <f ca="1">IF(ISERROR(MATCH(O$1,INDIRECT("Table!A"&amp;$X135):INDIRECT("Table!" &amp; $AA$171 &amp; $X135),0)),"",INDIRECT(CONCATENATE("Table!",ADDRESS($T135,MATCH(O$1,INDIRECT("Table!A" &amp; $X135):INDIRECT("Table!" &amp; $AA$171 &amp; $X135),0)))))</f>
        <v>0.4444662281345424</v>
      </c>
      <c r="P135" s="33">
        <f ca="1">IF(ISERROR(MATCH(P$1,INDIRECT("Table!A"&amp;$X135):INDIRECT("Table!" &amp; $AA$171 &amp; $X135),0)),"",INDIRECT(CONCATENATE("Table!",ADDRESS($T135,MATCH(P$1,INDIRECT("Table!A" &amp; $X135):INDIRECT("Table!" &amp; $AA$171 &amp; $X135),0)))))</f>
        <v>0.41770725223502853</v>
      </c>
      <c r="T135" s="31">
        <f>MATCH($A135,Table!$A:$A,0)+$V$2-1</f>
        <v>1782</v>
      </c>
      <c r="U135" s="153"/>
      <c r="V135" s="153"/>
      <c r="W135" s="153"/>
      <c r="X135" s="31">
        <f>MATCH($A135,Table!$A:$A,0)+$Z$2-1</f>
        <v>1779</v>
      </c>
      <c r="Y135" s="153"/>
      <c r="AA135" t="s">
        <v>209</v>
      </c>
    </row>
    <row r="136" spans="1:27" ht="15.75" customHeight="1">
      <c r="A136" s="5">
        <v>40973</v>
      </c>
      <c r="B136" s="33">
        <f ca="1">IF(ISERROR(MATCH(B$1,INDIRECT("Table!A"&amp;$X136):INDIRECT("Table!" &amp; $AA$171 &amp; $X136),0)),"",INDIRECT(CONCATENATE("Table!",ADDRESS($T136,MATCH(B$1,INDIRECT("Table!A" &amp; $X136):INDIRECT("Table!" &amp; $AA$171 &amp; $X136),0)))))</f>
        <v>0.81204799303727959</v>
      </c>
      <c r="C136" s="33">
        <f ca="1">IF(ISERROR(MATCH(C$1,INDIRECT("Table!A"&amp;$X136):INDIRECT("Table!" &amp; $AA$171 &amp; $X136),0)),"",INDIRECT(CONCATENATE("Table!",ADDRESS($T136,MATCH(C$1,INDIRECT("Table!A" &amp; $X136):INDIRECT("Table!" &amp; $AA$171 &amp; $X136),0)))))</f>
        <v>0.82737496045327741</v>
      </c>
      <c r="D136" s="33">
        <f ca="1">IF(ISERROR(MATCH(D$1,INDIRECT("Table!A"&amp;$X136):INDIRECT("Table!" &amp; $AA$171 &amp; $X136),0)),"",INDIRECT(CONCATENATE("Table!",ADDRESS($T136,MATCH(D$1,INDIRECT("Table!A" &amp; $X136):INDIRECT("Table!" &amp; $AA$171 &amp; $X136),0)))))</f>
        <v>0.84460044992603367</v>
      </c>
      <c r="E136" s="33">
        <f ca="1">IF(ISERROR(MATCH(E$1,INDIRECT("Table!A"&amp;$X136):INDIRECT("Table!" &amp; $AA$171 &amp; $X136),0)),"",INDIRECT(CONCATENATE("Table!",ADDRESS($T136,MATCH(E$1,INDIRECT("Table!A" &amp; $X136):INDIRECT("Table!" &amp; $AA$171 &amp; $X136),0)))))</f>
        <v>0.85540115941728667</v>
      </c>
      <c r="F136" s="33">
        <f ca="1">IF(ISERROR(MATCH(F$1,INDIRECT("Table!A"&amp;$X136):INDIRECT("Table!" &amp; $AA$171 &amp; $X136),0)),"",INDIRECT(CONCATENATE("Table!",ADDRESS($T136,MATCH(F$1,INDIRECT("Table!A" &amp; $X136):INDIRECT("Table!" &amp; $AA$171 &amp; $X136),0)))))</f>
        <v>1.2905108141476513E-2</v>
      </c>
      <c r="G136" s="33">
        <f ca="1">IF(ISERROR(MATCH(G$1,INDIRECT("Table!A"&amp;$X136):INDIRECT("Table!" &amp; $AA$171 &amp; $X136),0)),"",INDIRECT(CONCATENATE("Table!",ADDRESS($T136,MATCH(G$1,INDIRECT("Table!A" &amp; $X136):INDIRECT("Table!" &amp; $AA$171 &amp; $X136),0)))))</f>
        <v>0.26697822059944454</v>
      </c>
      <c r="H136" s="33">
        <f ca="1">IF(ISERROR(MATCH(H$1,INDIRECT("Table!A"&amp;$X136):INDIRECT("Table!" &amp; $AA$171 &amp; $X136),0)),"",INDIRECT(CONCATENATE("Table!",ADDRESS($T136,MATCH(H$1,INDIRECT("Table!A" &amp; $X136):INDIRECT("Table!" &amp; $AA$171 &amp; $X136),0)))))</f>
        <v>0.16279738699994559</v>
      </c>
      <c r="I136" s="33" t="str">
        <f ca="1">IF(ISERROR(MATCH(I$1,INDIRECT("Table!A"&amp;$X136):INDIRECT("Table!" &amp; $AA$171 &amp; $X136),0)),"",INDIRECT(CONCATENATE("Table!",ADDRESS($T136,MATCH(I$1,INDIRECT("Table!A" &amp; $X136):INDIRECT("Table!" &amp; $AA$171 &amp; $X136),0)))))</f>
        <v/>
      </c>
      <c r="J136" s="33" t="str">
        <f ca="1">IF(ISERROR(MATCH(J$1,INDIRECT("Table!A"&amp;$X136):INDIRECT("Table!" &amp; $AA$171 &amp; $X136),0)),"",INDIRECT(CONCATENATE("Table!",ADDRESS($T136,MATCH(J$1,INDIRECT("Table!A" &amp; $X136):INDIRECT("Table!" &amp; $AA$171 &amp; $X136),0)))))</f>
        <v/>
      </c>
      <c r="K136" s="33" t="str">
        <f ca="1">IF(ISERROR(MATCH(K$1,INDIRECT("Table!A"&amp;$X136):INDIRECT("Table!" &amp; $AA$171 &amp; $X136),0)),"",INDIRECT(CONCATENATE("Table!",ADDRESS($T136,MATCH(K$1,INDIRECT("Table!A" &amp; $X136):INDIRECT("Table!" &amp; $AA$171 &amp; $X136),0)))))</f>
        <v/>
      </c>
      <c r="L136" s="33">
        <f ca="1">IF(ISERROR(MATCH(L$1,INDIRECT("Table!A"&amp;$X136):INDIRECT("Table!" &amp; $AA$171 &amp; $X136),0)),"",INDIRECT(CONCATENATE("Table!",ADDRESS($T136,MATCH(L$1,INDIRECT("Table!A" &amp; $X136):INDIRECT("Table!" &amp; $AA$171 &amp; $X136),0)))))</f>
        <v>0.69661444624595537</v>
      </c>
      <c r="M136" s="33">
        <f ca="1">IF(ISERROR(MATCH(M$1,INDIRECT("Table!A"&amp;$X136):INDIRECT("Table!" &amp; $AA$171 &amp; $X136),0)),"",INDIRECT(CONCATENATE("Table!",ADDRESS($T136,MATCH(M$1,INDIRECT("Table!A" &amp; $X136):INDIRECT("Table!" &amp; $AA$171 &amp; $X136),0)))))</f>
        <v>0.53807833069317745</v>
      </c>
      <c r="N136" s="33">
        <f ca="1">IF(ISERROR(MATCH(N$1,INDIRECT("Table!A"&amp;$X136):INDIRECT("Table!" &amp; $AA$171 &amp; $X136),0)),"",INDIRECT(CONCATENATE("Table!",ADDRESS($T136,MATCH(N$1,INDIRECT("Table!A" &amp; $X136):INDIRECT("Table!" &amp; $AA$171 &amp; $X136),0)))))</f>
        <v>1.3478741764318999E-2</v>
      </c>
      <c r="O136" s="33">
        <f ca="1">IF(ISERROR(MATCH(O$1,INDIRECT("Table!A"&amp;$X136):INDIRECT("Table!" &amp; $AA$171 &amp; $X136),0)),"",INDIRECT(CONCATENATE("Table!",ADDRESS($T136,MATCH(O$1,INDIRECT("Table!A" &amp; $X136):INDIRECT("Table!" &amp; $AA$171 &amp; $X136),0)))))</f>
        <v>0.44438236722352953</v>
      </c>
      <c r="P136" s="33">
        <f ca="1">IF(ISERROR(MATCH(P$1,INDIRECT("Table!A"&amp;$X136):INDIRECT("Table!" &amp; $AA$171 &amp; $X136),0)),"",INDIRECT(CONCATENATE("Table!",ADDRESS($T136,MATCH(P$1,INDIRECT("Table!A" &amp; $X136):INDIRECT("Table!" &amp; $AA$171 &amp; $X136),0)))))</f>
        <v>0.41770725223502853</v>
      </c>
      <c r="T136" s="31">
        <f>MATCH($A136,Table!$A:$A,0)+$V$2-1</f>
        <v>1795</v>
      </c>
      <c r="U136" s="152"/>
      <c r="V136" s="152"/>
      <c r="W136" s="152"/>
      <c r="X136" s="31">
        <f>MATCH($A136,Table!$A:$A,0)+$Z$2-1</f>
        <v>1792</v>
      </c>
      <c r="Y136" s="152"/>
      <c r="AA136" t="s">
        <v>209</v>
      </c>
    </row>
    <row r="137" spans="1:27" ht="15.75" customHeight="1">
      <c r="A137" s="5">
        <v>40968</v>
      </c>
      <c r="B137" s="33">
        <f ca="1">IF(ISERROR(MATCH(B$1,INDIRECT("Table!A"&amp;$X137):INDIRECT("Table!" &amp; $AA$171 &amp; $X137),0)),"",INDIRECT(CONCATENATE("Table!",ADDRESS($T137,MATCH(B$1,INDIRECT("Table!A" &amp; $X137):INDIRECT("Table!" &amp; $AA$171 &amp; $X137),0)))))</f>
        <v>0.80915635728149971</v>
      </c>
      <c r="C137" s="33">
        <f ca="1">IF(ISERROR(MATCH(C$1,INDIRECT("Table!A"&amp;$X137):INDIRECT("Table!" &amp; $AA$171 &amp; $X137),0)),"",INDIRECT(CONCATENATE("Table!",ADDRESS($T137,MATCH(C$1,INDIRECT("Table!A" &amp; $X137):INDIRECT("Table!" &amp; $AA$171 &amp; $X137),0)))))</f>
        <v>0.82621575691489291</v>
      </c>
      <c r="D137" s="33">
        <f ca="1">IF(ISERROR(MATCH(D$1,INDIRECT("Table!A"&amp;$X137):INDIRECT("Table!" &amp; $AA$171 &amp; $X137),0)),"",INDIRECT(CONCATENATE("Table!",ADDRESS($T137,MATCH(D$1,INDIRECT("Table!A" &amp; $X137):INDIRECT("Table!" &amp; $AA$171 &amp; $X137),0)))))</f>
        <v>0.84344249687690309</v>
      </c>
      <c r="E137" s="33">
        <f ca="1">IF(ISERROR(MATCH(E$1,INDIRECT("Table!A"&amp;$X137):INDIRECT("Table!" &amp; $AA$171 &amp; $X137),0)),"",INDIRECT(CONCATENATE("Table!",ADDRESS($T137,MATCH(E$1,INDIRECT("Table!A" &amp; $X137):INDIRECT("Table!" &amp; $AA$171 &amp; $X137),0)))))</f>
        <v>0.85120876245933241</v>
      </c>
      <c r="F137" s="33">
        <f ca="1">IF(ISERROR(MATCH(F$1,INDIRECT("Table!A"&amp;$X137):INDIRECT("Table!" &amp; $AA$171 &amp; $X137),0)),"",INDIRECT(CONCATENATE("Table!",ADDRESS($T137,MATCH(F$1,INDIRECT("Table!A" &amp; $X137):INDIRECT("Table!" &amp; $AA$171 &amp; $X137),0)))))</f>
        <v>1.2827634634943189E-2</v>
      </c>
      <c r="G137" s="33">
        <f ca="1">IF(ISERROR(MATCH(G$1,INDIRECT("Table!A"&amp;$X137):INDIRECT("Table!" &amp; $AA$171 &amp; $X137),0)),"",INDIRECT(CONCATENATE("Table!",ADDRESS($T137,MATCH(G$1,INDIRECT("Table!A" &amp; $X137):INDIRECT("Table!" &amp; $AA$171 &amp; $X137),0)))))</f>
        <v>0.24383970840877647</v>
      </c>
      <c r="H137" s="33">
        <f ca="1">IF(ISERROR(MATCH(H$1,INDIRECT("Table!A"&amp;$X137):INDIRECT("Table!" &amp; $AA$171 &amp; $X137),0)),"",INDIRECT(CONCATENATE("Table!",ADDRESS($T137,MATCH(H$1,INDIRECT("Table!A" &amp; $X137):INDIRECT("Table!" &amp; $AA$171 &amp; $X137),0)))))</f>
        <v>0.1621322687044946</v>
      </c>
      <c r="I137" s="33" t="str">
        <f ca="1">IF(ISERROR(MATCH(I$1,INDIRECT("Table!A"&amp;$X137):INDIRECT("Table!" &amp; $AA$171 &amp; $X137),0)),"",INDIRECT(CONCATENATE("Table!",ADDRESS($T137,MATCH(I$1,INDIRECT("Table!A" &amp; $X137):INDIRECT("Table!" &amp; $AA$171 &amp; $X137),0)))))</f>
        <v/>
      </c>
      <c r="J137" s="33" t="str">
        <f ca="1">IF(ISERROR(MATCH(J$1,INDIRECT("Table!A"&amp;$X137):INDIRECT("Table!" &amp; $AA$171 &amp; $X137),0)),"",INDIRECT(CONCATENATE("Table!",ADDRESS($T137,MATCH(J$1,INDIRECT("Table!A" &amp; $X137):INDIRECT("Table!" &amp; $AA$171 &amp; $X137),0)))))</f>
        <v/>
      </c>
      <c r="K137" s="33" t="str">
        <f ca="1">IF(ISERROR(MATCH(K$1,INDIRECT("Table!A"&amp;$X137):INDIRECT("Table!" &amp; $AA$171 &amp; $X137),0)),"",INDIRECT(CONCATENATE("Table!",ADDRESS($T137,MATCH(K$1,INDIRECT("Table!A" &amp; $X137):INDIRECT("Table!" &amp; $AA$171 &amp; $X137),0)))))</f>
        <v/>
      </c>
      <c r="L137" s="33">
        <f ca="1">IF(ISERROR(MATCH(L$1,INDIRECT("Table!A"&amp;$X137):INDIRECT("Table!" &amp; $AA$171 &amp; $X137),0)),"",INDIRECT(CONCATENATE("Table!",ADDRESS($T137,MATCH(L$1,INDIRECT("Table!A" &amp; $X137):INDIRECT("Table!" &amp; $AA$171 &amp; $X137),0)))))</f>
        <v>0.6946380483787572</v>
      </c>
      <c r="M137" s="33">
        <f ca="1">IF(ISERROR(MATCH(M$1,INDIRECT("Table!A"&amp;$X137):INDIRECT("Table!" &amp; $AA$171 &amp; $X137),0)),"",INDIRECT(CONCATENATE("Table!",ADDRESS($T137,MATCH(M$1,INDIRECT("Table!A" &amp; $X137):INDIRECT("Table!" &amp; $AA$171 &amp; $X137),0)))))</f>
        <v>0.53366836000801143</v>
      </c>
      <c r="N137" s="33">
        <f ca="1">IF(ISERROR(MATCH(N$1,INDIRECT("Table!A"&amp;$X137):INDIRECT("Table!" &amp; $AA$171 &amp; $X137),0)),"",INDIRECT(CONCATENATE("Table!",ADDRESS($T137,MATCH(N$1,INDIRECT("Table!A" &amp; $X137):INDIRECT("Table!" &amp; $AA$171 &amp; $X137),0)))))</f>
        <v>1.3180386345541729E-2</v>
      </c>
      <c r="O137" s="33">
        <f ca="1">IF(ISERROR(MATCH(O$1,INDIRECT("Table!A"&amp;$X137):INDIRECT("Table!" &amp; $AA$171 &amp; $X137),0)),"",INDIRECT(CONCATENATE("Table!",ADDRESS($T137,MATCH(O$1,INDIRECT("Table!A" &amp; $X137):INDIRECT("Table!" &amp; $AA$171 &amp; $X137),0)))))</f>
        <v>0.44340380105245442</v>
      </c>
      <c r="P137" s="33">
        <f ca="1">IF(ISERROR(MATCH(P$1,INDIRECT("Table!A"&amp;$X137):INDIRECT("Table!" &amp; $AA$171 &amp; $X137),0)),"",INDIRECT(CONCATENATE("Table!",ADDRESS($T137,MATCH(P$1,INDIRECT("Table!A" &amp; $X137):INDIRECT("Table!" &amp; $AA$171 &amp; $X137),0)))))</f>
        <v>0.41760528759490906</v>
      </c>
      <c r="T137" s="31">
        <f>MATCH($A137,Table!$A:$A,0)+$V$2-1</f>
        <v>1808</v>
      </c>
      <c r="U137" s="151"/>
      <c r="V137" s="151"/>
      <c r="W137" s="151"/>
      <c r="X137" s="31">
        <f>MATCH($A137,Table!$A:$A,0)+$Z$2-1</f>
        <v>1805</v>
      </c>
      <c r="Y137" s="151"/>
      <c r="AA137" t="s">
        <v>209</v>
      </c>
    </row>
    <row r="138" spans="1:27" ht="15.75" customHeight="1">
      <c r="A138" s="5">
        <v>40967</v>
      </c>
      <c r="B138" s="33">
        <f ca="1">IF(ISERROR(MATCH(B$1,INDIRECT("Table!A"&amp;$X138):INDIRECT("Table!" &amp; $AA$171 &amp; $X138),0)),"",INDIRECT(CONCATENATE("Table!",ADDRESS($T138,MATCH(B$1,INDIRECT("Table!A" &amp; $X138):INDIRECT("Table!" &amp; $AA$171 &amp; $X138),0)))))</f>
        <v>0.80797949865649887</v>
      </c>
      <c r="C138" s="33">
        <f ca="1">IF(ISERROR(MATCH(C$1,INDIRECT("Table!A"&amp;$X138):INDIRECT("Table!" &amp; $AA$171 &amp; $X138),0)),"",INDIRECT(CONCATENATE("Table!",ADDRESS($T138,MATCH(C$1,INDIRECT("Table!A" &amp; $X138):INDIRECT("Table!" &amp; $AA$171 &amp; $X138),0)))))</f>
        <v>0.82615948489846647</v>
      </c>
      <c r="D138" s="33">
        <f ca="1">IF(ISERROR(MATCH(D$1,INDIRECT("Table!A"&amp;$X138):INDIRECT("Table!" &amp; $AA$171 &amp; $X138),0)),"",INDIRECT(CONCATENATE("Table!",ADDRESS($T138,MATCH(D$1,INDIRECT("Table!A" &amp; $X138):INDIRECT("Table!" &amp; $AA$171 &amp; $X138),0)))))</f>
        <v>0.84338747534973069</v>
      </c>
      <c r="E138" s="33">
        <f ca="1">IF(ISERROR(MATCH(E$1,INDIRECT("Table!A"&amp;$X138):INDIRECT("Table!" &amp; $AA$171 &amp; $X138),0)),"",INDIRECT(CONCATENATE("Table!",ADDRESS($T138,MATCH(E$1,INDIRECT("Table!A" &amp; $X138):INDIRECT("Table!" &amp; $AA$171 &amp; $X138),0)))))</f>
        <v>0.8506330687775866</v>
      </c>
      <c r="F138" s="33">
        <f ca="1">IF(ISERROR(MATCH(F$1,INDIRECT("Table!A"&amp;$X138):INDIRECT("Table!" &amp; $AA$171 &amp; $X138),0)),"",INDIRECT(CONCATENATE("Table!",ADDRESS($T138,MATCH(F$1,INDIRECT("Table!A" &amp; $X138):INDIRECT("Table!" &amp; $AA$171 &amp; $X138),0)))))</f>
        <v>1.1216350536297987E-2</v>
      </c>
      <c r="G138" s="33">
        <f ca="1">IF(ISERROR(MATCH(G$1,INDIRECT("Table!A"&amp;$X138):INDIRECT("Table!" &amp; $AA$171 &amp; $X138),0)),"",INDIRECT(CONCATENATE("Table!",ADDRESS($T138,MATCH(G$1,INDIRECT("Table!A" &amp; $X138):INDIRECT("Table!" &amp; $AA$171 &amp; $X138),0)))))</f>
        <v>0.24219896267803137</v>
      </c>
      <c r="H138" s="33">
        <f ca="1">IF(ISERROR(MATCH(H$1,INDIRECT("Table!A"&amp;$X138):INDIRECT("Table!" &amp; $AA$171 &amp; $X138),0)),"",INDIRECT(CONCATENATE("Table!",ADDRESS($T138,MATCH(H$1,INDIRECT("Table!A" &amp; $X138):INDIRECT("Table!" &amp; $AA$171 &amp; $X138),0)))))</f>
        <v>0.16204243240436556</v>
      </c>
      <c r="I138" s="33" t="str">
        <f ca="1">IF(ISERROR(MATCH(I$1,INDIRECT("Table!A"&amp;$X138):INDIRECT("Table!" &amp; $AA$171 &amp; $X138),0)),"",INDIRECT(CONCATENATE("Table!",ADDRESS($T138,MATCH(I$1,INDIRECT("Table!A" &amp; $X138):INDIRECT("Table!" &amp; $AA$171 &amp; $X138),0)))))</f>
        <v/>
      </c>
      <c r="J138" s="33" t="str">
        <f ca="1">IF(ISERROR(MATCH(J$1,INDIRECT("Table!A"&amp;$X138):INDIRECT("Table!" &amp; $AA$171 &amp; $X138),0)),"",INDIRECT(CONCATENATE("Table!",ADDRESS($T138,MATCH(J$1,INDIRECT("Table!A" &amp; $X138):INDIRECT("Table!" &amp; $AA$171 &amp; $X138),0)))))</f>
        <v/>
      </c>
      <c r="K138" s="33" t="str">
        <f ca="1">IF(ISERROR(MATCH(K$1,INDIRECT("Table!A"&amp;$X138):INDIRECT("Table!" &amp; $AA$171 &amp; $X138),0)),"",INDIRECT(CONCATENATE("Table!",ADDRESS($T138,MATCH(K$1,INDIRECT("Table!A" &amp; $X138):INDIRECT("Table!" &amp; $AA$171 &amp; $X138),0)))))</f>
        <v/>
      </c>
      <c r="L138" s="33">
        <f ca="1">IF(ISERROR(MATCH(L$1,INDIRECT("Table!A"&amp;$X138):INDIRECT("Table!" &amp; $AA$171 &amp; $X138),0)),"",INDIRECT(CONCATENATE("Table!",ADDRESS($T138,MATCH(L$1,INDIRECT("Table!A" &amp; $X138):INDIRECT("Table!" &amp; $AA$171 &amp; $X138),0)))))</f>
        <v>0.6940051799288286</v>
      </c>
      <c r="M138" s="33">
        <f ca="1">IF(ISERROR(MATCH(M$1,INDIRECT("Table!A"&amp;$X138):INDIRECT("Table!" &amp; $AA$171 &amp; $X138),0)),"",INDIRECT(CONCATENATE("Table!",ADDRESS($T138,MATCH(M$1,INDIRECT("Table!A" &amp; $X138):INDIRECT("Table!" &amp; $AA$171 &amp; $X138),0)))))</f>
        <v>0.53364104805083667</v>
      </c>
      <c r="N138" s="33">
        <f ca="1">IF(ISERROR(MATCH(N$1,INDIRECT("Table!A"&amp;$X138):INDIRECT("Table!" &amp; $AA$171 &amp; $X138),0)),"",INDIRECT(CONCATENATE("Table!",ADDRESS($T138,MATCH(N$1,INDIRECT("Table!A" &amp; $X138):INDIRECT("Table!" &amp; $AA$171 &amp; $X138),0)))))</f>
        <v>1.1541904100985892E-2</v>
      </c>
      <c r="O138" s="33">
        <f ca="1">IF(ISERROR(MATCH(O$1,INDIRECT("Table!A"&amp;$X138):INDIRECT("Table!" &amp; $AA$171 &amp; $X138),0)),"",INDIRECT(CONCATENATE("Table!",ADDRESS($T138,MATCH(O$1,INDIRECT("Table!A" &amp; $X138):INDIRECT("Table!" &amp; $AA$171 &amp; $X138),0)))))</f>
        <v>0.44328140945259786</v>
      </c>
      <c r="P138" s="33">
        <f ca="1">IF(ISERROR(MATCH(P$1,INDIRECT("Table!A"&amp;$X138):INDIRECT("Table!" &amp; $AA$171 &amp; $X138),0)),"",INDIRECT(CONCATENATE("Table!",ADDRESS($T138,MATCH(P$1,INDIRECT("Table!A" &amp; $X138):INDIRECT("Table!" &amp; $AA$171 &amp; $X138),0)))))</f>
        <v>0.41760346679776406</v>
      </c>
      <c r="T138" s="31">
        <f>MATCH($A138,Table!$A:$A,0)+$V$2-1</f>
        <v>1821</v>
      </c>
      <c r="U138" s="150"/>
      <c r="V138" s="150"/>
      <c r="W138" s="150"/>
      <c r="X138" s="31">
        <f>MATCH($A138,Table!$A:$A,0)+$Z$2-1</f>
        <v>1818</v>
      </c>
      <c r="Y138" s="150"/>
      <c r="AA138" t="s">
        <v>209</v>
      </c>
    </row>
    <row r="139" spans="1:27" ht="15.75" customHeight="1">
      <c r="A139" s="5">
        <v>40966</v>
      </c>
      <c r="B139" s="33">
        <f ca="1">IF(ISERROR(MATCH(B$1,INDIRECT("Table!A"&amp;$X139):INDIRECT("Table!" &amp; $AA$171 &amp; $X139),0)),"",INDIRECT(CONCATENATE("Table!",ADDRESS($T139,MATCH(B$1,INDIRECT("Table!A" &amp; $X139):INDIRECT("Table!" &amp; $AA$171 &amp; $X139),0)))))</f>
        <v>0.80790956061642183</v>
      </c>
      <c r="C139" s="33">
        <f ca="1">IF(ISERROR(MATCH(C$1,INDIRECT("Table!A"&amp;$X139):INDIRECT("Table!" &amp; $AA$171 &amp; $X139),0)),"",INDIRECT(CONCATENATE("Table!",ADDRESS($T139,MATCH(C$1,INDIRECT("Table!A" &amp; $X139):INDIRECT("Table!" &amp; $AA$171 &amp; $X139),0)))))</f>
        <v>0.8261444790274195</v>
      </c>
      <c r="D139" s="33">
        <f ca="1">IF(ISERROR(MATCH(D$1,INDIRECT("Table!A"&amp;$X139):INDIRECT("Table!" &amp; $AA$171 &amp; $X139),0)),"",INDIRECT(CONCATENATE("Table!",ADDRESS($T139,MATCH(D$1,INDIRECT("Table!A" &amp; $X139):INDIRECT("Table!" &amp; $AA$171 &amp; $X139),0)))))</f>
        <v>0.8433724694786835</v>
      </c>
      <c r="E139" s="33">
        <f ca="1">IF(ISERROR(MATCH(E$1,INDIRECT("Table!A"&amp;$X139):INDIRECT("Table!" &amp; $AA$171 &amp; $X139),0)),"",INDIRECT(CONCATENATE("Table!",ADDRESS($T139,MATCH(E$1,INDIRECT("Table!A" &amp; $X139):INDIRECT("Table!" &amp; $AA$171 &amp; $X139),0)))))</f>
        <v>0.84988771059120971</v>
      </c>
      <c r="F139" s="33">
        <f ca="1">IF(ISERROR(MATCH(F$1,INDIRECT("Table!A"&amp;$X139):INDIRECT("Table!" &amp; $AA$171 &amp; $X139),0)),"",INDIRECT(CONCATENATE("Table!",ADDRESS($T139,MATCH(F$1,INDIRECT("Table!A" &amp; $X139):INDIRECT("Table!" &amp; $AA$171 &amp; $X139),0)))))</f>
        <v>7.0583309569296751E-3</v>
      </c>
      <c r="G139" s="33">
        <f ca="1">IF(ISERROR(MATCH(G$1,INDIRECT("Table!A"&amp;$X139):INDIRECT("Table!" &amp; $AA$171 &amp; $X139),0)),"",INDIRECT(CONCATENATE("Table!",ADDRESS($T139,MATCH(G$1,INDIRECT("Table!A" &amp; $X139):INDIRECT("Table!" &amp; $AA$171 &amp; $X139),0)))))</f>
        <v>0.24155483824663701</v>
      </c>
      <c r="H139" s="33">
        <f ca="1">IF(ISERROR(MATCH(H$1,INDIRECT("Table!A"&amp;$X139):INDIRECT("Table!" &amp; $AA$171 &amp; $X139),0)),"",INDIRECT(CONCATENATE("Table!",ADDRESS($T139,MATCH(H$1,INDIRECT("Table!A" &amp; $X139):INDIRECT("Table!" &amp; $AA$171 &amp; $X139),0)))))</f>
        <v>0.16197237657398969</v>
      </c>
      <c r="I139" s="33" t="str">
        <f ca="1">IF(ISERROR(MATCH(I$1,INDIRECT("Table!A"&amp;$X139):INDIRECT("Table!" &amp; $AA$171 &amp; $X139),0)),"",INDIRECT(CONCATENATE("Table!",ADDRESS($T139,MATCH(I$1,INDIRECT("Table!A" &amp; $X139):INDIRECT("Table!" &amp; $AA$171 &amp; $X139),0)))))</f>
        <v/>
      </c>
      <c r="J139" s="33" t="str">
        <f ca="1">IF(ISERROR(MATCH(J$1,INDIRECT("Table!A"&amp;$X139):INDIRECT("Table!" &amp; $AA$171 &amp; $X139),0)),"",INDIRECT(CONCATENATE("Table!",ADDRESS($T139,MATCH(J$1,INDIRECT("Table!A" &amp; $X139):INDIRECT("Table!" &amp; $AA$171 &amp; $X139),0)))))</f>
        <v/>
      </c>
      <c r="K139" s="33" t="str">
        <f ca="1">IF(ISERROR(MATCH(K$1,INDIRECT("Table!A"&amp;$X139):INDIRECT("Table!" &amp; $AA$171 &amp; $X139),0)),"",INDIRECT(CONCATENATE("Table!",ADDRESS($T139,MATCH(K$1,INDIRECT("Table!A" &amp; $X139):INDIRECT("Table!" &amp; $AA$171 &amp; $X139),0)))))</f>
        <v/>
      </c>
      <c r="L139" s="33">
        <f ca="1">IF(ISERROR(MATCH(L$1,INDIRECT("Table!A"&amp;$X139):INDIRECT("Table!" &amp; $AA$171 &amp; $X139),0)),"",INDIRECT(CONCATENATE("Table!",ADDRESS($T139,MATCH(L$1,INDIRECT("Table!A" &amp; $X139):INDIRECT("Table!" &amp; $AA$171 &amp; $X139),0)))))</f>
        <v>0.69125202669979569</v>
      </c>
      <c r="M139" s="33">
        <f ca="1">IF(ISERROR(MATCH(M$1,INDIRECT("Table!A"&amp;$X139):INDIRECT("Table!" &amp; $AA$171 &amp; $X139),0)),"",INDIRECT(CONCATENATE("Table!",ADDRESS($T139,MATCH(M$1,INDIRECT("Table!A" &amp; $X139):INDIRECT("Table!" &amp; $AA$171 &amp; $X139),0)))))</f>
        <v>0.5334425811620328</v>
      </c>
      <c r="N139" s="33">
        <f ca="1">IF(ISERROR(MATCH(N$1,INDIRECT("Table!A"&amp;$X139):INDIRECT("Table!" &amp; $AA$171 &amp; $X139),0)),"",INDIRECT(CONCATENATE("Table!",ADDRESS($T139,MATCH(N$1,INDIRECT("Table!A" &amp; $X139):INDIRECT("Table!" &amp; $AA$171 &amp; $X139),0)))))</f>
        <v>7.4061375500899191E-3</v>
      </c>
      <c r="O139" s="33">
        <f ca="1">IF(ISERROR(MATCH(O$1,INDIRECT("Table!A"&amp;$X139):INDIRECT("Table!" &amp; $AA$171 &amp; $X139),0)),"",INDIRECT(CONCATENATE("Table!",ADDRESS($T139,MATCH(O$1,INDIRECT("Table!A" &amp; $X139):INDIRECT("Table!" &amp; $AA$171 &amp; $X139),0)))))</f>
        <v>0.44317545005827763</v>
      </c>
      <c r="P139" s="33">
        <f ca="1">IF(ISERROR(MATCH(P$1,INDIRECT("Table!A"&amp;$X139):INDIRECT("Table!" &amp; $AA$171 &amp; $X139),0)),"",INDIRECT(CONCATENATE("Table!",ADDRESS($T139,MATCH(P$1,INDIRECT("Table!A" &amp; $X139):INDIRECT("Table!" &amp; $AA$171 &amp; $X139),0)))))</f>
        <v>0.41758890042060415</v>
      </c>
      <c r="T139" s="31">
        <f>MATCH($A139,Table!$A:$A,0)+$V$2-1</f>
        <v>1834</v>
      </c>
      <c r="U139" s="149"/>
      <c r="V139" s="149"/>
      <c r="W139" s="149"/>
      <c r="X139" s="31">
        <f>MATCH($A139,Table!$A:$A,0)+$Z$2-1</f>
        <v>1831</v>
      </c>
      <c r="Y139" s="149"/>
      <c r="AA139" t="s">
        <v>209</v>
      </c>
    </row>
    <row r="140" spans="1:27" ht="15.75" customHeight="1">
      <c r="A140" s="5">
        <v>40963</v>
      </c>
      <c r="B140" s="33">
        <f ca="1">IF(ISERROR(MATCH(B$1,INDIRECT("Table!A"&amp;$X140):INDIRECT("Table!" &amp; $AA$171 &amp; $X140),0)),"",INDIRECT(CONCATENATE("Table!",ADDRESS($T140,MATCH(B$1,INDIRECT("Table!A" &amp; $X140):INDIRECT("Table!" &amp; $AA$171 &amp; $X140),0)))))</f>
        <v>0.80763757934945535</v>
      </c>
      <c r="C140" s="33">
        <f ca="1">IF(ISERROR(MATCH(C$1,INDIRECT("Table!A"&amp;$X140):INDIRECT("Table!" &amp; $AA$171 &amp; $X140),0)),"",INDIRECT(CONCATENATE("Table!",ADDRESS($T140,MATCH(C$1,INDIRECT("Table!A" &amp; $X140):INDIRECT("Table!" &amp; $AA$171 &amp; $X140),0)))))</f>
        <v>0.82611571777457926</v>
      </c>
      <c r="D140" s="33">
        <f ca="1">IF(ISERROR(MATCH(D$1,INDIRECT("Table!A"&amp;$X140):INDIRECT("Table!" &amp; $AA$171 &amp; $X140),0)),"",INDIRECT(CONCATENATE("Table!",ADDRESS($T140,MATCH(D$1,INDIRECT("Table!A" &amp; $X140):INDIRECT("Table!" &amp; $AA$171 &amp; $X140),0)))))</f>
        <v>0.84334370822584348</v>
      </c>
      <c r="E140" s="33">
        <f ca="1">IF(ISERROR(MATCH(E$1,INDIRECT("Table!A"&amp;$X140):INDIRECT("Table!" &amp; $AA$171 &amp; $X140),0)),"",INDIRECT(CONCATENATE("Table!",ADDRESS($T140,MATCH(E$1,INDIRECT("Table!A" &amp; $X140):INDIRECT("Table!" &amp; $AA$171 &amp; $X140),0)))))</f>
        <v>0.84762508547982685</v>
      </c>
      <c r="F140" s="33">
        <f ca="1">IF(ISERROR(MATCH(F$1,INDIRECT("Table!A"&amp;$X140):INDIRECT("Table!" &amp; $AA$171 &amp; $X140),0)),"",INDIRECT(CONCATENATE("Table!",ADDRESS($T140,MATCH(F$1,INDIRECT("Table!A" &amp; $X140):INDIRECT("Table!" &amp; $AA$171 &amp; $X140),0)))))</f>
        <v>3.4722966279244188E-3</v>
      </c>
      <c r="G140" s="33">
        <f ca="1">IF(ISERROR(MATCH(G$1,INDIRECT("Table!A"&amp;$X140):INDIRECT("Table!" &amp; $AA$171 &amp; $X140),0)),"",INDIRECT(CONCATENATE("Table!",ADDRESS($T140,MATCH(G$1,INDIRECT("Table!A" &amp; $X140):INDIRECT("Table!" &amp; $AA$171 &amp; $X140),0)))))</f>
        <v>0.24086347196695979</v>
      </c>
      <c r="H140" s="33">
        <f ca="1">IF(ISERROR(MATCH(H$1,INDIRECT("Table!A"&amp;$X140):INDIRECT("Table!" &amp; $AA$171 &amp; $X140),0)),"",INDIRECT(CONCATENATE("Table!",ADDRESS($T140,MATCH(H$1,INDIRECT("Table!A" &amp; $X140):INDIRECT("Table!" &amp; $AA$171 &amp; $X140),0)))))</f>
        <v>0.16178858304253294</v>
      </c>
      <c r="I140" s="33" t="str">
        <f ca="1">IF(ISERROR(MATCH(I$1,INDIRECT("Table!A"&amp;$X140):INDIRECT("Table!" &amp; $AA$171 &amp; $X140),0)),"",INDIRECT(CONCATENATE("Table!",ADDRESS($T140,MATCH(I$1,INDIRECT("Table!A" &amp; $X140):INDIRECT("Table!" &amp; $AA$171 &amp; $X140),0)))))</f>
        <v/>
      </c>
      <c r="J140" s="33" t="str">
        <f ca="1">IF(ISERROR(MATCH(J$1,INDIRECT("Table!A"&amp;$X140):INDIRECT("Table!" &amp; $AA$171 &amp; $X140),0)),"",INDIRECT(CONCATENATE("Table!",ADDRESS($T140,MATCH(J$1,INDIRECT("Table!A" &amp; $X140):INDIRECT("Table!" &amp; $AA$171 &amp; $X140),0)))))</f>
        <v/>
      </c>
      <c r="K140" s="33" t="str">
        <f ca="1">IF(ISERROR(MATCH(K$1,INDIRECT("Table!A"&amp;$X140):INDIRECT("Table!" &amp; $AA$171 &amp; $X140),0)),"",INDIRECT(CONCATENATE("Table!",ADDRESS($T140,MATCH(K$1,INDIRECT("Table!A" &amp; $X140):INDIRECT("Table!" &amp; $AA$171 &amp; $X140),0)))))</f>
        <v/>
      </c>
      <c r="L140" s="33">
        <f ca="1">IF(ISERROR(MATCH(L$1,INDIRECT("Table!A"&amp;$X140):INDIRECT("Table!" &amp; $AA$171 &amp; $X140),0)),"",INDIRECT(CONCATENATE("Table!",ADDRESS($T140,MATCH(L$1,INDIRECT("Table!A" &amp; $X140):INDIRECT("Table!" &amp; $AA$171 &amp; $X140),0)))))</f>
        <v>0.68921128915654195</v>
      </c>
      <c r="M140" s="33">
        <f ca="1">IF(ISERROR(MATCH(M$1,INDIRECT("Table!A"&amp;$X140):INDIRECT("Table!" &amp; $AA$171 &amp; $X140),0)),"",INDIRECT(CONCATENATE("Table!",ADDRESS($T140,MATCH(M$1,INDIRECT("Table!A" &amp; $X140):INDIRECT("Table!" &amp; $AA$171 &amp; $X140),0)))))</f>
        <v>0.53338431565339306</v>
      </c>
      <c r="N140" s="33">
        <f ca="1">IF(ISERROR(MATCH(N$1,INDIRECT("Table!A"&amp;$X140):INDIRECT("Table!" &amp; $AA$171 &amp; $X140),0)),"",INDIRECT(CONCATENATE("Table!",ADDRESS($T140,MATCH(N$1,INDIRECT("Table!A" &amp; $X140):INDIRECT("Table!" &amp; $AA$171 &amp; $X140),0)))))</f>
        <v>3.7714762329414055E-3</v>
      </c>
      <c r="O140" s="33">
        <f ca="1">IF(ISERROR(MATCH(O$1,INDIRECT("Table!A"&amp;$X140):INDIRECT("Table!" &amp; $AA$171 &amp; $X140),0)),"",INDIRECT(CONCATENATE("Table!",ADDRESS($T140,MATCH(O$1,INDIRECT("Table!A" &amp; $X140):INDIRECT("Table!" &amp; $AA$171 &amp; $X140),0)))))</f>
        <v>0.44292103418635359</v>
      </c>
      <c r="P140" s="33">
        <f ca="1">IF(ISERROR(MATCH(P$1,INDIRECT("Table!A"&amp;$X140):INDIRECT("Table!" &amp; $AA$171 &amp; $X140),0)),"",INDIRECT(CONCATENATE("Table!",ADDRESS($T140,MATCH(P$1,INDIRECT("Table!A" &amp; $X140):INDIRECT("Table!" &amp; $AA$171 &amp; $X140),0)))))</f>
        <v>0.4175852588263142</v>
      </c>
      <c r="T140" s="31">
        <f>MATCH($A140,Table!$A:$A,0)+$V$2-1</f>
        <v>1847</v>
      </c>
      <c r="U140" s="148"/>
      <c r="V140" s="148"/>
      <c r="W140" s="148"/>
      <c r="X140" s="31">
        <f>MATCH($A140,Table!$A:$A,0)+$Z$2-1</f>
        <v>1844</v>
      </c>
      <c r="Y140" s="148"/>
      <c r="AA140" t="s">
        <v>209</v>
      </c>
    </row>
    <row r="141" spans="1:27" ht="15.75" customHeight="1">
      <c r="A141" s="5">
        <v>40962</v>
      </c>
      <c r="B141" s="33">
        <f ca="1">IF(ISERROR(MATCH(B$1,INDIRECT("Table!A"&amp;$X141):INDIRECT("Table!" &amp; $AA$171 &amp; $X141),0)),"",INDIRECT(CONCATENATE("Table!",ADDRESS($T141,MATCH(B$1,INDIRECT("Table!A" &amp; $X141):INDIRECT("Table!" &amp; $AA$171 &amp; $X141),0)))))</f>
        <v>0.80690107134716205</v>
      </c>
      <c r="C141" s="33">
        <f ca="1">IF(ISERROR(MATCH(C$1,INDIRECT("Table!A"&amp;$X141):INDIRECT("Table!" &amp; $AA$171 &amp; $X141),0)),"",INDIRECT(CONCATENATE("Table!",ADDRESS($T141,MATCH(C$1,INDIRECT("Table!A" &amp; $X141):INDIRECT("Table!" &amp; $AA$171 &amp; $X141),0)))))</f>
        <v>0.82609946141427848</v>
      </c>
      <c r="D141" s="33">
        <f ca="1">IF(ISERROR(MATCH(D$1,INDIRECT("Table!A"&amp;$X141):INDIRECT("Table!" &amp; $AA$171 &amp; $X141),0)),"",INDIRECT(CONCATENATE("Table!",ADDRESS($T141,MATCH(D$1,INDIRECT("Table!A" &amp; $X141):INDIRECT("Table!" &amp; $AA$171 &amp; $X141),0)))))</f>
        <v>0.84327743229538565</v>
      </c>
      <c r="E141" s="33">
        <f ca="1">IF(ISERROR(MATCH(E$1,INDIRECT("Table!A"&amp;$X141):INDIRECT("Table!" &amp; $AA$171 &amp; $X141),0)),"",INDIRECT(CONCATENATE("Table!",ADDRESS($T141,MATCH(E$1,INDIRECT("Table!A" &amp; $X141):INDIRECT("Table!" &amp; $AA$171 &amp; $X141),0)))))</f>
        <v>0.84641088339515513</v>
      </c>
      <c r="F141" s="33">
        <f ca="1">IF(ISERROR(MATCH(F$1,INDIRECT("Table!A"&amp;$X141):INDIRECT("Table!" &amp; $AA$171 &amp; $X141),0)),"",INDIRECT(CONCATENATE("Table!",ADDRESS($T141,MATCH(F$1,INDIRECT("Table!A" &amp; $X141):INDIRECT("Table!" &amp; $AA$171 &amp; $X141),0)))))</f>
        <v>3.4657031380066891E-3</v>
      </c>
      <c r="G141" s="33">
        <f ca="1">IF(ISERROR(MATCH(G$1,INDIRECT("Table!A"&amp;$X141):INDIRECT("Table!" &amp; $AA$171 &amp; $X141),0)),"",INDIRECT(CONCATENATE("Table!",ADDRESS($T141,MATCH(G$1,INDIRECT("Table!A" &amp; $X141):INDIRECT("Table!" &amp; $AA$171 &amp; $X141),0)))))</f>
        <v>0.24006399453448155</v>
      </c>
      <c r="H141" s="33">
        <f ca="1">IF(ISERROR(MATCH(H$1,INDIRECT("Table!A"&amp;$X141):INDIRECT("Table!" &amp; $AA$171 &amp; $X141),0)),"",INDIRECT(CONCATENATE("Table!",ADDRESS($T141,MATCH(H$1,INDIRECT("Table!A" &amp; $X141):INDIRECT("Table!" &amp; $AA$171 &amp; $X141),0)))))</f>
        <v>0.16175396722046489</v>
      </c>
      <c r="I141" s="33" t="str">
        <f ca="1">IF(ISERROR(MATCH(I$1,INDIRECT("Table!A"&amp;$X141):INDIRECT("Table!" &amp; $AA$171 &amp; $X141),0)),"",INDIRECT(CONCATENATE("Table!",ADDRESS($T141,MATCH(I$1,INDIRECT("Table!A" &amp; $X141):INDIRECT("Table!" &amp; $AA$171 &amp; $X141),0)))))</f>
        <v/>
      </c>
      <c r="J141" s="33" t="str">
        <f ca="1">IF(ISERROR(MATCH(J$1,INDIRECT("Table!A"&amp;$X141):INDIRECT("Table!" &amp; $AA$171 &amp; $X141),0)),"",INDIRECT(CONCATENATE("Table!",ADDRESS($T141,MATCH(J$1,INDIRECT("Table!A" &amp; $X141):INDIRECT("Table!" &amp; $AA$171 &amp; $X141),0)))))</f>
        <v/>
      </c>
      <c r="K141" s="33" t="str">
        <f ca="1">IF(ISERROR(MATCH(K$1,INDIRECT("Table!A"&amp;$X141):INDIRECT("Table!" &amp; $AA$171 &amp; $X141),0)),"",INDIRECT(CONCATENATE("Table!",ADDRESS($T141,MATCH(K$1,INDIRECT("Table!A" &amp; $X141):INDIRECT("Table!" &amp; $AA$171 &amp; $X141),0)))))</f>
        <v/>
      </c>
      <c r="L141" s="33">
        <f ca="1">IF(ISERROR(MATCH(L$1,INDIRECT("Table!A"&amp;$X141):INDIRECT("Table!" &amp; $AA$171 &amp; $X141),0)),"",INDIRECT(CONCATENATE("Table!",ADDRESS($T141,MATCH(L$1,INDIRECT("Table!A" &amp; $X141):INDIRECT("Table!" &amp; $AA$171 &amp; $X141),0)))))</f>
        <v>0.68657394734440902</v>
      </c>
      <c r="M141" s="33">
        <f ca="1">IF(ISERROR(MATCH(M$1,INDIRECT("Table!A"&amp;$X141):INDIRECT("Table!" &amp; $AA$171 &amp; $X141),0)),"",INDIRECT(CONCATENATE("Table!",ADDRESS($T141,MATCH(M$1,INDIRECT("Table!A" &amp; $X141):INDIRECT("Table!" &amp; $AA$171 &amp; $X141),0)))))</f>
        <v>0.53337339087052316</v>
      </c>
      <c r="N141" s="33">
        <f ca="1">IF(ISERROR(MATCH(N$1,INDIRECT("Table!A"&amp;$X141):INDIRECT("Table!" &amp; $AA$171 &amp; $X141),0)),"",INDIRECT(CONCATENATE("Table!",ADDRESS($T141,MATCH(N$1,INDIRECT("Table!A" &amp; $X141):INDIRECT("Table!" &amp; $AA$171 &amp; $X141),0)))))</f>
        <v>3.7500473907087837E-3</v>
      </c>
      <c r="O141" s="33">
        <f ca="1">IF(ISERROR(MATCH(O$1,INDIRECT("Table!A"&amp;$X141):INDIRECT("Table!" &amp; $AA$171 &amp; $X141),0)),"",INDIRECT(CONCATENATE("Table!",ADDRESS($T141,MATCH(O$1,INDIRECT("Table!A" &amp; $X141):INDIRECT("Table!" &amp; $AA$171 &amp; $X141),0)))))</f>
        <v>0.44288703651972677</v>
      </c>
      <c r="P141" s="33">
        <f ca="1">IF(ISERROR(MATCH(P$1,INDIRECT("Table!A"&amp;$X141):INDIRECT("Table!" &amp; $AA$171 &amp; $X141),0)),"",INDIRECT(CONCATENATE("Table!",ADDRESS($T141,MATCH(P$1,INDIRECT("Table!A" &amp; $X141):INDIRECT("Table!" &amp; $AA$171 &amp; $X141),0)))))</f>
        <v>0.4175852588263142</v>
      </c>
      <c r="T141" s="31">
        <f>MATCH($A141,Table!$A:$A,0)+$V$2-1</f>
        <v>1860</v>
      </c>
      <c r="U141" s="147"/>
      <c r="V141" s="147"/>
      <c r="W141" s="147"/>
      <c r="X141" s="31">
        <f>MATCH($A141,Table!$A:$A,0)+$Z$2-1</f>
        <v>1857</v>
      </c>
      <c r="Y141" s="147"/>
      <c r="AA141" t="s">
        <v>209</v>
      </c>
    </row>
    <row r="142" spans="1:27" ht="15.75" customHeight="1">
      <c r="A142" s="5">
        <v>40961</v>
      </c>
      <c r="B142" s="33">
        <f ca="1">IF(ISERROR(MATCH(B$1,INDIRECT("Table!A"&amp;$X142):INDIRECT("Table!" &amp; $AA$171 &amp; $X142),0)),"",INDIRECT(CONCATENATE("Table!",ADDRESS($T142,MATCH(B$1,INDIRECT("Table!A" &amp; $X142):INDIRECT("Table!" &amp; $AA$171 &amp; $X142),0)))))</f>
        <v>0.80660405053498285</v>
      </c>
      <c r="C142" s="33">
        <f ca="1">IF(ISERROR(MATCH(C$1,INDIRECT("Table!A"&amp;$X142):INDIRECT("Table!" &amp; $AA$171 &amp; $X142),0)),"",INDIRECT(CONCATENATE("Table!",ADDRESS($T142,MATCH(C$1,INDIRECT("Table!A" &amp; $X142):INDIRECT("Table!" &amp; $AA$171 &amp; $X142),0)))))</f>
        <v>0.82604944184412166</v>
      </c>
      <c r="D142" s="33">
        <f ca="1">IF(ISERROR(MATCH(D$1,INDIRECT("Table!A"&amp;$X142):INDIRECT("Table!" &amp; $AA$171 &amp; $X142),0)),"",INDIRECT(CONCATENATE("Table!",ADDRESS($T142,MATCH(D$1,INDIRECT("Table!A" &amp; $X142):INDIRECT("Table!" &amp; $AA$171 &amp; $X142),0)))))</f>
        <v>0.84327743229538565</v>
      </c>
      <c r="E142" s="33">
        <f ca="1">IF(ISERROR(MATCH(E$1,INDIRECT("Table!A"&amp;$X142):INDIRECT("Table!" &amp; $AA$171 &amp; $X142),0)),"",INDIRECT(CONCATENATE("Table!",ADDRESS($T142,MATCH(E$1,INDIRECT("Table!A" &amp; $X142):INDIRECT("Table!" &amp; $AA$171 &amp; $X142),0)))))</f>
        <v>0.84570826512215846</v>
      </c>
      <c r="F142" s="33">
        <f ca="1">IF(ISERROR(MATCH(F$1,INDIRECT("Table!A"&amp;$X142):INDIRECT("Table!" &amp; $AA$171 &amp; $X142),0)),"",INDIRECT(CONCATENATE("Table!",ADDRESS($T142,MATCH(F$1,INDIRECT("Table!A" &amp; $X142):INDIRECT("Table!" &amp; $AA$171 &amp; $X142),0)))))</f>
        <v>3.4624063930478242E-3</v>
      </c>
      <c r="G142" s="33">
        <f ca="1">IF(ISERROR(MATCH(G$1,INDIRECT("Table!A"&amp;$X142):INDIRECT("Table!" &amp; $AA$171 &amp; $X142),0)),"",INDIRECT(CONCATENATE("Table!",ADDRESS($T142,MATCH(G$1,INDIRECT("Table!A" &amp; $X142):INDIRECT("Table!" &amp; $AA$171 &amp; $X142),0)))))</f>
        <v>0.23992499448088023</v>
      </c>
      <c r="H142" s="33">
        <f ca="1">IF(ISERROR(MATCH(H$1,INDIRECT("Table!A"&amp;$X142):INDIRECT("Table!" &amp; $AA$171 &amp; $X142),0)),"",INDIRECT(CONCATENATE("Table!",ADDRESS($T142,MATCH(H$1,INDIRECT("Table!A" &amp; $X142):INDIRECT("Table!" &amp; $AA$171 &amp; $X142),0)))))</f>
        <v>0.16174490117182799</v>
      </c>
      <c r="I142" s="33" t="str">
        <f ca="1">IF(ISERROR(MATCH(I$1,INDIRECT("Table!A"&amp;$X142):INDIRECT("Table!" &amp; $AA$171 &amp; $X142),0)),"",INDIRECT(CONCATENATE("Table!",ADDRESS($T142,MATCH(I$1,INDIRECT("Table!A" &amp; $X142):INDIRECT("Table!" &amp; $AA$171 &amp; $X142),0)))))</f>
        <v/>
      </c>
      <c r="J142" s="33" t="str">
        <f ca="1">IF(ISERROR(MATCH(J$1,INDIRECT("Table!A"&amp;$X142):INDIRECT("Table!" &amp; $AA$171 &amp; $X142),0)),"",INDIRECT(CONCATENATE("Table!",ADDRESS($T142,MATCH(J$1,INDIRECT("Table!A" &amp; $X142):INDIRECT("Table!" &amp; $AA$171 &amp; $X142),0)))))</f>
        <v/>
      </c>
      <c r="K142" s="33" t="str">
        <f ca="1">IF(ISERROR(MATCH(K$1,INDIRECT("Table!A"&amp;$X142):INDIRECT("Table!" &amp; $AA$171 &amp; $X142),0)),"",INDIRECT(CONCATENATE("Table!",ADDRESS($T142,MATCH(K$1,INDIRECT("Table!A" &amp; $X142):INDIRECT("Table!" &amp; $AA$171 &amp; $X142),0)))))</f>
        <v/>
      </c>
      <c r="L142" s="33">
        <f ca="1">IF(ISERROR(MATCH(L$1,INDIRECT("Table!A"&amp;$X142):INDIRECT("Table!" &amp; $AA$171 &amp; $X142),0)),"",INDIRECT(CONCATENATE("Table!",ADDRESS($T142,MATCH(L$1,INDIRECT("Table!A" &amp; $X142):INDIRECT("Table!" &amp; $AA$171 &amp; $X142),0)))))</f>
        <v>0.68577613536131987</v>
      </c>
      <c r="M142" s="33">
        <f ca="1">IF(ISERROR(MATCH(M$1,INDIRECT("Table!A"&amp;$X142):INDIRECT("Table!" &amp; $AA$171 &amp; $X142),0)),"",INDIRECT(CONCATENATE("Table!",ADDRESS($T142,MATCH(M$1,INDIRECT("Table!A" &amp; $X142):INDIRECT("Table!" &amp; $AA$171 &amp; $X142),0)))))</f>
        <v>0.5333715700733781</v>
      </c>
      <c r="N142" s="33">
        <f ca="1">IF(ISERROR(MATCH(N$1,INDIRECT("Table!A"&amp;$X142):INDIRECT("Table!" &amp; $AA$171 &amp; $X142),0)),"",INDIRECT(CONCATENATE("Table!",ADDRESS($T142,MATCH(N$1,INDIRECT("Table!A" &amp; $X142):INDIRECT("Table!" &amp; $AA$171 &amp; $X142),0)))))</f>
        <v>3.7352120383938917E-3</v>
      </c>
      <c r="O142" s="33">
        <f ca="1">IF(ISERROR(MATCH(O$1,INDIRECT("Table!A"&amp;$X142):INDIRECT("Table!" &amp; $AA$171 &amp; $X142),0)),"",INDIRECT(CONCATENATE("Table!",ADDRESS($T142,MATCH(O$1,INDIRECT("Table!A" &amp; $X142):INDIRECT("Table!" &amp; $AA$171 &amp; $X142),0)))))</f>
        <v>0.44288420338084122</v>
      </c>
      <c r="P142" s="33">
        <f ca="1">IF(ISERROR(MATCH(P$1,INDIRECT("Table!A"&amp;$X142):INDIRECT("Table!" &amp; $AA$171 &amp; $X142),0)),"",INDIRECT(CONCATENATE("Table!",ADDRESS($T142,MATCH(P$1,INDIRECT("Table!A" &amp; $X142):INDIRECT("Table!" &amp; $AA$171 &amp; $X142),0)))))</f>
        <v>0.4175852588263142</v>
      </c>
      <c r="T142" s="31">
        <f>MATCH($A142,Table!$A:$A,0)+$V$2-1</f>
        <v>1873</v>
      </c>
      <c r="U142" s="146"/>
      <c r="V142" s="146"/>
      <c r="W142" s="146"/>
      <c r="X142" s="31">
        <f>MATCH($A142,Table!$A:$A,0)+$Z$2-1</f>
        <v>1870</v>
      </c>
      <c r="Y142" s="146"/>
      <c r="AA142" t="s">
        <v>209</v>
      </c>
    </row>
    <row r="143" spans="1:27" ht="15.75" customHeight="1">
      <c r="A143" s="5">
        <v>40960</v>
      </c>
      <c r="B143" s="33">
        <f ca="1">IF(ISERROR(MATCH(B$1,INDIRECT("Table!A"&amp;$X143):INDIRECT("Table!" &amp; $AA$171 &amp; $X143),0)),"",INDIRECT(CONCATENATE("Table!",ADDRESS($T143,MATCH(B$1,INDIRECT("Table!A" &amp; $X143):INDIRECT("Table!" &amp; $AA$171 &amp; $X143),0)))))</f>
        <v>0.80608858127663696</v>
      </c>
      <c r="C143" s="33">
        <f ca="1">IF(ISERROR(MATCH(C$1,INDIRECT("Table!A"&amp;$X143):INDIRECT("Table!" &amp; $AA$171 &amp; $X143),0)),"",INDIRECT(CONCATENATE("Table!",ADDRESS($T143,MATCH(C$1,INDIRECT("Table!A" &amp; $X143):INDIRECT("Table!" &amp; $AA$171 &amp; $X143),0)))))</f>
        <v>0.82599942227396483</v>
      </c>
      <c r="D143" s="33">
        <f ca="1">IF(ISERROR(MATCH(D$1,INDIRECT("Table!A"&amp;$X143):INDIRECT("Table!" &amp; $AA$171 &amp; $X143),0)),"",INDIRECT(CONCATENATE("Table!",ADDRESS($T143,MATCH(D$1,INDIRECT("Table!A" &amp; $X143):INDIRECT("Table!" &amp; $AA$171 &amp; $X143),0)))))</f>
        <v>0.84322741272522883</v>
      </c>
      <c r="E143" s="33">
        <f ca="1">IF(ISERROR(MATCH(E$1,INDIRECT("Table!A"&amp;$X143):INDIRECT("Table!" &amp; $AA$171 &amp; $X143),0)),"",INDIRECT(CONCATENATE("Table!",ADDRESS($T143,MATCH(E$1,INDIRECT("Table!A" &amp; $X143):INDIRECT("Table!" &amp; $AA$171 &amp; $X143),0)))))</f>
        <v>0.84364509293988443</v>
      </c>
      <c r="F143" s="33">
        <f ca="1">IF(ISERROR(MATCH(F$1,INDIRECT("Table!A"&amp;$X143):INDIRECT("Table!" &amp; $AA$171 &amp; $X143),0)),"",INDIRECT(CONCATENATE("Table!",ADDRESS($T143,MATCH(F$1,INDIRECT("Table!A" &amp; $X143):INDIRECT("Table!" &amp; $AA$171 &amp; $X143),0)))))</f>
        <v>2.3926126538961756E-3</v>
      </c>
      <c r="G143" s="33">
        <f ca="1">IF(ISERROR(MATCH(G$1,INDIRECT("Table!A"&amp;$X143):INDIRECT("Table!" &amp; $AA$171 &amp; $X143),0)),"",INDIRECT(CONCATENATE("Table!",ADDRESS($T143,MATCH(G$1,INDIRECT("Table!A" &amp; $X143):INDIRECT("Table!" &amp; $AA$171 &amp; $X143),0)))))</f>
        <v>0.23912733404256675</v>
      </c>
      <c r="H143" s="33">
        <f ca="1">IF(ISERROR(MATCH(H$1,INDIRECT("Table!A"&amp;$X143):INDIRECT("Table!" &amp; $AA$171 &amp; $X143),0)),"",INDIRECT(CONCATENATE("Table!",ADDRESS($T143,MATCH(H$1,INDIRECT("Table!A" &amp; $X143):INDIRECT("Table!" &amp; $AA$171 &amp; $X143),0)))))</f>
        <v>0.16173583512319112</v>
      </c>
      <c r="I143" s="33" t="str">
        <f ca="1">IF(ISERROR(MATCH(I$1,INDIRECT("Table!A"&amp;$X143):INDIRECT("Table!" &amp; $AA$171 &amp; $X143),0)),"",INDIRECT(CONCATENATE("Table!",ADDRESS($T143,MATCH(I$1,INDIRECT("Table!A" &amp; $X143):INDIRECT("Table!" &amp; $AA$171 &amp; $X143),0)))))</f>
        <v/>
      </c>
      <c r="J143" s="33" t="str">
        <f ca="1">IF(ISERROR(MATCH(J$1,INDIRECT("Table!A"&amp;$X143):INDIRECT("Table!" &amp; $AA$171 &amp; $X143),0)),"",INDIRECT(CONCATENATE("Table!",ADDRESS($T143,MATCH(J$1,INDIRECT("Table!A" &amp; $X143):INDIRECT("Table!" &amp; $AA$171 &amp; $X143),0)))))</f>
        <v/>
      </c>
      <c r="K143" s="33" t="str">
        <f ca="1">IF(ISERROR(MATCH(K$1,INDIRECT("Table!A"&amp;$X143):INDIRECT("Table!" &amp; $AA$171 &amp; $X143),0)),"",INDIRECT(CONCATENATE("Table!",ADDRESS($T143,MATCH(K$1,INDIRECT("Table!A" &amp; $X143):INDIRECT("Table!" &amp; $AA$171 &amp; $X143),0)))))</f>
        <v/>
      </c>
      <c r="L143" s="33">
        <f ca="1">IF(ISERROR(MATCH(L$1,INDIRECT("Table!A"&amp;$X143):INDIRECT("Table!" &amp; $AA$171 &amp; $X143),0)),"",INDIRECT(CONCATENATE("Table!",ADDRESS($T143,MATCH(L$1,INDIRECT("Table!A" &amp; $X143):INDIRECT("Table!" &amp; $AA$171 &amp; $X143),0)))))</f>
        <v>0.68455426642240991</v>
      </c>
      <c r="M143" s="33">
        <f ca="1">IF(ISERROR(MATCH(M$1,INDIRECT("Table!A"&amp;$X143):INDIRECT("Table!" &amp; $AA$171 &amp; $X143),0)),"",INDIRECT(CONCATENATE("Table!",ADDRESS($T143,MATCH(M$1,INDIRECT("Table!A" &amp; $X143):INDIRECT("Table!" &amp; $AA$171 &amp; $X143),0)))))</f>
        <v>0.5333606452905082</v>
      </c>
      <c r="N143" s="33">
        <f ca="1">IF(ISERROR(MATCH(N$1,INDIRECT("Table!A"&amp;$X143):INDIRECT("Table!" &amp; $AA$171 &amp; $X143),0)),"",INDIRECT(CONCATENATE("Table!",ADDRESS($T143,MATCH(N$1,INDIRECT("Table!A" &amp; $X143):INDIRECT("Table!" &amp; $AA$171 &amp; $X143),0)))))</f>
        <v>2.6654182992422431E-3</v>
      </c>
      <c r="O143" s="33">
        <f ca="1">IF(ISERROR(MATCH(O$1,INDIRECT("Table!A"&amp;$X143):INDIRECT("Table!" &amp; $AA$171 &amp; $X143),0)),"",INDIRECT(CONCATENATE("Table!",ADDRESS($T143,MATCH(O$1,INDIRECT("Table!A" &amp; $X143):INDIRECT("Table!" &amp; $AA$171 &amp; $X143),0)))))</f>
        <v>0.44296523115296849</v>
      </c>
      <c r="P143" s="33">
        <f ca="1">IF(ISERROR(MATCH(P$1,INDIRECT("Table!A"&amp;$X143):INDIRECT("Table!" &amp; $AA$171 &amp; $X143),0)),"",INDIRECT(CONCATENATE("Table!",ADDRESS($T143,MATCH(P$1,INDIRECT("Table!A" &amp; $X143):INDIRECT("Table!" &amp; $AA$171 &amp; $X143),0)))))</f>
        <v>0.41756887165200923</v>
      </c>
      <c r="T143" s="31">
        <f>MATCH($A143,Table!$A:$A,0)+$V$2-1</f>
        <v>1886</v>
      </c>
      <c r="U143" s="145"/>
      <c r="V143" s="145"/>
      <c r="W143" s="145"/>
      <c r="X143" s="31">
        <f>MATCH($A143,Table!$A:$A,0)+$Z$2-1</f>
        <v>1883</v>
      </c>
      <c r="Y143" s="145"/>
      <c r="AA143" t="s">
        <v>209</v>
      </c>
    </row>
    <row r="144" spans="1:27" ht="15.75" customHeight="1">
      <c r="A144" s="5">
        <v>40959</v>
      </c>
      <c r="B144" s="33">
        <f ca="1">IF(ISERROR(MATCH(B$1,INDIRECT("Table!A"&amp;$X144):INDIRECT("Table!" &amp; $AA$171 &amp; $X144),0)),"",INDIRECT(CONCATENATE("Table!",ADDRESS($T144,MATCH(B$1,INDIRECT("Table!A" &amp; $X144):INDIRECT("Table!" &amp; $AA$171 &amp; $X144),0)))))</f>
        <v>0.80579242389705119</v>
      </c>
      <c r="C144" s="33">
        <f ca="1">IF(ISERROR(MATCH(C$1,INDIRECT("Table!A"&amp;$X144):INDIRECT("Table!" &amp; $AA$171 &amp; $X144),0)),"",INDIRECT(CONCATENATE("Table!",ADDRESS($T144,MATCH(C$1,INDIRECT("Table!A" &amp; $X144):INDIRECT("Table!" &amp; $AA$171 &amp; $X144),0)))))</f>
        <v>0.82597566297814018</v>
      </c>
      <c r="D144" s="33">
        <f ca="1">IF(ISERROR(MATCH(D$1,INDIRECT("Table!A"&amp;$X144):INDIRECT("Table!" &amp; $AA$171 &amp; $X144),0)),"",INDIRECT(CONCATENATE("Table!",ADDRESS($T144,MATCH(D$1,INDIRECT("Table!A" &amp; $X144):INDIRECT("Table!" &amp; $AA$171 &amp; $X144),0)))))</f>
        <v>0.84320365342940418</v>
      </c>
      <c r="E144" s="33">
        <f ca="1">IF(ISERROR(MATCH(E$1,INDIRECT("Table!A"&amp;$X144):INDIRECT("Table!" &amp; $AA$171 &amp; $X144),0)),"",INDIRECT(CONCATENATE("Table!",ADDRESS($T144,MATCH(E$1,INDIRECT("Table!A" &amp; $X144):INDIRECT("Table!" &amp; $AA$171 &amp; $X144),0)))))</f>
        <v>0.84257853782870884</v>
      </c>
      <c r="F144" s="33">
        <f ca="1">IF(ISERROR(MATCH(F$1,INDIRECT("Table!A"&amp;$X144):INDIRECT("Table!" &amp; $AA$171 &amp; $X144),0)),"",INDIRECT(CONCATENATE("Table!",ADDRESS($T144,MATCH(F$1,INDIRECT("Table!A" &amp; $X144):INDIRECT("Table!" &amp; $AA$171 &amp; $X144),0)))))</f>
        <v>1.8568915980806352E-3</v>
      </c>
      <c r="G144" s="33">
        <f ca="1">IF(ISERROR(MATCH(G$1,INDIRECT("Table!A"&amp;$X144):INDIRECT("Table!" &amp; $AA$171 &amp; $X144),0)),"",INDIRECT(CONCATENATE("Table!",ADDRESS($T144,MATCH(G$1,INDIRECT("Table!A" &amp; $X144):INDIRECT("Table!" &amp; $AA$171 &amp; $X144),0)))))</f>
        <v>0.23879482411042238</v>
      </c>
      <c r="H144" s="33">
        <f ca="1">IF(ISERROR(MATCH(H$1,INDIRECT("Table!A"&amp;$X144):INDIRECT("Table!" &amp; $AA$171 &amp; $X144),0)),"",INDIRECT(CONCATENATE("Table!",ADDRESS($T144,MATCH(H$1,INDIRECT("Table!A" &amp; $X144):INDIRECT("Table!" &amp; $AA$171 &amp; $X144),0)))))</f>
        <v>0.16173253837823223</v>
      </c>
      <c r="I144" s="33" t="str">
        <f ca="1">IF(ISERROR(MATCH(I$1,INDIRECT("Table!A"&amp;$X144):INDIRECT("Table!" &amp; $AA$171 &amp; $X144),0)),"",INDIRECT(CONCATENATE("Table!",ADDRESS($T144,MATCH(I$1,INDIRECT("Table!A" &amp; $X144):INDIRECT("Table!" &amp; $AA$171 &amp; $X144),0)))))</f>
        <v/>
      </c>
      <c r="J144" s="33" t="str">
        <f ca="1">IF(ISERROR(MATCH(J$1,INDIRECT("Table!A"&amp;$X144):INDIRECT("Table!" &amp; $AA$171 &amp; $X144),0)),"",INDIRECT(CONCATENATE("Table!",ADDRESS($T144,MATCH(J$1,INDIRECT("Table!A" &amp; $X144):INDIRECT("Table!" &amp; $AA$171 &amp; $X144),0)))))</f>
        <v/>
      </c>
      <c r="K144" s="33" t="str">
        <f ca="1">IF(ISERROR(MATCH(K$1,INDIRECT("Table!A"&amp;$X144):INDIRECT("Table!" &amp; $AA$171 &amp; $X144),0)),"",INDIRECT(CONCATENATE("Table!",ADDRESS($T144,MATCH(K$1,INDIRECT("Table!A" &amp; $X144):INDIRECT("Table!" &amp; $AA$171 &amp; $X144),0)))))</f>
        <v/>
      </c>
      <c r="L144" s="33">
        <f ca="1">IF(ISERROR(MATCH(L$1,INDIRECT("Table!A"&amp;$X144):INDIRECT("Table!" &amp; $AA$171 &amp; $X144),0)),"",INDIRECT(CONCATENATE("Table!",ADDRESS($T144,MATCH(L$1,INDIRECT("Table!A" &amp; $X144):INDIRECT("Table!" &amp; $AA$171 &amp; $X144),0)))))</f>
        <v>0.6841922095180607</v>
      </c>
      <c r="M144" s="33">
        <f ca="1">IF(ISERROR(MATCH(M$1,INDIRECT("Table!A"&amp;$X144):INDIRECT("Table!" &amp; $AA$171 &amp; $X144),0)),"",INDIRECT(CONCATENATE("Table!",ADDRESS($T144,MATCH(M$1,INDIRECT("Table!A" &amp; $X144):INDIRECT("Table!" &amp; $AA$171 &amp; $X144),0)))))</f>
        <v>0.53330237978186845</v>
      </c>
      <c r="N144" s="33">
        <f ca="1">IF(ISERROR(MATCH(N$1,INDIRECT("Table!A"&amp;$X144):INDIRECT("Table!" &amp; $AA$171 &amp; $X144),0)),"",INDIRECT(CONCATENATE("Table!",ADDRESS($T144,MATCH(N$1,INDIRECT("Table!A" &amp; $X144):INDIRECT("Table!" &amp; $AA$171 &amp; $X144),0)))))</f>
        <v>2.12804887094727E-3</v>
      </c>
      <c r="O144" s="33">
        <f ca="1">IF(ISERROR(MATCH(O$1,INDIRECT("Table!A"&amp;$X144):INDIRECT("Table!" &amp; $AA$171 &amp; $X144),0)),"",INDIRECT(CONCATENATE("Table!",ADDRESS($T144,MATCH(O$1,INDIRECT("Table!A" &amp; $X144):INDIRECT("Table!" &amp; $AA$171 &amp; $X144),0)))))</f>
        <v>0.44285190559754578</v>
      </c>
      <c r="P144" s="33">
        <f ca="1">IF(ISERROR(MATCH(P$1,INDIRECT("Table!A"&amp;$X144):INDIRECT("Table!" &amp; $AA$171 &amp; $X144),0)),"",INDIRECT(CONCATENATE("Table!",ADDRESS($T144,MATCH(P$1,INDIRECT("Table!A" &amp; $X144):INDIRECT("Table!" &amp; $AA$171 &amp; $X144),0)))))</f>
        <v>0.41755976766628428</v>
      </c>
      <c r="T144" s="31">
        <f>MATCH($A144,Table!$A:$A,0)+$V$2-1</f>
        <v>1899</v>
      </c>
      <c r="U144" s="144"/>
      <c r="V144" s="144"/>
      <c r="W144" s="144"/>
      <c r="X144" s="31">
        <f>MATCH($A144,Table!$A:$A,0)+$Z$2-1</f>
        <v>1896</v>
      </c>
      <c r="Y144" s="144"/>
      <c r="AA144" t="s">
        <v>209</v>
      </c>
    </row>
    <row r="145" spans="1:27" ht="15.75" customHeight="1">
      <c r="A145" s="5">
        <v>40956</v>
      </c>
      <c r="B145" s="33">
        <f ca="1">IF(ISERROR(MATCH(B$1,INDIRECT("Table!A"&amp;$X145):INDIRECT("Table!" &amp; $AA$171 &amp; $X145),0)),"",INDIRECT(CONCATENATE("Table!",ADDRESS($T145,MATCH(B$1,INDIRECT("Table!A" &amp; $X145):INDIRECT("Table!" &amp; $AA$171 &amp; $X145),0)))))</f>
        <v>0.80399303037210479</v>
      </c>
      <c r="C145" s="33">
        <f ca="1">IF(ISERROR(MATCH(C$1,INDIRECT("Table!A"&amp;$X145):INDIRECT("Table!" &amp; $AA$171 &amp; $X145),0)),"",INDIRECT(CONCATENATE("Table!",ADDRESS($T145,MATCH(C$1,INDIRECT("Table!A" &amp; $X145):INDIRECT("Table!" &amp; $AA$171 &amp; $X145),0)))))</f>
        <v>0.82587062188081095</v>
      </c>
      <c r="D145" s="33">
        <f ca="1">IF(ISERROR(MATCH(D$1,INDIRECT("Table!A"&amp;$X145):INDIRECT("Table!" &amp; $AA$171 &amp; $X145),0)),"",INDIRECT(CONCATENATE("Table!",ADDRESS($T145,MATCH(D$1,INDIRECT("Table!A" &amp; $X145):INDIRECT("Table!" &amp; $AA$171 &amp; $X145),0)))))</f>
        <v>0.84309861233207495</v>
      </c>
      <c r="E145" s="33">
        <f ca="1">IF(ISERROR(MATCH(E$1,INDIRECT("Table!A"&amp;$X145):INDIRECT("Table!" &amp; $AA$171 &amp; $X145),0)),"",INDIRECT(CONCATENATE("Table!",ADDRESS($T145,MATCH(E$1,INDIRECT("Table!A" &amp; $X145):INDIRECT("Table!" &amp; $AA$171 &amp; $X145),0)))))</f>
        <v>0.83943715419524623</v>
      </c>
      <c r="F145" s="33">
        <f ca="1">IF(ISERROR(MATCH(F$1,INDIRECT("Table!A"&amp;$X145):INDIRECT("Table!" &amp; $AA$171 &amp; $X145),0)),"",INDIRECT(CONCATENATE("Table!",ADDRESS($T145,MATCH(F$1,INDIRECT("Table!A" &amp; $X145):INDIRECT("Table!" &amp; $AA$171 &amp; $X145),0)))))</f>
        <v>1.1283109621715E-3</v>
      </c>
      <c r="G145" s="33">
        <f ca="1">IF(ISERROR(MATCH(G$1,INDIRECT("Table!A"&amp;$X145):INDIRECT("Table!" &amp; $AA$171 &amp; $X145),0)),"",INDIRECT(CONCATENATE("Table!",ADDRESS($T145,MATCH(G$1,INDIRECT("Table!A" &amp; $X145):INDIRECT("Table!" &amp; $AA$171 &amp; $X145),0)))))</f>
        <v>0.23547063328606122</v>
      </c>
      <c r="H145" s="33">
        <f ca="1">IF(ISERROR(MATCH(H$1,INDIRECT("Table!A"&amp;$X145):INDIRECT("Table!" &amp; $AA$171 &amp; $X145),0)),"",INDIRECT(CONCATENATE("Table!",ADDRESS($T145,MATCH(H$1,INDIRECT("Table!A" &amp; $X145):INDIRECT("Table!" &amp; $AA$171 &amp; $X145),0)))))</f>
        <v>0.16172512070207481</v>
      </c>
      <c r="I145" s="33" t="str">
        <f ca="1">IF(ISERROR(MATCH(I$1,INDIRECT("Table!A"&amp;$X145):INDIRECT("Table!" &amp; $AA$171 &amp; $X145),0)),"",INDIRECT(CONCATENATE("Table!",ADDRESS($T145,MATCH(I$1,INDIRECT("Table!A" &amp; $X145):INDIRECT("Table!" &amp; $AA$171 &amp; $X145),0)))))</f>
        <v/>
      </c>
      <c r="J145" s="33" t="str">
        <f ca="1">IF(ISERROR(MATCH(J$1,INDIRECT("Table!A"&amp;$X145):INDIRECT("Table!" &amp; $AA$171 &amp; $X145),0)),"",INDIRECT(CONCATENATE("Table!",ADDRESS($T145,MATCH(J$1,INDIRECT("Table!A" &amp; $X145):INDIRECT("Table!" &amp; $AA$171 &amp; $X145),0)))))</f>
        <v/>
      </c>
      <c r="K145" s="33" t="str">
        <f ca="1">IF(ISERROR(MATCH(K$1,INDIRECT("Table!A"&amp;$X145):INDIRECT("Table!" &amp; $AA$171 &amp; $X145),0)),"",INDIRECT(CONCATENATE("Table!",ADDRESS($T145,MATCH(K$1,INDIRECT("Table!A" &amp; $X145):INDIRECT("Table!" &amp; $AA$171 &amp; $X145),0)))))</f>
        <v/>
      </c>
      <c r="L145" s="33">
        <f ca="1">IF(ISERROR(MATCH(L$1,INDIRECT("Table!A"&amp;$X145):INDIRECT("Table!" &amp; $AA$171 &amp; $X145),0)),"",INDIRECT(CONCATENATE("Table!",ADDRESS($T145,MATCH(L$1,INDIRECT("Table!A" &amp; $X145):INDIRECT("Table!" &amp; $AA$171 &amp; $X145),0)))))</f>
        <v>0.67863267660071258</v>
      </c>
      <c r="M145" s="33">
        <f ca="1">IF(ISERROR(MATCH(M$1,INDIRECT("Table!A"&amp;$X145):INDIRECT("Table!" &amp; $AA$171 &amp; $X145),0)),"",INDIRECT(CONCATENATE("Table!",ADDRESS($T145,MATCH(M$1,INDIRECT("Table!A" &amp; $X145):INDIRECT("Table!" &amp; $AA$171 &amp; $X145),0)))))</f>
        <v>0.53315125361883431</v>
      </c>
      <c r="N145" s="33">
        <f ca="1">IF(ISERROR(MATCH(N$1,INDIRECT("Table!A"&amp;$X145):INDIRECT("Table!" &amp; $AA$171 &amp; $X145),0)),"",INDIRECT(CONCATENATE("Table!",ADDRESS($T145,MATCH(N$1,INDIRECT("Table!A" &amp; $X145):INDIRECT("Table!" &amp; $AA$171 &amp; $X145),0)))))</f>
        <v>1.3961714900792702E-3</v>
      </c>
      <c r="O145" s="33">
        <f ca="1">IF(ISERROR(MATCH(O$1,INDIRECT("Table!A"&amp;$X145):INDIRECT("Table!" &amp; $AA$171 &amp; $X145),0)),"",INDIRECT(CONCATENATE("Table!",ADDRESS($T145,MATCH(O$1,INDIRECT("Table!A" &amp; $X145):INDIRECT("Table!" &amp; $AA$171 &amp; $X145),0)))))</f>
        <v>0.4428360400197866</v>
      </c>
      <c r="P145" s="33">
        <f ca="1">IF(ISERROR(MATCH(P$1,INDIRECT("Table!A"&amp;$X145):INDIRECT("Table!" &amp; $AA$171 &amp; $X145),0)),"",INDIRECT(CONCATENATE("Table!",ADDRESS($T145,MATCH(P$1,INDIRECT("Table!A" &amp; $X145):INDIRECT("Table!" &amp; $AA$171 &amp; $X145),0)))))</f>
        <v>0.41755066368055932</v>
      </c>
      <c r="T145" s="31">
        <f>MATCH($A145,Table!$A:$A,0)+$V$2-1</f>
        <v>1912</v>
      </c>
      <c r="U145" s="143"/>
      <c r="V145" s="143"/>
      <c r="W145" s="143"/>
      <c r="X145" s="31">
        <f>MATCH($A145,Table!$A:$A,0)+$Z$2-1</f>
        <v>1909</v>
      </c>
      <c r="Y145" s="143"/>
      <c r="AA145" t="s">
        <v>209</v>
      </c>
    </row>
    <row r="146" spans="1:27" ht="15.75" customHeight="1">
      <c r="A146" s="5">
        <v>40955</v>
      </c>
      <c r="B146" s="33">
        <f ca="1">IF(ISERROR(MATCH(B$1,INDIRECT("Table!A"&amp;$X146):INDIRECT("Table!" &amp; $AA$171 &amp; $X146),0)),"",INDIRECT(CONCATENATE("Table!",ADDRESS($T146,MATCH(B$1,INDIRECT("Table!A" &amp; $X146):INDIRECT("Table!" &amp; $AA$171 &amp; $X146),0)))))</f>
        <v>0.80185603470308275</v>
      </c>
      <c r="C146" s="33">
        <f ca="1">IF(ISERROR(MATCH(C$1,INDIRECT("Table!A"&amp;$X146):INDIRECT("Table!" &amp; $AA$171 &amp; $X146),0)),"",INDIRECT(CONCATENATE("Table!",ADDRESS($T146,MATCH(C$1,INDIRECT("Table!A" &amp; $X146):INDIRECT("Table!" &amp; $AA$171 &amp; $X146),0)))))</f>
        <v>0.82584186062797071</v>
      </c>
      <c r="D146" s="33">
        <f ca="1">IF(ISERROR(MATCH(D$1,INDIRECT("Table!A"&amp;$X146):INDIRECT("Table!" &amp; $AA$171 &amp; $X146),0)),"",INDIRECT(CONCATENATE("Table!",ADDRESS($T146,MATCH(D$1,INDIRECT("Table!A" &amp; $X146):INDIRECT("Table!" &amp; $AA$171 &amp; $X146),0)))))</f>
        <v>0.84306985107923471</v>
      </c>
      <c r="E146" s="33">
        <f ca="1">IF(ISERROR(MATCH(E$1,INDIRECT("Table!A"&amp;$X146):INDIRECT("Table!" &amp; $AA$171 &amp; $X146),0)),"",INDIRECT(CONCATENATE("Table!",ADDRESS($T146,MATCH(E$1,INDIRECT("Table!A" &amp; $X146):INDIRECT("Table!" &amp; $AA$171 &amp; $X146),0)))))</f>
        <v>0.8376427254077129</v>
      </c>
      <c r="F146" s="33">
        <f ca="1">IF(ISERROR(MATCH(F$1,INDIRECT("Table!A"&amp;$X146):INDIRECT("Table!" &amp; $AA$171 &amp; $X146),0)),"",INDIRECT(CONCATENATE("Table!",ADDRESS($T146,MATCH(F$1,INDIRECT("Table!A" &amp; $X146):INDIRECT("Table!" &amp; $AA$171 &amp; $X146),0)))))</f>
        <v>7.9121879012756754E-4</v>
      </c>
      <c r="G146" s="33">
        <f ca="1">IF(ISERROR(MATCH(G$1,INDIRECT("Table!A"&amp;$X146):INDIRECT("Table!" &amp; $AA$171 &amp; $X146),0)),"",INDIRECT(CONCATENATE("Table!",ADDRESS($T146,MATCH(G$1,INDIRECT("Table!A" &amp; $X146):INDIRECT("Table!" &amp; $AA$171 &amp; $X146),0)))))</f>
        <v>0.23498367884991536</v>
      </c>
      <c r="H146" s="33">
        <f ca="1">IF(ISERROR(MATCH(H$1,INDIRECT("Table!A"&amp;$X146):INDIRECT("Table!" &amp; $AA$171 &amp; $X146),0)),"",INDIRECT(CONCATENATE("Table!",ADDRESS($T146,MATCH(H$1,INDIRECT("Table!A" &amp; $X146):INDIRECT("Table!" &amp; $AA$171 &amp; $X146),0)))))</f>
        <v>0.16172099977087623</v>
      </c>
      <c r="I146" s="33" t="str">
        <f ca="1">IF(ISERROR(MATCH(I$1,INDIRECT("Table!A"&amp;$X146):INDIRECT("Table!" &amp; $AA$171 &amp; $X146),0)),"",INDIRECT(CONCATENATE("Table!",ADDRESS($T146,MATCH(I$1,INDIRECT("Table!A" &amp; $X146):INDIRECT("Table!" &amp; $AA$171 &amp; $X146),0)))))</f>
        <v/>
      </c>
      <c r="J146" s="33" t="str">
        <f ca="1">IF(ISERROR(MATCH(J$1,INDIRECT("Table!A"&amp;$X146):INDIRECT("Table!" &amp; $AA$171 &amp; $X146),0)),"",INDIRECT(CONCATENATE("Table!",ADDRESS($T146,MATCH(J$1,INDIRECT("Table!A" &amp; $X146):INDIRECT("Table!" &amp; $AA$171 &amp; $X146),0)))))</f>
        <v/>
      </c>
      <c r="K146" s="33" t="str">
        <f ca="1">IF(ISERROR(MATCH(K$1,INDIRECT("Table!A"&amp;$X146):INDIRECT("Table!" &amp; $AA$171 &amp; $X146),0)),"",INDIRECT(CONCATENATE("Table!",ADDRESS($T146,MATCH(K$1,INDIRECT("Table!A" &amp; $X146):INDIRECT("Table!" &amp; $AA$171 &amp; $X146),0)))))</f>
        <v/>
      </c>
      <c r="L146" s="33">
        <f ca="1">IF(ISERROR(MATCH(L$1,INDIRECT("Table!A"&amp;$X146):INDIRECT("Table!" &amp; $AA$171 &amp; $X146),0)),"",INDIRECT(CONCATENATE("Table!",ADDRESS($T146,MATCH(L$1,INDIRECT("Table!A" &amp; $X146):INDIRECT("Table!" &amp; $AA$171 &amp; $X146),0)))))</f>
        <v>0.67814018562581446</v>
      </c>
      <c r="M146" s="33">
        <f ca="1">IF(ISERROR(MATCH(M$1,INDIRECT("Table!A"&amp;$X146):INDIRECT("Table!" &amp; $AA$171 &amp; $X146),0)),"",INDIRECT(CONCATENATE("Table!",ADDRESS($T146,MATCH(M$1,INDIRECT("Table!A" &amp; $X146):INDIRECT("Table!" &amp; $AA$171 &amp; $X146),0)))))</f>
        <v>0.53307295934159982</v>
      </c>
      <c r="N146" s="33">
        <f ca="1">IF(ISERROR(MATCH(N$1,INDIRECT("Table!A"&amp;$X146):INDIRECT("Table!" &amp; $AA$171 &amp; $X146),0)),"",INDIRECT(CONCATENATE("Table!",ADDRESS($T146,MATCH(N$1,INDIRECT("Table!A" &amp; $X146):INDIRECT("Table!" &amp; $AA$171 &amp; $X146),0)))))</f>
        <v>1.0599035042750538E-3</v>
      </c>
      <c r="O146" s="33">
        <f ca="1">IF(ISERROR(MATCH(O$1,INDIRECT("Table!A"&amp;$X146):INDIRECT("Table!" &amp; $AA$171 &amp; $X146),0)),"",INDIRECT(CONCATENATE("Table!",ADDRESS($T146,MATCH(O$1,INDIRECT("Table!A" &amp; $X146):INDIRECT("Table!" &amp; $AA$171 &amp; $X146),0)))))</f>
        <v>0.44282810723090704</v>
      </c>
      <c r="P146" s="33">
        <f ca="1">IF(ISERROR(MATCH(P$1,INDIRECT("Table!A"&amp;$X146):INDIRECT("Table!" &amp; $AA$171 &amp; $X146),0)),"",INDIRECT(CONCATENATE("Table!",ADDRESS($T146,MATCH(P$1,INDIRECT("Table!A" &amp; $X146):INDIRECT("Table!" &amp; $AA$171 &amp; $X146),0)))))</f>
        <v>0.41754520128912437</v>
      </c>
      <c r="T146" s="31">
        <f>MATCH($A146,Table!$A:$A,0)+$V$2-1</f>
        <v>1925</v>
      </c>
      <c r="U146" s="141"/>
      <c r="V146" s="141"/>
      <c r="W146" s="141"/>
      <c r="X146" s="31">
        <f>MATCH($A146,Table!$A:$A,0)+$Z$2-1</f>
        <v>1922</v>
      </c>
      <c r="Y146" s="141"/>
      <c r="AA146" t="s">
        <v>209</v>
      </c>
    </row>
    <row r="147" spans="1:27" ht="15.75" customHeight="1">
      <c r="A147" s="5">
        <v>40954</v>
      </c>
      <c r="B147" s="33">
        <f ca="1">IF(ISERROR(MATCH(B$1,INDIRECT("Table!A"&amp;$X147):INDIRECT("Table!" &amp; $AA$171 &amp; $X147),0)),"",INDIRECT(CONCATENATE("Table!",ADDRESS($T147,MATCH(B$1,INDIRECT("Table!A" &amp; $X147):INDIRECT("Table!" &amp; $AA$171 &amp; $X147),0)))))</f>
        <v>0.80114629311118934</v>
      </c>
      <c r="C147" s="33">
        <f ca="1">IF(ISERROR(MATCH(C$1,INDIRECT("Table!A"&amp;$X147):INDIRECT("Table!" &amp; $AA$171 &amp; $X147),0)),"",INDIRECT(CONCATENATE("Table!",ADDRESS($T147,MATCH(C$1,INDIRECT("Table!A" &amp; $X147):INDIRECT("Table!" &amp; $AA$171 &amp; $X147),0)))))</f>
        <v>0.82581810133214628</v>
      </c>
      <c r="D147" s="33">
        <f ca="1">IF(ISERROR(MATCH(D$1,INDIRECT("Table!A"&amp;$X147):INDIRECT("Table!" &amp; $AA$171 &amp; $X147),0)),"",INDIRECT(CONCATENATE("Table!",ADDRESS($T147,MATCH(D$1,INDIRECT("Table!A" &amp; $X147):INDIRECT("Table!" &amp; $AA$171 &amp; $X147),0)))))</f>
        <v>0.84304484129415636</v>
      </c>
      <c r="E147" s="33">
        <f ca="1">IF(ISERROR(MATCH(E$1,INDIRECT("Table!A"&amp;$X147):INDIRECT("Table!" &amp; $AA$171 &amp; $X147),0)),"",INDIRECT(CONCATENATE("Table!",ADDRESS($T147,MATCH(E$1,INDIRECT("Table!A" &amp; $X147):INDIRECT("Table!" &amp; $AA$171 &amp; $X147),0)))))</f>
        <v>0.83707480261930922</v>
      </c>
      <c r="F147" s="33">
        <f ca="1">IF(ISERROR(MATCH(F$1,INDIRECT("Table!A"&amp;$X147):INDIRECT("Table!" &amp; $AA$171 &amp; $X147),0)),"",INDIRECT(CONCATENATE("Table!",ADDRESS($T147,MATCH(F$1,INDIRECT("Table!A" &amp; $X147):INDIRECT("Table!" &amp; $AA$171 &amp; $X147),0)))))</f>
        <v>7.9121879012756754E-4</v>
      </c>
      <c r="G147" s="33">
        <f ca="1">IF(ISERROR(MATCH(G$1,INDIRECT("Table!A"&amp;$X147):INDIRECT("Table!" &amp; $AA$171 &amp; $X147),0)),"",INDIRECT(CONCATENATE("Table!",ADDRESS($T147,MATCH(G$1,INDIRECT("Table!A" &amp; $X147):INDIRECT("Table!" &amp; $AA$171 &amp; $X147),0)))))</f>
        <v>0.23420237135908437</v>
      </c>
      <c r="H147" s="33">
        <f ca="1">IF(ISERROR(MATCH(H$1,INDIRECT("Table!A"&amp;$X147):INDIRECT("Table!" &amp; $AA$171 &amp; $X147),0)),"",INDIRECT(CONCATENATE("Table!",ADDRESS($T147,MATCH(H$1,INDIRECT("Table!A" &amp; $X147):INDIRECT("Table!" &amp; $AA$171 &amp; $X147),0)))))</f>
        <v>0.16167649371393156</v>
      </c>
      <c r="I147" s="33" t="str">
        <f ca="1">IF(ISERROR(MATCH(I$1,INDIRECT("Table!A"&amp;$X147):INDIRECT("Table!" &amp; $AA$171 &amp; $X147),0)),"",INDIRECT(CONCATENATE("Table!",ADDRESS($T147,MATCH(I$1,INDIRECT("Table!A" &amp; $X147):INDIRECT("Table!" &amp; $AA$171 &amp; $X147),0)))))</f>
        <v/>
      </c>
      <c r="J147" s="33" t="str">
        <f ca="1">IF(ISERROR(MATCH(J$1,INDIRECT("Table!A"&amp;$X147):INDIRECT("Table!" &amp; $AA$171 &amp; $X147),0)),"",INDIRECT(CONCATENATE("Table!",ADDRESS($T147,MATCH(J$1,INDIRECT("Table!A" &amp; $X147):INDIRECT("Table!" &amp; $AA$171 &amp; $X147),0)))))</f>
        <v/>
      </c>
      <c r="K147" s="33" t="str">
        <f ca="1">IF(ISERROR(MATCH(K$1,INDIRECT("Table!A"&amp;$X147):INDIRECT("Table!" &amp; $AA$171 &amp; $X147),0)),"",INDIRECT(CONCATENATE("Table!",ADDRESS($T147,MATCH(K$1,INDIRECT("Table!A" &amp; $X147):INDIRECT("Table!" &amp; $AA$171 &amp; $X147),0)))))</f>
        <v/>
      </c>
      <c r="L147" s="33">
        <f ca="1">IF(ISERROR(MATCH(L$1,INDIRECT("Table!A"&amp;$X147):INDIRECT("Table!" &amp; $AA$171 &amp; $X147),0)),"",INDIRECT(CONCATENATE("Table!",ADDRESS($T147,MATCH(L$1,INDIRECT("Table!A" &amp; $X147):INDIRECT("Table!" &amp; $AA$171 &amp; $X147),0)))))</f>
        <v>0.67744590203056021</v>
      </c>
      <c r="M147" s="33">
        <f ca="1">IF(ISERROR(MATCH(M$1,INDIRECT("Table!A"&amp;$X147):INDIRECT("Table!" &amp; $AA$171 &amp; $X147),0)),"",INDIRECT(CONCATENATE("Table!",ADDRESS($T147,MATCH(M$1,INDIRECT("Table!A" &amp; $X147):INDIRECT("Table!" &amp; $AA$171 &amp; $X147),0)))))</f>
        <v>0.5330620345587298</v>
      </c>
      <c r="N147" s="33">
        <f ca="1">IF(ISERROR(MATCH(N$1,INDIRECT("Table!A"&amp;$X147):INDIRECT("Table!" &amp; $AA$171 &amp; $X147),0)),"",INDIRECT(CONCATENATE("Table!",ADDRESS($T147,MATCH(N$1,INDIRECT("Table!A" &amp; $X147):INDIRECT("Table!" &amp; $AA$171 &amp; $X147),0)))))</f>
        <v>1.0582551317956216E-3</v>
      </c>
      <c r="O147" s="33">
        <f ca="1">IF(ISERROR(MATCH(O$1,INDIRECT("Table!A"&amp;$X147):INDIRECT("Table!" &amp; $AA$171 &amp; $X147),0)),"",INDIRECT(CONCATENATE("Table!",ADDRESS($T147,MATCH(O$1,INDIRECT("Table!A" &amp; $X147):INDIRECT("Table!" &amp; $AA$171 &amp; $X147),0)))))</f>
        <v>0.44275217910877385</v>
      </c>
      <c r="P147" s="33">
        <f ca="1">IF(ISERROR(MATCH(P$1,INDIRECT("Table!A"&amp;$X147):INDIRECT("Table!" &amp; $AA$171 &amp; $X147),0)),"",INDIRECT(CONCATENATE("Table!",ADDRESS($T147,MATCH(P$1,INDIRECT("Table!A" &amp; $X147):INDIRECT("Table!" &amp; $AA$171 &amp; $X147),0)))))</f>
        <v>0.41752335172338451</v>
      </c>
      <c r="T147" s="31">
        <f>MATCH($A147,Table!$A:$A,0)+$V$2-1</f>
        <v>1938</v>
      </c>
      <c r="U147" s="140"/>
      <c r="V147" s="140"/>
      <c r="W147" s="140"/>
      <c r="X147" s="31">
        <f>MATCH($A147,Table!$A:$A,0)+$Z$2-1</f>
        <v>1935</v>
      </c>
      <c r="Y147" s="140"/>
      <c r="AA147" t="s">
        <v>209</v>
      </c>
    </row>
    <row r="148" spans="1:27" ht="15.75" customHeight="1">
      <c r="A148" s="5">
        <v>40953</v>
      </c>
      <c r="B148" s="33">
        <f ca="1">IF(ISERROR(MATCH(B$1,INDIRECT("Table!A"&amp;$X148):INDIRECT("Table!" &amp; $AA$171 &amp; $X148),0)),"",INDIRECT(CONCATENATE("Table!",ADDRESS($T148,MATCH(B$1,INDIRECT("Table!A" &amp; $X148):INDIRECT("Table!" &amp; $AA$171 &amp; $X148),0)))))</f>
        <v>0.80025782097243237</v>
      </c>
      <c r="C148" s="33">
        <f ca="1">IF(ISERROR(MATCH(C$1,INDIRECT("Table!A"&amp;$X148):INDIRECT("Table!" &amp; $AA$171 &amp; $X148),0)),"",INDIRECT(CONCATENATE("Table!",ADDRESS($T148,MATCH(C$1,INDIRECT("Table!A" &amp; $X148):INDIRECT("Table!" &amp; $AA$171 &amp; $X148),0)))))</f>
        <v>0.82580434595035312</v>
      </c>
      <c r="D148" s="33">
        <f ca="1">IF(ISERROR(MATCH(D$1,INDIRECT("Table!A"&amp;$X148):INDIRECT("Table!" &amp; $AA$171 &amp; $X148),0)),"",INDIRECT(CONCATENATE("Table!",ADDRESS($T148,MATCH(D$1,INDIRECT("Table!A" &amp; $X148):INDIRECT("Table!" &amp; $AA$171 &amp; $X148),0)))))</f>
        <v>0.84303233640161712</v>
      </c>
      <c r="E148" s="33">
        <f ca="1">IF(ISERROR(MATCH(E$1,INDIRECT("Table!A"&amp;$X148):INDIRECT("Table!" &amp; $AA$171 &amp; $X148),0)),"",INDIRECT(CONCATENATE("Table!",ADDRESS($T148,MATCH(E$1,INDIRECT("Table!A" &amp; $X148):INDIRECT("Table!" &amp; $AA$171 &amp; $X148),0)))))</f>
        <v>0.83540600327413639</v>
      </c>
      <c r="F148" s="33">
        <f ca="1">IF(ISERROR(MATCH(F$1,INDIRECT("Table!A"&amp;$X148):INDIRECT("Table!" &amp; $AA$171 &amp; $X148),0)),"",INDIRECT(CONCATENATE("Table!",ADDRESS($T148,MATCH(F$1,INDIRECT("Table!A" &amp; $X148):INDIRECT("Table!" &amp; $AA$171 &amp; $X148),0)))))</f>
        <v>7.9121879012756754E-4</v>
      </c>
      <c r="G148" s="33">
        <f ca="1">IF(ISERROR(MATCH(G$1,INDIRECT("Table!A"&amp;$X148):INDIRECT("Table!" &amp; $AA$171 &amp; $X148),0)),"",INDIRECT(CONCATENATE("Table!",ADDRESS($T148,MATCH(G$1,INDIRECT("Table!A" &amp; $X148):INDIRECT("Table!" &amp; $AA$171 &amp; $X148),0)))))</f>
        <v>0.23230361245694858</v>
      </c>
      <c r="H148" s="33">
        <f ca="1">IF(ISERROR(MATCH(H$1,INDIRECT("Table!A"&amp;$X148):INDIRECT("Table!" &amp; $AA$171 &amp; $X148),0)),"",INDIRECT(CONCATENATE("Table!",ADDRESS($T148,MATCH(H$1,INDIRECT("Table!A" &amp; $X148):INDIRECT("Table!" &amp; $AA$171 &amp; $X148),0)))))</f>
        <v>0.16159407508995993</v>
      </c>
      <c r="I148" s="33" t="str">
        <f ca="1">IF(ISERROR(MATCH(I$1,INDIRECT("Table!A"&amp;$X148):INDIRECT("Table!" &amp; $AA$171 &amp; $X148),0)),"",INDIRECT(CONCATENATE("Table!",ADDRESS($T148,MATCH(I$1,INDIRECT("Table!A" &amp; $X148):INDIRECT("Table!" &amp; $AA$171 &amp; $X148),0)))))</f>
        <v/>
      </c>
      <c r="J148" s="33" t="str">
        <f ca="1">IF(ISERROR(MATCH(J$1,INDIRECT("Table!A"&amp;$X148):INDIRECT("Table!" &amp; $AA$171 &amp; $X148),0)),"",INDIRECT(CONCATENATE("Table!",ADDRESS($T148,MATCH(J$1,INDIRECT("Table!A" &amp; $X148):INDIRECT("Table!" &amp; $AA$171 &amp; $X148),0)))))</f>
        <v/>
      </c>
      <c r="K148" s="33" t="str">
        <f ca="1">IF(ISERROR(MATCH(K$1,INDIRECT("Table!A"&amp;$X148):INDIRECT("Table!" &amp; $AA$171 &amp; $X148),0)),"",INDIRECT(CONCATENATE("Table!",ADDRESS($T148,MATCH(K$1,INDIRECT("Table!A" &amp; $X148):INDIRECT("Table!" &amp; $AA$171 &amp; $X148),0)))))</f>
        <v/>
      </c>
      <c r="L148" s="33">
        <f ca="1">IF(ISERROR(MATCH(L$1,INDIRECT("Table!A"&amp;$X148):INDIRECT("Table!" &amp; $AA$171 &amp; $X148),0)),"",INDIRECT(CONCATENATE("Table!",ADDRESS($T148,MATCH(L$1,INDIRECT("Table!A" &amp; $X148):INDIRECT("Table!" &amp; $AA$171 &amp; $X148),0)))))</f>
        <v>0.67531216441009878</v>
      </c>
      <c r="M148" s="33">
        <f ca="1">IF(ISERROR(MATCH(M$1,INDIRECT("Table!A"&amp;$X148):INDIRECT("Table!" &amp; $AA$171 &amp; $X148),0)),"",INDIRECT(CONCATENATE("Table!",ADDRESS($T148,MATCH(M$1,INDIRECT("Table!A" &amp; $X148):INDIRECT("Table!" &amp; $AA$171 &amp; $X148),0)))))</f>
        <v>0.5318839788059212</v>
      </c>
      <c r="N148" s="33">
        <f ca="1">IF(ISERROR(MATCH(N$1,INDIRECT("Table!A"&amp;$X148):INDIRECT("Table!" &amp; $AA$171 &amp; $X148),0)),"",INDIRECT(CONCATENATE("Table!",ADDRESS($T148,MATCH(N$1,INDIRECT("Table!A" &amp; $X148):INDIRECT("Table!" &amp; $AA$171 &amp; $X148),0)))))</f>
        <v>1.0582551317956216E-3</v>
      </c>
      <c r="O148" s="33">
        <f ca="1">IF(ISERROR(MATCH(O$1,INDIRECT("Table!A"&amp;$X148):INDIRECT("Table!" &amp; $AA$171 &amp; $X148),0)),"",INDIRECT(CONCATENATE("Table!",ADDRESS($T148,MATCH(O$1,INDIRECT("Table!A" &amp; $X148):INDIRECT("Table!" &amp; $AA$171 &amp; $X148),0)))))</f>
        <v>0.44252326148681992</v>
      </c>
      <c r="P148" s="33">
        <f ca="1">IF(ISERROR(MATCH(P$1,INDIRECT("Table!A"&amp;$X148):INDIRECT("Table!" &amp; $AA$171 &amp; $X148),0)),"",INDIRECT(CONCATENATE("Table!",ADDRESS($T148,MATCH(P$1,INDIRECT("Table!A" &amp; $X148):INDIRECT("Table!" &amp; $AA$171 &amp; $X148),0)))))</f>
        <v>0.41733580961745054</v>
      </c>
      <c r="T148" s="31">
        <f>MATCH($A148,Table!$A:$A,0)+$V$2-1</f>
        <v>1951</v>
      </c>
      <c r="U148" s="139"/>
      <c r="V148" s="139"/>
      <c r="W148" s="139"/>
      <c r="X148" s="31">
        <f>MATCH($A148,Table!$A:$A,0)+$Z$2-1</f>
        <v>1948</v>
      </c>
      <c r="Y148" s="139"/>
      <c r="AA148" t="s">
        <v>209</v>
      </c>
    </row>
    <row r="149" spans="1:27" ht="15.75" customHeight="1">
      <c r="A149" s="5">
        <v>40952</v>
      </c>
      <c r="B149" s="33">
        <f ca="1">IF(ISERROR(MATCH(B$1,INDIRECT("Table!A"&amp;$X149):INDIRECT("Table!" &amp; $AA$171 &amp; $X149),0)),"",INDIRECT(CONCATENATE("Table!",ADDRESS($T149,MATCH(B$1,INDIRECT("Table!A" &amp; $X149):INDIRECT("Table!" &amp; $AA$171 &amp; $X149),0)))))</f>
        <v>0.79940820330038465</v>
      </c>
      <c r="C149" s="33">
        <f ca="1">IF(ISERROR(MATCH(C$1,INDIRECT("Table!A"&amp;$X149):INDIRECT("Table!" &amp; $AA$171 &amp; $X149),0)),"",INDIRECT(CONCATENATE("Table!",ADDRESS($T149,MATCH(C$1,INDIRECT("Table!A" &amp; $X149):INDIRECT("Table!" &amp; $AA$171 &amp; $X149),0)))))</f>
        <v>0.82579684301482947</v>
      </c>
      <c r="D149" s="33">
        <f ca="1">IF(ISERROR(MATCH(D$1,INDIRECT("Table!A"&amp;$X149):INDIRECT("Table!" &amp; $AA$171 &amp; $X149),0)),"",INDIRECT(CONCATENATE("Table!",ADDRESS($T149,MATCH(D$1,INDIRECT("Table!A" &amp; $X149):INDIRECT("Table!" &amp; $AA$171 &amp; $X149),0)))))</f>
        <v>0.84302483346609369</v>
      </c>
      <c r="E149" s="33">
        <f ca="1">IF(ISERROR(MATCH(E$1,INDIRECT("Table!A"&amp;$X149):INDIRECT("Table!" &amp; $AA$171 &amp; $X149),0)),"",INDIRECT(CONCATENATE("Table!",ADDRESS($T149,MATCH(E$1,INDIRECT("Table!A" &amp; $X149):INDIRECT("Table!" &amp; $AA$171 &amp; $X149),0)))))</f>
        <v>0.83360833661437728</v>
      </c>
      <c r="F149" s="33">
        <f ca="1">IF(ISERROR(MATCH(F$1,INDIRECT("Table!A"&amp;$X149):INDIRECT("Table!" &amp; $AA$171 &amp; $X149),0)),"",INDIRECT(CONCATENATE("Table!",ADDRESS($T149,MATCH(F$1,INDIRECT("Table!A" &amp; $X149):INDIRECT("Table!" &amp; $AA$171 &amp; $X149),0)))))</f>
        <v>7.9121879012756754E-4</v>
      </c>
      <c r="G149" s="33">
        <f ca="1">IF(ISERROR(MATCH(G$1,INDIRECT("Table!A"&amp;$X149):INDIRECT("Table!" &amp; $AA$171 &amp; $X149),0)),"",INDIRECT(CONCATENATE("Table!",ADDRESS($T149,MATCH(G$1,INDIRECT("Table!A" &amp; $X149):INDIRECT("Table!" &amp; $AA$171 &amp; $X149),0)))))</f>
        <v>0.23164222658098935</v>
      </c>
      <c r="H149" s="33">
        <f ca="1">IF(ISERROR(MATCH(H$1,INDIRECT("Table!A"&amp;$X149):INDIRECT("Table!" &amp; $AA$171 &amp; $X149),0)),"",INDIRECT(CONCATENATE("Table!",ADDRESS($T149,MATCH(H$1,INDIRECT("Table!A" &amp; $X149):INDIRECT("Table!" &amp; $AA$171 &amp; $X149),0)))))</f>
        <v>0.16157429462020673</v>
      </c>
      <c r="I149" s="33" t="str">
        <f ca="1">IF(ISERROR(MATCH(I$1,INDIRECT("Table!A"&amp;$X149):INDIRECT("Table!" &amp; $AA$171 &amp; $X149),0)),"",INDIRECT(CONCATENATE("Table!",ADDRESS($T149,MATCH(I$1,INDIRECT("Table!A" &amp; $X149):INDIRECT("Table!" &amp; $AA$171 &amp; $X149),0)))))</f>
        <v/>
      </c>
      <c r="J149" s="33" t="str">
        <f ca="1">IF(ISERROR(MATCH(J$1,INDIRECT("Table!A"&amp;$X149):INDIRECT("Table!" &amp; $AA$171 &amp; $X149),0)),"",INDIRECT(CONCATENATE("Table!",ADDRESS($T149,MATCH(J$1,INDIRECT("Table!A" &amp; $X149):INDIRECT("Table!" &amp; $AA$171 &amp; $X149),0)))))</f>
        <v/>
      </c>
      <c r="K149" s="33" t="str">
        <f ca="1">IF(ISERROR(MATCH(K$1,INDIRECT("Table!A"&amp;$X149):INDIRECT("Table!" &amp; $AA$171 &amp; $X149),0)),"",INDIRECT(CONCATENATE("Table!",ADDRESS($T149,MATCH(K$1,INDIRECT("Table!A" &amp; $X149):INDIRECT("Table!" &amp; $AA$171 &amp; $X149),0)))))</f>
        <v/>
      </c>
      <c r="L149" s="33">
        <f ca="1">IF(ISERROR(MATCH(L$1,INDIRECT("Table!A"&amp;$X149):INDIRECT("Table!" &amp; $AA$171 &amp; $X149),0)),"",INDIRECT(CONCATENATE("Table!",ADDRESS($T149,MATCH(L$1,INDIRECT("Table!A" &amp; $X149):INDIRECT("Table!" &amp; $AA$171 &amp; $X149),0)))))</f>
        <v>0.67473954129320413</v>
      </c>
      <c r="M149" s="33">
        <f ca="1">IF(ISERROR(MATCH(M$1,INDIRECT("Table!A"&amp;$X149):INDIRECT("Table!" &amp; $AA$171 &amp; $X149),0)),"",INDIRECT(CONCATENATE("Table!",ADDRESS($T149,MATCH(M$1,INDIRECT("Table!A" &amp; $X149):INDIRECT("Table!" &amp; $AA$171 &amp; $X149),0)))))</f>
        <v>0.53178929735438174</v>
      </c>
      <c r="N149" s="33">
        <f ca="1">IF(ISERROR(MATCH(N$1,INDIRECT("Table!A"&amp;$X149):INDIRECT("Table!" &amp; $AA$171 &amp; $X149),0)),"",INDIRECT(CONCATENATE("Table!",ADDRESS($T149,MATCH(N$1,INDIRECT("Table!A" &amp; $X149):INDIRECT("Table!" &amp; $AA$171 &amp; $X149),0)))))</f>
        <v>1.0582551317956216E-3</v>
      </c>
      <c r="O149" s="33">
        <f ca="1">IF(ISERROR(MATCH(O$1,INDIRECT("Table!A"&amp;$X149):INDIRECT("Table!" &amp; $AA$171 &amp; $X149),0)),"",INDIRECT(CONCATENATE("Table!",ADDRESS($T149,MATCH(O$1,INDIRECT("Table!A" &amp; $X149):INDIRECT("Table!" &amp; $AA$171 &amp; $X149),0)))))</f>
        <v>0.44249039707574733</v>
      </c>
      <c r="P149" s="33">
        <f ca="1">IF(ISERROR(MATCH(P$1,INDIRECT("Table!A"&amp;$X149):INDIRECT("Table!" &amp; $AA$171 &amp; $X149),0)),"",INDIRECT(CONCATENATE("Table!",ADDRESS($T149,MATCH(P$1,INDIRECT("Table!A" &amp; $X149):INDIRECT("Table!" &amp; $AA$171 &amp; $X149),0)))))</f>
        <v>0.41732670563172558</v>
      </c>
      <c r="T149" s="31">
        <f>MATCH($A149,Table!$A:$A,0)+$V$2-1</f>
        <v>1964</v>
      </c>
      <c r="U149" s="136"/>
      <c r="V149" s="136"/>
      <c r="W149" s="136"/>
      <c r="X149" s="31">
        <f>MATCH($A149,Table!$A:$A,0)+$Z$2-1</f>
        <v>1961</v>
      </c>
      <c r="Y149" s="136"/>
      <c r="AA149" t="s">
        <v>209</v>
      </c>
    </row>
    <row r="150" spans="1:27" ht="15.75" customHeight="1">
      <c r="A150" s="5">
        <v>40949</v>
      </c>
      <c r="B150" s="33">
        <f ca="1">IF(ISERROR(MATCH(B$1,INDIRECT("Table!A"&amp;$X150):INDIRECT("Table!" &amp; $AA$171 &amp; $X150),0)),"",INDIRECT(CONCATENATE("Table!",ADDRESS($T150,MATCH(B$1,INDIRECT("Table!A" &amp; $X150):INDIRECT("Table!" &amp; $AA$171 &amp; $X150),0)))))</f>
        <v>0.79624804000801264</v>
      </c>
      <c r="C150" s="33">
        <f ca="1">IF(ISERROR(MATCH(C$1,INDIRECT("Table!A"&amp;$X150):INDIRECT("Table!" &amp; $AA$171 &amp; $X150),0)),"",INDIRECT(CONCATENATE("Table!",ADDRESS($T150,MATCH(C$1,INDIRECT("Table!A" &amp; $X150):INDIRECT("Table!" &amp; $AA$171 &amp; $X150),0)))))</f>
        <v>0.82544170406671613</v>
      </c>
      <c r="D150" s="33">
        <f ca="1">IF(ISERROR(MATCH(D$1,INDIRECT("Table!A"&amp;$X150):INDIRECT("Table!" &amp; $AA$171 &amp; $X150),0)),"",INDIRECT(CONCATENATE("Table!",ADDRESS($T150,MATCH(D$1,INDIRECT("Table!A" &amp; $X150):INDIRECT("Table!" &amp; $AA$171 &amp; $X150),0)))))</f>
        <v>0.8427384714269458</v>
      </c>
      <c r="E150" s="33">
        <f ca="1">IF(ISERROR(MATCH(E$1,INDIRECT("Table!A"&amp;$X150):INDIRECT("Table!" &amp; $AA$171 &amp; $X150),0)),"",INDIRECT(CONCATENATE("Table!",ADDRESS($T150,MATCH(E$1,INDIRECT("Table!A" &amp; $X150):INDIRECT("Table!" &amp; $AA$171 &amp; $X150),0)))))</f>
        <v>0.83085161220133874</v>
      </c>
      <c r="F150" s="33">
        <f ca="1">IF(ISERROR(MATCH(F$1,INDIRECT("Table!A"&amp;$X150):INDIRECT("Table!" &amp; $AA$171 &amp; $X150),0)),"",INDIRECT(CONCATENATE("Table!",ADDRESS($T150,MATCH(F$1,INDIRECT("Table!A" &amp; $X150):INDIRECT("Table!" &amp; $AA$171 &amp; $X150),0)))))</f>
        <v>7.9121879012756754E-4</v>
      </c>
      <c r="G150" s="33">
        <f ca="1">IF(ISERROR(MATCH(G$1,INDIRECT("Table!A"&amp;$X150):INDIRECT("Table!" &amp; $AA$171 &amp; $X150),0)),"",INDIRECT(CONCATENATE("Table!",ADDRESS($T150,MATCH(G$1,INDIRECT("Table!A" &amp; $X150):INDIRECT("Table!" &amp; $AA$171 &amp; $X150),0)))))</f>
        <v>0.21907952892609286</v>
      </c>
      <c r="H150" s="33">
        <f ca="1">IF(ISERROR(MATCH(H$1,INDIRECT("Table!A"&amp;$X150):INDIRECT("Table!" &amp; $AA$171 &amp; $X150),0)),"",INDIRECT(CONCATENATE("Table!",ADDRESS($T150,MATCH(H$1,INDIRECT("Table!A" &amp; $X150):INDIRECT("Table!" &amp; $AA$171 &amp; $X150),0)))))</f>
        <v>0.16111604707092453</v>
      </c>
      <c r="I150" s="33" t="str">
        <f ca="1">IF(ISERROR(MATCH(I$1,INDIRECT("Table!A"&amp;$X150):INDIRECT("Table!" &amp; $AA$171 &amp; $X150),0)),"",INDIRECT(CONCATENATE("Table!",ADDRESS($T150,MATCH(I$1,INDIRECT("Table!A" &amp; $X150):INDIRECT("Table!" &amp; $AA$171 &amp; $X150),0)))))</f>
        <v/>
      </c>
      <c r="J150" s="33" t="str">
        <f ca="1">IF(ISERROR(MATCH(J$1,INDIRECT("Table!A"&amp;$X150):INDIRECT("Table!" &amp; $AA$171 &amp; $X150),0)),"",INDIRECT(CONCATENATE("Table!",ADDRESS($T150,MATCH(J$1,INDIRECT("Table!A" &amp; $X150):INDIRECT("Table!" &amp; $AA$171 &amp; $X150),0)))))</f>
        <v/>
      </c>
      <c r="K150" s="33" t="str">
        <f ca="1">IF(ISERROR(MATCH(K$1,INDIRECT("Table!A"&amp;$X150):INDIRECT("Table!" &amp; $AA$171 &amp; $X150),0)),"",INDIRECT(CONCATENATE("Table!",ADDRESS($T150,MATCH(K$1,INDIRECT("Table!A" &amp; $X150):INDIRECT("Table!" &amp; $AA$171 &amp; $X150),0)))))</f>
        <v/>
      </c>
      <c r="L150" s="33">
        <f ca="1">IF(ISERROR(MATCH(L$1,INDIRECT("Table!A"&amp;$X150):INDIRECT("Table!" &amp; $AA$171 &amp; $X150),0)),"",INDIRECT(CONCATENATE("Table!",ADDRESS($T150,MATCH(L$1,INDIRECT("Table!A" &amp; $X150):INDIRECT("Table!" &amp; $AA$171 &amp; $X150),0)))))</f>
        <v>0.67338372884686926</v>
      </c>
      <c r="M150" s="33">
        <f ca="1">IF(ISERROR(MATCH(M$1,INDIRECT("Table!A"&amp;$X150):INDIRECT("Table!" &amp; $AA$171 &amp; $X150),0)),"",INDIRECT(CONCATENATE("Table!",ADDRESS($T150,MATCH(M$1,INDIRECT("Table!A" &amp; $X150):INDIRECT("Table!" &amp; $AA$171 &amp; $X150),0)))))</f>
        <v>0.52624497004788695</v>
      </c>
      <c r="N150" s="33">
        <f ca="1">IF(ISERROR(MATCH(N$1,INDIRECT("Table!A"&amp;$X150):INDIRECT("Table!" &amp; $AA$171 &amp; $X150),0)),"",INDIRECT(CONCATENATE("Table!",ADDRESS($T150,MATCH(N$1,INDIRECT("Table!A" &amp; $X150):INDIRECT("Table!" &amp; $AA$171 &amp; $X150),0)))))</f>
        <v>1.0401230345218648E-3</v>
      </c>
      <c r="O150" s="33">
        <f ca="1">IF(ISERROR(MATCH(O$1,INDIRECT("Table!A"&amp;$X150):INDIRECT("Table!" &amp; $AA$171 &amp; $X150),0)),"",INDIRECT(CONCATENATE("Table!",ADDRESS($T150,MATCH(O$1,INDIRECT("Table!A" &amp; $X150):INDIRECT("Table!" &amp; $AA$171 &amp; $X150),0)))))</f>
        <v>0.44185804047648863</v>
      </c>
      <c r="P150" s="33">
        <f ca="1">IF(ISERROR(MATCH(P$1,INDIRECT("Table!A"&amp;$X150):INDIRECT("Table!" &amp; $AA$171 &amp; $X150),0)),"",INDIRECT(CONCATENATE("Table!",ADDRESS($T150,MATCH(P$1,INDIRECT("Table!A" &amp; $X150):INDIRECT("Table!" &amp; $AA$171 &amp; $X150),0)))))</f>
        <v>0.41732306403743558</v>
      </c>
      <c r="T150" s="31">
        <f>MATCH($A150,Table!$A:$A,0)+$V$2-1</f>
        <v>1977</v>
      </c>
      <c r="U150" s="135"/>
      <c r="V150" s="135"/>
      <c r="W150" s="135"/>
      <c r="X150" s="31">
        <f>MATCH($A150,Table!$A:$A,0)+$Z$2-1</f>
        <v>1974</v>
      </c>
      <c r="Y150" s="135"/>
      <c r="AA150" t="s">
        <v>209</v>
      </c>
    </row>
    <row r="151" spans="1:27" ht="15.75" customHeight="1">
      <c r="A151" s="5">
        <v>40948</v>
      </c>
      <c r="B151" s="33">
        <f ca="1">IF(ISERROR(MATCH(B$1,INDIRECT("Table!A"&amp;$X151):INDIRECT("Table!" &amp; $AA$171 &amp; $X151),0)),"",INDIRECT(CONCATENATE("Table!",ADDRESS($T151,MATCH(B$1,INDIRECT("Table!A" &amp; $X151):INDIRECT("Table!" &amp; $AA$171 &amp; $X151),0)))))</f>
        <v>0.79624804000801264</v>
      </c>
      <c r="C151" s="33">
        <f ca="1">IF(ISERROR(MATCH(C$1,INDIRECT("Table!A"&amp;$X151):INDIRECT("Table!" &amp; $AA$171 &amp; $X151),0)),"",INDIRECT(CONCATENATE("Table!",ADDRESS($T151,MATCH(C$1,INDIRECT("Table!A" &amp; $X151):INDIRECT("Table!" &amp; $AA$171 &amp; $X151),0)))))</f>
        <v>0.82544170406671613</v>
      </c>
      <c r="D151" s="33">
        <f ca="1">IF(ISERROR(MATCH(D$1,INDIRECT("Table!A"&amp;$X151):INDIRECT("Table!" &amp; $AA$171 &amp; $X151),0)),"",INDIRECT(CONCATENATE("Table!",ADDRESS($T151,MATCH(D$1,INDIRECT("Table!A" &amp; $X151):INDIRECT("Table!" &amp; $AA$171 &amp; $X151),0)))))</f>
        <v>0.84266969451798013</v>
      </c>
      <c r="E151" s="33">
        <f ca="1">IF(ISERROR(MATCH(E$1,INDIRECT("Table!A"&amp;$X151):INDIRECT("Table!" &amp; $AA$171 &amp; $X151),0)),"",INDIRECT(CONCATENATE("Table!",ADDRESS($T151,MATCH(E$1,INDIRECT("Table!A" &amp; $X151):INDIRECT("Table!" &amp; $AA$171 &amp; $X151),0)))))</f>
        <v>0.82986535632136271</v>
      </c>
      <c r="F151" s="33">
        <f ca="1">IF(ISERROR(MATCH(F$1,INDIRECT("Table!A"&amp;$X151):INDIRECT("Table!" &amp; $AA$171 &amp; $X151),0)),"",INDIRECT(CONCATENATE("Table!",ADDRESS($T151,MATCH(F$1,INDIRECT("Table!A" &amp; $X151):INDIRECT("Table!" &amp; $AA$171 &amp; $X151),0)))))</f>
        <v>7.7720762405239182E-4</v>
      </c>
      <c r="G151" s="33">
        <f ca="1">IF(ISERROR(MATCH(G$1,INDIRECT("Table!A"&amp;$X151):INDIRECT("Table!" &amp; $AA$171 &amp; $X151),0)),"",INDIRECT(CONCATENATE("Table!",ADDRESS($T151,MATCH(G$1,INDIRECT("Table!A" &amp; $X151):INDIRECT("Table!" &amp; $AA$171 &amp; $X151),0)))))</f>
        <v>0.21844085547719266</v>
      </c>
      <c r="H151" s="33">
        <f ca="1">IF(ISERROR(MATCH(H$1,INDIRECT("Table!A"&amp;$X151):INDIRECT("Table!" &amp; $AA$171 &amp; $X151),0)),"",INDIRECT(CONCATENATE("Table!",ADDRESS($T151,MATCH(H$1,INDIRECT("Table!A" &amp; $X151):INDIRECT("Table!" &amp; $AA$171 &amp; $X151),0)))))</f>
        <v>0.16111275032596564</v>
      </c>
      <c r="I151" s="33" t="str">
        <f ca="1">IF(ISERROR(MATCH(I$1,INDIRECT("Table!A"&amp;$X151):INDIRECT("Table!" &amp; $AA$171 &amp; $X151),0)),"",INDIRECT(CONCATENATE("Table!",ADDRESS($T151,MATCH(I$1,INDIRECT("Table!A" &amp; $X151):INDIRECT("Table!" &amp; $AA$171 &amp; $X151),0)))))</f>
        <v/>
      </c>
      <c r="J151" s="33" t="str">
        <f ca="1">IF(ISERROR(MATCH(J$1,INDIRECT("Table!A"&amp;$X151):INDIRECT("Table!" &amp; $AA$171 &amp; $X151),0)),"",INDIRECT(CONCATENATE("Table!",ADDRESS($T151,MATCH(J$1,INDIRECT("Table!A" &amp; $X151):INDIRECT("Table!" &amp; $AA$171 &amp; $X151),0)))))</f>
        <v/>
      </c>
      <c r="K151" s="33" t="str">
        <f ca="1">IF(ISERROR(MATCH(K$1,INDIRECT("Table!A"&amp;$X151):INDIRECT("Table!" &amp; $AA$171 &amp; $X151),0)),"",INDIRECT(CONCATENATE("Table!",ADDRESS($T151,MATCH(K$1,INDIRECT("Table!A" &amp; $X151):INDIRECT("Table!" &amp; $AA$171 &amp; $X151),0)))))</f>
        <v/>
      </c>
      <c r="L151" s="33">
        <f ca="1">IF(ISERROR(MATCH(L$1,INDIRECT("Table!A"&amp;$X151):INDIRECT("Table!" &amp; $AA$171 &amp; $X151),0)),"",INDIRECT(CONCATENATE("Table!",ADDRESS($T151,MATCH(L$1,INDIRECT("Table!A" &amp; $X151):INDIRECT("Table!" &amp; $AA$171 &amp; $X151),0)))))</f>
        <v>0.67310355880295447</v>
      </c>
      <c r="M151" s="33">
        <f ca="1">IF(ISERROR(MATCH(M$1,INDIRECT("Table!A"&amp;$X151):INDIRECT("Table!" &amp; $AA$171 &amp; $X151),0)),"",INDIRECT(CONCATENATE("Table!",ADDRESS($T151,MATCH(M$1,INDIRECT("Table!A" &amp; $X151):INDIRECT("Table!" &amp; $AA$171 &amp; $X151),0)))))</f>
        <v>0.52614482620491254</v>
      </c>
      <c r="N151" s="33">
        <f ca="1">IF(ISERROR(MATCH(N$1,INDIRECT("Table!A"&amp;$X151):INDIRECT("Table!" &amp; $AA$171 &amp; $X151),0)),"",INDIRECT(CONCATENATE("Table!",ADDRESS($T151,MATCH(N$1,INDIRECT("Table!A" &amp; $X151):INDIRECT("Table!" &amp; $AA$171 &amp; $X151),0)))))</f>
        <v>1.0252876822069729E-3</v>
      </c>
      <c r="O151" s="33">
        <f ca="1">IF(ISERROR(MATCH(O$1,INDIRECT("Table!A"&amp;$X151):INDIRECT("Table!" &amp; $AA$171 &amp; $X151),0)),"",INDIRECT(CONCATENATE("Table!",ADDRESS($T151,MATCH(O$1,INDIRECT("Table!A" &amp; $X151):INDIRECT("Table!" &amp; $AA$171 &amp; $X151),0)))))</f>
        <v>0.44184784117650056</v>
      </c>
      <c r="P151" s="33">
        <f ca="1">IF(ISERROR(MATCH(P$1,INDIRECT("Table!A"&amp;$X151):INDIRECT("Table!" &amp; $AA$171 &amp; $X151),0)),"",INDIRECT(CONCATENATE("Table!",ADDRESS($T151,MATCH(P$1,INDIRECT("Table!A" &amp; $X151):INDIRECT("Table!" &amp; $AA$171 &amp; $X151),0)))))</f>
        <v>0.41731396005171062</v>
      </c>
      <c r="T151" s="31">
        <f>MATCH($A151,Table!$A:$A,0)+$V$2-1</f>
        <v>1990</v>
      </c>
      <c r="U151" s="134"/>
      <c r="V151" s="134"/>
      <c r="W151" s="134"/>
      <c r="X151" s="31">
        <f>MATCH($A151,Table!$A:$A,0)+$Z$2-1</f>
        <v>1987</v>
      </c>
      <c r="Y151" s="134"/>
      <c r="AA151" t="s">
        <v>209</v>
      </c>
    </row>
    <row r="152" spans="1:27" ht="15.75" customHeight="1">
      <c r="A152" s="5">
        <v>40947</v>
      </c>
      <c r="B152" s="33">
        <f ca="1">IF(ISERROR(MATCH(B$1,INDIRECT("Table!A"&amp;$X152):INDIRECT("Table!" &amp; $AA$171 &amp; $X152),0)),"",INDIRECT(CONCATENATE("Table!",ADDRESS($T152,MATCH(B$1,INDIRECT("Table!A" &amp; $X152):INDIRECT("Table!" &amp; $AA$171 &amp; $X152),0)))))</f>
        <v>0.79502800975333465</v>
      </c>
      <c r="C152" s="33">
        <f ca="1">IF(ISERROR(MATCH(C$1,INDIRECT("Table!A"&amp;$X152):INDIRECT("Table!" &amp; $AA$171 &amp; $X152),0)),"",INDIRECT(CONCATENATE("Table!",ADDRESS($T152,MATCH(C$1,INDIRECT("Table!A" &amp; $X152):INDIRECT("Table!" &amp; $AA$171 &amp; $X152),0)))))</f>
        <v>0.82460137528808153</v>
      </c>
      <c r="D152" s="33">
        <f ca="1">IF(ISERROR(MATCH(D$1,INDIRECT("Table!A"&amp;$X152):INDIRECT("Table!" &amp; $AA$171 &amp; $X152),0)),"",INDIRECT(CONCATENATE("Table!",ADDRESS($T152,MATCH(D$1,INDIRECT("Table!A" &amp; $X152):INDIRECT("Table!" &amp; $AA$171 &amp; $X152),0)))))</f>
        <v>0.84182936573934553</v>
      </c>
      <c r="E152" s="33">
        <f ca="1">IF(ISERROR(MATCH(E$1,INDIRECT("Table!A"&amp;$X152):INDIRECT("Table!" &amp; $AA$171 &amp; $X152),0)),"",INDIRECT(CONCATENATE("Table!",ADDRESS($T152,MATCH(E$1,INDIRECT("Table!A" &amp; $X152):INDIRECT("Table!" &amp; $AA$171 &amp; $X152),0)))))</f>
        <v>0.82848796547651127</v>
      </c>
      <c r="F152" s="33">
        <f ca="1">IF(ISERROR(MATCH(F$1,INDIRECT("Table!A"&amp;$X152):INDIRECT("Table!" &amp; $AA$171 &amp; $X152),0)),"",INDIRECT(CONCATENATE("Table!",ADDRESS($T152,MATCH(F$1,INDIRECT("Table!A" &amp; $X152):INDIRECT("Table!" &amp; $AA$171 &amp; $X152),0)))))</f>
        <v>7.6484483045664864E-4</v>
      </c>
      <c r="G152" s="33">
        <f ca="1">IF(ISERROR(MATCH(G$1,INDIRECT("Table!A"&amp;$X152):INDIRECT("Table!" &amp; $AA$171 &amp; $X152),0)),"",INDIRECT(CONCATENATE("Table!",ADDRESS($T152,MATCH(G$1,INDIRECT("Table!A" &amp; $X152):INDIRECT("Table!" &amp; $AA$171 &amp; $X152),0)))))</f>
        <v>0.21694910326795486</v>
      </c>
      <c r="H152" s="33">
        <f ca="1">IF(ISERROR(MATCH(H$1,INDIRECT("Table!A"&amp;$X152):INDIRECT("Table!" &amp; $AA$171 &amp; $X152),0)),"",INDIRECT(CONCATENATE("Table!",ADDRESS($T152,MATCH(H$1,INDIRECT("Table!A" &amp; $X152):INDIRECT("Table!" &amp; $AA$171 &amp; $X152),0)))))</f>
        <v>0.16110450846356847</v>
      </c>
      <c r="I152" s="33" t="str">
        <f ca="1">IF(ISERROR(MATCH(I$1,INDIRECT("Table!A"&amp;$X152):INDIRECT("Table!" &amp; $AA$171 &amp; $X152),0)),"",INDIRECT(CONCATENATE("Table!",ADDRESS($T152,MATCH(I$1,INDIRECT("Table!A" &amp; $X152):INDIRECT("Table!" &amp; $AA$171 &amp; $X152),0)))))</f>
        <v/>
      </c>
      <c r="J152" s="33" t="str">
        <f ca="1">IF(ISERROR(MATCH(J$1,INDIRECT("Table!A"&amp;$X152):INDIRECT("Table!" &amp; $AA$171 &amp; $X152),0)),"",INDIRECT(CONCATENATE("Table!",ADDRESS($T152,MATCH(J$1,INDIRECT("Table!A" &amp; $X152):INDIRECT("Table!" &amp; $AA$171 &amp; $X152),0)))))</f>
        <v/>
      </c>
      <c r="K152" s="33" t="str">
        <f ca="1">IF(ISERROR(MATCH(K$1,INDIRECT("Table!A"&amp;$X152):INDIRECT("Table!" &amp; $AA$171 &amp; $X152),0)),"",INDIRECT(CONCATENATE("Table!",ADDRESS($T152,MATCH(K$1,INDIRECT("Table!A" &amp; $X152):INDIRECT("Table!" &amp; $AA$171 &amp; $X152),0)))))</f>
        <v/>
      </c>
      <c r="L152" s="33">
        <f ca="1">IF(ISERROR(MATCH(L$1,INDIRECT("Table!A"&amp;$X152):INDIRECT("Table!" &amp; $AA$171 &amp; $X152),0)),"",INDIRECT(CONCATENATE("Table!",ADDRESS($T152,MATCH(L$1,INDIRECT("Table!A" &amp; $X152):INDIRECT("Table!" &amp; $AA$171 &amp; $X152),0)))))</f>
        <v>0.66598993025579112</v>
      </c>
      <c r="M152" s="33">
        <f ca="1">IF(ISERROR(MATCH(M$1,INDIRECT("Table!A"&amp;$X152):INDIRECT("Table!" &amp; $AA$171 &amp; $X152),0)),"",INDIRECT(CONCATENATE("Table!",ADDRESS($T152,MATCH(M$1,INDIRECT("Table!A" &amp; $X152):INDIRECT("Table!" &amp; $AA$171 &amp; $X152),0)))))</f>
        <v>0.52606471113053299</v>
      </c>
      <c r="N152" s="33">
        <f ca="1">IF(ISERROR(MATCH(N$1,INDIRECT("Table!A"&amp;$X152):INDIRECT("Table!" &amp; $AA$171 &amp; $X152),0)),"",INDIRECT(CONCATENATE("Table!",ADDRESS($T152,MATCH(N$1,INDIRECT("Table!A" &amp; $X152):INDIRECT("Table!" &amp; $AA$171 &amp; $X152),0)))))</f>
        <v>1.013749074850946E-3</v>
      </c>
      <c r="O152" s="33">
        <f ca="1">IF(ISERROR(MATCH(O$1,INDIRECT("Table!A"&amp;$X152):INDIRECT("Table!" &amp; $AA$171 &amp; $X152),0)),"",INDIRECT(CONCATENATE("Table!",ADDRESS($T152,MATCH(O$1,INDIRECT("Table!A" &amp; $X152):INDIRECT("Table!" &amp; $AA$171 &amp; $X152),0)))))</f>
        <v>0.44183707524873544</v>
      </c>
      <c r="P152" s="33">
        <f ca="1">IF(ISERROR(MATCH(P$1,INDIRECT("Table!A"&amp;$X152):INDIRECT("Table!" &amp; $AA$171 &amp; $X152),0)),"",INDIRECT(CONCATENATE("Table!",ADDRESS($T152,MATCH(P$1,INDIRECT("Table!A" &amp; $X152):INDIRECT("Table!" &amp; $AA$171 &amp; $X152),0)))))</f>
        <v>0.41731031845742061</v>
      </c>
      <c r="T152" s="31">
        <f>MATCH($A152,Table!$A:$A,0)+$V$2-1</f>
        <v>2003</v>
      </c>
      <c r="U152" s="133"/>
      <c r="V152" s="133"/>
      <c r="W152" s="133"/>
      <c r="X152" s="31">
        <f>MATCH($A152,Table!$A:$A,0)+$Z$2-1</f>
        <v>2000</v>
      </c>
      <c r="Y152" s="133"/>
      <c r="AA152" t="s">
        <v>209</v>
      </c>
    </row>
    <row r="153" spans="1:27" ht="15.75" customHeight="1">
      <c r="A153" s="5">
        <v>40946</v>
      </c>
      <c r="B153" s="33">
        <f ca="1">IF(ISERROR(MATCH(B$1,INDIRECT("Table!A"&amp;$X153):INDIRECT("Table!" &amp; $AA$171 &amp; $X153),0)),"",INDIRECT(CONCATENATE("Table!",ADDRESS($T153,MATCH(B$1,INDIRECT("Table!A" &amp; $X153):INDIRECT("Table!" &amp; $AA$171 &amp; $X153),0)))))</f>
        <v>0.79452980914685944</v>
      </c>
      <c r="C153" s="33">
        <f ca="1">IF(ISERROR(MATCH(C$1,INDIRECT("Table!A"&amp;$X153):INDIRECT("Table!" &amp; $AA$171 &amp; $X153),0)),"",INDIRECT(CONCATENATE("Table!",ADDRESS($T153,MATCH(C$1,INDIRECT("Table!A" &amp; $X153):INDIRECT("Table!" &amp; $AA$171 &amp; $X153),0)))))</f>
        <v>0.82457261403524129</v>
      </c>
      <c r="D153" s="33">
        <f ca="1">IF(ISERROR(MATCH(D$1,INDIRECT("Table!A"&amp;$X153):INDIRECT("Table!" &amp; $AA$171 &amp; $X153),0)),"",INDIRECT(CONCATENATE("Table!",ADDRESS($T153,MATCH(D$1,INDIRECT("Table!A" &amp; $X153):INDIRECT("Table!" &amp; $AA$171 &amp; $X153),0)))))</f>
        <v>0.84179935399725148</v>
      </c>
      <c r="E153" s="33">
        <f ca="1">IF(ISERROR(MATCH(E$1,INDIRECT("Table!A"&amp;$X153):INDIRECT("Table!" &amp; $AA$171 &amp; $X153),0)),"",INDIRECT(CONCATENATE("Table!",ADDRESS($T153,MATCH(E$1,INDIRECT("Table!A" &amp; $X153):INDIRECT("Table!" &amp; $AA$171 &amp; $X153),0)))))</f>
        <v>0.82621886462067684</v>
      </c>
      <c r="F153" s="33">
        <f ca="1">IF(ISERROR(MATCH(F$1,INDIRECT("Table!A"&amp;$X153):INDIRECT("Table!" &amp; $AA$171 &amp; $X153),0)),"",INDIRECT(CONCATENATE("Table!",ADDRESS($T153,MATCH(F$1,INDIRECT("Table!A" &amp; $X153):INDIRECT("Table!" &amp; $AA$171 &amp; $X153),0)))))</f>
        <v>7.5413040934033777E-4</v>
      </c>
      <c r="G153" s="33">
        <f ca="1">IF(ISERROR(MATCH(G$1,INDIRECT("Table!A"&amp;$X153):INDIRECT("Table!" &amp; $AA$171 &amp; $X153),0)),"",INDIRECT(CONCATENATE("Table!",ADDRESS($T153,MATCH(G$1,INDIRECT("Table!A" &amp; $X153):INDIRECT("Table!" &amp; $AA$171 &amp; $X153),0)))))</f>
        <v>0.21504125939499547</v>
      </c>
      <c r="H153" s="33">
        <f ca="1">IF(ISERROR(MATCH(H$1,INDIRECT("Table!A"&amp;$X153):INDIRECT("Table!" &amp; $AA$171 &amp; $X153),0)),"",INDIRECT(CONCATENATE("Table!",ADDRESS($T153,MATCH(H$1,INDIRECT("Table!A" &amp; $X153):INDIRECT("Table!" &amp; $AA$171 &amp; $X153),0)))))</f>
        <v>0.16110121171860964</v>
      </c>
      <c r="I153" s="33" t="str">
        <f ca="1">IF(ISERROR(MATCH(I$1,INDIRECT("Table!A"&amp;$X153):INDIRECT("Table!" &amp; $AA$171 &amp; $X153),0)),"",INDIRECT(CONCATENATE("Table!",ADDRESS($T153,MATCH(I$1,INDIRECT("Table!A" &amp; $X153):INDIRECT("Table!" &amp; $AA$171 &amp; $X153),0)))))</f>
        <v/>
      </c>
      <c r="J153" s="33" t="str">
        <f ca="1">IF(ISERROR(MATCH(J$1,INDIRECT("Table!A"&amp;$X153):INDIRECT("Table!" &amp; $AA$171 &amp; $X153),0)),"",INDIRECT(CONCATENATE("Table!",ADDRESS($T153,MATCH(J$1,INDIRECT("Table!A" &amp; $X153):INDIRECT("Table!" &amp; $AA$171 &amp; $X153),0)))))</f>
        <v/>
      </c>
      <c r="K153" s="33" t="str">
        <f ca="1">IF(ISERROR(MATCH(K$1,INDIRECT("Table!A"&amp;$X153):INDIRECT("Table!" &amp; $AA$171 &amp; $X153),0)),"",INDIRECT(CONCATENATE("Table!",ADDRESS($T153,MATCH(K$1,INDIRECT("Table!A" &amp; $X153):INDIRECT("Table!" &amp; $AA$171 &amp; $X153),0)))))</f>
        <v/>
      </c>
      <c r="L153" s="33">
        <f ca="1">IF(ISERROR(MATCH(L$1,INDIRECT("Table!A"&amp;$X153):INDIRECT("Table!" &amp; $AA$171 &amp; $X153),0)),"",INDIRECT(CONCATENATE("Table!",ADDRESS($T153,MATCH(L$1,INDIRECT("Table!A" &amp; $X153):INDIRECT("Table!" &amp; $AA$171 &amp; $X153),0)))))</f>
        <v>0.66526113719792523</v>
      </c>
      <c r="M153" s="33">
        <f ca="1">IF(ISERROR(MATCH(M$1,INDIRECT("Table!A"&amp;$X153):INDIRECT("Table!" &amp; $AA$171 &amp; $X153),0)),"",INDIRECT(CONCATENATE("Table!",ADDRESS($T153,MATCH(M$1,INDIRECT("Table!A" &amp; $X153):INDIRECT("Table!" &amp; $AA$171 &amp; $X153),0)))))</f>
        <v>0.5260046248247483</v>
      </c>
      <c r="N153" s="33">
        <f ca="1">IF(ISERROR(MATCH(N$1,INDIRECT("Table!A"&amp;$X153):INDIRECT("Table!" &amp; $AA$171 &amp; $X153),0)),"",INDIRECT(CONCATENATE("Table!",ADDRESS($T153,MATCH(N$1,INDIRECT("Table!A" &amp; $X153):INDIRECT("Table!" &amp; $AA$171 &amp; $X153),0)))))</f>
        <v>1.0038588399743512E-3</v>
      </c>
      <c r="O153" s="33">
        <f ca="1">IF(ISERROR(MATCH(O$1,INDIRECT("Table!A"&amp;$X153):INDIRECT("Table!" &amp; $AA$171 &amp; $X153),0)),"",INDIRECT(CONCATENATE("Table!",ADDRESS($T153,MATCH(O$1,INDIRECT("Table!A" &amp; $X153):INDIRECT("Table!" &amp; $AA$171 &amp; $X153),0)))))</f>
        <v>0.44180931048765681</v>
      </c>
      <c r="P153" s="33">
        <f ca="1">IF(ISERROR(MATCH(P$1,INDIRECT("Table!A"&amp;$X153):INDIRECT("Table!" &amp; $AA$171 &amp; $X153),0)),"",INDIRECT(CONCATENATE("Table!",ADDRESS($T153,MATCH(P$1,INDIRECT("Table!A" &amp; $X153):INDIRECT("Table!" &amp; $AA$171 &amp; $X153),0)))))</f>
        <v>0.41727390251452084</v>
      </c>
      <c r="T153" s="31">
        <f>MATCH($A153,Table!$A:$A,0)+$V$2-1</f>
        <v>2016</v>
      </c>
      <c r="U153" s="132"/>
      <c r="V153" s="132"/>
      <c r="W153" s="132"/>
      <c r="X153" s="31">
        <f>MATCH($A153,Table!$A:$A,0)+$Z$2-1</f>
        <v>2013</v>
      </c>
      <c r="Y153" s="132"/>
      <c r="AA153" t="s">
        <v>209</v>
      </c>
    </row>
    <row r="154" spans="1:27" ht="15.75" customHeight="1">
      <c r="A154" s="5">
        <v>40945</v>
      </c>
      <c r="B154" s="33">
        <f ca="1">IF(ISERROR(MATCH(B$1,INDIRECT("Table!A"&amp;$X154):INDIRECT("Table!" &amp; $AA$171 &amp; $X154),0)),"",INDIRECT(CONCATENATE("Table!",ADDRESS($T154,MATCH(B$1,INDIRECT("Table!A" &amp; $X154):INDIRECT("Table!" &amp; $AA$171 &amp; $X154),0)))))</f>
        <v>0.7945064964668338</v>
      </c>
      <c r="C154" s="33">
        <f ca="1">IF(ISERROR(MATCH(C$1,INDIRECT("Table!A"&amp;$X154):INDIRECT("Table!" &amp; $AA$171 &amp; $X154),0)),"",INDIRECT(CONCATENATE("Table!",ADDRESS($T154,MATCH(C$1,INDIRECT("Table!A" &amp; $X154):INDIRECT("Table!" &amp; $AA$171 &amp; $X154),0)))))</f>
        <v>0.8245350993576237</v>
      </c>
      <c r="D154" s="33">
        <f ca="1">IF(ISERROR(MATCH(D$1,INDIRECT("Table!A"&amp;$X154):INDIRECT("Table!" &amp; $AA$171 &amp; $X154),0)),"",INDIRECT(CONCATENATE("Table!",ADDRESS($T154,MATCH(D$1,INDIRECT("Table!A" &amp; $X154):INDIRECT("Table!" &amp; $AA$171 &amp; $X154),0)))))</f>
        <v>0.8417630898088877</v>
      </c>
      <c r="E154" s="33">
        <f ca="1">IF(ISERROR(MATCH(E$1,INDIRECT("Table!A"&amp;$X154):INDIRECT("Table!" &amp; $AA$171 &amp; $X154),0)),"",INDIRECT(CONCATENATE("Table!",ADDRESS($T154,MATCH(E$1,INDIRECT("Table!A" &amp; $X154):INDIRECT("Table!" &amp; $AA$171 &amp; $X154),0)))))</f>
        <v>0.82495415172928277</v>
      </c>
      <c r="F154" s="33">
        <f ca="1">IF(ISERROR(MATCH(F$1,INDIRECT("Table!A"&amp;$X154):INDIRECT("Table!" &amp; $AA$171 &amp; $X154),0)),"",INDIRECT(CONCATENATE("Table!",ADDRESS($T154,MATCH(F$1,INDIRECT("Table!A" &amp; $X154):INDIRECT("Table!" &amp; $AA$171 &amp; $X154),0)))))</f>
        <v>7.4341598822402701E-4</v>
      </c>
      <c r="G154" s="33">
        <f ca="1">IF(ISERROR(MATCH(G$1,INDIRECT("Table!A"&amp;$X154):INDIRECT("Table!" &amp; $AA$171 &amp; $X154),0)),"",INDIRECT(CONCATENATE("Table!",ADDRESS($T154,MATCH(G$1,INDIRECT("Table!A" &amp; $X154):INDIRECT("Table!" &amp; $AA$171 &amp; $X154),0)))))</f>
        <v>0.21216314063807387</v>
      </c>
      <c r="H154" s="33">
        <f ca="1">IF(ISERROR(MATCH(H$1,INDIRECT("Table!A"&amp;$X154):INDIRECT("Table!" &amp; $AA$171 &amp; $X154),0)),"",INDIRECT(CONCATENATE("Table!",ADDRESS($T154,MATCH(H$1,INDIRECT("Table!A" &amp; $X154):INDIRECT("Table!" &amp; $AA$171 &amp; $X154),0)))))</f>
        <v>0.16108307962133586</v>
      </c>
      <c r="I154" s="33" t="str">
        <f ca="1">IF(ISERROR(MATCH(I$1,INDIRECT("Table!A"&amp;$X154):INDIRECT("Table!" &amp; $AA$171 &amp; $X154),0)),"",INDIRECT(CONCATENATE("Table!",ADDRESS($T154,MATCH(I$1,INDIRECT("Table!A" &amp; $X154):INDIRECT("Table!" &amp; $AA$171 &amp; $X154),0)))))</f>
        <v/>
      </c>
      <c r="J154" s="33" t="str">
        <f ca="1">IF(ISERROR(MATCH(J$1,INDIRECT("Table!A"&amp;$X154):INDIRECT("Table!" &amp; $AA$171 &amp; $X154),0)),"",INDIRECT(CONCATENATE("Table!",ADDRESS($T154,MATCH(J$1,INDIRECT("Table!A" &amp; $X154):INDIRECT("Table!" &amp; $AA$171 &amp; $X154),0)))))</f>
        <v/>
      </c>
      <c r="K154" s="33" t="str">
        <f ca="1">IF(ISERROR(MATCH(K$1,INDIRECT("Table!A"&amp;$X154):INDIRECT("Table!" &amp; $AA$171 &amp; $X154),0)),"",INDIRECT(CONCATENATE("Table!",ADDRESS($T154,MATCH(K$1,INDIRECT("Table!A" &amp; $X154):INDIRECT("Table!" &amp; $AA$171 &amp; $X154),0)))))</f>
        <v/>
      </c>
      <c r="L154" s="33">
        <f ca="1">IF(ISERROR(MATCH(L$1,INDIRECT("Table!A"&amp;$X154):INDIRECT("Table!" &amp; $AA$171 &amp; $X154),0)),"",INDIRECT(CONCATENATE("Table!",ADDRESS($T154,MATCH(L$1,INDIRECT("Table!A" &amp; $X154):INDIRECT("Table!" &amp; $AA$171 &amp; $X154),0)))))</f>
        <v>0.65950917015855637</v>
      </c>
      <c r="M154" s="33">
        <f ca="1">IF(ISERROR(MATCH(M$1,INDIRECT("Table!A"&amp;$X154):INDIRECT("Table!" &amp; $AA$171 &amp; $X154),0)),"",INDIRECT(CONCATENATE("Table!",ADDRESS($T154,MATCH(M$1,INDIRECT("Table!A" &amp; $X154):INDIRECT("Table!" &amp; $AA$171 &amp; $X154),0)))))</f>
        <v>0.52575153402159469</v>
      </c>
      <c r="N154" s="33">
        <f ca="1">IF(ISERROR(MATCH(N$1,INDIRECT("Table!A"&amp;$X154):INDIRECT("Table!" &amp; $AA$171 &amp; $X154),0)),"",INDIRECT(CONCATENATE("Table!",ADDRESS($T154,MATCH(N$1,INDIRECT("Table!A" &amp; $X154):INDIRECT("Table!" &amp; $AA$171 &amp; $X154),0)))))</f>
        <v>9.9396860509775664E-4</v>
      </c>
      <c r="O154" s="33">
        <f ca="1">IF(ISERROR(MATCH(O$1,INDIRECT("Table!A"&amp;$X154):INDIRECT("Table!" &amp; $AA$171 &amp; $X154),0)),"",INDIRECT(CONCATENATE("Table!",ADDRESS($T154,MATCH(O$1,INDIRECT("Table!A" &amp; $X154):INDIRECT("Table!" &amp; $AA$171 &amp; $X154),0)))))</f>
        <v>0.44178494549324093</v>
      </c>
      <c r="P154" s="33">
        <f ca="1">IF(ISERROR(MATCH(P$1,INDIRECT("Table!A"&amp;$X154):INDIRECT("Table!" &amp; $AA$171 &amp; $X154),0)),"",INDIRECT(CONCATENATE("Table!",ADDRESS($T154,MATCH(P$1,INDIRECT("Table!A" &amp; $X154):INDIRECT("Table!" &amp; $AA$171 &amp; $X154),0)))))</f>
        <v>0.41727390251452084</v>
      </c>
      <c r="T154" s="31">
        <f>MATCH($A154,Table!$A:$A,0)+$V$2-1</f>
        <v>2029</v>
      </c>
      <c r="U154" s="131"/>
      <c r="V154" s="131"/>
      <c r="W154" s="131"/>
      <c r="X154" s="31">
        <f>MATCH($A154,Table!$A:$A,0)+$Z$2-1</f>
        <v>2026</v>
      </c>
      <c r="Y154" s="131"/>
      <c r="AA154" t="s">
        <v>209</v>
      </c>
    </row>
    <row r="155" spans="1:27" ht="15.75" customHeight="1">
      <c r="A155" s="5">
        <v>40941</v>
      </c>
      <c r="B155" s="33">
        <f ca="1">IF(ISERROR(MATCH(B$1,INDIRECT("Table!A"&amp;$X155):INDIRECT("Table!" &amp; $AA$171 &amp; $X155),0)),"",INDIRECT(CONCATENATE("Table!",ADDRESS($T155,MATCH(B$1,INDIRECT("Table!A" &amp; $X155):INDIRECT("Table!" &amp; $AA$171 &amp; $X155),0)))))</f>
        <v>0.78819394077543159</v>
      </c>
      <c r="C155" s="33">
        <f ca="1">IF(ISERROR(MATCH(C$1,INDIRECT("Table!A"&amp;$X155):INDIRECT("Table!" &amp; $AA$171 &amp; $X155),0)),"",INDIRECT(CONCATENATE("Table!",ADDRESS($T155,MATCH(C$1,INDIRECT("Table!A" &amp; $X155):INDIRECT("Table!" &amp; $AA$171 &amp; $X155),0)))))</f>
        <v>0.82413619328562315</v>
      </c>
      <c r="D155" s="33">
        <f ca="1">IF(ISERROR(MATCH(D$1,INDIRECT("Table!A"&amp;$X155):INDIRECT("Table!" &amp; $AA$171 &amp; $X155),0)),"",INDIRECT(CONCATENATE("Table!",ADDRESS($T155,MATCH(D$1,INDIRECT("Table!A" &amp; $X155):INDIRECT("Table!" &amp; $AA$171 &amp; $X155),0)))))</f>
        <v>0.84136543422614096</v>
      </c>
      <c r="E155" s="33">
        <f ca="1">IF(ISERROR(MATCH(E$1,INDIRECT("Table!A"&amp;$X155):INDIRECT("Table!" &amp; $AA$171 &amp; $X155),0)),"",INDIRECT(CONCATENATE("Table!",ADDRESS($T155,MATCH(E$1,INDIRECT("Table!A" &amp; $X155):INDIRECT("Table!" &amp; $AA$171 &amp; $X155),0)))))</f>
        <v>0.82044509086764617</v>
      </c>
      <c r="F155" s="33">
        <f ca="1">IF(ISERROR(MATCH(F$1,INDIRECT("Table!A"&amp;$X155):INDIRECT("Table!" &amp; $AA$171 &amp; $X155),0)),"",INDIRECT(CONCATENATE("Table!",ADDRESS($T155,MATCH(F$1,INDIRECT("Table!A" &amp; $X155):INDIRECT("Table!" &amp; $AA$171 &amp; $X155),0)))))</f>
        <v>7.2445970471055401E-4</v>
      </c>
      <c r="G155" s="33">
        <f ca="1">IF(ISERROR(MATCH(G$1,INDIRECT("Table!A"&amp;$X155):INDIRECT("Table!" &amp; $AA$171 &amp; $X155),0)),"",INDIRECT(CONCATENATE("Table!",ADDRESS($T155,MATCH(G$1,INDIRECT("Table!A" &amp; $X155):INDIRECT("Table!" &amp; $AA$171 &amp; $X155),0)))))</f>
        <v>0.20978651227061584</v>
      </c>
      <c r="H155" s="33">
        <f ca="1">IF(ISERROR(MATCH(H$1,INDIRECT("Table!A"&amp;$X155):INDIRECT("Table!" &amp; $AA$171 &amp; $X155),0)),"",INDIRECT(CONCATENATE("Table!",ADDRESS($T155,MATCH(H$1,INDIRECT("Table!A" &amp; $X155):INDIRECT("Table!" &amp; $AA$171 &amp; $X155),0)))))</f>
        <v>0.16102621077079543</v>
      </c>
      <c r="I155" s="33" t="str">
        <f ca="1">IF(ISERROR(MATCH(I$1,INDIRECT("Table!A"&amp;$X155):INDIRECT("Table!" &amp; $AA$171 &amp; $X155),0)),"",INDIRECT(CONCATENATE("Table!",ADDRESS($T155,MATCH(I$1,INDIRECT("Table!A" &amp; $X155):INDIRECT("Table!" &amp; $AA$171 &amp; $X155),0)))))</f>
        <v/>
      </c>
      <c r="J155" s="33" t="str">
        <f ca="1">IF(ISERROR(MATCH(J$1,INDIRECT("Table!A"&amp;$X155):INDIRECT("Table!" &amp; $AA$171 &amp; $X155),0)),"",INDIRECT(CONCATENATE("Table!",ADDRESS($T155,MATCH(J$1,INDIRECT("Table!A" &amp; $X155):INDIRECT("Table!" &amp; $AA$171 &amp; $X155),0)))))</f>
        <v/>
      </c>
      <c r="K155" s="33" t="str">
        <f ca="1">IF(ISERROR(MATCH(K$1,INDIRECT("Table!A"&amp;$X155):INDIRECT("Table!" &amp; $AA$171 &amp; $X155),0)),"",INDIRECT(CONCATENATE("Table!",ADDRESS($T155,MATCH(K$1,INDIRECT("Table!A" &amp; $X155):INDIRECT("Table!" &amp; $AA$171 &amp; $X155),0)))))</f>
        <v/>
      </c>
      <c r="L155" s="33">
        <f ca="1">IF(ISERROR(MATCH(L$1,INDIRECT("Table!A"&amp;$X155):INDIRECT("Table!" &amp; $AA$171 &amp; $X155),0)),"",INDIRECT(CONCATENATE("Table!",ADDRESS($T155,MATCH(L$1,INDIRECT("Table!A" &amp; $X155):INDIRECT("Table!" &amp; $AA$171 &amp; $X155),0)))))</f>
        <v>0.65531656290431628</v>
      </c>
      <c r="M155" s="33">
        <f ca="1">IF(ISERROR(MATCH(M$1,INDIRECT("Table!A"&amp;$X155):INDIRECT("Table!" &amp; $AA$171 &amp; $X155),0)),"",INDIRECT(CONCATENATE("Table!",ADDRESS($T155,MATCH(M$1,INDIRECT("Table!A" &amp; $X155):INDIRECT("Table!" &amp; $AA$171 &amp; $X155),0)))))</f>
        <v>0.52132153456783381</v>
      </c>
      <c r="N155" s="33">
        <f ca="1">IF(ISERROR(MATCH(N$1,INDIRECT("Table!A"&amp;$X155):INDIRECT("Table!" &amp; $AA$171 &amp; $X155),0)),"",INDIRECT(CONCATENATE("Table!",ADDRESS($T155,MATCH(N$1,INDIRECT("Table!A" &amp; $X155):INDIRECT("Table!" &amp; $AA$171 &amp; $X155),0)))))</f>
        <v>9.7418813534456755E-4</v>
      </c>
      <c r="O155" s="33">
        <f ca="1">IF(ISERROR(MATCH(O$1,INDIRECT("Table!A"&amp;$X155):INDIRECT("Table!" &amp; $AA$171 &amp; $X155),0)),"",INDIRECT(CONCATENATE("Table!",ADDRESS($T155,MATCH(O$1,INDIRECT("Table!A" &amp; $X155):INDIRECT("Table!" &amp; $AA$171 &amp; $X155),0)))))</f>
        <v>0.44170618423222219</v>
      </c>
      <c r="P155" s="33">
        <f ca="1">IF(ISERROR(MATCH(P$1,INDIRECT("Table!A"&amp;$X155):INDIRECT("Table!" &amp; $AA$171 &amp; $X155),0)),"",INDIRECT(CONCATENATE("Table!",ADDRESS($T155,MATCH(P$1,INDIRECT("Table!A" &amp; $X155):INDIRECT("Table!" &amp; $AA$171 &amp; $X155),0)))))</f>
        <v>0.4172702609202309</v>
      </c>
      <c r="T155" s="31">
        <f>MATCH($A155,Table!$A:$A,0)+$V$2-1</f>
        <v>2042</v>
      </c>
      <c r="U155" s="130"/>
      <c r="V155" s="130"/>
      <c r="W155" s="130"/>
      <c r="X155" s="31">
        <f>MATCH($A155,Table!$A:$A,0)+$Z$2-1</f>
        <v>2039</v>
      </c>
      <c r="Y155" s="130"/>
      <c r="AA155" t="s">
        <v>209</v>
      </c>
    </row>
    <row r="156" spans="1:27" ht="15.75" customHeight="1">
      <c r="A156" s="5">
        <v>40940</v>
      </c>
      <c r="B156" s="33">
        <f ca="1">IF(ISERROR(MATCH(B$1,INDIRECT("Table!A"&amp;$X156):INDIRECT("Table!" &amp; $AA$171 &amp; $X156),0)),"",INDIRECT(CONCATENATE("Table!",ADDRESS($T156,MATCH(B$1,INDIRECT("Table!A" &amp; $X156):INDIRECT("Table!" &amp; $AA$171 &amp; $X156),0)))))</f>
        <v>0.78609407270793175</v>
      </c>
      <c r="C156" s="33">
        <f ca="1">IF(ISERROR(MATCH(C$1,INDIRECT("Table!A"&amp;$X156):INDIRECT("Table!" &amp; $AA$171 &amp; $X156),0)),"",INDIRECT(CONCATENATE("Table!",ADDRESS($T156,MATCH(C$1,INDIRECT("Table!A" &amp; $X156):INDIRECT("Table!" &amp; $AA$171 &amp; $X156),0)))))</f>
        <v>0.82301575491411016</v>
      </c>
      <c r="D156" s="33">
        <f ca="1">IF(ISERROR(MATCH(D$1,INDIRECT("Table!A"&amp;$X156):INDIRECT("Table!" &amp; $AA$171 &amp; $X156),0)),"",INDIRECT(CONCATENATE("Table!",ADDRESS($T156,MATCH(D$1,INDIRECT("Table!A" &amp; $X156):INDIRECT("Table!" &amp; $AA$171 &amp; $X156),0)))))</f>
        <v>0.84027625808597617</v>
      </c>
      <c r="E156" s="33">
        <f ca="1">IF(ISERROR(MATCH(E$1,INDIRECT("Table!A"&amp;$X156):INDIRECT("Table!" &amp; $AA$171 &amp; $X156),0)),"",INDIRECT(CONCATENATE("Table!",ADDRESS($T156,MATCH(E$1,INDIRECT("Table!A" &amp; $X156):INDIRECT("Table!" &amp; $AA$171 &amp; $X156),0)))))</f>
        <v>0.81922117516629722</v>
      </c>
      <c r="F156" s="33">
        <f ca="1">IF(ISERROR(MATCH(F$1,INDIRECT("Table!A"&amp;$X156):INDIRECT("Table!" &amp; $AA$171 &amp; $X156),0)),"",INDIRECT(CONCATENATE("Table!",ADDRESS($T156,MATCH(F$1,INDIRECT("Table!A" &amp; $X156):INDIRECT("Table!" &amp; $AA$171 &amp; $X156),0)))))</f>
        <v>7.2445970471055401E-4</v>
      </c>
      <c r="G156" s="33">
        <f ca="1">IF(ISERROR(MATCH(G$1,INDIRECT("Table!A"&amp;$X156):INDIRECT("Table!" &amp; $AA$171 &amp; $X156),0)),"",INDIRECT(CONCATENATE("Table!",ADDRESS($T156,MATCH(G$1,INDIRECT("Table!A" &amp; $X156):INDIRECT("Table!" &amp; $AA$171 &amp; $X156),0)))))</f>
        <v>0.20971655799527403</v>
      </c>
      <c r="H156" s="33">
        <f ca="1">IF(ISERROR(MATCH(H$1,INDIRECT("Table!A"&amp;$X156):INDIRECT("Table!" &amp; $AA$171 &amp; $X156),0)),"",INDIRECT(CONCATENATE("Table!",ADDRESS($T156,MATCH(H$1,INDIRECT("Table!A" &amp; $X156):INDIRECT("Table!" &amp; $AA$171 &amp; $X156),0)))))</f>
        <v>0.16101796890839828</v>
      </c>
      <c r="I156" s="33" t="str">
        <f ca="1">IF(ISERROR(MATCH(I$1,INDIRECT("Table!A"&amp;$X156):INDIRECT("Table!" &amp; $AA$171 &amp; $X156),0)),"",INDIRECT(CONCATENATE("Table!",ADDRESS($T156,MATCH(I$1,INDIRECT("Table!A" &amp; $X156):INDIRECT("Table!" &amp; $AA$171 &amp; $X156),0)))))</f>
        <v/>
      </c>
      <c r="J156" s="33" t="str">
        <f ca="1">IF(ISERROR(MATCH(J$1,INDIRECT("Table!A"&amp;$X156):INDIRECT("Table!" &amp; $AA$171 &amp; $X156),0)),"",INDIRECT(CONCATENATE("Table!",ADDRESS($T156,MATCH(J$1,INDIRECT("Table!A" &amp; $X156):INDIRECT("Table!" &amp; $AA$171 &amp; $X156),0)))))</f>
        <v/>
      </c>
      <c r="K156" s="33" t="str">
        <f ca="1">IF(ISERROR(MATCH(K$1,INDIRECT("Table!A"&amp;$X156):INDIRECT("Table!" &amp; $AA$171 &amp; $X156),0)),"",INDIRECT(CONCATENATE("Table!",ADDRESS($T156,MATCH(K$1,INDIRECT("Table!A" &amp; $X156):INDIRECT("Table!" &amp; $AA$171 &amp; $X156),0)))))</f>
        <v/>
      </c>
      <c r="L156" s="33">
        <f ca="1">IF(ISERROR(MATCH(L$1,INDIRECT("Table!A"&amp;$X156):INDIRECT("Table!" &amp; $AA$171 &amp; $X156),0)),"",INDIRECT(CONCATENATE("Table!",ADDRESS($T156,MATCH(L$1,INDIRECT("Table!A" &amp; $X156):INDIRECT("Table!" &amp; $AA$171 &amp; $X156),0)))))</f>
        <v>0.65437018476015341</v>
      </c>
      <c r="M156" s="33">
        <f ca="1">IF(ISERROR(MATCH(M$1,INDIRECT("Table!A"&amp;$X156):INDIRECT("Table!" &amp; $AA$171 &amp; $X156),0)),"",INDIRECT(CONCATENATE("Table!",ADDRESS($T156,MATCH(M$1,INDIRECT("Table!A" &amp; $X156):INDIRECT("Table!" &amp; $AA$171 &amp; $X156),0)))))</f>
        <v>0.52129786420494895</v>
      </c>
      <c r="N156" s="33">
        <f ca="1">IF(ISERROR(MATCH(N$1,INDIRECT("Table!A"&amp;$X156):INDIRECT("Table!" &amp; $AA$171 &amp; $X156),0)),"",INDIRECT(CONCATENATE("Table!",ADDRESS($T156,MATCH(N$1,INDIRECT("Table!A" &amp; $X156):INDIRECT("Table!" &amp; $AA$171 &amp; $X156),0)))))</f>
        <v>9.7418813534456755E-4</v>
      </c>
      <c r="O156" s="33">
        <f ca="1">IF(ISERROR(MATCH(O$1,INDIRECT("Table!A"&amp;$X156):INDIRECT("Table!" &amp; $AA$171 &amp; $X156),0)),"",INDIRECT(CONCATENATE("Table!",ADDRESS($T156,MATCH(O$1,INDIRECT("Table!A" &amp; $X156):INDIRECT("Table!" &amp; $AA$171 &amp; $X156),0)))))</f>
        <v>0.44163365587675163</v>
      </c>
      <c r="P156" s="33">
        <f ca="1">IF(ISERROR(MATCH(P$1,INDIRECT("Table!A"&amp;$X156):INDIRECT("Table!" &amp; $AA$171 &amp; $X156),0)),"",INDIRECT(CONCATENATE("Table!",ADDRESS($T156,MATCH(P$1,INDIRECT("Table!A" &amp; $X156):INDIRECT("Table!" &amp; $AA$171 &amp; $X156),0)))))</f>
        <v>0.41717193787440143</v>
      </c>
      <c r="T156" s="31">
        <f>MATCH($A156,Table!$A:$A,0)+$V$2-1</f>
        <v>2055</v>
      </c>
      <c r="U156" s="129"/>
      <c r="V156" s="129"/>
      <c r="W156" s="129"/>
      <c r="X156" s="31">
        <f>MATCH($A156,Table!$A:$A,0)+$Z$2-1</f>
        <v>2052</v>
      </c>
      <c r="Y156" s="129"/>
      <c r="AA156" t="s">
        <v>209</v>
      </c>
    </row>
    <row r="157" spans="1:27" ht="15.75" customHeight="1">
      <c r="A157" s="5">
        <v>40939</v>
      </c>
      <c r="B157" s="33">
        <f ca="1">IF(ISERROR(MATCH(B$1,INDIRECT("Table!A"&amp;$X157):INDIRECT("Table!" &amp; $AA$171 &amp; $X157),0)),"",INDIRECT(CONCATENATE("Table!",ADDRESS($T157,MATCH(B$1,INDIRECT("Table!A" &amp; $X157):INDIRECT("Table!" &amp; $AA$171 &amp; $X157),0)))))</f>
        <v>0.78581432054762346</v>
      </c>
      <c r="C157" s="33">
        <f ca="1">IF(ISERROR(MATCH(C$1,INDIRECT("Table!A"&amp;$X157):INDIRECT("Table!" &amp; $AA$171 &amp; $X157),0)),"",INDIRECT(CONCATENATE("Table!",ADDRESS($T157,MATCH(C$1,INDIRECT("Table!A" &amp; $X157):INDIRECT("Table!" &amp; $AA$171 &amp; $X157),0)))))</f>
        <v>0.82149140851358105</v>
      </c>
      <c r="D157" s="33">
        <f ca="1">IF(ISERROR(MATCH(D$1,INDIRECT("Table!A"&amp;$X157):INDIRECT("Table!" &amp; $AA$171 &amp; $X157),0)),"",INDIRECT(CONCATENATE("Table!",ADDRESS($T157,MATCH(D$1,INDIRECT("Table!A" &amp; $X157):INDIRECT("Table!" &amp; $AA$171 &amp; $X157),0)))))</f>
        <v>0.83872064945409885</v>
      </c>
      <c r="E157" s="33">
        <f ca="1">IF(ISERROR(MATCH(E$1,INDIRECT("Table!A"&amp;$X157):INDIRECT("Table!" &amp; $AA$171 &amp; $X157),0)),"",INDIRECT(CONCATENATE("Table!",ADDRESS($T157,MATCH(E$1,INDIRECT("Table!A" &amp; $X157):INDIRECT("Table!" &amp; $AA$171 &amp; $X157),0)))))</f>
        <v>0.81789947572372923</v>
      </c>
      <c r="F157" s="33">
        <f ca="1">IF(ISERROR(MATCH(F$1,INDIRECT("Table!A"&amp;$X157):INDIRECT("Table!" &amp; $AA$171 &amp; $X157),0)),"",INDIRECT(CONCATENATE("Table!",ADDRESS($T157,MATCH(F$1,INDIRECT("Table!A" &amp; $X157):INDIRECT("Table!" &amp; $AA$171 &amp; $X157),0)))))</f>
        <v>7.2445970471055401E-4</v>
      </c>
      <c r="G157" s="33">
        <f ca="1">IF(ISERROR(MATCH(G$1,INDIRECT("Table!A"&amp;$X157):INDIRECT("Table!" &amp; $AA$171 &amp; $X157),0)),"",INDIRECT(CONCATENATE("Table!",ADDRESS($T157,MATCH(G$1,INDIRECT("Table!A" &amp; $X157):INDIRECT("Table!" &amp; $AA$171 &amp; $X157),0)))))</f>
        <v>0.20586180487481365</v>
      </c>
      <c r="H157" s="33">
        <f ca="1">IF(ISERROR(MATCH(H$1,INDIRECT("Table!A"&amp;$X157):INDIRECT("Table!" &amp; $AA$171 &amp; $X157),0)),"",INDIRECT(CONCATENATE("Table!",ADDRESS($T157,MATCH(H$1,INDIRECT("Table!A" &amp; $X157):INDIRECT("Table!" &amp; $AA$171 &amp; $X157),0)))))</f>
        <v>0.16101467216343943</v>
      </c>
      <c r="I157" s="33" t="str">
        <f ca="1">IF(ISERROR(MATCH(I$1,INDIRECT("Table!A"&amp;$X157):INDIRECT("Table!" &amp; $AA$171 &amp; $X157),0)),"",INDIRECT(CONCATENATE("Table!",ADDRESS($T157,MATCH(I$1,INDIRECT("Table!A" &amp; $X157):INDIRECT("Table!" &amp; $AA$171 &amp; $X157),0)))))</f>
        <v/>
      </c>
      <c r="J157" s="33" t="str">
        <f ca="1">IF(ISERROR(MATCH(J$1,INDIRECT("Table!A"&amp;$X157):INDIRECT("Table!" &amp; $AA$171 &amp; $X157),0)),"",INDIRECT(CONCATENATE("Table!",ADDRESS($T157,MATCH(J$1,INDIRECT("Table!A" &amp; $X157):INDIRECT("Table!" &amp; $AA$171 &amp; $X157),0)))))</f>
        <v/>
      </c>
      <c r="K157" s="33" t="str">
        <f ca="1">IF(ISERROR(MATCH(K$1,INDIRECT("Table!A"&amp;$X157):INDIRECT("Table!" &amp; $AA$171 &amp; $X157),0)),"",INDIRECT(CONCATENATE("Table!",ADDRESS($T157,MATCH(K$1,INDIRECT("Table!A" &amp; $X157):INDIRECT("Table!" &amp; $AA$171 &amp; $X157),0)))))</f>
        <v/>
      </c>
      <c r="L157" s="33">
        <f ca="1">IF(ISERROR(MATCH(L$1,INDIRECT("Table!A"&amp;$X157):INDIRECT("Table!" &amp; $AA$171 &amp; $X157),0)),"",INDIRECT(CONCATENATE("Table!",ADDRESS($T157,MATCH(L$1,INDIRECT("Table!A" &amp; $X157):INDIRECT("Table!" &amp; $AA$171 &amp; $X157),0)))))</f>
        <v>0.65053670987953272</v>
      </c>
      <c r="M157" s="33">
        <f ca="1">IF(ISERROR(MATCH(M$1,INDIRECT("Table!A"&amp;$X157):INDIRECT("Table!" &amp; $AA$171 &amp; $X157),0)),"",INDIRECT(CONCATENATE("Table!",ADDRESS($T157,MATCH(M$1,INDIRECT("Table!A" &amp; $X157):INDIRECT("Table!" &amp; $AA$171 &amp; $X157),0)))))</f>
        <v>0.52125416507346911</v>
      </c>
      <c r="N157" s="33">
        <f ca="1">IF(ISERROR(MATCH(N$1,INDIRECT("Table!A"&amp;$X157):INDIRECT("Table!" &amp; $AA$171 &amp; $X157),0)),"",INDIRECT(CONCATENATE("Table!",ADDRESS($T157,MATCH(N$1,INDIRECT("Table!A" &amp; $X157):INDIRECT("Table!" &amp; $AA$171 &amp; $X157),0)))))</f>
        <v>9.7418813534456755E-4</v>
      </c>
      <c r="O157" s="33">
        <f ca="1">IF(ISERROR(MATCH(O$1,INDIRECT("Table!A"&amp;$X157):INDIRECT("Table!" &amp; $AA$171 &amp; $X157),0)),"",INDIRECT(CONCATENATE("Table!",ADDRESS($T157,MATCH(O$1,INDIRECT("Table!A" &amp; $X157):INDIRECT("Table!" &amp; $AA$171 &amp; $X157),0)))))</f>
        <v>0.44162855622675762</v>
      </c>
      <c r="P157" s="33">
        <f ca="1">IF(ISERROR(MATCH(P$1,INDIRECT("Table!A"&amp;$X157):INDIRECT("Table!" &amp; $AA$171 &amp; $X157),0)),"",INDIRECT(CONCATENATE("Table!",ADDRESS($T157,MATCH(P$1,INDIRECT("Table!A" &amp; $X157):INDIRECT("Table!" &amp; $AA$171 &amp; $X157),0)))))</f>
        <v>0.41717011707725643</v>
      </c>
      <c r="T157" s="31">
        <f>MATCH($A157,Table!$A:$A,0)+$V$2-1</f>
        <v>2068</v>
      </c>
      <c r="U157" s="128"/>
      <c r="V157" s="128"/>
      <c r="W157" s="128"/>
      <c r="X157" s="31">
        <f>MATCH($A157,Table!$A:$A,0)+$Z$2-1</f>
        <v>2065</v>
      </c>
      <c r="Y157" s="128"/>
      <c r="AA157" t="s">
        <v>209</v>
      </c>
    </row>
    <row r="158" spans="1:27" ht="15.75" customHeight="1">
      <c r="A158" s="5">
        <v>40938</v>
      </c>
      <c r="B158" s="33">
        <f ca="1">IF(ISERROR(MATCH(B$1,INDIRECT("Table!A"&amp;$X158):INDIRECT("Table!" &amp; $AA$171 &amp; $X158),0)),"",INDIRECT(CONCATENATE("Table!",ADDRESS($T158,MATCH(B$1,INDIRECT("Table!A" &amp; $X158):INDIRECT("Table!" &amp; $AA$171 &amp; $X158),0)))))</f>
        <v>0.78571588923195945</v>
      </c>
      <c r="C158" s="33">
        <f ca="1">IF(ISERROR(MATCH(C$1,INDIRECT("Table!A"&amp;$X158):INDIRECT("Table!" &amp; $AA$171 &amp; $X158),0)),"",INDIRECT(CONCATENATE("Table!",ADDRESS($T158,MATCH(C$1,INDIRECT("Table!A" &amp; $X158):INDIRECT("Table!" &amp; $AA$171 &amp; $X158),0)))))</f>
        <v>0.82126882142638313</v>
      </c>
      <c r="D158" s="33">
        <f ca="1">IF(ISERROR(MATCH(D$1,INDIRECT("Table!A"&amp;$X158):INDIRECT("Table!" &amp; $AA$171 &amp; $X158),0)),"",INDIRECT(CONCATENATE("Table!",ADDRESS($T158,MATCH(D$1,INDIRECT("Table!A" &amp; $X158):INDIRECT("Table!" &amp; $AA$171 &amp; $X158),0)))))</f>
        <v>0.83849806236690116</v>
      </c>
      <c r="E158" s="33">
        <f ca="1">IF(ISERROR(MATCH(E$1,INDIRECT("Table!A"&amp;$X158):INDIRECT("Table!" &amp; $AA$171 &amp; $X158),0)),"",INDIRECT(CONCATENATE("Table!",ADDRESS($T158,MATCH(E$1,INDIRECT("Table!A" &amp; $X158):INDIRECT("Table!" &amp; $AA$171 &amp; $X158),0)))))</f>
        <v>0.81656417721781305</v>
      </c>
      <c r="F158" s="33">
        <f ca="1">IF(ISERROR(MATCH(F$1,INDIRECT("Table!A"&amp;$X158):INDIRECT("Table!" &amp; $AA$171 &amp; $X158),0)),"",INDIRECT(CONCATENATE("Table!",ADDRESS($T158,MATCH(F$1,INDIRECT("Table!A" &amp; $X158):INDIRECT("Table!" &amp; $AA$171 &amp; $X158),0)))))</f>
        <v>7.2445970471055401E-4</v>
      </c>
      <c r="G158" s="33">
        <f ca="1">IF(ISERROR(MATCH(G$1,INDIRECT("Table!A"&amp;$X158):INDIRECT("Table!" &amp; $AA$171 &amp; $X158),0)),"",INDIRECT(CONCATENATE("Table!",ADDRESS($T158,MATCH(G$1,INDIRECT("Table!A" &amp; $X158):INDIRECT("Table!" &amp; $AA$171 &amp; $X158),0)))))</f>
        <v>0.18343737139088179</v>
      </c>
      <c r="H158" s="33">
        <f ca="1">IF(ISERROR(MATCH(H$1,INDIRECT("Table!A"&amp;$X158):INDIRECT("Table!" &amp; $AA$171 &amp; $X158),0)),"",INDIRECT(CONCATENATE("Table!",ADDRESS($T158,MATCH(H$1,INDIRECT("Table!A" &amp; $X158):INDIRECT("Table!" &amp; $AA$171 &amp; $X158),0)))))</f>
        <v>0.16101302379096</v>
      </c>
      <c r="I158" s="33" t="str">
        <f ca="1">IF(ISERROR(MATCH(I$1,INDIRECT("Table!A"&amp;$X158):INDIRECT("Table!" &amp; $AA$171 &amp; $X158),0)),"",INDIRECT(CONCATENATE("Table!",ADDRESS($T158,MATCH(I$1,INDIRECT("Table!A" &amp; $X158):INDIRECT("Table!" &amp; $AA$171 &amp; $X158),0)))))</f>
        <v/>
      </c>
      <c r="J158" s="33" t="str">
        <f ca="1">IF(ISERROR(MATCH(J$1,INDIRECT("Table!A"&amp;$X158):INDIRECT("Table!" &amp; $AA$171 &amp; $X158),0)),"",INDIRECT(CONCATENATE("Table!",ADDRESS($T158,MATCH(J$1,INDIRECT("Table!A" &amp; $X158):INDIRECT("Table!" &amp; $AA$171 &amp; $X158),0)))))</f>
        <v/>
      </c>
      <c r="K158" s="33" t="str">
        <f ca="1">IF(ISERROR(MATCH(K$1,INDIRECT("Table!A"&amp;$X158):INDIRECT("Table!" &amp; $AA$171 &amp; $X158),0)),"",INDIRECT(CONCATENATE("Table!",ADDRESS($T158,MATCH(K$1,INDIRECT("Table!A" &amp; $X158):INDIRECT("Table!" &amp; $AA$171 &amp; $X158),0)))))</f>
        <v/>
      </c>
      <c r="L158" s="33">
        <f ca="1">IF(ISERROR(MATCH(L$1,INDIRECT("Table!A"&amp;$X158):INDIRECT("Table!" &amp; $AA$171 &amp; $X158),0)),"",INDIRECT(CONCATENATE("Table!",ADDRESS($T158,MATCH(L$1,INDIRECT("Table!A" &amp; $X158):INDIRECT("Table!" &amp; $AA$171 &amp; $X158),0)))))</f>
        <v>0.64873753857456029</v>
      </c>
      <c r="M158" s="33">
        <f ca="1">IF(ISERROR(MATCH(M$1,INDIRECT("Table!A"&amp;$X158):INDIRECT("Table!" &amp; $AA$171 &amp; $X158),0)),"",INDIRECT(CONCATENATE("Table!",ADDRESS($T158,MATCH(M$1,INDIRECT("Table!A" &amp; $X158):INDIRECT("Table!" &amp; $AA$171 &amp; $X158),0)))))</f>
        <v>0.48073050381457005</v>
      </c>
      <c r="N158" s="33">
        <f ca="1">IF(ISERROR(MATCH(N$1,INDIRECT("Table!A"&amp;$X158):INDIRECT("Table!" &amp; $AA$171 &amp; $X158),0)),"",INDIRECT(CONCATENATE("Table!",ADDRESS($T158,MATCH(N$1,INDIRECT("Table!A" &amp; $X158):INDIRECT("Table!" &amp; $AA$171 &amp; $X158),0)))))</f>
        <v>9.7418813534456755E-4</v>
      </c>
      <c r="O158" s="33">
        <f ca="1">IF(ISERROR(MATCH(O$1,INDIRECT("Table!A"&amp;$X158):INDIRECT("Table!" &amp; $AA$171 &amp; $X158),0)),"",INDIRECT(CONCATENATE("Table!",ADDRESS($T158,MATCH(O$1,INDIRECT("Table!A" &amp; $X158):INDIRECT("Table!" &amp; $AA$171 &amp; $X158),0)))))</f>
        <v>0.44159739169901635</v>
      </c>
      <c r="P158" s="33">
        <f ca="1">IF(ISERROR(MATCH(P$1,INDIRECT("Table!A"&amp;$X158):INDIRECT("Table!" &amp; $AA$171 &amp; $X158),0)),"",INDIRECT(CONCATENATE("Table!",ADDRESS($T158,MATCH(P$1,INDIRECT("Table!A" &amp; $X158):INDIRECT("Table!" &amp; $AA$171 &amp; $X158),0)))))</f>
        <v>0.4171245971486317</v>
      </c>
      <c r="T158" s="31">
        <f>MATCH($A158,Table!$A:$A,0)+$V$2-1</f>
        <v>2081</v>
      </c>
      <c r="U158" s="127"/>
      <c r="V158" s="127"/>
      <c r="W158" s="127"/>
      <c r="X158" s="31">
        <f>MATCH($A158,Table!$A:$A,0)+$Z$2-1</f>
        <v>2078</v>
      </c>
      <c r="Y158" s="127"/>
      <c r="AA158" t="s">
        <v>209</v>
      </c>
    </row>
    <row r="159" spans="1:27" ht="15.75" customHeight="1">
      <c r="A159" s="5">
        <v>40934</v>
      </c>
      <c r="B159" s="33">
        <f ca="1">IF(ISERROR(MATCH(B$1,INDIRECT("Table!A"&amp;$X159):INDIRECT("Table!" &amp; $AA$171 &amp; $X159),0)),"",INDIRECT(CONCATENATE("Table!",ADDRESS($T159,MATCH(B$1,INDIRECT("Table!A" &amp; $X159):INDIRECT("Table!" &amp; $AA$171 &amp; $X159),0)))))</f>
        <v>0.78177863660539748</v>
      </c>
      <c r="C159" s="33">
        <f ca="1">IF(ISERROR(MATCH(C$1,INDIRECT("Table!A"&amp;$X159):INDIRECT("Table!" &amp; $AA$171 &amp; $X159),0)),"",INDIRECT(CONCATENATE("Table!",ADDRESS($T159,MATCH(C$1,INDIRECT("Table!A" &amp; $X159):INDIRECT("Table!" &amp; $AA$171 &amp; $X159),0)))))</f>
        <v>0.82100371770455205</v>
      </c>
      <c r="D159" s="33">
        <f ca="1">IF(ISERROR(MATCH(D$1,INDIRECT("Table!A"&amp;$X159):INDIRECT("Table!" &amp; $AA$171 &amp; $X159),0)),"",INDIRECT(CONCATENATE("Table!",ADDRESS($T159,MATCH(D$1,INDIRECT("Table!A" &amp; $X159):INDIRECT("Table!" &amp; $AA$171 &amp; $X159),0)))))</f>
        <v>0.83823295864506986</v>
      </c>
      <c r="E159" s="33">
        <f ca="1">IF(ISERROR(MATCH(E$1,INDIRECT("Table!A"&amp;$X159):INDIRECT("Table!" &amp; $AA$171 &amp; $X159),0)),"",INDIRECT(CONCATENATE("Table!",ADDRESS($T159,MATCH(E$1,INDIRECT("Table!A" &amp; $X159):INDIRECT("Table!" &amp; $AA$171 &amp; $X159),0)))))</f>
        <v>0.81276809582029552</v>
      </c>
      <c r="F159" s="33">
        <f ca="1">IF(ISERROR(MATCH(F$1,INDIRECT("Table!A"&amp;$X159):INDIRECT("Table!" &amp; $AA$171 &amp; $X159),0)),"",INDIRECT(CONCATENATE("Table!",ADDRESS($T159,MATCH(F$1,INDIRECT("Table!A" &amp; $X159):INDIRECT("Table!" &amp; $AA$171 &amp; $X159),0)))))</f>
        <v>7.2445970471055401E-4</v>
      </c>
      <c r="G159" s="33">
        <f ca="1">IF(ISERROR(MATCH(G$1,INDIRECT("Table!A"&amp;$X159):INDIRECT("Table!" &amp; $AA$171 &amp; $X159),0)),"",INDIRECT(CONCATENATE("Table!",ADDRESS($T159,MATCH(G$1,INDIRECT("Table!A" &amp; $X159):INDIRECT("Table!" &amp; $AA$171 &amp; $X159),0)))))</f>
        <v>0.13364809728913557</v>
      </c>
      <c r="H159" s="33">
        <f ca="1">IF(ISERROR(MATCH(H$1,INDIRECT("Table!A"&amp;$X159):INDIRECT("Table!" &amp; $AA$171 &amp; $X159),0)),"",INDIRECT(CONCATENATE("Table!",ADDRESS($T159,MATCH(H$1,INDIRECT("Table!A" &amp; $X159):INDIRECT("Table!" &amp; $AA$171 &amp; $X159),0)))))</f>
        <v>0.16100560611480252</v>
      </c>
      <c r="I159" s="33" t="str">
        <f ca="1">IF(ISERROR(MATCH(I$1,INDIRECT("Table!A"&amp;$X159):INDIRECT("Table!" &amp; $AA$171 &amp; $X159),0)),"",INDIRECT(CONCATENATE("Table!",ADDRESS($T159,MATCH(I$1,INDIRECT("Table!A" &amp; $X159):INDIRECT("Table!" &amp; $AA$171 &amp; $X159),0)))))</f>
        <v/>
      </c>
      <c r="J159" s="33" t="str">
        <f ca="1">IF(ISERROR(MATCH(J$1,INDIRECT("Table!A"&amp;$X159):INDIRECT("Table!" &amp; $AA$171 &amp; $X159),0)),"",INDIRECT(CONCATENATE("Table!",ADDRESS($T159,MATCH(J$1,INDIRECT("Table!A" &amp; $X159):INDIRECT("Table!" &amp; $AA$171 &amp; $X159),0)))))</f>
        <v/>
      </c>
      <c r="K159" s="33" t="str">
        <f ca="1">IF(ISERROR(MATCH(K$1,INDIRECT("Table!A"&amp;$X159):INDIRECT("Table!" &amp; $AA$171 &amp; $X159),0)),"",INDIRECT(CONCATENATE("Table!",ADDRESS($T159,MATCH(K$1,INDIRECT("Table!A" &amp; $X159):INDIRECT("Table!" &amp; $AA$171 &amp; $X159),0)))))</f>
        <v/>
      </c>
      <c r="L159" s="33">
        <f ca="1">IF(ISERROR(MATCH(L$1,INDIRECT("Table!A"&amp;$X159):INDIRECT("Table!" &amp; $AA$171 &amp; $X159),0)),"",INDIRECT(CONCATENATE("Table!",ADDRESS($T159,MATCH(L$1,INDIRECT("Table!A" &amp; $X159):INDIRECT("Table!" &amp; $AA$171 &amp; $X159),0)))))</f>
        <v>0.64746770733168157</v>
      </c>
      <c r="M159" s="33">
        <f ca="1">IF(ISERROR(MATCH(M$1,INDIRECT("Table!A"&amp;$X159):INDIRECT("Table!" &amp; $AA$171 &amp; $X159),0)),"",INDIRECT(CONCATENATE("Table!",ADDRESS($T159,MATCH(M$1,INDIRECT("Table!A" &amp; $X159):INDIRECT("Table!" &amp; $AA$171 &amp; $X159),0)))))</f>
        <v>0.48051929134575116</v>
      </c>
      <c r="N159" s="33">
        <f ca="1">IF(ISERROR(MATCH(N$1,INDIRECT("Table!A"&amp;$X159):INDIRECT("Table!" &amp; $AA$171 &amp; $X159),0)),"",INDIRECT(CONCATENATE("Table!",ADDRESS($T159,MATCH(N$1,INDIRECT("Table!A" &amp; $X159):INDIRECT("Table!" &amp; $AA$171 &amp; $X159),0)))))</f>
        <v>9.7418813534456755E-4</v>
      </c>
      <c r="O159" s="33">
        <f ca="1">IF(ISERROR(MATCH(O$1,INDIRECT("Table!A"&amp;$X159):INDIRECT("Table!" &amp; $AA$171 &amp; $X159),0)),"",INDIRECT(CONCATENATE("Table!",ADDRESS($T159,MATCH(O$1,INDIRECT("Table!A" &amp; $X159):INDIRECT("Table!" &amp; $AA$171 &amp; $X159),0)))))</f>
        <v>0.44158379263236558</v>
      </c>
      <c r="P159" s="33">
        <f ca="1">IF(ISERROR(MATCH(P$1,INDIRECT("Table!A"&amp;$X159):INDIRECT("Table!" &amp; $AA$171 &amp; $X159),0)),"",INDIRECT(CONCATENATE("Table!",ADDRESS($T159,MATCH(P$1,INDIRECT("Table!A" &amp; $X159):INDIRECT("Table!" &amp; $AA$171 &amp; $X159),0)))))</f>
        <v>0.4171191347571967</v>
      </c>
      <c r="T159" s="31">
        <f>MATCH($A159,Table!$A:$A,0)+$V$2-1</f>
        <v>2094</v>
      </c>
      <c r="U159" s="126"/>
      <c r="V159" s="126"/>
      <c r="W159" s="126"/>
      <c r="X159" s="31">
        <f>MATCH($A159,Table!$A:$A,0)+$Z$2-1</f>
        <v>2091</v>
      </c>
      <c r="Y159" s="126"/>
      <c r="AA159" t="s">
        <v>209</v>
      </c>
    </row>
    <row r="160" spans="1:27" ht="15.75" customHeight="1">
      <c r="A160" s="5">
        <v>40932</v>
      </c>
      <c r="B160" s="33">
        <f ca="1">IF(ISERROR(MATCH(B$1,INDIRECT("Table!A"&amp;$X160):INDIRECT("Table!" &amp; $AA$171 &amp; $X160),0)),"",INDIRECT(CONCATENATE("Table!",ADDRESS($T160,MATCH(B$1,INDIRECT("Table!A" &amp; $X160):INDIRECT("Table!" &amp; $AA$171 &amp; $X160),0)))))</f>
        <v>0.78038591983201056</v>
      </c>
      <c r="C160" s="33">
        <f ca="1">IF(ISERROR(MATCH(C$1,INDIRECT("Table!A"&amp;$X160):INDIRECT("Table!" &amp; $AA$171 &amp; $X160),0)),"",INDIRECT(CONCATENATE("Table!",ADDRESS($T160,MATCH(C$1,INDIRECT("Table!A" &amp; $X160):INDIRECT("Table!" &amp; $AA$171 &amp; $X160),0)))))</f>
        <v>0.82093118932782461</v>
      </c>
      <c r="D160" s="33">
        <f ca="1">IF(ISERROR(MATCH(D$1,INDIRECT("Table!A"&amp;$X160):INDIRECT("Table!" &amp; $AA$171 &amp; $X160),0)),"",INDIRECT(CONCATENATE("Table!",ADDRESS($T160,MATCH(D$1,INDIRECT("Table!A" &amp; $X160):INDIRECT("Table!" &amp; $AA$171 &amp; $X160),0)))))</f>
        <v>0.83816293124685037</v>
      </c>
      <c r="E160" s="33">
        <f ca="1">IF(ISERROR(MATCH(E$1,INDIRECT("Table!A"&amp;$X160):INDIRECT("Table!" &amp; $AA$171 &amp; $X160),0)),"",INDIRECT(CONCATENATE("Table!",ADDRESS($T160,MATCH(E$1,INDIRECT("Table!A" &amp; $X160):INDIRECT("Table!" &amp; $AA$171 &amp; $X160),0)))))</f>
        <v>0.81128061731976708</v>
      </c>
      <c r="F160" s="33">
        <f ca="1">IF(ISERROR(MATCH(F$1,INDIRECT("Table!A"&amp;$X160):INDIRECT("Table!" &amp; $AA$171 &amp; $X160),0)),"",INDIRECT(CONCATENATE("Table!",ADDRESS($T160,MATCH(F$1,INDIRECT("Table!A" &amp; $X160):INDIRECT("Table!" &amp; $AA$171 &amp; $X160),0)))))</f>
        <v>7.2445970471055401E-4</v>
      </c>
      <c r="G160" s="33">
        <f ca="1">IF(ISERROR(MATCH(G$1,INDIRECT("Table!A"&amp;$X160):INDIRECT("Table!" &amp; $AA$171 &amp; $X160),0)),"",INDIRECT(CONCATENATE("Table!",ADDRESS($T160,MATCH(G$1,INDIRECT("Table!A" &amp; $X160):INDIRECT("Table!" &amp; $AA$171 &amp; $X160),0)))))</f>
        <v>0.13207003785707344</v>
      </c>
      <c r="H160" s="33">
        <f ca="1">IF(ISERROR(MATCH(H$1,INDIRECT("Table!A"&amp;$X160):INDIRECT("Table!" &amp; $AA$171 &amp; $X160),0)),"",INDIRECT(CONCATENATE("Table!",ADDRESS($T160,MATCH(H$1,INDIRECT("Table!A" &amp; $X160):INDIRECT("Table!" &amp; $AA$171 &amp; $X160),0)))))</f>
        <v>0.1609891223900082</v>
      </c>
      <c r="I160" s="33" t="str">
        <f ca="1">IF(ISERROR(MATCH(I$1,INDIRECT("Table!A"&amp;$X160):INDIRECT("Table!" &amp; $AA$171 &amp; $X160),0)),"",INDIRECT(CONCATENATE("Table!",ADDRESS($T160,MATCH(I$1,INDIRECT("Table!A" &amp; $X160):INDIRECT("Table!" &amp; $AA$171 &amp; $X160),0)))))</f>
        <v/>
      </c>
      <c r="J160" s="33" t="str">
        <f ca="1">IF(ISERROR(MATCH(J$1,INDIRECT("Table!A"&amp;$X160):INDIRECT("Table!" &amp; $AA$171 &amp; $X160),0)),"",INDIRECT(CONCATENATE("Table!",ADDRESS($T160,MATCH(J$1,INDIRECT("Table!A" &amp; $X160):INDIRECT("Table!" &amp; $AA$171 &amp; $X160),0)))))</f>
        <v/>
      </c>
      <c r="K160" s="33" t="str">
        <f ca="1">IF(ISERROR(MATCH(K$1,INDIRECT("Table!A"&amp;$X160):INDIRECT("Table!" &amp; $AA$171 &amp; $X160),0)),"",INDIRECT(CONCATENATE("Table!",ADDRESS($T160,MATCH(K$1,INDIRECT("Table!A" &amp; $X160):INDIRECT("Table!" &amp; $AA$171 &amp; $X160),0)))))</f>
        <v/>
      </c>
      <c r="L160" s="33">
        <f ca="1">IF(ISERROR(MATCH(L$1,INDIRECT("Table!A"&amp;$X160):INDIRECT("Table!" &amp; $AA$171 &amp; $X160),0)),"",INDIRECT(CONCATENATE("Table!",ADDRESS($T160,MATCH(L$1,INDIRECT("Table!A" &amp; $X160):INDIRECT("Table!" &amp; $AA$171 &amp; $X160),0)))))</f>
        <v>0.64593642304155874</v>
      </c>
      <c r="M160" s="33">
        <f ca="1">IF(ISERROR(MATCH(M$1,INDIRECT("Table!A"&amp;$X160):INDIRECT("Table!" &amp; $AA$171 &amp; $X160),0)),"",INDIRECT(CONCATENATE("Table!",ADDRESS($T160,MATCH(M$1,INDIRECT("Table!A" &amp; $X160):INDIRECT("Table!" &amp; $AA$171 &amp; $X160),0)))))</f>
        <v>0.4753973889768941</v>
      </c>
      <c r="N160" s="33">
        <f ca="1">IF(ISERROR(MATCH(N$1,INDIRECT("Table!A"&amp;$X160):INDIRECT("Table!" &amp; $AA$171 &amp; $X160),0)),"",INDIRECT(CONCATENATE("Table!",ADDRESS($T160,MATCH(N$1,INDIRECT("Table!A" &amp; $X160):INDIRECT("Table!" &amp; $AA$171 &amp; $X160),0)))))</f>
        <v>9.7418813534456755E-4</v>
      </c>
      <c r="O160" s="33">
        <f ca="1">IF(ISERROR(MATCH(O$1,INDIRECT("Table!A"&amp;$X160):INDIRECT("Table!" &amp; $AA$171 &amp; $X160),0)),"",INDIRECT(CONCATENATE("Table!",ADDRESS($T160,MATCH(O$1,INDIRECT("Table!A" &amp; $X160):INDIRECT("Table!" &amp; $AA$171 &amp; $X160),0)))))</f>
        <v>0.44000176787866457</v>
      </c>
      <c r="P160" s="33">
        <f ca="1">IF(ISERROR(MATCH(P$1,INDIRECT("Table!A"&amp;$X160):INDIRECT("Table!" &amp; $AA$171 &amp; $X160),0)),"",INDIRECT(CONCATENATE("Table!",ADDRESS($T160,MATCH(P$1,INDIRECT("Table!A" &amp; $X160):INDIRECT("Table!" &amp; $AA$171 &amp; $X160),0)))))</f>
        <v>0.41461371788569035</v>
      </c>
      <c r="T160" s="31">
        <f>MATCH($A160,Table!$A:$A,0)+$V$2-1</f>
        <v>2107</v>
      </c>
      <c r="U160" s="125"/>
      <c r="V160" s="125"/>
      <c r="W160" s="125"/>
      <c r="X160" s="31">
        <f>MATCH($A160,Table!$A:$A,0)+$Z$2-1</f>
        <v>2104</v>
      </c>
      <c r="Y160" s="125"/>
      <c r="AA160" t="s">
        <v>209</v>
      </c>
    </row>
    <row r="161" spans="1:27" ht="15.75" customHeight="1">
      <c r="A161" s="5">
        <v>40931</v>
      </c>
      <c r="B161" s="33">
        <f ca="1">IF(ISERROR(MATCH(B$1,INDIRECT("Table!A"&amp;$X161):INDIRECT("Table!" &amp; $AA$171 &amp; $X161),0)),"",INDIRECT(CONCATENATE("Table!",ADDRESS($T161,MATCH(B$1,INDIRECT("Table!A" &amp; $X161):INDIRECT("Table!" &amp; $AA$171 &amp; $X161),0)))))</f>
        <v>0.78003709306421865</v>
      </c>
      <c r="C161" s="33">
        <f ca="1">IF(ISERROR(MATCH(C$1,INDIRECT("Table!A"&amp;$X161):INDIRECT("Table!" &amp; $AA$171 &amp; $X161),0)),"",INDIRECT(CONCATENATE("Table!",ADDRESS($T161,MATCH(C$1,INDIRECT("Table!A" &amp; $X161):INDIRECT("Table!" &amp; $AA$171 &amp; $X161),0)))))</f>
        <v>0.82090492905349222</v>
      </c>
      <c r="D161" s="33">
        <f ca="1">IF(ISERROR(MATCH(D$1,INDIRECT("Table!A"&amp;$X161):INDIRECT("Table!" &amp; $AA$171 &amp; $X161),0)),"",INDIRECT(CONCATENATE("Table!",ADDRESS($T161,MATCH(D$1,INDIRECT("Table!A" &amp; $X161):INDIRECT("Table!" &amp; $AA$171 &amp; $X161),0)))))</f>
        <v>0.83813667097251798</v>
      </c>
      <c r="E161" s="33">
        <f ca="1">IF(ISERROR(MATCH(E$1,INDIRECT("Table!A"&amp;$X161):INDIRECT("Table!" &amp; $AA$171 &amp; $X161),0)),"",INDIRECT(CONCATENATE("Table!",ADDRESS($T161,MATCH(E$1,INDIRECT("Table!A" &amp; $X161):INDIRECT("Table!" &amp; $AA$171 &amp; $X161),0)))))</f>
        <v>0.80987279047599314</v>
      </c>
      <c r="F161" s="33">
        <f ca="1">IF(ISERROR(MATCH(F$1,INDIRECT("Table!A"&amp;$X161):INDIRECT("Table!" &amp; $AA$171 &amp; $X161),0)),"",INDIRECT(CONCATENATE("Table!",ADDRESS($T161,MATCH(F$1,INDIRECT("Table!A" &amp; $X161):INDIRECT("Table!" &amp; $AA$171 &amp; $X161),0)))))</f>
        <v>7.2281133223112159E-4</v>
      </c>
      <c r="G161" s="33">
        <f ca="1">IF(ISERROR(MATCH(G$1,INDIRECT("Table!A"&amp;$X161):INDIRECT("Table!" &amp; $AA$171 &amp; $X161),0)),"",INDIRECT(CONCATENATE("Table!",ADDRESS($T161,MATCH(G$1,INDIRECT("Table!A" &amp; $X161):INDIRECT("Table!" &amp; $AA$171 &amp; $X161),0)))))</f>
        <v>0.13188107046394221</v>
      </c>
      <c r="H161" s="33">
        <f ca="1">IF(ISERROR(MATCH(H$1,INDIRECT("Table!A"&amp;$X161):INDIRECT("Table!" &amp; $AA$171 &amp; $X161),0)),"",INDIRECT(CONCATENATE("Table!",ADDRESS($T161,MATCH(H$1,INDIRECT("Table!A" &amp; $X161):INDIRECT("Table!" &amp; $AA$171 &amp; $X161),0)))))</f>
        <v>0.16089928608987916</v>
      </c>
      <c r="I161" s="33" t="str">
        <f ca="1">IF(ISERROR(MATCH(I$1,INDIRECT("Table!A"&amp;$X161):INDIRECT("Table!" &amp; $AA$171 &amp; $X161),0)),"",INDIRECT(CONCATENATE("Table!",ADDRESS($T161,MATCH(I$1,INDIRECT("Table!A" &amp; $X161):INDIRECT("Table!" &amp; $AA$171 &amp; $X161),0)))))</f>
        <v/>
      </c>
      <c r="J161" s="33" t="str">
        <f ca="1">IF(ISERROR(MATCH(J$1,INDIRECT("Table!A"&amp;$X161):INDIRECT("Table!" &amp; $AA$171 &amp; $X161),0)),"",INDIRECT(CONCATENATE("Table!",ADDRESS($T161,MATCH(J$1,INDIRECT("Table!A" &amp; $X161):INDIRECT("Table!" &amp; $AA$171 &amp; $X161),0)))))</f>
        <v/>
      </c>
      <c r="K161" s="33" t="str">
        <f ca="1">IF(ISERROR(MATCH(K$1,INDIRECT("Table!A"&amp;$X161):INDIRECT("Table!" &amp; $AA$171 &amp; $X161),0)),"",INDIRECT(CONCATENATE("Table!",ADDRESS($T161,MATCH(K$1,INDIRECT("Table!A" &amp; $X161):INDIRECT("Table!" &amp; $AA$171 &amp; $X161),0)))))</f>
        <v/>
      </c>
      <c r="L161" s="33">
        <f ca="1">IF(ISERROR(MATCH(L$1,INDIRECT("Table!A"&amp;$X161):INDIRECT("Table!" &amp; $AA$171 &amp; $X161),0)),"",INDIRECT(CONCATENATE("Table!",ADDRESS($T161,MATCH(L$1,INDIRECT("Table!A" &amp; $X161):INDIRECT("Table!" &amp; $AA$171 &amp; $X161),0)))))</f>
        <v>0.64553927176845205</v>
      </c>
      <c r="M161" s="33">
        <f ca="1">IF(ISERROR(MATCH(M$1,INDIRECT("Table!A"&amp;$X161):INDIRECT("Table!" &amp; $AA$171 &amp; $X161),0)),"",INDIRECT(CONCATENATE("Table!",ADDRESS($T161,MATCH(M$1,INDIRECT("Table!A" &amp; $X161):INDIRECT("Table!" &amp; $AA$171 &amp; $X161),0)))))</f>
        <v>0.47442144170717943</v>
      </c>
      <c r="N161" s="33">
        <f ca="1">IF(ISERROR(MATCH(N$1,INDIRECT("Table!A"&amp;$X161):INDIRECT("Table!" &amp; $AA$171 &amp; $X161),0)),"",INDIRECT(CONCATENATE("Table!",ADDRESS($T161,MATCH(N$1,INDIRECT("Table!A" &amp; $X161):INDIRECT("Table!" &amp; $AA$171 &amp; $X161),0)))))</f>
        <v>9.7253976286513512E-4</v>
      </c>
      <c r="O161" s="33">
        <f ca="1">IF(ISERROR(MATCH(O$1,INDIRECT("Table!A"&amp;$X161):INDIRECT("Table!" &amp; $AA$171 &amp; $X161),0)),"",INDIRECT(CONCATENATE("Table!",ADDRESS($T161,MATCH(O$1,INDIRECT("Table!A" &amp; $X161):INDIRECT("Table!" &amp; $AA$171 &amp; $X161),0)))))</f>
        <v>0.43987710976769956</v>
      </c>
      <c r="P161" s="33">
        <f ca="1">IF(ISERROR(MATCH(P$1,INDIRECT("Table!A"&amp;$X161):INDIRECT("Table!" &amp; $AA$171 &amp; $X161),0)),"",INDIRECT(CONCATENATE("Table!",ADDRESS($T161,MATCH(P$1,INDIRECT("Table!A" &amp; $X161):INDIRECT("Table!" &amp; $AA$171 &amp; $X161),0)))))</f>
        <v>0.4146118970885454</v>
      </c>
      <c r="T161" s="31">
        <f>MATCH($A161,Table!$A:$A,0)+$V$2-1</f>
        <v>2120</v>
      </c>
      <c r="U161" s="124"/>
      <c r="V161" s="124"/>
      <c r="W161" s="124"/>
      <c r="X161" s="31">
        <f>MATCH($A161,Table!$A:$A,0)+$Z$2-1</f>
        <v>2117</v>
      </c>
      <c r="Y161" s="124"/>
      <c r="AA161" t="s">
        <v>209</v>
      </c>
    </row>
    <row r="162" spans="1:27" ht="15.75" customHeight="1">
      <c r="A162" s="5">
        <v>40928</v>
      </c>
      <c r="B162" s="33">
        <f ca="1">IF(ISERROR(MATCH(B$1,INDIRECT("Table!A"&amp;$X162):INDIRECT("Table!" &amp; $AA$171 &amp; $X162),0)),"",INDIRECT(CONCATENATE("Table!",ADDRESS($T162,MATCH(B$1,INDIRECT("Table!A" &amp; $X162):INDIRECT("Table!" &amp; $AA$171 &amp; $X162),0)))))</f>
        <v>0.77829468609044627</v>
      </c>
      <c r="C162" s="33">
        <f ca="1">IF(ISERROR(MATCH(C$1,INDIRECT("Table!A"&amp;$X162):INDIRECT("Table!" &amp; $AA$171 &amp; $X162),0)),"",INDIRECT(CONCATENATE("Table!",ADDRESS($T162,MATCH(C$1,INDIRECT("Table!A" &amp; $X162):INDIRECT("Table!" &amp; $AA$171 &amp; $X162),0)))))</f>
        <v>0.81899168049499371</v>
      </c>
      <c r="D162" s="33">
        <f ca="1">IF(ISERROR(MATCH(D$1,INDIRECT("Table!A"&amp;$X162):INDIRECT("Table!" &amp; $AA$171 &amp; $X162),0)),"",INDIRECT(CONCATENATE("Table!",ADDRESS($T162,MATCH(D$1,INDIRECT("Table!A" &amp; $X162):INDIRECT("Table!" &amp; $AA$171 &amp; $X162),0)))))</f>
        <v>0.83622592339252733</v>
      </c>
      <c r="E162" s="33">
        <f ca="1">IF(ISERROR(MATCH(E$1,INDIRECT("Table!A"&amp;$X162):INDIRECT("Table!" &amp; $AA$171 &amp; $X162),0)),"",INDIRECT(CONCATENATE("Table!",ADDRESS($T162,MATCH(E$1,INDIRECT("Table!A" &amp; $X162):INDIRECT("Table!" &amp; $AA$171 &amp; $X162),0)))))</f>
        <v>0.8063350912820938</v>
      </c>
      <c r="F162" s="33">
        <f ca="1">IF(ISERROR(MATCH(F$1,INDIRECT("Table!A"&amp;$X162):INDIRECT("Table!" &amp; $AA$171 &amp; $X162),0)),"",INDIRECT(CONCATENATE("Table!",ADDRESS($T162,MATCH(F$1,INDIRECT("Table!A" &amp; $X162):INDIRECT("Table!" &amp; $AA$171 &amp; $X162),0)))))</f>
        <v>7.1456946983395947E-4</v>
      </c>
      <c r="G162" s="33">
        <f ca="1">IF(ISERROR(MATCH(G$1,INDIRECT("Table!A"&amp;$X162):INDIRECT("Table!" &amp; $AA$171 &amp; $X162),0)),"",INDIRECT(CONCATENATE("Table!",ADDRESS($T162,MATCH(G$1,INDIRECT("Table!A" &amp; $X162):INDIRECT("Table!" &amp; $AA$171 &amp; $X162),0)))))</f>
        <v>0.13037478230138666</v>
      </c>
      <c r="H162" s="33">
        <f ca="1">IF(ISERROR(MATCH(H$1,INDIRECT("Table!A"&amp;$X162):INDIRECT("Table!" &amp; $AA$171 &amp; $X162),0)),"",INDIRECT(CONCATENATE("Table!",ADDRESS($T162,MATCH(H$1,INDIRECT("Table!A" &amp; $X162):INDIRECT("Table!" &amp; $AA$171 &amp; $X162),0)))))</f>
        <v>0.15969844673861264</v>
      </c>
      <c r="I162" s="33" t="str">
        <f ca="1">IF(ISERROR(MATCH(I$1,INDIRECT("Table!A"&amp;$X162):INDIRECT("Table!" &amp; $AA$171 &amp; $X162),0)),"",INDIRECT(CONCATENATE("Table!",ADDRESS($T162,MATCH(I$1,INDIRECT("Table!A" &amp; $X162):INDIRECT("Table!" &amp; $AA$171 &amp; $X162),0)))))</f>
        <v/>
      </c>
      <c r="J162" s="33" t="str">
        <f ca="1">IF(ISERROR(MATCH(J$1,INDIRECT("Table!A"&amp;$X162):INDIRECT("Table!" &amp; $AA$171 &amp; $X162),0)),"",INDIRECT(CONCATENATE("Table!",ADDRESS($T162,MATCH(J$1,INDIRECT("Table!A" &amp; $X162):INDIRECT("Table!" &amp; $AA$171 &amp; $X162),0)))))</f>
        <v/>
      </c>
      <c r="K162" s="33" t="str">
        <f ca="1">IF(ISERROR(MATCH(K$1,INDIRECT("Table!A"&amp;$X162):INDIRECT("Table!" &amp; $AA$171 &amp; $X162),0)),"",INDIRECT(CONCATENATE("Table!",ADDRESS($T162,MATCH(K$1,INDIRECT("Table!A" &amp; $X162):INDIRECT("Table!" &amp; $AA$171 &amp; $X162),0)))))</f>
        <v/>
      </c>
      <c r="L162" s="33">
        <f ca="1">IF(ISERROR(MATCH(L$1,INDIRECT("Table!A"&amp;$X162):INDIRECT("Table!" &amp; $AA$171 &amp; $X162),0)),"",INDIRECT(CONCATENATE("Table!",ADDRESS($T162,MATCH(L$1,INDIRECT("Table!A" &amp; $X162):INDIRECT("Table!" &amp; $AA$171 &amp; $X162),0)))))</f>
        <v>0.64263930709678319</v>
      </c>
      <c r="M162" s="33">
        <f ca="1">IF(ISERROR(MATCH(M$1,INDIRECT("Table!A"&amp;$X162):INDIRECT("Table!" &amp; $AA$171 &amp; $X162),0)),"",INDIRECT(CONCATENATE("Table!",ADDRESS($T162,MATCH(M$1,INDIRECT("Table!A" &amp; $X162):INDIRECT("Table!" &amp; $AA$171 &amp; $X162),0)))))</f>
        <v>0.47331439704302547</v>
      </c>
      <c r="N162" s="33">
        <f ca="1">IF(ISERROR(MATCH(N$1,INDIRECT("Table!A"&amp;$X162):INDIRECT("Table!" &amp; $AA$171 &amp; $X162),0)),"",INDIRECT(CONCATENATE("Table!",ADDRESS($T162,MATCH(N$1,INDIRECT("Table!A" &amp; $X162):INDIRECT("Table!" &amp; $AA$171 &amp; $X162),0)))))</f>
        <v>9.6429790046797289E-4</v>
      </c>
      <c r="O162" s="33">
        <f ca="1">IF(ISERROR(MATCH(O$1,INDIRECT("Table!A"&amp;$X162):INDIRECT("Table!" &amp; $AA$171 &amp; $X162),0)),"",INDIRECT(CONCATENATE("Table!",ADDRESS($T162,MATCH(O$1,INDIRECT("Table!A" &amp; $X162):INDIRECT("Table!" &amp; $AA$171 &amp; $X162),0)))))</f>
        <v>0.4355667722671967</v>
      </c>
      <c r="P162" s="33">
        <f ca="1">IF(ISERROR(MATCH(P$1,INDIRECT("Table!A"&amp;$X162):INDIRECT("Table!" &amp; $AA$171 &amp; $X162),0)),"",INDIRECT(CONCATENATE("Table!",ADDRESS($T162,MATCH(P$1,INDIRECT("Table!A" &amp; $X162):INDIRECT("Table!" &amp; $AA$171 &amp; $X162),0)))))</f>
        <v>0.41460461389996539</v>
      </c>
      <c r="T162" s="31">
        <f>MATCH($A162,Table!$A:$A,0)+$V$2-1</f>
        <v>2133</v>
      </c>
      <c r="U162" s="123"/>
      <c r="V162" s="123"/>
      <c r="W162" s="123"/>
      <c r="X162" s="31">
        <f>MATCH($A162,Table!$A:$A,0)+$Z$2-1</f>
        <v>2130</v>
      </c>
      <c r="Y162" s="123"/>
      <c r="AA162" t="s">
        <v>209</v>
      </c>
    </row>
    <row r="163" spans="1:27" ht="15.75" customHeight="1">
      <c r="A163" s="5">
        <v>40927</v>
      </c>
      <c r="B163" s="33">
        <f ca="1">IF(ISERROR(MATCH(B$1,INDIRECT("Table!A"&amp;$X163):INDIRECT("Table!" &amp; $AA$171 &amp; $X163),0)),"",INDIRECT(CONCATENATE("Table!",ADDRESS($T163,MATCH(B$1,INDIRECT("Table!A" &amp; $X163):INDIRECT("Table!" &amp; $AA$171 &amp; $X163),0)))))</f>
        <v>0.77828259803413657</v>
      </c>
      <c r="C163" s="33">
        <f ca="1">IF(ISERROR(MATCH(C$1,INDIRECT("Table!A"&amp;$X163):INDIRECT("Table!" &amp; $AA$171 &amp; $X163),0)),"",INDIRECT(CONCATENATE("Table!",ADDRESS($T163,MATCH(C$1,INDIRECT("Table!A" &amp; $X163):INDIRECT("Table!" &amp; $AA$171 &amp; $X163),0)))))</f>
        <v>0.81880285661765162</v>
      </c>
      <c r="D163" s="33">
        <f ca="1">IF(ISERROR(MATCH(D$1,INDIRECT("Table!A"&amp;$X163):INDIRECT("Table!" &amp; $AA$171 &amp; $X163),0)),"",INDIRECT(CONCATENATE("Table!",ADDRESS($T163,MATCH(D$1,INDIRECT("Table!A" &amp; $X163):INDIRECT("Table!" &amp; $AA$171 &amp; $X163),0)))))</f>
        <v>0.83603084706891573</v>
      </c>
      <c r="E163" s="33">
        <f ca="1">IF(ISERROR(MATCH(E$1,INDIRECT("Table!A"&amp;$X163):INDIRECT("Table!" &amp; $AA$171 &amp; $X163),0)),"",INDIRECT(CONCATENATE("Table!",ADDRESS($T163,MATCH(E$1,INDIRECT("Table!A" &amp; $X163):INDIRECT("Table!" &amp; $AA$171 &amp; $X163),0)))))</f>
        <v>0.80506649294402888</v>
      </c>
      <c r="F163" s="33">
        <f ca="1">IF(ISERROR(MATCH(F$1,INDIRECT("Table!A"&amp;$X163):INDIRECT("Table!" &amp; $AA$171 &amp; $X163),0)),"",INDIRECT(CONCATENATE("Table!",ADDRESS($T163,MATCH(F$1,INDIRECT("Table!A" &amp; $X163):INDIRECT("Table!" &amp; $AA$171 &amp; $X163),0)))))</f>
        <v>7.1374528359424315E-4</v>
      </c>
      <c r="G163" s="33">
        <f ca="1">IF(ISERROR(MATCH(G$1,INDIRECT("Table!A"&amp;$X163):INDIRECT("Table!" &amp; $AA$171 &amp; $X163),0)),"",INDIRECT(CONCATENATE("Table!",ADDRESS($T163,MATCH(G$1,INDIRECT("Table!A" &amp; $X163):INDIRECT("Table!" &amp; $AA$171 &amp; $X163),0)))))</f>
        <v>0.12636285918567774</v>
      </c>
      <c r="H163" s="33">
        <f ca="1">IF(ISERROR(MATCH(H$1,INDIRECT("Table!A"&amp;$X163):INDIRECT("Table!" &amp; $AA$171 &amp; $X163),0)),"",INDIRECT(CONCATENATE("Table!",ADDRESS($T163,MATCH(H$1,INDIRECT("Table!A" &amp; $X163):INDIRECT("Table!" &amp; $AA$171 &amp; $X163),0)))))</f>
        <v>0.15969597417989348</v>
      </c>
      <c r="I163" s="33" t="str">
        <f ca="1">IF(ISERROR(MATCH(I$1,INDIRECT("Table!A"&amp;$X163):INDIRECT("Table!" &amp; $AA$171 &amp; $X163),0)),"",INDIRECT(CONCATENATE("Table!",ADDRESS($T163,MATCH(I$1,INDIRECT("Table!A" &amp; $X163):INDIRECT("Table!" &amp; $AA$171 &amp; $X163),0)))))</f>
        <v/>
      </c>
      <c r="J163" s="33" t="str">
        <f ca="1">IF(ISERROR(MATCH(J$1,INDIRECT("Table!A"&amp;$X163):INDIRECT("Table!" &amp; $AA$171 &amp; $X163),0)),"",INDIRECT(CONCATENATE("Table!",ADDRESS($T163,MATCH(J$1,INDIRECT("Table!A" &amp; $X163):INDIRECT("Table!" &amp; $AA$171 &amp; $X163),0)))))</f>
        <v/>
      </c>
      <c r="K163" s="33" t="str">
        <f ca="1">IF(ISERROR(MATCH(K$1,INDIRECT("Table!A"&amp;$X163):INDIRECT("Table!" &amp; $AA$171 &amp; $X163),0)),"",INDIRECT(CONCATENATE("Table!",ADDRESS($T163,MATCH(K$1,INDIRECT("Table!A" &amp; $X163):INDIRECT("Table!" &amp; $AA$171 &amp; $X163),0)))))</f>
        <v/>
      </c>
      <c r="L163" s="33">
        <f ca="1">IF(ISERROR(MATCH(L$1,INDIRECT("Table!A"&amp;$X163):INDIRECT("Table!" &amp; $AA$171 &amp; $X163),0)),"",INDIRECT(CONCATENATE("Table!",ADDRESS($T163,MATCH(L$1,INDIRECT("Table!A" &amp; $X163):INDIRECT("Table!" &amp; $AA$171 &amp; $X163),0)))))</f>
        <v>0.64263930709678319</v>
      </c>
      <c r="M163" s="33">
        <f ca="1">IF(ISERROR(MATCH(M$1,INDIRECT("Table!A"&amp;$X163):INDIRECT("Table!" &amp; $AA$171 &amp; $X163),0)),"",INDIRECT(CONCATENATE("Table!",ADDRESS($T163,MATCH(M$1,INDIRECT("Table!A" &amp; $X163):INDIRECT("Table!" &amp; $AA$171 &amp; $X163),0)))))</f>
        <v>0.47331439704302547</v>
      </c>
      <c r="N163" s="33">
        <f ca="1">IF(ISERROR(MATCH(N$1,INDIRECT("Table!A"&amp;$X163):INDIRECT("Table!" &amp; $AA$171 &amp; $X163),0)),"",INDIRECT(CONCATENATE("Table!",ADDRESS($T163,MATCH(N$1,INDIRECT("Table!A" &amp; $X163):INDIRECT("Table!" &amp; $AA$171 &amp; $X163),0)))))</f>
        <v>9.6429790046797289E-4</v>
      </c>
      <c r="O163" s="33">
        <f ca="1">IF(ISERROR(MATCH(O$1,INDIRECT("Table!A"&amp;$X163):INDIRECT("Table!" &amp; $AA$171 &amp; $X163),0)),"",INDIRECT(CONCATENATE("Table!",ADDRESS($T163,MATCH(O$1,INDIRECT("Table!A" &amp; $X163):INDIRECT("Table!" &amp; $AA$171 &amp; $X163),0)))))</f>
        <v>0.4355667722671967</v>
      </c>
      <c r="P163" s="33">
        <f ca="1">IF(ISERROR(MATCH(P$1,INDIRECT("Table!A"&amp;$X163):INDIRECT("Table!" &amp; $AA$171 &amp; $X163),0)),"",INDIRECT(CONCATENATE("Table!",ADDRESS($T163,MATCH(P$1,INDIRECT("Table!A" &amp; $X163):INDIRECT("Table!" &amp; $AA$171 &amp; $X163),0)))))</f>
        <v>0.41460461389996539</v>
      </c>
      <c r="T163" s="31">
        <f>MATCH($A163,Table!$A:$A,0)+$V$2-1</f>
        <v>2146</v>
      </c>
      <c r="U163" s="120"/>
      <c r="V163" s="120"/>
      <c r="W163" s="120"/>
      <c r="X163" s="31">
        <f>MATCH($A163,Table!$A:$A,0)+$Z$2-1</f>
        <v>2143</v>
      </c>
      <c r="Y163" s="120"/>
      <c r="AA163" t="s">
        <v>209</v>
      </c>
    </row>
    <row r="164" spans="1:27" ht="15.75" customHeight="1">
      <c r="A164" s="5">
        <v>40926</v>
      </c>
      <c r="B164" s="33">
        <f ca="1">IF(ISERROR(MATCH(B$1,INDIRECT("Table!A"&amp;$X164):INDIRECT("Table!" &amp; $AA$171 &amp; $X164),0)),"",INDIRECT(CONCATENATE("Table!",ADDRESS($T164,MATCH(B$1,INDIRECT("Table!A" &amp; $X164):INDIRECT("Table!" &amp; $AA$171 &amp; $X164),0)))))</f>
        <v>0.77632519634457176</v>
      </c>
      <c r="C164" s="33">
        <f ca="1">IF(ISERROR(MATCH(C$1,INDIRECT("Table!A"&amp;$X164):INDIRECT("Table!" &amp; $AA$171 &amp; $X164),0)),"",INDIRECT(CONCATENATE("Table!",ADDRESS($T164,MATCH(C$1,INDIRECT("Table!A" &amp; $X164):INDIRECT("Table!" &amp; $AA$171 &amp; $X164),0)))))</f>
        <v>0.81874158264420949</v>
      </c>
      <c r="D164" s="33">
        <f ca="1">IF(ISERROR(MATCH(D$1,INDIRECT("Table!A"&amp;$X164):INDIRECT("Table!" &amp; $AA$171 &amp; $X164),0)),"",INDIRECT(CONCATENATE("Table!",ADDRESS($T164,MATCH(D$1,INDIRECT("Table!A" &amp; $X164):INDIRECT("Table!" &amp; $AA$171 &amp; $X164),0)))))</f>
        <v>0.83596957309547359</v>
      </c>
      <c r="E164" s="33">
        <f ca="1">IF(ISERROR(MATCH(E$1,INDIRECT("Table!A"&amp;$X164):INDIRECT("Table!" &amp; $AA$171 &amp; $X164),0)),"",INDIRECT(CONCATENATE("Table!",ADDRESS($T164,MATCH(E$1,INDIRECT("Table!A" &amp; $X164):INDIRECT("Table!" &amp; $AA$171 &amp; $X164),0)))))</f>
        <v>0.80352332304121687</v>
      </c>
      <c r="F164" s="33">
        <f ca="1">IF(ISERROR(MATCH(F$1,INDIRECT("Table!A"&amp;$X164):INDIRECT("Table!" &amp; $AA$171 &amp; $X164),0)),"",INDIRECT(CONCATENATE("Table!",ADDRESS($T164,MATCH(F$1,INDIRECT("Table!A" &amp; $X164):INDIRECT("Table!" &amp; $AA$171 &amp; $X164),0)))))</f>
        <v>7.1374528359424315E-4</v>
      </c>
      <c r="G164" s="33">
        <f ca="1">IF(ISERROR(MATCH(G$1,INDIRECT("Table!A"&amp;$X164):INDIRECT("Table!" &amp; $AA$171 &amp; $X164),0)),"",INDIRECT(CONCATENATE("Table!",ADDRESS($T164,MATCH(G$1,INDIRECT("Table!A" &amp; $X164):INDIRECT("Table!" &amp; $AA$171 &amp; $X164),0)))))</f>
        <v>0.12272432837081944</v>
      </c>
      <c r="H164" s="33">
        <f ca="1">IF(ISERROR(MATCH(H$1,INDIRECT("Table!A"&amp;$X164):INDIRECT("Table!" &amp; $AA$171 &amp; $X164),0)),"",INDIRECT(CONCATENATE("Table!",ADDRESS($T164,MATCH(H$1,INDIRECT("Table!A" &amp; $X164):INDIRECT("Table!" &amp; $AA$171 &amp; $X164),0)))))</f>
        <v>0.15969350162117435</v>
      </c>
      <c r="I164" s="33" t="str">
        <f ca="1">IF(ISERROR(MATCH(I$1,INDIRECT("Table!A"&amp;$X164):INDIRECT("Table!" &amp; $AA$171 &amp; $X164),0)),"",INDIRECT(CONCATENATE("Table!",ADDRESS($T164,MATCH(I$1,INDIRECT("Table!A" &amp; $X164):INDIRECT("Table!" &amp; $AA$171 &amp; $X164),0)))))</f>
        <v/>
      </c>
      <c r="J164" s="33" t="str">
        <f ca="1">IF(ISERROR(MATCH(J$1,INDIRECT("Table!A"&amp;$X164):INDIRECT("Table!" &amp; $AA$171 &amp; $X164),0)),"",INDIRECT(CONCATENATE("Table!",ADDRESS($T164,MATCH(J$1,INDIRECT("Table!A" &amp; $X164):INDIRECT("Table!" &amp; $AA$171 &amp; $X164),0)))))</f>
        <v/>
      </c>
      <c r="K164" s="33" t="str">
        <f ca="1">IF(ISERROR(MATCH(K$1,INDIRECT("Table!A"&amp;$X164):INDIRECT("Table!" &amp; $AA$171 &amp; $X164),0)),"",INDIRECT(CONCATENATE("Table!",ADDRESS($T164,MATCH(K$1,INDIRECT("Table!A" &amp; $X164):INDIRECT("Table!" &amp; $AA$171 &amp; $X164),0)))))</f>
        <v/>
      </c>
      <c r="L164" s="33">
        <f ca="1">IF(ISERROR(MATCH(L$1,INDIRECT("Table!A"&amp;$X164):INDIRECT("Table!" &amp; $AA$171 &amp; $X164),0)),"",INDIRECT(CONCATENATE("Table!",ADDRESS($T164,MATCH(L$1,INDIRECT("Table!A" &amp; $X164):INDIRECT("Table!" &amp; $AA$171 &amp; $X164),0)))))</f>
        <v>0.64164672136708945</v>
      </c>
      <c r="M164" s="33">
        <f ca="1">IF(ISERROR(MATCH(M$1,INDIRECT("Table!A"&amp;$X164):INDIRECT("Table!" &amp; $AA$171 &amp; $X164),0)),"",INDIRECT(CONCATENATE("Table!",ADDRESS($T164,MATCH(M$1,INDIRECT("Table!A" &amp; $X164):INDIRECT("Table!" &amp; $AA$171 &amp; $X164),0)))))</f>
        <v>0.4729775495712023</v>
      </c>
      <c r="N164" s="33">
        <f ca="1">IF(ISERROR(MATCH(N$1,INDIRECT("Table!A"&amp;$X164):INDIRECT("Table!" &amp; $AA$171 &amp; $X164),0)),"",INDIRECT(CONCATENATE("Table!",ADDRESS($T164,MATCH(N$1,INDIRECT("Table!A" &amp; $X164):INDIRECT("Table!" &amp; $AA$171 &amp; $X164),0)))))</f>
        <v>9.6429790046797289E-4</v>
      </c>
      <c r="O164" s="33">
        <f ca="1">IF(ISERROR(MATCH(O$1,INDIRECT("Table!A"&amp;$X164):INDIRECT("Table!" &amp; $AA$171 &amp; $X164),0)),"",INDIRECT(CONCATENATE("Table!",ADDRESS($T164,MATCH(O$1,INDIRECT("Table!A" &amp; $X164):INDIRECT("Table!" &amp; $AA$171 &amp; $X164),0)))))</f>
        <v>0.43556167261720269</v>
      </c>
      <c r="P164" s="33">
        <f ca="1">IF(ISERROR(MATCH(P$1,INDIRECT("Table!A"&amp;$X164):INDIRECT("Table!" &amp; $AA$171 &amp; $X164),0)),"",INDIRECT(CONCATENATE("Table!",ADDRESS($T164,MATCH(P$1,INDIRECT("Table!A" &amp; $X164):INDIRECT("Table!" &amp; $AA$171 &amp; $X164),0)))))</f>
        <v>0.41460279310282044</v>
      </c>
      <c r="T164" s="31">
        <f>MATCH($A164,Table!$A:$A,0)+$V$2-1</f>
        <v>2159</v>
      </c>
      <c r="U164" s="119"/>
      <c r="V164" s="119"/>
      <c r="W164" s="119"/>
      <c r="X164" s="31">
        <f>MATCH($A164,Table!$A:$A,0)+$Z$2-1</f>
        <v>2156</v>
      </c>
      <c r="Y164" s="119"/>
      <c r="AA164" t="s">
        <v>209</v>
      </c>
    </row>
    <row r="165" spans="1:27" ht="15.75" customHeight="1">
      <c r="A165" s="5">
        <v>40925</v>
      </c>
      <c r="B165" s="33">
        <f ca="1">IF(ISERROR(MATCH(B$1,INDIRECT("Table!A"&amp;$X165):INDIRECT("Table!" &amp; $AA$171 &amp; $X165),0)),"",INDIRECT(CONCATENATE("Table!",ADDRESS($T165,MATCH(B$1,INDIRECT("Table!A" &amp; $X165):INDIRECT("Table!" &amp; $AA$171 &amp; $X165),0)))))</f>
        <v>0.77259171381008629</v>
      </c>
      <c r="C165" s="33">
        <f ca="1">IF(ISERROR(MATCH(C$1,INDIRECT("Table!A"&amp;$X165):INDIRECT("Table!" &amp; $AA$171 &amp; $X165),0)),"",INDIRECT(CONCATENATE("Table!",ADDRESS($T165,MATCH(C$1,INDIRECT("Table!A" &amp; $X165):INDIRECT("Table!" &amp; $AA$171 &amp; $X165),0)))))</f>
        <v>0.81870531845584593</v>
      </c>
      <c r="D165" s="33">
        <f ca="1">IF(ISERROR(MATCH(D$1,INDIRECT("Table!A"&amp;$X165):INDIRECT("Table!" &amp; $AA$171 &amp; $X165),0)),"",INDIRECT(CONCATENATE("Table!",ADDRESS($T165,MATCH(D$1,INDIRECT("Table!A" &amp; $X165):INDIRECT("Table!" &amp; $AA$171 &amp; $X165),0)))))</f>
        <v>0.83593330890710993</v>
      </c>
      <c r="E165" s="33">
        <f ca="1">IF(ISERROR(MATCH(E$1,INDIRECT("Table!A"&amp;$X165):INDIRECT("Table!" &amp; $AA$171 &amp; $X165),0)),"",INDIRECT(CONCATENATE("Table!",ADDRESS($T165,MATCH(E$1,INDIRECT("Table!A" &amp; $X165):INDIRECT("Table!" &amp; $AA$171 &amp; $X165),0)))))</f>
        <v>0.8029359730194584</v>
      </c>
      <c r="F165" s="33">
        <f ca="1">IF(ISERROR(MATCH(F$1,INDIRECT("Table!A"&amp;$X165):INDIRECT("Table!" &amp; $AA$171 &amp; $X165),0)),"",INDIRECT(CONCATENATE("Table!",ADDRESS($T165,MATCH(F$1,INDIRECT("Table!A" &amp; $X165):INDIRECT("Table!" &amp; $AA$171 &amp; $X165),0)))))</f>
        <v>7.1374528359424315E-4</v>
      </c>
      <c r="G165" s="33">
        <f ca="1">IF(ISERROR(MATCH(G$1,INDIRECT("Table!A"&amp;$X165):INDIRECT("Table!" &amp; $AA$171 &amp; $X165),0)),"",INDIRECT(CONCATENATE("Table!",ADDRESS($T165,MATCH(G$1,INDIRECT("Table!A" &amp; $X165):INDIRECT("Table!" &amp; $AA$171 &amp; $X165),0)))))</f>
        <v>0.12245995571985221</v>
      </c>
      <c r="H165" s="33">
        <f ca="1">IF(ISERROR(MATCH(H$1,INDIRECT("Table!A"&amp;$X165):INDIRECT("Table!" &amp; $AA$171 &amp; $X165),0)),"",INDIRECT(CONCATENATE("Table!",ADDRESS($T165,MATCH(H$1,INDIRECT("Table!A" &amp; $X165):INDIRECT("Table!" &amp; $AA$171 &amp; $X165),0)))))</f>
        <v>0.15969102906245516</v>
      </c>
      <c r="I165" s="33" t="str">
        <f ca="1">IF(ISERROR(MATCH(I$1,INDIRECT("Table!A"&amp;$X165):INDIRECT("Table!" &amp; $AA$171 &amp; $X165),0)),"",INDIRECT(CONCATENATE("Table!",ADDRESS($T165,MATCH(I$1,INDIRECT("Table!A" &amp; $X165):INDIRECT("Table!" &amp; $AA$171 &amp; $X165),0)))))</f>
        <v/>
      </c>
      <c r="J165" s="33" t="str">
        <f ca="1">IF(ISERROR(MATCH(J$1,INDIRECT("Table!A"&amp;$X165):INDIRECT("Table!" &amp; $AA$171 &amp; $X165),0)),"",INDIRECT(CONCATENATE("Table!",ADDRESS($T165,MATCH(J$1,INDIRECT("Table!A" &amp; $X165):INDIRECT("Table!" &amp; $AA$171 &amp; $X165),0)))))</f>
        <v/>
      </c>
      <c r="K165" s="33" t="str">
        <f ca="1">IF(ISERROR(MATCH(K$1,INDIRECT("Table!A"&amp;$X165):INDIRECT("Table!" &amp; $AA$171 &amp; $X165),0)),"",INDIRECT(CONCATENATE("Table!",ADDRESS($T165,MATCH(K$1,INDIRECT("Table!A" &amp; $X165):INDIRECT("Table!" &amp; $AA$171 &amp; $X165),0)))))</f>
        <v/>
      </c>
      <c r="L165" s="33">
        <f ca="1">IF(ISERROR(MATCH(L$1,INDIRECT("Table!A"&amp;$X165):INDIRECT("Table!" &amp; $AA$171 &amp; $X165),0)),"",INDIRECT(CONCATENATE("Table!",ADDRESS($T165,MATCH(L$1,INDIRECT("Table!A" &amp; $X165):INDIRECT("Table!" &amp; $AA$171 &amp; $X165),0)))))</f>
        <v>0.64061377711332435</v>
      </c>
      <c r="M165" s="33">
        <f ca="1">IF(ISERROR(MATCH(M$1,INDIRECT("Table!A"&amp;$X165):INDIRECT("Table!" &amp; $AA$171 &amp; $X165),0)),"",INDIRECT(CONCATENATE("Table!",ADDRESS($T165,MATCH(M$1,INDIRECT("Table!A" &amp; $X165):INDIRECT("Table!" &amp; $AA$171 &amp; $X165),0)))))</f>
        <v>0.47013346443072779</v>
      </c>
      <c r="N165" s="33">
        <f ca="1">IF(ISERROR(MATCH(N$1,INDIRECT("Table!A"&amp;$X165):INDIRECT("Table!" &amp; $AA$171 &amp; $X165),0)),"",INDIRECT(CONCATENATE("Table!",ADDRESS($T165,MATCH(N$1,INDIRECT("Table!A" &amp; $X165):INDIRECT("Table!" &amp; $AA$171 &amp; $X165),0)))))</f>
        <v>9.6429790046797289E-4</v>
      </c>
      <c r="O165" s="33">
        <f ca="1">IF(ISERROR(MATCH(O$1,INDIRECT("Table!A"&amp;$X165):INDIRECT("Table!" &amp; $AA$171 &amp; $X165),0)),"",INDIRECT(CONCATENATE("Table!",ADDRESS($T165,MATCH(O$1,INDIRECT("Table!A" &amp; $X165):INDIRECT("Table!" &amp; $AA$171 &amp; $X165),0)))))</f>
        <v>0.43499277832898064</v>
      </c>
      <c r="P165" s="33">
        <f ca="1">IF(ISERROR(MATCH(P$1,INDIRECT("Table!A"&amp;$X165):INDIRECT("Table!" &amp; $AA$171 &amp; $X165),0)),"",INDIRECT(CONCATENATE("Table!",ADDRESS($T165,MATCH(P$1,INDIRECT("Table!A" &amp; $X165):INDIRECT("Table!" &amp; $AA$171 &amp; $X165),0)))))</f>
        <v>0.41460279310282044</v>
      </c>
      <c r="T165" s="31">
        <f>MATCH($A165,Table!$A:$A,0)+$V$2-1</f>
        <v>2172</v>
      </c>
      <c r="U165" s="118"/>
      <c r="V165" s="118"/>
      <c r="W165" s="118"/>
      <c r="X165" s="31">
        <f>MATCH($A165,Table!$A:$A,0)+$Z$2-1</f>
        <v>2169</v>
      </c>
      <c r="Y165" s="118"/>
      <c r="AA165" t="s">
        <v>209</v>
      </c>
    </row>
    <row r="166" spans="1:27" ht="15.75" customHeight="1">
      <c r="A166" s="5">
        <v>40924</v>
      </c>
      <c r="B166" s="33">
        <f ca="1">IF(ISERROR(MATCH(B$1,INDIRECT("Table!A"&amp;$X166):INDIRECT("Table!" &amp; $AA$171 &amp; $X166),0)),"",INDIRECT(CONCATENATE("Table!",ADDRESS($T166,MATCH(B$1,INDIRECT("Table!A" &amp; $X166):INDIRECT("Table!" &amp; $AA$171 &amp; $X166),0)))))</f>
        <v>0.77212977737254007</v>
      </c>
      <c r="C166" s="33">
        <f ca="1">IF(ISERROR(MATCH(C$1,INDIRECT("Table!A"&amp;$X166):INDIRECT("Table!" &amp; $AA$171 &amp; $X166),0)),"",INDIRECT(CONCATENATE("Table!",ADDRESS($T166,MATCH(C$1,INDIRECT("Table!A" &amp; $X166):INDIRECT("Table!" &amp; $AA$171 &amp; $X166),0)))))</f>
        <v>0.81868656111703708</v>
      </c>
      <c r="D166" s="33">
        <f ca="1">IF(ISERROR(MATCH(D$1,INDIRECT("Table!A"&amp;$X166):INDIRECT("Table!" &amp; $AA$171 &amp; $X166),0)),"",INDIRECT(CONCATENATE("Table!",ADDRESS($T166,MATCH(D$1,INDIRECT("Table!A" &amp; $X166):INDIRECT("Table!" &amp; $AA$171 &amp; $X166),0)))))</f>
        <v>0.83591455156830108</v>
      </c>
      <c r="E166" s="33">
        <f ca="1">IF(ISERROR(MATCH(E$1,INDIRECT("Table!A"&amp;$X166):INDIRECT("Table!" &amp; $AA$171 &amp; $X166),0)),"",INDIRECT(CONCATENATE("Table!",ADDRESS($T166,MATCH(E$1,INDIRECT("Table!A" &amp; $X166):INDIRECT("Table!" &amp; $AA$171 &amp; $X166),0)))))</f>
        <v>0.80212002921855896</v>
      </c>
      <c r="F166" s="33">
        <f ca="1">IF(ISERROR(MATCH(F$1,INDIRECT("Table!A"&amp;$X166):INDIRECT("Table!" &amp; $AA$171 &amp; $X166),0)),"",INDIRECT(CONCATENATE("Table!",ADDRESS($T166,MATCH(F$1,INDIRECT("Table!A" &amp; $X166):INDIRECT("Table!" &amp; $AA$171 &amp; $X166),0)))))</f>
        <v>7.1374528359424315E-4</v>
      </c>
      <c r="G166" s="33">
        <f ca="1">IF(ISERROR(MATCH(G$1,INDIRECT("Table!A"&amp;$X166):INDIRECT("Table!" &amp; $AA$171 &amp; $X166),0)),"",INDIRECT(CONCATENATE("Table!",ADDRESS($T166,MATCH(G$1,INDIRECT("Table!A" &amp; $X166):INDIRECT("Table!" &amp; $AA$171 &amp; $X166),0)))))</f>
        <v>0.12223010595801473</v>
      </c>
      <c r="H166" s="33">
        <f ca="1">IF(ISERROR(MATCH(H$1,INDIRECT("Table!A"&amp;$X166):INDIRECT("Table!" &amp; $AA$171 &amp; $X166),0)),"",INDIRECT(CONCATENATE("Table!",ADDRESS($T166,MATCH(H$1,INDIRECT("Table!A" &amp; $X166):INDIRECT("Table!" &amp; $AA$171 &amp; $X166),0)))))</f>
        <v>0.1592550345416453</v>
      </c>
      <c r="I166" s="33" t="str">
        <f ca="1">IF(ISERROR(MATCH(I$1,INDIRECT("Table!A"&amp;$X166):INDIRECT("Table!" &amp; $AA$171 &amp; $X166),0)),"",INDIRECT(CONCATENATE("Table!",ADDRESS($T166,MATCH(I$1,INDIRECT("Table!A" &amp; $X166):INDIRECT("Table!" &amp; $AA$171 &amp; $X166),0)))))</f>
        <v/>
      </c>
      <c r="J166" s="33" t="str">
        <f ca="1">IF(ISERROR(MATCH(J$1,INDIRECT("Table!A"&amp;$X166):INDIRECT("Table!" &amp; $AA$171 &amp; $X166),0)),"",INDIRECT(CONCATENATE("Table!",ADDRESS($T166,MATCH(J$1,INDIRECT("Table!A" &amp; $X166):INDIRECT("Table!" &amp; $AA$171 &amp; $X166),0)))))</f>
        <v/>
      </c>
      <c r="K166" s="33" t="str">
        <f ca="1">IF(ISERROR(MATCH(K$1,INDIRECT("Table!A"&amp;$X166):INDIRECT("Table!" &amp; $AA$171 &amp; $X166),0)),"",INDIRECT(CONCATENATE("Table!",ADDRESS($T166,MATCH(K$1,INDIRECT("Table!A" &amp; $X166):INDIRECT("Table!" &amp; $AA$171 &amp; $X166),0)))))</f>
        <v/>
      </c>
      <c r="L166" s="33">
        <f ca="1">IF(ISERROR(MATCH(L$1,INDIRECT("Table!A"&amp;$X166):INDIRECT("Table!" &amp; $AA$171 &amp; $X166),0)),"",INDIRECT(CONCATENATE("Table!",ADDRESS($T166,MATCH(L$1,INDIRECT("Table!A" &amp; $X166):INDIRECT("Table!" &amp; $AA$171 &amp; $X166),0)))))</f>
        <v>0.640299682512944</v>
      </c>
      <c r="M166" s="33">
        <f ca="1">IF(ISERROR(MATCH(M$1,INDIRECT("Table!A"&amp;$X166):INDIRECT("Table!" &amp; $AA$171 &amp; $X166),0)),"",INDIRECT(CONCATENATE("Table!",ADDRESS($T166,MATCH(M$1,INDIRECT("Table!A" &amp; $X166):INDIRECT("Table!" &amp; $AA$171 &amp; $X166),0)))))</f>
        <v>0.4699878006591286</v>
      </c>
      <c r="N166" s="33">
        <f ca="1">IF(ISERROR(MATCH(N$1,INDIRECT("Table!A"&amp;$X166):INDIRECT("Table!" &amp; $AA$171 &amp; $X166),0)),"",INDIRECT(CONCATENATE("Table!",ADDRESS($T166,MATCH(N$1,INDIRECT("Table!A" &amp; $X166):INDIRECT("Table!" &amp; $AA$171 &amp; $X166),0)))))</f>
        <v>9.6429790046797289E-4</v>
      </c>
      <c r="O166" s="33">
        <f ca="1">IF(ISERROR(MATCH(O$1,INDIRECT("Table!A"&amp;$X166):INDIRECT("Table!" &amp; $AA$171 &amp; $X166),0)),"",INDIRECT(CONCATENATE("Table!",ADDRESS($T166,MATCH(O$1,INDIRECT("Table!A" &amp; $X166):INDIRECT("Table!" &amp; $AA$171 &amp; $X166),0)))))</f>
        <v>0.43495594752346828</v>
      </c>
      <c r="P166" s="33">
        <f ca="1">IF(ISERROR(MATCH(P$1,INDIRECT("Table!A"&amp;$X166):INDIRECT("Table!" &amp; $AA$171 &amp; $X166),0)),"",INDIRECT(CONCATENATE("Table!",ADDRESS($T166,MATCH(P$1,INDIRECT("Table!A" &amp; $X166):INDIRECT("Table!" &amp; $AA$171 &amp; $X166),0)))))</f>
        <v>0.41460097230567539</v>
      </c>
      <c r="T166" s="31">
        <f>MATCH($A166,Table!$A:$A,0)+$V$2-1</f>
        <v>2185</v>
      </c>
      <c r="U166" s="117"/>
      <c r="V166" s="117"/>
      <c r="W166" s="117"/>
      <c r="X166" s="31">
        <f>MATCH($A166,Table!$A:$A,0)+$Z$2-1</f>
        <v>2182</v>
      </c>
      <c r="Y166" s="117"/>
      <c r="AA166" t="s">
        <v>209</v>
      </c>
    </row>
    <row r="167" spans="1:27" ht="15.75" customHeight="1">
      <c r="A167" s="5">
        <v>40921</v>
      </c>
      <c r="B167" s="33">
        <f ca="1">IF(ISERROR(MATCH(B$1,INDIRECT("Table!A"&amp;$X167):INDIRECT("Table!" &amp; $AA$171 &amp; $X167),0)),"",INDIRECT(CONCATENATE("Table!",ADDRESS($T167,MATCH(B$1,INDIRECT("Table!A" &amp; $X167):INDIRECT("Table!" &amp; $AA$171 &amp; $X167),0)))))</f>
        <v>0.77032952041500025</v>
      </c>
      <c r="C167" s="33">
        <f ca="1">IF(ISERROR(MATCH(C$1,INDIRECT("Table!A"&amp;$X167):INDIRECT("Table!" &amp; $AA$171 &amp; $X167),0)),"",INDIRECT(CONCATENATE("Table!",ADDRESS($T167,MATCH(C$1,INDIRECT("Table!A" &amp; $X167):INDIRECT("Table!" &amp; $AA$171 &amp; $X167),0)))))</f>
        <v>0.81857526757343813</v>
      </c>
      <c r="D167" s="33">
        <f ca="1">IF(ISERROR(MATCH(D$1,INDIRECT("Table!A"&amp;$X167):INDIRECT("Table!" &amp; $AA$171 &amp; $X167),0)),"",INDIRECT(CONCATENATE("Table!",ADDRESS($T167,MATCH(D$1,INDIRECT("Table!A" &amp; $X167):INDIRECT("Table!" &amp; $AA$171 &amp; $X167),0)))))</f>
        <v>0.83580700949246389</v>
      </c>
      <c r="E167" s="33">
        <f ca="1">IF(ISERROR(MATCH(E$1,INDIRECT("Table!A"&amp;$X167):INDIRECT("Table!" &amp; $AA$171 &amp; $X167),0)),"",INDIRECT(CONCATENATE("Table!",ADDRESS($T167,MATCH(E$1,INDIRECT("Table!A" &amp; $X167):INDIRECT("Table!" &amp; $AA$171 &amp; $X167),0)))))</f>
        <v>0.7992571025965145</v>
      </c>
      <c r="F167" s="33">
        <f ca="1">IF(ISERROR(MATCH(F$1,INDIRECT("Table!A"&amp;$X167):INDIRECT("Table!" &amp; $AA$171 &amp; $X167),0)),"",INDIRECT(CONCATENATE("Table!",ADDRESS($T167,MATCH(F$1,INDIRECT("Table!A" &amp; $X167):INDIRECT("Table!" &amp; $AA$171 &amp; $X167),0)))))</f>
        <v>6.9314062760133773E-4</v>
      </c>
      <c r="G167" s="33">
        <f ca="1">IF(ISERROR(MATCH(G$1,INDIRECT("Table!A"&amp;$X167):INDIRECT("Table!" &amp; $AA$171 &amp; $X167),0)),"",INDIRECT(CONCATENATE("Table!",ADDRESS($T167,MATCH(G$1,INDIRECT("Table!A" &amp; $X167):INDIRECT("Table!" &amp; $AA$171 &amp; $X167),0)))))</f>
        <v>0.12180856331179894</v>
      </c>
      <c r="H167" s="33">
        <f ca="1">IF(ISERROR(MATCH(H$1,INDIRECT("Table!A"&amp;$X167):INDIRECT("Table!" &amp; $AA$171 &amp; $X167),0)),"",INDIRECT(CONCATENATE("Table!",ADDRESS($T167,MATCH(H$1,INDIRECT("Table!A" &amp; $X167):INDIRECT("Table!" &amp; $AA$171 &amp; $X167),0)))))</f>
        <v>0.15907453775514743</v>
      </c>
      <c r="I167" s="33" t="str">
        <f ca="1">IF(ISERROR(MATCH(I$1,INDIRECT("Table!A"&amp;$X167):INDIRECT("Table!" &amp; $AA$171 &amp; $X167),0)),"",INDIRECT(CONCATENATE("Table!",ADDRESS($T167,MATCH(I$1,INDIRECT("Table!A" &amp; $X167):INDIRECT("Table!" &amp; $AA$171 &amp; $X167),0)))))</f>
        <v/>
      </c>
      <c r="J167" s="33" t="str">
        <f ca="1">IF(ISERROR(MATCH(J$1,INDIRECT("Table!A"&amp;$X167):INDIRECT("Table!" &amp; $AA$171 &amp; $X167),0)),"",INDIRECT(CONCATENATE("Table!",ADDRESS($T167,MATCH(J$1,INDIRECT("Table!A" &amp; $X167):INDIRECT("Table!" &amp; $AA$171 &amp; $X167),0)))))</f>
        <v/>
      </c>
      <c r="K167" s="33" t="str">
        <f ca="1">IF(ISERROR(MATCH(K$1,INDIRECT("Table!A"&amp;$X167):INDIRECT("Table!" &amp; $AA$171 &amp; $X167),0)),"",INDIRECT(CONCATENATE("Table!",ADDRESS($T167,MATCH(K$1,INDIRECT("Table!A" &amp; $X167):INDIRECT("Table!" &amp; $AA$171 &amp; $X167),0)))))</f>
        <v/>
      </c>
      <c r="L167" s="33">
        <f ca="1">IF(ISERROR(MATCH(L$1,INDIRECT("Table!A"&amp;$X167):INDIRECT("Table!" &amp; $AA$171 &amp; $X167),0)),"",INDIRECT(CONCATENATE("Table!",ADDRESS($T167,MATCH(L$1,INDIRECT("Table!A" &amp; $X167):INDIRECT("Table!" &amp; $AA$171 &amp; $X167),0)))))</f>
        <v>0.63951824790194156</v>
      </c>
      <c r="M167" s="33">
        <f ca="1">IF(ISERROR(MATCH(M$1,INDIRECT("Table!A"&amp;$X167):INDIRECT("Table!" &amp; $AA$171 &amp; $X167),0)),"",INDIRECT(CONCATENATE("Table!",ADDRESS($T167,MATCH(M$1,INDIRECT("Table!A" &amp; $X167):INDIRECT("Table!" &amp; $AA$171 &amp; $X167),0)))))</f>
        <v>0.46764807632781635</v>
      </c>
      <c r="N167" s="33">
        <f ca="1">IF(ISERROR(MATCH(N$1,INDIRECT("Table!A"&amp;$X167):INDIRECT("Table!" &amp; $AA$171 &amp; $X167),0)),"",INDIRECT(CONCATENATE("Table!",ADDRESS($T167,MATCH(N$1,INDIRECT("Table!A" &amp; $X167):INDIRECT("Table!" &amp; $AA$171 &amp; $X167),0)))))</f>
        <v>9.4286905823535137E-4</v>
      </c>
      <c r="O167" s="33">
        <f ca="1">IF(ISERROR(MATCH(O$1,INDIRECT("Table!A"&amp;$X167):INDIRECT("Table!" &amp; $AA$171 &amp; $X167),0)),"",INDIRECT(CONCATENATE("Table!",ADDRESS($T167,MATCH(O$1,INDIRECT("Table!A" &amp; $X167):INDIRECT("Table!" &amp; $AA$171 &amp; $X167),0)))))</f>
        <v>0.43468396619045374</v>
      </c>
      <c r="P167" s="33">
        <f ca="1">IF(ISERROR(MATCH(P$1,INDIRECT("Table!A"&amp;$X167):INDIRECT("Table!" &amp; $AA$171 &amp; $X167),0)),"",INDIRECT(CONCATENATE("Table!",ADDRESS($T167,MATCH(P$1,INDIRECT("Table!A" &amp; $X167):INDIRECT("Table!" &amp; $AA$171 &amp; $X167),0)))))</f>
        <v>0.41456273556563067</v>
      </c>
      <c r="T167" s="31">
        <f>MATCH($A167,Table!$A:$A,0)+$V$2-1</f>
        <v>2198</v>
      </c>
      <c r="U167" s="116"/>
      <c r="V167" s="116"/>
      <c r="W167" s="116"/>
      <c r="X167" s="31">
        <f>MATCH($A167,Table!$A:$A,0)+$Z$2-1</f>
        <v>2195</v>
      </c>
      <c r="Y167" s="116"/>
      <c r="AA167" t="s">
        <v>209</v>
      </c>
    </row>
    <row r="168" spans="1:27" ht="15.75" customHeight="1">
      <c r="A168" s="5">
        <v>40920</v>
      </c>
      <c r="B168" s="33">
        <f ca="1">IF(ISERROR(MATCH(B$1,INDIRECT("Table!A"&amp;$X168):INDIRECT("Table!" &amp; $AA$171 &amp; $X168),0)),"",INDIRECT(CONCATENATE("Table!",ADDRESS($T168,MATCH(B$1,INDIRECT("Table!A" &amp; $X168):INDIRECT("Table!" &amp; $AA$171 &amp; $X168),0)))))</f>
        <v>0.77028030475716813</v>
      </c>
      <c r="C168" s="33">
        <f ca="1">IF(ISERROR(MATCH(C$1,INDIRECT("Table!A"&amp;$X168):INDIRECT("Table!" &amp; $AA$171 &amp; $X168),0)),"",INDIRECT(CONCATENATE("Table!",ADDRESS($T168,MATCH(C$1,INDIRECT("Table!A" &amp; $X168):INDIRECT("Table!" &amp; $AA$171 &amp; $X168),0)))))</f>
        <v>0.81849398577193333</v>
      </c>
      <c r="D168" s="33">
        <f ca="1">IF(ISERROR(MATCH(D$1,INDIRECT("Table!A"&amp;$X168):INDIRECT("Table!" &amp; $AA$171 &amp; $X168),0)),"",INDIRECT(CONCATENATE("Table!",ADDRESS($T168,MATCH(D$1,INDIRECT("Table!A" &amp; $X168):INDIRECT("Table!" &amp; $AA$171 &amp; $X168),0)))))</f>
        <v>0.83572447720170528</v>
      </c>
      <c r="E168" s="33">
        <f ca="1">IF(ISERROR(MATCH(E$1,INDIRECT("Table!A"&amp;$X168):INDIRECT("Table!" &amp; $AA$171 &amp; $X168),0)),"",INDIRECT(CONCATENATE("Table!",ADDRESS($T168,MATCH(E$1,INDIRECT("Table!A" &amp; $X168):INDIRECT("Table!" &amp; $AA$171 &amp; $X168),0)))))</f>
        <v>0.79771976086370899</v>
      </c>
      <c r="F168" s="33">
        <f ca="1">IF(ISERROR(MATCH(F$1,INDIRECT("Table!A"&amp;$X168):INDIRECT("Table!" &amp; $AA$171 &amp; $X168),0)),"",INDIRECT(CONCATENATE("Table!",ADDRESS($T168,MATCH(F$1,INDIRECT("Table!A" &amp; $X168):INDIRECT("Table!" &amp; $AA$171 &amp; $X168),0)))))</f>
        <v>6.7912946152616223E-4</v>
      </c>
      <c r="G168" s="33">
        <f ca="1">IF(ISERROR(MATCH(G$1,INDIRECT("Table!A"&amp;$X168):INDIRECT("Table!" &amp; $AA$171 &amp; $X168),0)),"",INDIRECT(CONCATENATE("Table!",ADDRESS($T168,MATCH(G$1,INDIRECT("Table!A" &amp; $X168):INDIRECT("Table!" &amp; $AA$171 &amp; $X168),0)))))</f>
        <v>0.12121804020826388</v>
      </c>
      <c r="H168" s="33">
        <f ca="1">IF(ISERROR(MATCH(H$1,INDIRECT("Table!A"&amp;$X168):INDIRECT("Table!" &amp; $AA$171 &amp; $X168),0)),"",INDIRECT(CONCATENATE("Table!",ADDRESS($T168,MATCH(H$1,INDIRECT("Table!A" &amp; $X168):INDIRECT("Table!" &amp; $AA$171 &amp; $X168),0)))))</f>
        <v>0.15900118517981271</v>
      </c>
      <c r="I168" s="33" t="str">
        <f ca="1">IF(ISERROR(MATCH(I$1,INDIRECT("Table!A"&amp;$X168):INDIRECT("Table!" &amp; $AA$171 &amp; $X168),0)),"",INDIRECT(CONCATENATE("Table!",ADDRESS($T168,MATCH(I$1,INDIRECT("Table!A" &amp; $X168):INDIRECT("Table!" &amp; $AA$171 &amp; $X168),0)))))</f>
        <v/>
      </c>
      <c r="J168" s="33" t="str">
        <f ca="1">IF(ISERROR(MATCH(J$1,INDIRECT("Table!A"&amp;$X168):INDIRECT("Table!" &amp; $AA$171 &amp; $X168),0)),"",INDIRECT(CONCATENATE("Table!",ADDRESS($T168,MATCH(J$1,INDIRECT("Table!A" &amp; $X168):INDIRECT("Table!" &amp; $AA$171 &amp; $X168),0)))))</f>
        <v/>
      </c>
      <c r="K168" s="33" t="str">
        <f ca="1">IF(ISERROR(MATCH(K$1,INDIRECT("Table!A"&amp;$X168):INDIRECT("Table!" &amp; $AA$171 &amp; $X168),0)),"",INDIRECT(CONCATENATE("Table!",ADDRESS($T168,MATCH(K$1,INDIRECT("Table!A" &amp; $X168):INDIRECT("Table!" &amp; $AA$171 &amp; $X168),0)))))</f>
        <v/>
      </c>
      <c r="L168" s="33">
        <f ca="1">IF(ISERROR(MATCH(L$1,INDIRECT("Table!A"&amp;$X168):INDIRECT("Table!" &amp; $AA$171 &amp; $X168),0)),"",INDIRECT(CONCATENATE("Table!",ADDRESS($T168,MATCH(L$1,INDIRECT("Table!A" &amp; $X168):INDIRECT("Table!" &amp; $AA$171 &amp; $X168),0)))))</f>
        <v>0.63921585142448034</v>
      </c>
      <c r="M168" s="33">
        <f ca="1">IF(ISERROR(MATCH(M$1,INDIRECT("Table!A"&amp;$X168):INDIRECT("Table!" &amp; $AA$171 &amp; $X168),0)),"",INDIRECT(CONCATENATE("Table!",ADDRESS($T168,MATCH(M$1,INDIRECT("Table!A" &amp; $X168):INDIRECT("Table!" &amp; $AA$171 &amp; $X168),0)))))</f>
        <v>0.46564884106261722</v>
      </c>
      <c r="N168" s="33">
        <f ca="1">IF(ISERROR(MATCH(N$1,INDIRECT("Table!A"&amp;$X168):INDIRECT("Table!" &amp; $AA$171 &amp; $X168),0)),"",INDIRECT(CONCATENATE("Table!",ADDRESS($T168,MATCH(N$1,INDIRECT("Table!A" &amp; $X168):INDIRECT("Table!" &amp; $AA$171 &amp; $X168),0)))))</f>
        <v>9.2968207839989186E-4</v>
      </c>
      <c r="O168" s="33">
        <f ca="1">IF(ISERROR(MATCH(O$1,INDIRECT("Table!A"&amp;$X168):INDIRECT("Table!" &amp; $AA$171 &amp; $X168),0)),"",INDIRECT(CONCATENATE("Table!",ADDRESS($T168,MATCH(O$1,INDIRECT("Table!A" &amp; $X168):INDIRECT("Table!" &amp; $AA$171 &amp; $X168),0)))))</f>
        <v>0.43455760819615741</v>
      </c>
      <c r="P168" s="33">
        <f ca="1">IF(ISERROR(MATCH(P$1,INDIRECT("Table!A"&amp;$X168):INDIRECT("Table!" &amp; $AA$171 &amp; $X168),0)),"",INDIRECT(CONCATENATE("Table!",ADDRESS($T168,MATCH(P$1,INDIRECT("Table!A" &amp; $X168):INDIRECT("Table!" &amp; $AA$171 &amp; $X168),0)))))</f>
        <v>0.41452267802844084</v>
      </c>
      <c r="T168" s="31">
        <f>MATCH($A168,Table!$A:$A,0)+$V$2-1</f>
        <v>2211</v>
      </c>
      <c r="U168" s="115"/>
      <c r="V168" s="115"/>
      <c r="W168" s="115"/>
      <c r="X168" s="31">
        <f>MATCH($A168,Table!$A:$A,0)+$Z$2-1</f>
        <v>2208</v>
      </c>
      <c r="Y168" s="115"/>
      <c r="AA168" t="s">
        <v>209</v>
      </c>
    </row>
    <row r="169" spans="1:27" ht="15.75" customHeight="1">
      <c r="A169" s="5">
        <v>40919</v>
      </c>
      <c r="B169" s="33">
        <f ca="1">IF(ISERROR(MATCH(B$1,INDIRECT("Table!A"&amp;$X169):INDIRECT("Table!" &amp; $AA$171 &amp; $X169),0)),"",INDIRECT(CONCATENATE("Table!",ADDRESS($T169,MATCH(B$1,INDIRECT("Table!A" &amp; $X169):INDIRECT("Table!" &amp; $AA$171 &amp; $X169),0)))))</f>
        <v>0.76990730187675704</v>
      </c>
      <c r="C169" s="33">
        <f ca="1">IF(ISERROR(MATCH(C$1,INDIRECT("Table!A"&amp;$X169):INDIRECT("Table!" &amp; $AA$171 &amp; $X169),0)),"",INDIRECT(CONCATENATE("Table!",ADDRESS($T169,MATCH(C$1,INDIRECT("Table!A" &amp; $X169):INDIRECT("Table!" &amp; $AA$171 &amp; $X169),0)))))</f>
        <v>0.8177987137467535</v>
      </c>
      <c r="D169" s="33">
        <f ca="1">IF(ISERROR(MATCH(D$1,INDIRECT("Table!A"&amp;$X169):INDIRECT("Table!" &amp; $AA$171 &amp; $X169),0)),"",INDIRECT(CONCATENATE("Table!",ADDRESS($T169,MATCH(D$1,INDIRECT("Table!A" &amp; $X169):INDIRECT("Table!" &amp; $AA$171 &amp; $X169),0)))))</f>
        <v>0.83502795468727153</v>
      </c>
      <c r="E169" s="33">
        <f ca="1">IF(ISERROR(MATCH(E$1,INDIRECT("Table!A"&amp;$X169):INDIRECT("Table!" &amp; $AA$171 &amp; $X169),0)),"",INDIRECT(CONCATENATE("Table!",ADDRESS($T169,MATCH(E$1,INDIRECT("Table!A" &amp; $X169):INDIRECT("Table!" &amp; $AA$171 &amp; $X169),0)))))</f>
        <v>0.79697893569844791</v>
      </c>
      <c r="F169" s="33">
        <f ca="1">IF(ISERROR(MATCH(F$1,INDIRECT("Table!A"&amp;$X169):INDIRECT("Table!" &amp; $AA$171 &amp; $X169),0)),"",INDIRECT(CONCATENATE("Table!",ADDRESS($T169,MATCH(F$1,INDIRECT("Table!A" &amp; $X169):INDIRECT("Table!" &amp; $AA$171 &amp; $X169),0)))))</f>
        <v>6.6594248169070261E-4</v>
      </c>
      <c r="G169" s="33">
        <f ca="1">IF(ISERROR(MATCH(G$1,INDIRECT("Table!A"&amp;$X169):INDIRECT("Table!" &amp; $AA$171 &amp; $X169),0)),"",INDIRECT(CONCATENATE("Table!",ADDRESS($T169,MATCH(G$1,INDIRECT("Table!A" &amp; $X169):INDIRECT("Table!" &amp; $AA$171 &amp; $X169),0)))))</f>
        <v>0.11997158221126374</v>
      </c>
      <c r="H169" s="33">
        <f ca="1">IF(ISERROR(MATCH(H$1,INDIRECT("Table!A"&amp;$X169):INDIRECT("Table!" &amp; $AA$171 &amp; $X169),0)),"",INDIRECT(CONCATENATE("Table!",ADDRESS($T169,MATCH(H$1,INDIRECT("Table!A" &amp; $X169):INDIRECT("Table!" &amp; $AA$171 &amp; $X169),0)))))</f>
        <v>0.15898552564125809</v>
      </c>
      <c r="I169" s="33" t="str">
        <f ca="1">IF(ISERROR(MATCH(I$1,INDIRECT("Table!A"&amp;$X169):INDIRECT("Table!" &amp; $AA$171 &amp; $X169),0)),"",INDIRECT(CONCATENATE("Table!",ADDRESS($T169,MATCH(I$1,INDIRECT("Table!A" &amp; $X169):INDIRECT("Table!" &amp; $AA$171 &amp; $X169),0)))))</f>
        <v/>
      </c>
      <c r="J169" s="33" t="str">
        <f ca="1">IF(ISERROR(MATCH(J$1,INDIRECT("Table!A"&amp;$X169):INDIRECT("Table!" &amp; $AA$171 &amp; $X169),0)),"",INDIRECT(CONCATENATE("Table!",ADDRESS($T169,MATCH(J$1,INDIRECT("Table!A" &amp; $X169):INDIRECT("Table!" &amp; $AA$171 &amp; $X169),0)))))</f>
        <v/>
      </c>
      <c r="K169" s="33" t="str">
        <f ca="1">IF(ISERROR(MATCH(K$1,INDIRECT("Table!A"&amp;$X169):INDIRECT("Table!" &amp; $AA$171 &amp; $X169),0)),"",INDIRECT(CONCATENATE("Table!",ADDRESS($T169,MATCH(K$1,INDIRECT("Table!A" &amp; $X169):INDIRECT("Table!" &amp; $AA$171 &amp; $X169),0)))))</f>
        <v/>
      </c>
      <c r="L169" s="33">
        <f ca="1">IF(ISERROR(MATCH(L$1,INDIRECT("Table!A"&amp;$X169):INDIRECT("Table!" &amp; $AA$171 &amp; $X169),0)),"",INDIRECT(CONCATENATE("Table!",ADDRESS($T169,MATCH(L$1,INDIRECT("Table!A" &amp; $X169):INDIRECT("Table!" &amp; $AA$171 &amp; $X169),0)))))</f>
        <v>0.63899768143203739</v>
      </c>
      <c r="M169" s="33">
        <f ca="1">IF(ISERROR(MATCH(M$1,INDIRECT("Table!A"&amp;$X169):INDIRECT("Table!" &amp; $AA$171 &amp; $X169),0)),"",INDIRECT(CONCATENATE("Table!",ADDRESS($T169,MATCH(M$1,INDIRECT("Table!A" &amp; $X169):INDIRECT("Table!" &amp; $AA$171 &amp; $X169),0)))))</f>
        <v>0.46512263068771509</v>
      </c>
      <c r="N169" s="33">
        <f ca="1">IF(ISERROR(MATCH(N$1,INDIRECT("Table!A"&amp;$X169):INDIRECT("Table!" &amp; $AA$171 &amp; $X169),0)),"",INDIRECT(CONCATENATE("Table!",ADDRESS($T169,MATCH(N$1,INDIRECT("Table!A" &amp; $X169):INDIRECT("Table!" &amp; $AA$171 &amp; $X169),0)))))</f>
        <v>9.1649509856443236E-4</v>
      </c>
      <c r="O169" s="33">
        <f ca="1">IF(ISERROR(MATCH(O$1,INDIRECT("Table!A"&amp;$X169):INDIRECT("Table!" &amp; $AA$171 &amp; $X169),0)),"",INDIRECT(CONCATENATE("Table!",ADDRESS($T169,MATCH(O$1,INDIRECT("Table!A" &amp; $X169):INDIRECT("Table!" &amp; $AA$171 &amp; $X169),0)))))</f>
        <v>0.43453777622395845</v>
      </c>
      <c r="P169" s="33">
        <f ca="1">IF(ISERROR(MATCH(P$1,INDIRECT("Table!A"&amp;$X169):INDIRECT("Table!" &amp; $AA$171 &amp; $X169),0)),"",INDIRECT(CONCATENATE("Table!",ADDRESS($T169,MATCH(P$1,INDIRECT("Table!A" &amp; $X169):INDIRECT("Table!" &amp; $AA$171 &amp; $X169),0)))))</f>
        <v>0.41452085723129589</v>
      </c>
      <c r="T169" s="31">
        <f>MATCH($A169,Table!$A:$A,0)+$V$2-1</f>
        <v>2224</v>
      </c>
      <c r="U169" s="114"/>
      <c r="V169" s="114"/>
      <c r="W169" s="114"/>
      <c r="X169" s="31">
        <f>MATCH($A169,Table!$A:$A,0)+$Z$2-1</f>
        <v>2221</v>
      </c>
      <c r="Y169" s="114"/>
      <c r="AA169" t="s">
        <v>209</v>
      </c>
    </row>
    <row r="170" spans="1:27" ht="15.75" customHeight="1">
      <c r="A170" s="5">
        <v>40918</v>
      </c>
      <c r="B170" s="33">
        <f ca="1">IF(ISERROR(MATCH(B$1,INDIRECT("Table!A"&amp;$X170):INDIRECT("Table!" &amp; $AA$171 &amp; $X170),0)),"",INDIRECT(CONCATENATE("Table!",ADDRESS($T170,MATCH(B$1,INDIRECT("Table!A" &amp; $X170):INDIRECT("Table!" &amp; $AA$171 &amp; $X170),0)))))</f>
        <v>0.76972425416692569</v>
      </c>
      <c r="C170" s="33">
        <f ca="1">IF(ISERROR(MATCH(C$1,INDIRECT("Table!A"&amp;$X170):INDIRECT("Table!" &amp; $AA$171 &amp; $X170),0)),"",INDIRECT(CONCATENATE("Table!",ADDRESS($T170,MATCH(C$1,INDIRECT("Table!A" &amp; $X170):INDIRECT("Table!" &amp; $AA$171 &amp; $X170),0)))))</f>
        <v>0.81777620494018288</v>
      </c>
      <c r="D170" s="33">
        <f ca="1">IF(ISERROR(MATCH(D$1,INDIRECT("Table!A"&amp;$X170):INDIRECT("Table!" &amp; $AA$171 &amp; $X170),0)),"",INDIRECT(CONCATENATE("Table!",ADDRESS($T170,MATCH(D$1,INDIRECT("Table!A" &amp; $X170):INDIRECT("Table!" &amp; $AA$171 &amp; $X170),0)))))</f>
        <v>0.83500669636995473</v>
      </c>
      <c r="E170" s="33">
        <f ca="1">IF(ISERROR(MATCH(E$1,INDIRECT("Table!A"&amp;$X170):INDIRECT("Table!" &amp; $AA$171 &amp; $X170),0)),"",INDIRECT(CONCATENATE("Table!",ADDRESS($T170,MATCH(E$1,INDIRECT("Table!A" &amp; $X170):INDIRECT("Table!" &amp; $AA$171 &amp; $X170),0)))))</f>
        <v>0.79641425078226991</v>
      </c>
      <c r="F170" s="33">
        <f ca="1">IF(ISERROR(MATCH(F$1,INDIRECT("Table!A"&amp;$X170):INDIRECT("Table!" &amp; $AA$171 &amp; $X170),0)),"",INDIRECT(CONCATENATE("Table!",ADDRESS($T170,MATCH(F$1,INDIRECT("Table!A" &amp; $X170):INDIRECT("Table!" &amp; $AA$171 &amp; $X170),0)))))</f>
        <v>6.5275550185524321E-4</v>
      </c>
      <c r="G170" s="33">
        <f ca="1">IF(ISERROR(MATCH(G$1,INDIRECT("Table!A"&amp;$X170):INDIRECT("Table!" &amp; $AA$171 &amp; $X170),0)),"",INDIRECT(CONCATENATE("Table!",ADDRESS($T170,MATCH(G$1,INDIRECT("Table!A" &amp; $X170):INDIRECT("Table!" &amp; $AA$171 &amp; $X170),0)))))</f>
        <v>0.11781935262314906</v>
      </c>
      <c r="H170" s="33">
        <f ca="1">IF(ISERROR(MATCH(H$1,INDIRECT("Table!A"&amp;$X170):INDIRECT("Table!" &amp; $AA$171 &amp; $X170),0)),"",INDIRECT(CONCATENATE("Table!",ADDRESS($T170,MATCH(H$1,INDIRECT("Table!A" &amp; $X170):INDIRECT("Table!" &amp; $AA$171 &amp; $X170),0)))))</f>
        <v>0.15863112555818012</v>
      </c>
      <c r="I170" s="33" t="str">
        <f ca="1">IF(ISERROR(MATCH(I$1,INDIRECT("Table!A"&amp;$X170):INDIRECT("Table!" &amp; $AA$171 &amp; $X170),0)),"",INDIRECT(CONCATENATE("Table!",ADDRESS($T170,MATCH(I$1,INDIRECT("Table!A" &amp; $X170):INDIRECT("Table!" &amp; $AA$171 &amp; $X170),0)))))</f>
        <v/>
      </c>
      <c r="J170" s="33" t="str">
        <f ca="1">IF(ISERROR(MATCH(J$1,INDIRECT("Table!A"&amp;$X170):INDIRECT("Table!" &amp; $AA$171 &amp; $X170),0)),"",INDIRECT(CONCATENATE("Table!",ADDRESS($T170,MATCH(J$1,INDIRECT("Table!A" &amp; $X170):INDIRECT("Table!" &amp; $AA$171 &amp; $X170),0)))))</f>
        <v/>
      </c>
      <c r="K170" s="33" t="str">
        <f ca="1">IF(ISERROR(MATCH(K$1,INDIRECT("Table!A"&amp;$X170):INDIRECT("Table!" &amp; $AA$171 &amp; $X170),0)),"",INDIRECT(CONCATENATE("Table!",ADDRESS($T170,MATCH(K$1,INDIRECT("Table!A" &amp; $X170):INDIRECT("Table!" &amp; $AA$171 &amp; $X170),0)))))</f>
        <v/>
      </c>
      <c r="L170" s="33">
        <f ca="1">IF(ISERROR(MATCH(L$1,INDIRECT("Table!A"&amp;$X170):INDIRECT("Table!" &amp; $AA$171 &amp; $X170),0)),"",INDIRECT(CONCATENATE("Table!",ADDRESS($T170,MATCH(L$1,INDIRECT("Table!A" &amp; $X170):INDIRECT("Table!" &amp; $AA$171 &amp; $X170),0)))))</f>
        <v>0.63862685093549887</v>
      </c>
      <c r="M170" s="33">
        <f ca="1">IF(ISERROR(MATCH(M$1,INDIRECT("Table!A"&amp;$X170):INDIRECT("Table!" &amp; $AA$171 &amp; $X170),0)),"",INDIRECT(CONCATENATE("Table!",ADDRESS($T170,MATCH(M$1,INDIRECT("Table!A" &amp; $X170):INDIRECT("Table!" &amp; $AA$171 &amp; $X170),0)))))</f>
        <v>0.46512263068771509</v>
      </c>
      <c r="N170" s="33">
        <f ca="1">IF(ISERROR(MATCH(N$1,INDIRECT("Table!A"&amp;$X170):INDIRECT("Table!" &amp; $AA$171 &amp; $X170),0)),"",INDIRECT(CONCATENATE("Table!",ADDRESS($T170,MATCH(N$1,INDIRECT("Table!A" &amp; $X170):INDIRECT("Table!" &amp; $AA$171 &amp; $X170),0)))))</f>
        <v>9.0495649120840539E-4</v>
      </c>
      <c r="O170" s="33">
        <f ca="1">IF(ISERROR(MATCH(O$1,INDIRECT("Table!A"&amp;$X170):INDIRECT("Table!" &amp; $AA$171 &amp; $X170),0)),"",INDIRECT(CONCATENATE("Table!",ADDRESS($T170,MATCH(O$1,INDIRECT("Table!A" &amp; $X170):INDIRECT("Table!" &amp; $AA$171 &amp; $X170),0)))))</f>
        <v>0.43404650994120098</v>
      </c>
      <c r="P170" s="33">
        <f ca="1">IF(ISERROR(MATCH(P$1,INDIRECT("Table!A"&amp;$X170):INDIRECT("Table!" &amp; $AA$171 &amp; $X170),0)),"",INDIRECT(CONCATENATE("Table!",ADDRESS($T170,MATCH(P$1,INDIRECT("Table!A" &amp; $X170):INDIRECT("Table!" &amp; $AA$171 &amp; $X170),0)))))</f>
        <v>0.41451357404271588</v>
      </c>
      <c r="T170" s="31">
        <f>MATCH($A170,Table!$A:$A,0)+$V$2-1</f>
        <v>2237</v>
      </c>
      <c r="U170" s="113"/>
      <c r="V170" s="113"/>
      <c r="W170" s="113"/>
      <c r="X170" s="31">
        <f>MATCH($A170,Table!$A:$A,0)+$Z$2-1</f>
        <v>2234</v>
      </c>
      <c r="Y170" s="113"/>
      <c r="AA170" t="s">
        <v>209</v>
      </c>
    </row>
    <row r="171" spans="1:27" ht="15.75" customHeight="1">
      <c r="A171" s="5">
        <v>40917</v>
      </c>
      <c r="B171" s="33">
        <f ca="1">IF(ISERROR(MATCH(B$1,INDIRECT("Table!A"&amp;$X171):INDIRECT("Table!" &amp; $AA$171 &amp; $X171),0)),"",INDIRECT(CONCATENATE("Table!",ADDRESS($T171,MATCH(B$1,INDIRECT("Table!A" &amp; $X171):INDIRECT("Table!" &amp; $AA$171 &amp; $X171),0)))))</f>
        <v>0.768550849272299</v>
      </c>
      <c r="C171" s="33">
        <f ca="1">IF(ISERROR(MATCH(C$1,INDIRECT("Table!A"&amp;$X171):INDIRECT("Table!" &amp; $AA$171 &amp; $X171),0)),"",INDIRECT(CONCATENATE("Table!",ADDRESS($T171,MATCH(C$1,INDIRECT("Table!A" &amp; $X171):INDIRECT("Table!" &amp; $AA$171 &amp; $X171),0)))))</f>
        <v>0.8172409955395048</v>
      </c>
      <c r="D171" s="33">
        <f ca="1">IF(ISERROR(MATCH(D$1,INDIRECT("Table!A"&amp;$X171):INDIRECT("Table!" &amp; $AA$171 &amp; $X171),0)),"",INDIRECT(CONCATENATE("Table!",ADDRESS($T171,MATCH(D$1,INDIRECT("Table!A" &amp; $X171):INDIRECT("Table!" &amp; $AA$171 &amp; $X171),0)))))</f>
        <v>0.83447023648002283</v>
      </c>
      <c r="E171" s="33">
        <f ca="1">IF(ISERROR(MATCH(E$1,INDIRECT("Table!A"&amp;$X171):INDIRECT("Table!" &amp; $AA$171 &amp; $X171),0)),"",INDIRECT(CONCATENATE("Table!",ADDRESS($T171,MATCH(E$1,INDIRECT("Table!A" &amp; $X171):INDIRECT("Table!" &amp; $AA$171 &amp; $X171),0)))))</f>
        <v>0.79574012578486031</v>
      </c>
      <c r="F171" s="33">
        <f ca="1">IF(ISERROR(MATCH(F$1,INDIRECT("Table!A"&amp;$X171):INDIRECT("Table!" &amp; $AA$171 &amp; $X171),0)),"",INDIRECT(CONCATENATE("Table!",ADDRESS($T171,MATCH(F$1,INDIRECT("Table!A" &amp; $X171):INDIRECT("Table!" &amp; $AA$171 &amp; $X171),0)))))</f>
        <v>6.4039270825950003E-4</v>
      </c>
      <c r="G171" s="33">
        <f ca="1">IF(ISERROR(MATCH(G$1,INDIRECT("Table!A"&amp;$X171):INDIRECT("Table!" &amp; $AA$171 &amp; $X171),0)),"",INDIRECT(CONCATENATE("Table!",ADDRESS($T171,MATCH(G$1,INDIRECT("Table!A" &amp; $X171):INDIRECT("Table!" &amp; $AA$171 &amp; $X171),0)))))</f>
        <v>0.1173614700936388</v>
      </c>
      <c r="H171" s="33">
        <f ca="1">IF(ISERROR(MATCH(H$1,INDIRECT("Table!A"&amp;$X171):INDIRECT("Table!" &amp; $AA$171 &amp; $X171),0)),"",INDIRECT(CONCATENATE("Table!",ADDRESS($T171,MATCH(H$1,INDIRECT("Table!A" &amp; $X171):INDIRECT("Table!" &amp; $AA$171 &amp; $X171),0)))))</f>
        <v>0.15862782881322124</v>
      </c>
      <c r="I171" s="33" t="str">
        <f ca="1">IF(ISERROR(MATCH(I$1,INDIRECT("Table!A"&amp;$X171):INDIRECT("Table!" &amp; $AA$171 &amp; $X171),0)),"",INDIRECT(CONCATENATE("Table!",ADDRESS($T171,MATCH(I$1,INDIRECT("Table!A" &amp; $X171):INDIRECT("Table!" &amp; $AA$171 &amp; $X171),0)))))</f>
        <v/>
      </c>
      <c r="J171" s="33" t="str">
        <f ca="1">IF(ISERROR(MATCH(J$1,INDIRECT("Table!A"&amp;$X171):INDIRECT("Table!" &amp; $AA$171 &amp; $X171),0)),"",INDIRECT(CONCATENATE("Table!",ADDRESS($T171,MATCH(J$1,INDIRECT("Table!A" &amp; $X171):INDIRECT("Table!" &amp; $AA$171 &amp; $X171),0)))))</f>
        <v/>
      </c>
      <c r="K171" s="33" t="str">
        <f ca="1">IF(ISERROR(MATCH(K$1,INDIRECT("Table!A"&amp;$X171):INDIRECT("Table!" &amp; $AA$171 &amp; $X171),0)),"",INDIRECT(CONCATENATE("Table!",ADDRESS($T171,MATCH(K$1,INDIRECT("Table!A" &amp; $X171):INDIRECT("Table!" &amp; $AA$171 &amp; $X171),0)))))</f>
        <v/>
      </c>
      <c r="L171" s="33">
        <f ca="1">IF(ISERROR(MATCH(L$1,INDIRECT("Table!A"&amp;$X171):INDIRECT("Table!" &amp; $AA$171 &amp; $X171),0)),"",INDIRECT(CONCATENATE("Table!",ADDRESS($T171,MATCH(L$1,INDIRECT("Table!A" &amp; $X171):INDIRECT("Table!" &amp; $AA$171 &amp; $X171),0)))))</f>
        <v>0.63838703941565533</v>
      </c>
      <c r="M171" s="33">
        <f ca="1">IF(ISERROR(MATCH(M$1,INDIRECT("Table!A"&amp;$X171):INDIRECT("Table!" &amp; $AA$171 &amp; $X171),0)),"",INDIRECT(CONCATENATE("Table!",ADDRESS($T171,MATCH(M$1,INDIRECT("Table!A" &amp; $X171):INDIRECT("Table!" &amp; $AA$171 &amp; $X171),0)))))</f>
        <v>0.46512263068771509</v>
      </c>
      <c r="N171" s="33">
        <f ca="1">IF(ISERROR(MATCH(N$1,INDIRECT("Table!A"&amp;$X171):INDIRECT("Table!" &amp; $AA$171 &amp; $X171),0)),"",INDIRECT(CONCATENATE("Table!",ADDRESS($T171,MATCH(N$1,INDIRECT("Table!A" &amp; $X171):INDIRECT("Table!" &amp; $AA$171 &amp; $X171),0)))))</f>
        <v>8.9176951137294588E-4</v>
      </c>
      <c r="O171" s="33">
        <f ca="1">IF(ISERROR(MATCH(O$1,INDIRECT("Table!A"&amp;$X171):INDIRECT("Table!" &amp; $AA$171 &amp; $X171),0)),"",INDIRECT(CONCATENATE("Table!",ADDRESS($T171,MATCH(O$1,INDIRECT("Table!A" &amp; $X171):INDIRECT("Table!" &amp; $AA$171 &amp; $X171),0)))))</f>
        <v>0.43404197691898405</v>
      </c>
      <c r="P171" s="33">
        <f ca="1">IF(ISERROR(MATCH(P$1,INDIRECT("Table!A"&amp;$X171):INDIRECT("Table!" &amp; $AA$171 &amp; $X171),0)),"",INDIRECT(CONCATENATE("Table!",ADDRESS($T171,MATCH(P$1,INDIRECT("Table!A" &amp; $X171):INDIRECT("Table!" &amp; $AA$171 &amp; $X171),0)))))</f>
        <v>0.41451357404271588</v>
      </c>
      <c r="T171" s="31">
        <f>MATCH($A171,Table!$A:$A,0)+$V$2-1</f>
        <v>2250</v>
      </c>
      <c r="U171" s="41"/>
      <c r="V171" s="41"/>
      <c r="W171" s="41"/>
      <c r="X171" s="31">
        <f>MATCH($A171,Table!$A:$A,0)+$Z$2-1</f>
        <v>2247</v>
      </c>
      <c r="Y171" s="41"/>
      <c r="AA171" t="s">
        <v>209</v>
      </c>
    </row>
    <row r="172" spans="1:27" ht="15.75" customHeight="1">
      <c r="B172" s="33"/>
      <c r="C172" s="33"/>
      <c r="D172" s="33"/>
      <c r="E172" s="33"/>
      <c r="F172" s="33"/>
      <c r="G172" s="33"/>
      <c r="H172" s="33"/>
      <c r="I172" s="33"/>
      <c r="J172" s="33"/>
      <c r="K172" s="33"/>
      <c r="L172" s="33"/>
      <c r="M172" s="33"/>
      <c r="N172" s="33"/>
      <c r="O172" s="33"/>
      <c r="P172" s="33"/>
      <c r="T172" s="31"/>
      <c r="U172" s="94"/>
      <c r="V172" s="94"/>
      <c r="W172" s="94"/>
      <c r="X172" s="31"/>
      <c r="Y172" s="94"/>
    </row>
    <row r="173" spans="1:27" ht="15.75" customHeight="1">
      <c r="B173" s="33"/>
      <c r="C173" s="33"/>
      <c r="D173" s="33"/>
      <c r="E173" s="33"/>
      <c r="F173" s="33"/>
      <c r="G173" s="33"/>
      <c r="H173" s="33"/>
      <c r="I173" s="33"/>
      <c r="J173" s="33"/>
      <c r="K173" s="33"/>
      <c r="L173" s="33"/>
      <c r="M173" s="33"/>
      <c r="N173" s="33"/>
      <c r="O173" s="33"/>
      <c r="P173" s="33"/>
      <c r="T173" s="31"/>
      <c r="U173" s="62"/>
      <c r="V173" s="62"/>
      <c r="W173" s="62"/>
      <c r="X173" s="31"/>
      <c r="Y173" s="62"/>
    </row>
    <row r="174" spans="1:27" ht="15.75" customHeight="1">
      <c r="B174" s="33"/>
      <c r="C174" s="33"/>
      <c r="D174" s="33"/>
      <c r="E174" s="33"/>
      <c r="F174" s="33"/>
      <c r="G174" s="33"/>
      <c r="H174" s="33"/>
      <c r="I174" s="33"/>
      <c r="J174" s="33"/>
      <c r="K174" s="33"/>
      <c r="L174" s="33"/>
      <c r="M174" s="33"/>
      <c r="N174" s="33"/>
      <c r="O174" s="33"/>
      <c r="P174" s="33"/>
      <c r="T174" s="31"/>
      <c r="U174" s="61"/>
      <c r="V174" s="61"/>
      <c r="W174" s="61"/>
      <c r="X174" s="31"/>
      <c r="Y174" s="61"/>
    </row>
    <row r="175" spans="1:27" ht="15.75" customHeight="1">
      <c r="B175" s="33"/>
      <c r="C175" s="33"/>
      <c r="D175" s="33"/>
      <c r="E175" s="33"/>
      <c r="F175" s="33"/>
      <c r="G175" s="33"/>
      <c r="H175" s="33"/>
      <c r="I175" s="33"/>
      <c r="J175" s="33"/>
      <c r="K175" s="33"/>
      <c r="L175" s="33"/>
      <c r="M175" s="33"/>
      <c r="N175" s="33"/>
      <c r="O175" s="33"/>
      <c r="P175" s="33"/>
      <c r="T175" s="31"/>
      <c r="U175" s="60"/>
      <c r="V175" s="60"/>
      <c r="W175" s="60"/>
      <c r="X175" s="31"/>
      <c r="Y175" s="60"/>
    </row>
    <row r="176" spans="1:27" ht="15.75" customHeight="1">
      <c r="B176" s="33"/>
      <c r="C176" s="33"/>
      <c r="D176" s="33"/>
      <c r="E176" s="33"/>
      <c r="F176" s="33"/>
      <c r="G176" s="33"/>
      <c r="H176" s="33"/>
      <c r="I176" s="33"/>
      <c r="J176" s="33"/>
      <c r="K176" s="33"/>
      <c r="L176" s="33"/>
      <c r="M176" s="33"/>
      <c r="N176" s="33"/>
      <c r="O176" s="33"/>
      <c r="P176" s="33"/>
      <c r="T176" s="31"/>
      <c r="U176" s="59"/>
      <c r="V176" s="59"/>
      <c r="W176" s="59"/>
      <c r="X176" s="31"/>
      <c r="Y176" s="59"/>
    </row>
    <row r="177" spans="2:25" ht="15.75" customHeight="1">
      <c r="B177" s="33"/>
      <c r="C177" s="33"/>
      <c r="D177" s="33"/>
      <c r="E177" s="33"/>
      <c r="F177" s="33"/>
      <c r="G177" s="33"/>
      <c r="H177" s="33"/>
      <c r="I177" s="33"/>
      <c r="J177" s="33"/>
      <c r="K177" s="33"/>
      <c r="L177" s="33"/>
      <c r="M177" s="33"/>
      <c r="N177" s="33"/>
      <c r="O177" s="33"/>
      <c r="P177" s="33"/>
      <c r="T177" s="31"/>
      <c r="U177" s="58"/>
      <c r="V177" s="58"/>
      <c r="W177" s="58"/>
      <c r="X177" s="31"/>
      <c r="Y177" s="58"/>
    </row>
    <row r="178" spans="2:25" ht="15.75" customHeight="1">
      <c r="B178" s="33"/>
      <c r="C178" s="33"/>
      <c r="D178" s="33"/>
      <c r="E178" s="33"/>
      <c r="F178" s="33"/>
      <c r="G178" s="33"/>
      <c r="H178" s="33"/>
      <c r="I178" s="33"/>
      <c r="J178" s="33"/>
      <c r="K178" s="33"/>
      <c r="L178" s="33"/>
      <c r="M178" s="33"/>
      <c r="N178" s="33"/>
      <c r="O178" s="33"/>
      <c r="P178" s="33"/>
      <c r="T178" s="31"/>
      <c r="U178" s="57"/>
      <c r="V178" s="57"/>
      <c r="W178" s="57"/>
      <c r="X178" s="31"/>
      <c r="Y178" s="57"/>
    </row>
    <row r="179" spans="2:25" ht="15.75" customHeight="1">
      <c r="B179" s="33"/>
      <c r="C179" s="33"/>
      <c r="D179" s="33"/>
      <c r="E179" s="33"/>
      <c r="F179" s="33"/>
      <c r="G179" s="33"/>
      <c r="H179" s="33"/>
      <c r="I179" s="33"/>
      <c r="J179" s="33"/>
      <c r="K179" s="33"/>
      <c r="L179" s="33"/>
      <c r="M179" s="33"/>
      <c r="N179" s="33"/>
      <c r="O179" s="33"/>
      <c r="P179" s="33"/>
      <c r="T179" s="31"/>
      <c r="U179" s="56"/>
      <c r="V179" s="56"/>
      <c r="W179" s="56"/>
      <c r="X179" s="31"/>
      <c r="Y179" s="56"/>
    </row>
    <row r="180" spans="2:25" ht="15.75" customHeight="1">
      <c r="B180" s="33"/>
      <c r="C180" s="33"/>
      <c r="D180" s="33"/>
      <c r="E180" s="33"/>
      <c r="F180" s="33"/>
      <c r="G180" s="33"/>
      <c r="H180" s="33"/>
      <c r="I180" s="33"/>
      <c r="J180" s="33"/>
      <c r="K180" s="33"/>
      <c r="L180" s="33"/>
      <c r="M180" s="33"/>
      <c r="N180" s="33"/>
      <c r="O180" s="33"/>
      <c r="P180" s="33"/>
      <c r="T180" s="31"/>
      <c r="U180" s="56"/>
      <c r="V180" s="56"/>
      <c r="W180" s="56"/>
      <c r="X180" s="31"/>
      <c r="Y180" s="56"/>
    </row>
    <row r="181" spans="2:25" ht="15.75" customHeight="1">
      <c r="B181" s="33"/>
      <c r="C181" s="33"/>
      <c r="D181" s="33"/>
      <c r="E181" s="33"/>
      <c r="F181" s="33"/>
      <c r="G181" s="33"/>
      <c r="H181" s="33"/>
      <c r="I181" s="33"/>
      <c r="J181" s="33"/>
      <c r="K181" s="33"/>
      <c r="L181" s="33"/>
      <c r="M181" s="33"/>
      <c r="N181" s="33"/>
      <c r="O181" s="33"/>
      <c r="P181" s="33"/>
      <c r="T181" s="31"/>
      <c r="U181" s="55"/>
      <c r="V181" s="55"/>
      <c r="W181" s="55"/>
      <c r="X181" s="31"/>
      <c r="Y181" s="55"/>
    </row>
    <row r="182" spans="2:25" ht="15.75" customHeight="1">
      <c r="B182" s="33"/>
      <c r="C182" s="33"/>
      <c r="D182" s="33"/>
      <c r="E182" s="33"/>
      <c r="F182" s="33"/>
      <c r="G182" s="33"/>
      <c r="H182" s="33"/>
      <c r="I182" s="33"/>
      <c r="J182" s="33"/>
      <c r="K182" s="33"/>
      <c r="L182" s="33"/>
      <c r="M182" s="33"/>
      <c r="N182" s="33"/>
      <c r="O182" s="33"/>
      <c r="P182" s="33"/>
      <c r="T182" s="31"/>
      <c r="U182" s="54"/>
      <c r="V182" s="54"/>
      <c r="W182" s="54"/>
      <c r="X182" s="31"/>
      <c r="Y182" s="54"/>
    </row>
    <row r="183" spans="2:25" ht="15.75" customHeight="1">
      <c r="B183" s="33"/>
      <c r="C183" s="33"/>
      <c r="D183" s="33"/>
      <c r="E183" s="33"/>
      <c r="F183" s="33"/>
      <c r="G183" s="33"/>
      <c r="H183" s="33"/>
      <c r="I183" s="33"/>
      <c r="J183" s="33"/>
      <c r="K183" s="33"/>
      <c r="L183" s="33"/>
      <c r="M183" s="33"/>
      <c r="N183" s="33"/>
      <c r="O183" s="33"/>
      <c r="P183" s="33"/>
      <c r="T183" s="31"/>
      <c r="U183" s="54"/>
      <c r="V183" s="54"/>
      <c r="W183" s="54"/>
      <c r="X183" s="31"/>
      <c r="Y183" s="54"/>
    </row>
    <row r="184" spans="2:25" ht="15.75" customHeight="1">
      <c r="B184" s="33"/>
      <c r="C184" s="33"/>
      <c r="D184" s="33"/>
      <c r="E184" s="33"/>
      <c r="F184" s="33"/>
      <c r="G184" s="33"/>
      <c r="H184" s="33"/>
      <c r="I184" s="33"/>
      <c r="J184" s="33"/>
      <c r="K184" s="33"/>
      <c r="L184" s="33"/>
      <c r="M184" s="33"/>
      <c r="N184" s="33"/>
      <c r="O184" s="33"/>
      <c r="P184" s="33"/>
      <c r="T184" s="31"/>
      <c r="U184" s="53"/>
      <c r="V184" s="53"/>
      <c r="W184" s="53"/>
      <c r="X184" s="31"/>
      <c r="Y184" s="53"/>
    </row>
    <row r="185" spans="2:25" ht="15.75" customHeight="1">
      <c r="B185" s="33"/>
      <c r="C185" s="33"/>
      <c r="D185" s="33"/>
      <c r="E185" s="33"/>
      <c r="F185" s="33"/>
      <c r="G185" s="33"/>
      <c r="H185" s="33"/>
      <c r="I185" s="33"/>
      <c r="J185" s="33"/>
      <c r="K185" s="33"/>
      <c r="L185" s="33"/>
      <c r="M185" s="33"/>
      <c r="N185" s="33"/>
      <c r="O185" s="33"/>
      <c r="P185" s="33"/>
      <c r="T185" s="31"/>
      <c r="U185" s="52"/>
      <c r="V185" s="52"/>
      <c r="W185" s="52"/>
      <c r="X185" s="31"/>
      <c r="Y185" s="52"/>
    </row>
    <row r="186" spans="2:25" ht="15.75" customHeight="1">
      <c r="B186" s="33"/>
      <c r="C186" s="33"/>
      <c r="D186" s="33"/>
      <c r="E186" s="33"/>
      <c r="F186" s="33"/>
      <c r="G186" s="33"/>
      <c r="H186" s="33"/>
      <c r="I186" s="33"/>
      <c r="J186" s="33"/>
      <c r="K186" s="33"/>
      <c r="L186" s="33"/>
      <c r="M186" s="33"/>
      <c r="N186" s="33"/>
      <c r="O186" s="33"/>
      <c r="P186" s="33"/>
      <c r="T186" s="31"/>
      <c r="U186" s="51"/>
      <c r="V186" s="51"/>
      <c r="W186" s="51"/>
      <c r="X186" s="31"/>
      <c r="Y186" s="51"/>
    </row>
    <row r="187" spans="2:25" ht="15.75" customHeight="1">
      <c r="B187" s="33"/>
      <c r="C187" s="33"/>
      <c r="D187" s="33"/>
      <c r="E187" s="33"/>
      <c r="F187" s="33"/>
      <c r="G187" s="33"/>
      <c r="H187" s="33"/>
      <c r="I187" s="33"/>
      <c r="J187" s="33"/>
      <c r="K187" s="33"/>
      <c r="L187" s="33"/>
      <c r="M187" s="33"/>
      <c r="N187" s="33"/>
      <c r="O187" s="33"/>
      <c r="P187" s="33"/>
      <c r="T187" s="31"/>
      <c r="U187" s="50"/>
      <c r="V187" s="50"/>
      <c r="W187" s="50"/>
      <c r="X187" s="31"/>
      <c r="Y187" s="50"/>
    </row>
    <row r="188" spans="2:25" ht="15.75" customHeight="1">
      <c r="B188" s="33"/>
      <c r="C188" s="33"/>
      <c r="D188" s="33"/>
      <c r="E188" s="33"/>
      <c r="F188" s="33"/>
      <c r="G188" s="33"/>
      <c r="H188" s="33"/>
      <c r="I188" s="33"/>
      <c r="J188" s="33"/>
      <c r="K188" s="33"/>
      <c r="L188" s="33"/>
      <c r="M188" s="33"/>
      <c r="N188" s="33"/>
      <c r="O188" s="33"/>
      <c r="P188" s="33"/>
      <c r="T188" s="31"/>
      <c r="U188" s="47"/>
      <c r="V188" s="47"/>
      <c r="W188" s="47"/>
      <c r="X188" s="31"/>
      <c r="Y188" s="47"/>
    </row>
    <row r="189" spans="2:25" ht="15.75" customHeight="1">
      <c r="B189" s="33"/>
      <c r="C189" s="33"/>
      <c r="D189" s="33"/>
      <c r="E189" s="33"/>
      <c r="F189" s="33"/>
      <c r="G189" s="33"/>
      <c r="H189" s="33"/>
      <c r="I189" s="33"/>
      <c r="J189" s="33"/>
      <c r="K189" s="33"/>
      <c r="L189" s="33"/>
      <c r="M189" s="33"/>
      <c r="N189" s="33"/>
      <c r="O189" s="33"/>
      <c r="P189" s="33"/>
      <c r="T189" s="31"/>
      <c r="U189" s="44"/>
      <c r="V189" s="44"/>
      <c r="W189" s="44"/>
      <c r="X189" s="31"/>
      <c r="Y189" s="44"/>
    </row>
    <row r="190" spans="2:25" ht="15.75" customHeight="1">
      <c r="B190" s="33"/>
      <c r="C190" s="33"/>
      <c r="D190" s="33"/>
      <c r="E190" s="33"/>
      <c r="F190" s="33"/>
      <c r="G190" s="33"/>
      <c r="H190" s="33"/>
      <c r="I190" s="33"/>
      <c r="J190" s="33"/>
      <c r="K190" s="33"/>
      <c r="L190" s="33"/>
      <c r="M190" s="33"/>
      <c r="N190" s="33"/>
      <c r="O190" s="33"/>
      <c r="P190" s="33"/>
      <c r="T190" s="31"/>
      <c r="U190" s="42"/>
      <c r="V190" s="42"/>
      <c r="W190" s="42"/>
      <c r="X190" s="31"/>
      <c r="Y190" s="42"/>
    </row>
    <row r="191" spans="2:25" ht="15.75" customHeight="1">
      <c r="B191" s="33"/>
      <c r="C191" s="33"/>
      <c r="D191" s="33"/>
      <c r="E191" s="33"/>
      <c r="F191" s="33"/>
      <c r="G191" s="33"/>
      <c r="H191" s="33"/>
      <c r="I191" s="33"/>
      <c r="J191" s="33"/>
      <c r="K191" s="33"/>
      <c r="L191" s="33"/>
      <c r="M191" s="33"/>
      <c r="N191" s="33"/>
      <c r="O191" s="33"/>
      <c r="P191" s="33"/>
      <c r="T191" s="31"/>
      <c r="U191" s="37"/>
      <c r="V191" s="37"/>
      <c r="W191" s="37"/>
      <c r="X191" s="31"/>
      <c r="Y191" s="37"/>
    </row>
    <row r="192" spans="2:25" ht="15.75" customHeight="1">
      <c r="B192" s="33"/>
      <c r="C192" s="33"/>
      <c r="D192" s="33"/>
      <c r="E192" s="33"/>
      <c r="F192" s="33"/>
      <c r="G192" s="33"/>
      <c r="H192" s="33"/>
      <c r="I192" s="33"/>
      <c r="J192" s="33"/>
      <c r="K192" s="33"/>
      <c r="L192" s="33"/>
      <c r="M192" s="33"/>
      <c r="N192" s="33"/>
      <c r="O192" s="33"/>
      <c r="P192" s="33"/>
      <c r="T192" s="31"/>
      <c r="U192" s="34"/>
      <c r="V192" s="34"/>
      <c r="W192" s="34"/>
      <c r="X192" s="31"/>
      <c r="Y192" s="34"/>
    </row>
    <row r="193" spans="2:24" ht="15.75" customHeight="1">
      <c r="B193" s="33"/>
      <c r="C193" s="33"/>
      <c r="D193" s="33"/>
      <c r="E193" s="33"/>
      <c r="F193" s="33"/>
      <c r="G193" s="33"/>
      <c r="H193" s="33"/>
      <c r="I193" s="33"/>
      <c r="J193" s="33"/>
      <c r="K193" s="33"/>
      <c r="L193" s="33"/>
      <c r="M193" s="33"/>
      <c r="N193" s="33"/>
      <c r="O193" s="33"/>
      <c r="P193" s="33"/>
      <c r="T193" s="31"/>
      <c r="X193" s="31"/>
    </row>
    <row r="194" spans="2:24" ht="15.75" customHeight="1">
      <c r="B194" s="33"/>
      <c r="C194" s="33"/>
      <c r="D194" s="33"/>
      <c r="E194" s="33"/>
      <c r="F194" s="33"/>
      <c r="G194" s="33"/>
      <c r="H194" s="33"/>
      <c r="I194" s="33"/>
      <c r="J194" s="33"/>
      <c r="K194" s="33"/>
      <c r="L194" s="33"/>
      <c r="M194" s="33"/>
      <c r="N194" s="33"/>
      <c r="O194" s="33"/>
      <c r="P194" s="33"/>
      <c r="T194" s="31"/>
      <c r="X194" s="31"/>
    </row>
    <row r="195" spans="2:24" ht="15.75" customHeight="1">
      <c r="B195" s="33"/>
      <c r="C195" s="33"/>
      <c r="D195" s="33"/>
      <c r="E195" s="33"/>
      <c r="F195" s="33"/>
      <c r="G195" s="33"/>
      <c r="H195" s="33"/>
      <c r="I195" s="33"/>
      <c r="J195" s="33"/>
      <c r="K195" s="33"/>
      <c r="L195" s="33"/>
      <c r="M195" s="33"/>
      <c r="N195" s="33"/>
      <c r="O195" s="33"/>
      <c r="P195" s="33"/>
      <c r="T195" s="31"/>
      <c r="X195" s="31"/>
    </row>
    <row r="196" spans="2:24" ht="15.75" customHeight="1">
      <c r="B196" s="33"/>
      <c r="C196" s="33"/>
      <c r="D196" s="33"/>
      <c r="E196" s="33"/>
      <c r="F196" s="33"/>
      <c r="G196" s="33"/>
      <c r="H196" s="33"/>
      <c r="I196" s="33"/>
      <c r="J196" s="33"/>
      <c r="K196" s="33"/>
      <c r="L196" s="33"/>
      <c r="M196" s="33"/>
      <c r="N196" s="33"/>
      <c r="O196" s="33"/>
      <c r="P196" s="33"/>
      <c r="T196" s="31"/>
      <c r="X196" s="31"/>
    </row>
    <row r="197" spans="2:24" ht="15.75" customHeight="1">
      <c r="B197" s="33"/>
      <c r="C197" s="33"/>
      <c r="D197" s="33"/>
      <c r="E197" s="33"/>
      <c r="F197" s="33"/>
      <c r="G197" s="33"/>
      <c r="H197" s="33"/>
      <c r="I197" s="33"/>
      <c r="J197" s="33"/>
      <c r="K197" s="33"/>
      <c r="L197" s="33"/>
      <c r="M197" s="33"/>
      <c r="N197" s="33"/>
      <c r="O197" s="33"/>
      <c r="P197" s="33"/>
      <c r="T197" s="31"/>
      <c r="X197" s="31"/>
    </row>
    <row r="198" spans="2:24" ht="15.75" customHeight="1">
      <c r="B198" s="33"/>
      <c r="C198" s="33"/>
      <c r="D198" s="33"/>
      <c r="E198" s="33"/>
      <c r="F198" s="33"/>
      <c r="G198" s="33"/>
      <c r="H198" s="33"/>
      <c r="I198" s="33"/>
      <c r="J198" s="33"/>
      <c r="K198" s="33"/>
      <c r="L198" s="33"/>
      <c r="M198" s="33"/>
      <c r="N198" s="33"/>
      <c r="O198" s="33"/>
      <c r="P198" s="33"/>
      <c r="T198" s="31"/>
      <c r="X198" s="31"/>
    </row>
    <row r="199" spans="2:24" ht="15.75" customHeight="1">
      <c r="B199" s="33"/>
      <c r="C199" s="33"/>
      <c r="D199" s="33"/>
      <c r="E199" s="33"/>
      <c r="F199" s="33"/>
      <c r="G199" s="33"/>
      <c r="H199" s="33"/>
      <c r="I199" s="33"/>
      <c r="J199" s="33"/>
      <c r="K199" s="33"/>
      <c r="L199" s="33"/>
      <c r="M199" s="33"/>
      <c r="N199" s="33"/>
      <c r="O199" s="33"/>
      <c r="P199" s="33"/>
      <c r="T199" s="31"/>
      <c r="X199" s="31"/>
    </row>
    <row r="200" spans="2:24" ht="15.75" customHeight="1">
      <c r="B200" s="33"/>
      <c r="C200" s="33"/>
      <c r="D200" s="33"/>
      <c r="E200" s="33"/>
      <c r="F200" s="33"/>
      <c r="G200" s="33"/>
      <c r="H200" s="33"/>
      <c r="I200" s="33"/>
      <c r="J200" s="33"/>
      <c r="K200" s="33"/>
      <c r="L200" s="33"/>
      <c r="M200" s="33"/>
      <c r="N200" s="33"/>
      <c r="O200" s="33"/>
      <c r="P200" s="33"/>
      <c r="R200" s="1"/>
      <c r="T200" s="31"/>
      <c r="X200" s="31"/>
    </row>
    <row r="201" spans="2:24">
      <c r="B201" s="33"/>
      <c r="C201" s="33"/>
      <c r="D201" s="33"/>
      <c r="E201" s="33"/>
      <c r="F201" s="33"/>
      <c r="G201" s="33"/>
      <c r="H201" s="33"/>
      <c r="I201" s="33"/>
      <c r="J201" s="33"/>
      <c r="K201" s="33"/>
      <c r="L201" s="33"/>
      <c r="M201" s="33"/>
      <c r="N201" s="33"/>
      <c r="O201" s="33"/>
      <c r="P201" s="33"/>
      <c r="Q201" s="1"/>
      <c r="R201" s="1"/>
      <c r="T201" s="31"/>
      <c r="X201" s="31"/>
    </row>
    <row r="202" spans="2:24">
      <c r="B202" s="33"/>
      <c r="C202" s="33"/>
      <c r="D202" s="33"/>
      <c r="E202" s="33"/>
      <c r="F202" s="33"/>
      <c r="L202" s="33"/>
      <c r="M202" s="33"/>
      <c r="N202" s="33"/>
      <c r="O202" s="33"/>
      <c r="P202" s="33"/>
      <c r="Q202" s="1"/>
      <c r="R202" s="1"/>
      <c r="T202" s="31"/>
      <c r="X202" s="31"/>
    </row>
    <row r="203" spans="2:24">
      <c r="B203" s="33"/>
      <c r="C203" s="33"/>
      <c r="D203" s="33"/>
      <c r="E203" s="33"/>
      <c r="F203" s="33"/>
      <c r="L203" s="33"/>
      <c r="M203" s="33"/>
      <c r="N203" s="33"/>
      <c r="O203" s="33"/>
      <c r="P203" s="33"/>
      <c r="Q203" s="1"/>
      <c r="R203" s="1"/>
      <c r="T203" s="31"/>
      <c r="X203" s="31"/>
    </row>
    <row r="204" spans="2:24">
      <c r="B204" s="33"/>
      <c r="C204" s="33"/>
      <c r="D204" s="33"/>
      <c r="E204" s="33"/>
      <c r="F204" s="33"/>
      <c r="L204" s="33"/>
      <c r="M204" s="33"/>
      <c r="N204" s="33"/>
      <c r="O204" s="33"/>
      <c r="P204" s="33"/>
      <c r="Q204" s="1"/>
      <c r="R204" s="1"/>
      <c r="T204" s="31"/>
      <c r="X204" s="31"/>
    </row>
    <row r="205" spans="2:24">
      <c r="B205" s="33"/>
      <c r="C205" s="33"/>
      <c r="D205" s="33"/>
      <c r="E205" s="33"/>
      <c r="F205" s="33"/>
      <c r="L205" s="33"/>
      <c r="M205" s="33"/>
      <c r="N205" s="33"/>
      <c r="O205" s="33"/>
      <c r="P205" s="33"/>
      <c r="Q205" s="1"/>
      <c r="R205" s="1"/>
      <c r="T205" s="31"/>
      <c r="X205" s="31"/>
    </row>
    <row r="206" spans="2:24">
      <c r="B206" s="33"/>
      <c r="C206" s="33"/>
      <c r="D206" s="33"/>
      <c r="E206" s="33"/>
      <c r="F206" s="33"/>
      <c r="L206" s="33"/>
      <c r="M206" s="33"/>
      <c r="N206" s="33"/>
      <c r="O206" s="33"/>
      <c r="P206" s="33"/>
      <c r="Q206" s="1"/>
      <c r="R206" s="1"/>
      <c r="T206" s="31"/>
      <c r="X206" s="31"/>
    </row>
    <row r="207" spans="2:24">
      <c r="B207" s="33"/>
      <c r="C207" s="33"/>
      <c r="D207" s="33"/>
      <c r="E207" s="33"/>
      <c r="F207" s="33"/>
      <c r="L207" s="33"/>
      <c r="M207" s="33"/>
      <c r="N207" s="33"/>
      <c r="O207" s="33"/>
      <c r="P207" s="33"/>
      <c r="Q207" s="1"/>
      <c r="R207" s="1"/>
      <c r="T207" s="31"/>
      <c r="X207" s="31"/>
    </row>
    <row r="208" spans="2:24">
      <c r="B208" s="33"/>
      <c r="C208" s="33"/>
      <c r="D208" s="33"/>
      <c r="E208" s="33"/>
      <c r="F208" s="33"/>
      <c r="L208" s="33"/>
      <c r="M208" s="33"/>
      <c r="N208" s="33"/>
      <c r="O208" s="33"/>
      <c r="P208" s="33"/>
      <c r="Q208" s="1"/>
      <c r="R208" s="1"/>
      <c r="T208" s="31"/>
      <c r="X208" s="31"/>
    </row>
    <row r="209" spans="2:24">
      <c r="B209" s="33"/>
      <c r="C209" s="33"/>
      <c r="D209" s="33"/>
      <c r="E209" s="33"/>
      <c r="F209" s="33"/>
      <c r="L209" s="33"/>
      <c r="M209" s="33"/>
      <c r="N209" s="33"/>
      <c r="O209" s="33"/>
      <c r="P209" s="33"/>
      <c r="Q209" s="1"/>
      <c r="R209" s="1"/>
      <c r="T209" s="31"/>
      <c r="X209" s="31"/>
    </row>
    <row r="210" spans="2:24">
      <c r="B210" s="33"/>
      <c r="C210" s="33"/>
      <c r="D210" s="33"/>
      <c r="E210" s="33"/>
      <c r="F210" s="33"/>
      <c r="L210" s="33"/>
      <c r="M210" s="33"/>
      <c r="N210" s="33"/>
      <c r="O210" s="33"/>
      <c r="P210" s="33"/>
      <c r="Q210" s="1"/>
      <c r="R210" s="1"/>
      <c r="T210" s="31"/>
      <c r="X210" s="31"/>
    </row>
    <row r="211" spans="2:24">
      <c r="B211" s="33"/>
      <c r="C211" s="33"/>
      <c r="D211" s="33"/>
      <c r="E211" s="33"/>
      <c r="L211" s="33"/>
      <c r="M211" s="33"/>
      <c r="N211" s="33"/>
      <c r="O211" s="33"/>
      <c r="P211" s="33"/>
      <c r="Q211" s="1"/>
      <c r="R211" s="1"/>
      <c r="T211" s="31"/>
      <c r="X211" s="31"/>
    </row>
    <row r="212" spans="2:24">
      <c r="B212" s="33"/>
      <c r="C212" s="33"/>
      <c r="D212" s="33"/>
      <c r="E212" s="33"/>
      <c r="L212" s="33"/>
      <c r="M212" s="33"/>
      <c r="N212" s="33"/>
      <c r="O212" s="33"/>
      <c r="P212" s="33"/>
      <c r="Q212" s="1"/>
      <c r="R212" s="1"/>
      <c r="T212" s="31"/>
      <c r="X212" s="31"/>
    </row>
    <row r="213" spans="2:24">
      <c r="B213" s="33"/>
      <c r="C213" s="33"/>
      <c r="D213" s="33"/>
      <c r="E213" s="33"/>
      <c r="L213" s="33"/>
      <c r="M213" s="33"/>
      <c r="N213" s="33"/>
      <c r="O213" s="33"/>
      <c r="P213" s="33"/>
      <c r="Q213" s="1"/>
      <c r="R213" s="1"/>
      <c r="T213" s="31"/>
      <c r="X213" s="31"/>
    </row>
    <row r="214" spans="2:24">
      <c r="B214" s="33"/>
      <c r="C214" s="33"/>
      <c r="D214" s="33"/>
      <c r="E214" s="33"/>
      <c r="L214" s="33"/>
      <c r="M214" s="33"/>
      <c r="N214" s="33"/>
      <c r="O214" s="33"/>
      <c r="P214" s="33"/>
      <c r="Q214" s="1"/>
      <c r="R214" s="1"/>
      <c r="T214" s="31"/>
      <c r="X214" s="31"/>
    </row>
    <row r="215" spans="2:24">
      <c r="B215" s="33"/>
      <c r="C215" s="33"/>
      <c r="D215" s="33"/>
      <c r="E215" s="33"/>
      <c r="L215" s="33"/>
      <c r="M215" s="33"/>
      <c r="N215" s="33"/>
      <c r="O215" s="33"/>
      <c r="P215" s="33"/>
      <c r="Q215" s="1"/>
      <c r="R215" s="1"/>
      <c r="T215" s="31"/>
      <c r="X215" s="31"/>
    </row>
    <row r="216" spans="2:24">
      <c r="B216" s="33"/>
      <c r="C216" s="33"/>
      <c r="D216" s="33"/>
      <c r="E216" s="33"/>
      <c r="L216" s="33"/>
      <c r="M216" s="33"/>
      <c r="N216" s="33"/>
      <c r="O216" s="33"/>
      <c r="P216" s="33"/>
      <c r="Q216" s="1"/>
      <c r="R216" s="1"/>
      <c r="T216" s="31"/>
      <c r="X216" s="31"/>
    </row>
    <row r="217" spans="2:24">
      <c r="B217" s="33"/>
      <c r="C217" s="33"/>
      <c r="D217" s="33"/>
      <c r="E217" s="33"/>
      <c r="L217" s="33"/>
      <c r="M217" s="33"/>
      <c r="N217" s="33"/>
      <c r="O217" s="33"/>
      <c r="P217" s="33"/>
      <c r="Q217" s="1"/>
      <c r="R217" s="1"/>
      <c r="T217" s="31"/>
      <c r="X217" s="31"/>
    </row>
    <row r="218" spans="2:24">
      <c r="B218" s="33"/>
      <c r="C218" s="33"/>
      <c r="D218" s="33"/>
      <c r="E218" s="33"/>
      <c r="L218" s="33"/>
      <c r="M218" s="33"/>
      <c r="N218" s="33"/>
      <c r="O218" s="33"/>
      <c r="P218" s="33"/>
      <c r="Q218" s="1"/>
      <c r="R218" s="1"/>
      <c r="T218" s="31"/>
      <c r="X218" s="31"/>
    </row>
    <row r="219" spans="2:24">
      <c r="B219" s="33"/>
      <c r="C219" s="33"/>
      <c r="D219" s="33"/>
      <c r="E219" s="33"/>
      <c r="L219" s="33"/>
      <c r="M219" s="33"/>
      <c r="N219" s="33"/>
      <c r="O219" s="33"/>
      <c r="P219" s="33"/>
      <c r="Q219" s="1"/>
      <c r="R219" s="1"/>
      <c r="T219" s="31"/>
      <c r="X219" s="31"/>
    </row>
    <row r="220" spans="2:24">
      <c r="B220" s="33"/>
      <c r="C220" s="33"/>
      <c r="D220" s="33"/>
      <c r="E220" s="33"/>
      <c r="L220" s="33"/>
      <c r="M220" s="33"/>
      <c r="N220" s="33"/>
      <c r="O220" s="33"/>
      <c r="P220" s="33"/>
      <c r="Q220" s="1"/>
      <c r="R220" s="1"/>
      <c r="T220" s="31"/>
      <c r="X220" s="31"/>
    </row>
    <row r="221" spans="2:24">
      <c r="B221" s="33"/>
      <c r="C221" s="33"/>
      <c r="D221" s="33"/>
      <c r="E221" s="33"/>
      <c r="L221" s="33"/>
      <c r="M221" s="33"/>
      <c r="N221" s="33"/>
      <c r="O221" s="33"/>
      <c r="P221" s="33"/>
      <c r="Q221" s="1"/>
      <c r="R221" s="1"/>
      <c r="T221" s="31"/>
      <c r="X221" s="31"/>
    </row>
    <row r="222" spans="2:24">
      <c r="B222" s="33"/>
      <c r="C222" s="33"/>
      <c r="D222" s="33"/>
      <c r="E222" s="33"/>
      <c r="L222" s="33"/>
      <c r="M222" s="33"/>
      <c r="N222" s="33"/>
      <c r="O222" s="33"/>
      <c r="P222" s="33"/>
      <c r="Q222" s="1"/>
      <c r="R222" s="1"/>
      <c r="T222" s="31"/>
      <c r="X222" s="31"/>
    </row>
    <row r="223" spans="2:24">
      <c r="B223" s="33"/>
      <c r="C223" s="33"/>
      <c r="D223" s="33"/>
      <c r="E223" s="33"/>
      <c r="L223" s="33"/>
      <c r="M223" s="33"/>
      <c r="N223" s="33"/>
      <c r="O223" s="33"/>
      <c r="P223" s="33"/>
      <c r="Q223" s="1"/>
      <c r="R223" s="1"/>
      <c r="T223" s="31"/>
      <c r="X223" s="31"/>
    </row>
    <row r="224" spans="2:24">
      <c r="B224" s="33"/>
      <c r="C224" s="33"/>
      <c r="D224" s="33"/>
      <c r="E224" s="33"/>
      <c r="L224" s="33"/>
      <c r="M224" s="33"/>
      <c r="N224" s="33"/>
      <c r="O224" s="33"/>
      <c r="P224" s="33"/>
      <c r="Q224" s="1"/>
      <c r="R224" s="1"/>
      <c r="T224" s="31"/>
      <c r="X224" s="31"/>
    </row>
    <row r="225" spans="2:24">
      <c r="B225" s="33"/>
      <c r="C225" s="33"/>
      <c r="D225" s="33"/>
      <c r="E225" s="33"/>
      <c r="L225" s="33"/>
      <c r="M225" s="33"/>
      <c r="N225" s="33"/>
      <c r="O225" s="33"/>
      <c r="P225" s="33"/>
      <c r="Q225" s="1"/>
      <c r="R225" s="1"/>
      <c r="T225" s="31"/>
      <c r="X225" s="31"/>
    </row>
    <row r="226" spans="2:24">
      <c r="B226" s="33"/>
      <c r="C226" s="33"/>
      <c r="D226" s="33"/>
      <c r="E226" s="33"/>
      <c r="L226" s="33"/>
      <c r="M226" s="33"/>
      <c r="N226" s="33"/>
      <c r="O226" s="33"/>
      <c r="P226" s="33"/>
      <c r="Q226" s="1"/>
      <c r="R226" s="1"/>
      <c r="T226" s="31"/>
      <c r="X226" s="31"/>
    </row>
    <row r="227" spans="2:24">
      <c r="B227" s="33"/>
      <c r="C227" s="33"/>
      <c r="D227" s="33"/>
      <c r="E227" s="33"/>
      <c r="L227" s="33"/>
      <c r="M227" s="33"/>
      <c r="N227" s="33"/>
      <c r="O227" s="33"/>
      <c r="P227" s="33"/>
      <c r="Q227" s="1"/>
      <c r="R227" s="1"/>
      <c r="T227" s="31"/>
      <c r="X227" s="31"/>
    </row>
    <row r="228" spans="2:24">
      <c r="B228" s="33"/>
      <c r="C228" s="33"/>
      <c r="D228" s="33"/>
      <c r="E228" s="33"/>
      <c r="L228" s="33"/>
      <c r="M228" s="33"/>
      <c r="N228" s="33"/>
      <c r="O228" s="33"/>
      <c r="P228" s="33"/>
      <c r="Q228" s="1"/>
      <c r="R228" s="1"/>
      <c r="T228" s="31"/>
      <c r="X228" s="31"/>
    </row>
    <row r="229" spans="2:24">
      <c r="B229" s="33"/>
      <c r="C229" s="33"/>
      <c r="D229" s="33"/>
      <c r="E229" s="33"/>
      <c r="L229" s="33"/>
      <c r="M229" s="33"/>
      <c r="N229" s="33"/>
      <c r="O229" s="33"/>
      <c r="P229" s="33"/>
      <c r="Q229" s="1"/>
      <c r="R229" s="1"/>
      <c r="T229" s="31"/>
      <c r="X229" s="31"/>
    </row>
    <row r="230" spans="2:24">
      <c r="B230" s="33"/>
      <c r="C230" s="33"/>
      <c r="D230" s="33"/>
      <c r="E230" s="33"/>
      <c r="L230" s="33"/>
      <c r="M230" s="33"/>
      <c r="N230" s="33"/>
      <c r="O230" s="33"/>
      <c r="P230" s="33"/>
      <c r="Q230" s="1"/>
      <c r="R230" s="1"/>
      <c r="T230" s="31"/>
      <c r="X230" s="31"/>
    </row>
    <row r="231" spans="2:24">
      <c r="B231" s="33"/>
      <c r="C231" s="33"/>
      <c r="D231" s="33"/>
      <c r="E231" s="33"/>
      <c r="L231" s="33"/>
      <c r="M231" s="33"/>
      <c r="N231" s="33"/>
      <c r="O231" s="33"/>
      <c r="P231" s="33"/>
      <c r="Q231" s="1"/>
      <c r="R231" s="1"/>
      <c r="T231" s="31"/>
      <c r="X231" s="31"/>
    </row>
    <row r="232" spans="2:24">
      <c r="B232" s="33"/>
      <c r="C232" s="33"/>
      <c r="D232" s="33"/>
      <c r="E232" s="33"/>
      <c r="L232" s="33"/>
      <c r="M232" s="33"/>
      <c r="N232" s="33"/>
      <c r="O232" s="33"/>
      <c r="P232" s="33"/>
      <c r="Q232" s="1"/>
      <c r="R232" s="1"/>
      <c r="T232" s="31"/>
      <c r="X232" s="31"/>
    </row>
    <row r="233" spans="2:24">
      <c r="B233" s="33"/>
      <c r="C233" s="33"/>
      <c r="D233" s="33"/>
      <c r="E233" s="33"/>
      <c r="L233" s="33"/>
      <c r="M233" s="33"/>
      <c r="N233" s="33"/>
      <c r="O233" s="33"/>
      <c r="P233" s="33"/>
      <c r="Q233" s="1"/>
      <c r="R233" s="1"/>
      <c r="T233" s="31"/>
      <c r="X233" s="31"/>
    </row>
    <row r="234" spans="2:24">
      <c r="B234" s="33"/>
      <c r="C234" s="33"/>
      <c r="D234" s="33"/>
      <c r="E234" s="33"/>
      <c r="L234" s="33"/>
      <c r="M234" s="33"/>
      <c r="N234" s="33"/>
      <c r="O234" s="33"/>
      <c r="P234" s="33"/>
      <c r="Q234" s="1"/>
      <c r="R234" s="1"/>
      <c r="T234" s="31"/>
      <c r="X234" s="31"/>
    </row>
    <row r="235" spans="2:24">
      <c r="B235" s="33"/>
      <c r="C235" s="33"/>
      <c r="D235" s="33"/>
      <c r="E235" s="33"/>
      <c r="L235" s="33"/>
      <c r="M235" s="33"/>
      <c r="N235" s="33"/>
      <c r="O235" s="33"/>
      <c r="P235" s="33"/>
      <c r="Q235" s="1"/>
      <c r="R235" s="1"/>
      <c r="T235" s="31"/>
      <c r="X235" s="31"/>
    </row>
    <row r="236" spans="2:24">
      <c r="B236" s="33"/>
      <c r="C236" s="33"/>
      <c r="D236" s="33"/>
      <c r="E236" s="33"/>
      <c r="L236" s="33"/>
      <c r="M236" s="33"/>
      <c r="N236" s="33"/>
      <c r="O236" s="33"/>
      <c r="P236" s="33"/>
      <c r="Q236" s="1"/>
      <c r="R236" s="1"/>
      <c r="T236" s="31"/>
      <c r="X236" s="31"/>
    </row>
    <row r="237" spans="2:24">
      <c r="B237" s="33"/>
      <c r="C237" s="33"/>
      <c r="D237" s="33"/>
      <c r="E237" s="33"/>
      <c r="L237" s="33"/>
      <c r="M237" s="33"/>
      <c r="N237" s="33"/>
      <c r="O237" s="33"/>
      <c r="P237" s="33"/>
      <c r="Q237" s="1"/>
      <c r="R237" s="1"/>
      <c r="T237" s="31"/>
      <c r="X237" s="31"/>
    </row>
    <row r="238" spans="2:24">
      <c r="B238" s="33"/>
      <c r="C238" s="33"/>
      <c r="D238" s="33"/>
      <c r="E238" s="33"/>
      <c r="L238" s="33"/>
      <c r="M238" s="33"/>
      <c r="N238" s="33"/>
      <c r="O238" s="33"/>
      <c r="P238" s="33"/>
      <c r="Q238" s="1"/>
      <c r="R238" s="1"/>
      <c r="T238" s="31"/>
      <c r="X238" s="31"/>
    </row>
    <row r="239" spans="2:24">
      <c r="B239" s="33"/>
      <c r="C239" s="33"/>
      <c r="D239" s="33"/>
      <c r="E239" s="33"/>
      <c r="L239" s="33"/>
      <c r="M239" s="33"/>
      <c r="N239" s="33"/>
      <c r="O239" s="33"/>
      <c r="P239" s="33"/>
      <c r="Q239" s="1"/>
      <c r="R239" s="1"/>
      <c r="T239" s="31"/>
      <c r="X239" s="31"/>
    </row>
    <row r="240" spans="2:24">
      <c r="B240" s="33"/>
      <c r="C240" s="33"/>
      <c r="D240" s="33"/>
      <c r="E240" s="33"/>
      <c r="L240" s="33"/>
      <c r="M240" s="33"/>
      <c r="N240" s="33"/>
      <c r="O240" s="33"/>
      <c r="P240" s="33"/>
      <c r="Q240" s="1"/>
      <c r="R240" s="1"/>
      <c r="T240" s="31"/>
      <c r="X240" s="31"/>
    </row>
    <row r="241" spans="2:24">
      <c r="B241" s="33"/>
      <c r="C241" s="33"/>
      <c r="D241" s="33"/>
      <c r="E241" s="33"/>
      <c r="L241" s="33"/>
      <c r="M241" s="33"/>
      <c r="N241" s="33"/>
      <c r="O241" s="33"/>
      <c r="P241" s="33"/>
      <c r="Q241" s="1"/>
      <c r="R241" s="1"/>
      <c r="T241" s="31"/>
      <c r="X241" s="31"/>
    </row>
    <row r="242" spans="2:24">
      <c r="B242" s="33"/>
      <c r="C242" s="33"/>
      <c r="D242" s="33"/>
      <c r="E242" s="33"/>
      <c r="L242" s="33"/>
      <c r="M242" s="33"/>
      <c r="N242" s="33"/>
      <c r="O242" s="33"/>
      <c r="P242" s="33"/>
      <c r="Q242" s="1"/>
      <c r="R242" s="1"/>
      <c r="T242" s="31"/>
      <c r="X242" s="31"/>
    </row>
    <row r="243" spans="2:24">
      <c r="B243" s="33"/>
      <c r="C243" s="33"/>
      <c r="D243" s="33"/>
      <c r="E243" s="33"/>
      <c r="L243" s="33"/>
      <c r="M243" s="33"/>
      <c r="N243" s="33"/>
      <c r="O243" s="33"/>
      <c r="P243" s="33"/>
      <c r="Q243" s="1"/>
      <c r="R243" s="1"/>
      <c r="T243" s="31"/>
      <c r="X243" s="31"/>
    </row>
    <row r="244" spans="2:24">
      <c r="B244" s="33"/>
      <c r="C244" s="33"/>
      <c r="D244" s="33"/>
      <c r="E244" s="33"/>
      <c r="L244" s="33"/>
      <c r="M244" s="33"/>
      <c r="N244" s="33"/>
      <c r="O244" s="33"/>
      <c r="P244" s="33"/>
      <c r="Q244" s="1"/>
      <c r="R244" s="1"/>
      <c r="T244" s="31"/>
      <c r="X244" s="31"/>
    </row>
    <row r="245" spans="2:24">
      <c r="B245" s="33"/>
      <c r="C245" s="33"/>
      <c r="D245" s="33"/>
      <c r="E245" s="33"/>
      <c r="L245" s="33"/>
      <c r="M245" s="33"/>
      <c r="N245" s="33"/>
      <c r="O245" s="33"/>
      <c r="P245" s="33"/>
      <c r="Q245" s="1"/>
      <c r="R245" s="1"/>
      <c r="T245" s="31"/>
      <c r="X245" s="31"/>
    </row>
    <row r="246" spans="2:24">
      <c r="B246" s="33"/>
      <c r="C246" s="33"/>
      <c r="D246" s="33"/>
      <c r="E246" s="33"/>
      <c r="L246" s="33"/>
      <c r="M246" s="33"/>
      <c r="N246" s="33"/>
      <c r="O246" s="33"/>
      <c r="P246" s="33"/>
      <c r="Q246" s="1"/>
      <c r="R246" s="1"/>
      <c r="T246" s="31"/>
      <c r="X246" s="31"/>
    </row>
    <row r="247" spans="2:24">
      <c r="B247" s="33"/>
      <c r="C247" s="33"/>
      <c r="D247" s="33"/>
      <c r="E247" s="33"/>
      <c r="L247" s="33"/>
      <c r="M247" s="33"/>
      <c r="N247" s="33"/>
      <c r="O247" s="33"/>
      <c r="P247" s="33"/>
      <c r="Q247" s="1"/>
      <c r="R247" s="1"/>
      <c r="T247" s="31"/>
      <c r="X247" s="31"/>
    </row>
    <row r="248" spans="2:24">
      <c r="B248" s="33"/>
      <c r="C248" s="33"/>
      <c r="D248" s="33"/>
      <c r="E248" s="33"/>
      <c r="L248" s="33"/>
      <c r="M248" s="33"/>
      <c r="N248" s="33"/>
      <c r="O248" s="33"/>
      <c r="P248" s="33"/>
      <c r="Q248" s="1"/>
      <c r="R248" s="1"/>
      <c r="T248" s="31"/>
      <c r="X248" s="31"/>
    </row>
    <row r="249" spans="2:24">
      <c r="B249" s="33"/>
      <c r="C249" s="33"/>
      <c r="D249" s="33"/>
      <c r="E249" s="33"/>
      <c r="L249" s="33"/>
      <c r="M249" s="33"/>
      <c r="N249" s="33"/>
      <c r="O249" s="33"/>
      <c r="P249" s="33"/>
      <c r="Q249" s="1"/>
      <c r="R249" s="1"/>
      <c r="T249" s="31"/>
      <c r="X249" s="31"/>
    </row>
    <row r="250" spans="2:24">
      <c r="B250" s="33"/>
      <c r="C250" s="33"/>
      <c r="D250" s="33"/>
      <c r="E250" s="33"/>
      <c r="L250" s="33"/>
      <c r="M250" s="33"/>
      <c r="N250" s="33"/>
      <c r="O250" s="33"/>
      <c r="P250" s="33"/>
      <c r="Q250" s="1"/>
      <c r="R250" s="1"/>
      <c r="T250" s="31"/>
      <c r="X250" s="31"/>
    </row>
    <row r="251" spans="2:24">
      <c r="B251" s="33"/>
      <c r="C251" s="33"/>
      <c r="D251" s="33"/>
      <c r="E251" s="33"/>
      <c r="L251" s="33"/>
      <c r="M251" s="33"/>
      <c r="N251" s="33"/>
      <c r="O251" s="33"/>
      <c r="P251" s="33"/>
      <c r="Q251" s="1"/>
      <c r="R251" s="1"/>
      <c r="T251" s="31"/>
      <c r="X251" s="31"/>
    </row>
    <row r="252" spans="2:24">
      <c r="B252" s="33"/>
      <c r="C252" s="33"/>
      <c r="D252" s="33"/>
      <c r="E252" s="33"/>
      <c r="L252" s="33"/>
      <c r="M252" s="33"/>
      <c r="N252" s="33"/>
      <c r="O252" s="33"/>
      <c r="P252" s="33"/>
      <c r="Q252" s="1"/>
      <c r="R252" s="1"/>
      <c r="T252" s="31"/>
      <c r="X252" s="31"/>
    </row>
    <row r="253" spans="2:24">
      <c r="B253" s="33"/>
      <c r="C253" s="33"/>
      <c r="D253" s="33"/>
      <c r="E253" s="33"/>
      <c r="L253" s="33"/>
      <c r="M253" s="33"/>
      <c r="N253" s="33"/>
      <c r="O253" s="33"/>
      <c r="P253" s="33"/>
      <c r="Q253" s="1"/>
      <c r="R253" s="1"/>
      <c r="T253" s="31"/>
      <c r="X253" s="31"/>
    </row>
    <row r="254" spans="2:24">
      <c r="B254" s="33"/>
      <c r="C254" s="33"/>
      <c r="D254" s="33"/>
      <c r="E254" s="33"/>
      <c r="L254" s="33"/>
      <c r="M254" s="33"/>
      <c r="N254" s="33"/>
      <c r="O254" s="33"/>
      <c r="P254" s="33"/>
      <c r="Q254" s="1"/>
      <c r="R254" s="1"/>
      <c r="T254" s="31"/>
      <c r="X254" s="31"/>
    </row>
    <row r="255" spans="2:24">
      <c r="B255" s="33"/>
      <c r="C255" s="33"/>
      <c r="D255" s="33"/>
      <c r="E255" s="33"/>
      <c r="L255" s="33"/>
      <c r="M255" s="33"/>
      <c r="N255" s="33"/>
      <c r="O255" s="33"/>
      <c r="P255" s="33"/>
      <c r="Q255" s="1"/>
      <c r="R255" s="1"/>
      <c r="T255" s="31"/>
      <c r="X255" s="31"/>
    </row>
    <row r="256" spans="2:24">
      <c r="B256" s="33"/>
      <c r="C256" s="33"/>
      <c r="D256" s="33"/>
      <c r="E256" s="33"/>
      <c r="L256" s="33"/>
      <c r="M256" s="33"/>
      <c r="N256" s="33"/>
      <c r="O256" s="33"/>
      <c r="P256" s="33"/>
      <c r="Q256" s="1"/>
      <c r="R256" s="1"/>
      <c r="T256" s="31"/>
      <c r="X256" s="31"/>
    </row>
    <row r="257" spans="2:24">
      <c r="B257" s="33"/>
      <c r="C257" s="33"/>
      <c r="D257" s="33"/>
      <c r="E257" s="33"/>
      <c r="L257" s="33"/>
      <c r="M257" s="33"/>
      <c r="N257" s="33"/>
      <c r="O257" s="33"/>
      <c r="P257" s="33"/>
      <c r="Q257" s="1"/>
      <c r="R257" s="1"/>
      <c r="T257" s="31"/>
      <c r="X257" s="31"/>
    </row>
    <row r="258" spans="2:24">
      <c r="B258" s="33"/>
      <c r="C258" s="33"/>
      <c r="D258" s="33"/>
      <c r="E258" s="33"/>
      <c r="L258" s="33"/>
      <c r="M258" s="33"/>
      <c r="N258" s="33"/>
      <c r="O258" s="33"/>
      <c r="P258" s="33"/>
      <c r="Q258" s="1"/>
      <c r="R258" s="1"/>
      <c r="T258" s="31"/>
      <c r="X258" s="31"/>
    </row>
    <row r="259" spans="2:24">
      <c r="B259" s="33"/>
      <c r="C259" s="33"/>
      <c r="D259" s="33"/>
      <c r="E259" s="33"/>
      <c r="L259" s="33"/>
      <c r="M259" s="33"/>
      <c r="N259" s="33"/>
      <c r="O259" s="33"/>
      <c r="P259" s="33"/>
      <c r="Q259" s="1"/>
      <c r="R259" s="1"/>
      <c r="T259" s="31"/>
      <c r="X259" s="31"/>
    </row>
  </sheetData>
  <phoneticPr fontId="3"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sheetPr codeName="Sheet3"/>
  <dimension ref="A1:X317"/>
  <sheetViews>
    <sheetView showGridLines="0" topLeftCell="H1" zoomScale="70" zoomScaleNormal="70" workbookViewId="0">
      <selection activeCell="M16" sqref="M16"/>
    </sheetView>
  </sheetViews>
  <sheetFormatPr defaultRowHeight="15"/>
  <cols>
    <col min="1" max="1" width="21.140625" style="5" bestFit="1" customWidth="1"/>
    <col min="2" max="2" width="23.140625" style="34" customWidth="1"/>
    <col min="3" max="5" width="23.42578125" style="34" bestFit="1" customWidth="1"/>
    <col min="6" max="8" width="18.5703125" style="34" bestFit="1" customWidth="1"/>
    <col min="9" max="9" width="23.140625" style="34" bestFit="1" customWidth="1"/>
    <col min="10" max="11" width="24.28515625" style="34" bestFit="1" customWidth="1"/>
    <col min="12" max="12" width="22.7109375" style="34" bestFit="1" customWidth="1"/>
    <col min="13" max="13" width="23.140625" style="34" bestFit="1" customWidth="1"/>
    <col min="14" max="17" width="9.140625" style="34"/>
    <col min="18" max="18" width="13.28515625" style="34" bestFit="1" customWidth="1"/>
    <col min="19" max="23" width="9.140625" style="34"/>
    <col min="24" max="24" width="13.7109375" style="34" bestFit="1" customWidth="1"/>
  </cols>
  <sheetData>
    <row r="1" spans="1:24">
      <c r="B1" s="38" t="s">
        <v>102</v>
      </c>
      <c r="C1" s="38" t="s">
        <v>103</v>
      </c>
      <c r="D1" s="38" t="s">
        <v>104</v>
      </c>
      <c r="E1" s="38" t="s">
        <v>105</v>
      </c>
      <c r="F1" s="38" t="s">
        <v>100</v>
      </c>
      <c r="G1" s="38" t="s">
        <v>107</v>
      </c>
      <c r="H1" s="38" t="s">
        <v>106</v>
      </c>
      <c r="I1" s="38" t="s">
        <v>108</v>
      </c>
      <c r="J1" s="38" t="s">
        <v>110</v>
      </c>
      <c r="K1" s="38" t="s">
        <v>101</v>
      </c>
      <c r="L1" s="38" t="s">
        <v>109</v>
      </c>
      <c r="M1" s="38" t="s">
        <v>111</v>
      </c>
    </row>
    <row r="2" spans="1:24" ht="18" customHeight="1">
      <c r="B2" s="176" t="s">
        <v>179</v>
      </c>
      <c r="C2" s="176" t="s">
        <v>180</v>
      </c>
      <c r="D2" s="176" t="s">
        <v>181</v>
      </c>
      <c r="E2" s="176" t="s">
        <v>182</v>
      </c>
      <c r="F2" s="179" t="s">
        <v>183</v>
      </c>
      <c r="G2" s="179" t="s">
        <v>184</v>
      </c>
      <c r="H2" s="176" t="s">
        <v>185</v>
      </c>
      <c r="I2" s="176" t="s">
        <v>186</v>
      </c>
      <c r="J2" s="176" t="s">
        <v>187</v>
      </c>
      <c r="K2" s="176" t="s">
        <v>188</v>
      </c>
      <c r="L2" s="176" t="s">
        <v>189</v>
      </c>
      <c r="M2" s="176" t="s">
        <v>190</v>
      </c>
      <c r="Q2" s="34" t="s">
        <v>99</v>
      </c>
      <c r="R2" s="34" t="s">
        <v>204</v>
      </c>
      <c r="S2" s="34">
        <v>18</v>
      </c>
      <c r="U2" s="34" t="s">
        <v>99</v>
      </c>
      <c r="V2" s="34" t="s">
        <v>0</v>
      </c>
      <c r="W2" s="34">
        <f>MATCH(V2,Table!$A:$A,0)</f>
        <v>3</v>
      </c>
      <c r="X2" s="34" t="s">
        <v>117</v>
      </c>
    </row>
    <row r="3" spans="1:24" ht="19.5" customHeight="1">
      <c r="A3" s="5">
        <v>41443</v>
      </c>
      <c r="B3" s="33">
        <f ca="1">IF(ISERROR(MATCH(B$1,INDIRECT("Table!A"&amp;$U3):INDIRECT("Table!" &amp; $X$3 &amp; $U3),0)),"",INDIRECT(CONCATENATE("Table!",ADDRESS($Q3,MATCH(B$1,INDIRECT("Table!A" &amp; $U3):INDIRECT("Table!" &amp; $X$171 &amp; $U3),0)))))</f>
        <v>0.72000315697774886</v>
      </c>
      <c r="C3" s="33">
        <f ca="1">IF(ISERROR(MATCH(C$1,INDIRECT("Table!A"&amp;$U3):INDIRECT("Table!" &amp; $X$171 &amp; $U3),0)),"",INDIRECT(CONCATENATE("Table!",ADDRESS($Q3,MATCH(C$1,INDIRECT("Table!A" &amp; $U3):INDIRECT("Table!" &amp; $X$171 &amp; $U3),0)))))</f>
        <v>0.60101269169083915</v>
      </c>
      <c r="D3" s="33">
        <f ca="1">IF(ISERROR(MATCH(D$1,INDIRECT("Table!A"&amp;$U3):INDIRECT("Table!" &amp; $X$171 &amp; $U3),0)),"",INDIRECT(CONCATENATE("Table!",ADDRESS($Q3,MATCH(D$1,INDIRECT("Table!A" &amp; $U3):INDIRECT("Table!" &amp; $X$171 &amp; $U3),0)))))</f>
        <v>0.6079569307674012</v>
      </c>
      <c r="E3" s="33">
        <f ca="1">IF(ISERROR(MATCH(E$1,INDIRECT("Table!A"&amp;$U3):INDIRECT("Table!" &amp; $X$171 &amp; $U3),0)),"",INDIRECT(CONCATENATE("Table!",ADDRESS($Q3,MATCH(E$1,INDIRECT("Table!A" &amp; $U3):INDIRECT("Table!" &amp; $X$171 &amp; $U3),0)))))</f>
        <v>1.5276443352611957</v>
      </c>
      <c r="F3" s="33">
        <f ca="1">IF(ISERROR(MATCH(F$1,INDIRECT("Table!A"&amp;$U3):INDIRECT("Table!" &amp; $X$171 &amp; $U3),0)),"",INDIRECT(CONCATENATE("Table!",ADDRESS($Q3,MATCH(F$1,INDIRECT("Table!A" &amp; $U3):INDIRECT("Table!" &amp; $X$171 &amp; $U3),0)))))</f>
        <v>0.78844328311751111</v>
      </c>
      <c r="G3" s="33">
        <f ca="1">IF(ISERROR(MATCH(G$1,INDIRECT("Table!A"&amp;$U3):INDIRECT("Table!" &amp; $X$171 &amp; $U3),0)),"",INDIRECT(CONCATENATE("Table!",ADDRESS($Q3,MATCH(G$1,INDIRECT("Table!A" &amp; $U3):INDIRECT("Table!" &amp; $X$171 &amp; $U3),0)))))</f>
        <v>1.1793362914536716</v>
      </c>
      <c r="H3" s="33">
        <f ca="1">IF(ISERROR(MATCH(H$1,INDIRECT("Table!A"&amp;$U3):INDIRECT("Table!" &amp; $X$171 &amp; $U3),0)),"",INDIRECT(CONCATENATE("Table!",ADDRESS($Q3,MATCH(H$1,INDIRECT("Table!A" &amp; $U3):INDIRECT("Table!" &amp; $X$171 &amp; $U3),0)))))</f>
        <v>1.2136297062735497</v>
      </c>
      <c r="I3" s="33">
        <f ca="1">IF(ISERROR(MATCH(I$1,INDIRECT("Table!A"&amp;$U3):INDIRECT("Table!" &amp; $X$171 &amp; $U3),0)),"",INDIRECT(CONCATENATE("Table!",ADDRESS($Q3,MATCH(I$1,INDIRECT("Table!A" &amp; $U3):INDIRECT("Table!" &amp; $X$171 &amp; $U3),0)))))</f>
        <v>1.4637638568697644</v>
      </c>
      <c r="J3" s="33">
        <f ca="1">IF(ISERROR(MATCH(J$1,INDIRECT("Table!A"&amp;$U3):INDIRECT("Table!" &amp; $X$171 &amp; $U3),0)),"",INDIRECT(CONCATENATE("Table!",ADDRESS($Q3,MATCH(J$1,INDIRECT("Table!A" &amp; $U3):INDIRECT("Table!" &amp; $X$171 &amp; $U3),0)))))</f>
        <v>0.85480630926257906</v>
      </c>
      <c r="K3" s="33">
        <f ca="1">IF(ISERROR(MATCH(K$1,INDIRECT("Table!A"&amp;$U3):INDIRECT("Table!" &amp; $X$171 &amp; $U3),0)),"",INDIRECT(CONCATENATE("Table!",ADDRESS($Q3,MATCH(K$1,INDIRECT("Table!A" &amp; $U3):INDIRECT("Table!" &amp; $X$171 &amp; $U3),0)))))</f>
        <v>1.6367982999360542</v>
      </c>
      <c r="L3" s="33">
        <f ca="1">IF(ISERROR(MATCH(L$1,INDIRECT("Table!A"&amp;$U3):INDIRECT("Table!" &amp; $X$171 &amp; $U3),0)),"",INDIRECT(CONCATENATE("Table!",ADDRESS($Q3,MATCH(L$1,INDIRECT("Table!A" &amp; $U3):INDIRECT("Table!" &amp; $X$171 &amp; $U3),0)))))</f>
        <v>0.90969247339123505</v>
      </c>
      <c r="M3" s="33">
        <f ca="1">IF(ISERROR(MATCH(M$1,INDIRECT("Table!A"&amp;$U3):INDIRECT("Table!" &amp; $X$171 &amp; $U3),0)),"",INDIRECT(CONCATENATE("Table!",ADDRESS($Q3,MATCH(M$1,INDIRECT("Table!A" &amp; $U3):INDIRECT("Table!" &amp; $X$171 &amp; $U3),0)))))</f>
        <v>0.59117783721056738</v>
      </c>
      <c r="N3" s="234"/>
      <c r="O3" s="234"/>
      <c r="P3" s="234"/>
      <c r="Q3" s="31">
        <f>MATCH($A3,Table!$A:$A,0)+$S$2-1</f>
        <v>18</v>
      </c>
      <c r="R3" s="234"/>
      <c r="S3" s="234"/>
      <c r="T3" s="234"/>
      <c r="U3" s="31">
        <f>MATCH($A3,Table!$A:$A,0)+$W$2-1</f>
        <v>3</v>
      </c>
      <c r="V3" s="234"/>
      <c r="W3" s="234"/>
      <c r="X3" s="234" t="s">
        <v>209</v>
      </c>
    </row>
    <row r="4" spans="1:24" ht="19.5" customHeight="1">
      <c r="A4" s="5">
        <v>41430</v>
      </c>
      <c r="B4" s="33">
        <f ca="1">IF(ISERROR(MATCH(B$1,INDIRECT("Table!A"&amp;$U4):INDIRECT("Table!" &amp; $X$171 &amp; $U4),0)),"",INDIRECT(CONCATENATE("Table!",ADDRESS($Q4,MATCH(B$1,INDIRECT("Table!A" &amp; $U4):INDIRECT("Table!" &amp; $X$171 &amp; $U4),0)))))</f>
        <v>0.72000315697774886</v>
      </c>
      <c r="C4" s="33">
        <f ca="1">IF(ISERROR(MATCH(C$1,INDIRECT("Table!A"&amp;$U4):INDIRECT("Table!" &amp; $X$171 &amp; $U4),0)),"",INDIRECT(CONCATENATE("Table!",ADDRESS($Q4,MATCH(C$1,INDIRECT("Table!A" &amp; $U4):INDIRECT("Table!" &amp; $X$171 &amp; $U4),0)))))</f>
        <v>0.60101269169083915</v>
      </c>
      <c r="D4" s="33">
        <f ca="1">IF(ISERROR(MATCH(D$1,INDIRECT("Table!A"&amp;$U4):INDIRECT("Table!" &amp; $X$171 &amp; $U4),0)),"",INDIRECT(CONCATENATE("Table!",ADDRESS($Q4,MATCH(D$1,INDIRECT("Table!A" &amp; $U4):INDIRECT("Table!" &amp; $X$171 &amp; $U4),0)))))</f>
        <v>0.6079569307674012</v>
      </c>
      <c r="E4" s="33">
        <f ca="1">IF(ISERROR(MATCH(E$1,INDIRECT("Table!A"&amp;$U4):INDIRECT("Table!" &amp; $X$171 &amp; $U4),0)),"",INDIRECT(CONCATENATE("Table!",ADDRESS($Q4,MATCH(E$1,INDIRECT("Table!A" &amp; $U4):INDIRECT("Table!" &amp; $X$171 &amp; $U4),0)))))</f>
        <v>1.5276443352611957</v>
      </c>
      <c r="F4" s="33">
        <f ca="1">IF(ISERROR(MATCH(F$1,INDIRECT("Table!A"&amp;$U4):INDIRECT("Table!" &amp; $X$171 &amp; $U4),0)),"",INDIRECT(CONCATENATE("Table!",ADDRESS($Q4,MATCH(F$1,INDIRECT("Table!A" &amp; $U4):INDIRECT("Table!" &amp; $X$171 &amp; $U4),0)))))</f>
        <v>0.78844328311751111</v>
      </c>
      <c r="G4" s="33">
        <f ca="1">IF(ISERROR(MATCH(G$1,INDIRECT("Table!A"&amp;$U4):INDIRECT("Table!" &amp; $X$171 &amp; $U4),0)),"",INDIRECT(CONCATENATE("Table!",ADDRESS($Q4,MATCH(G$1,INDIRECT("Table!A" &amp; $U4):INDIRECT("Table!" &amp; $X$171 &amp; $U4),0)))))</f>
        <v>1.1793362914536716</v>
      </c>
      <c r="H4" s="33">
        <f ca="1">IF(ISERROR(MATCH(H$1,INDIRECT("Table!A"&amp;$U4):INDIRECT("Table!" &amp; $X$171 &amp; $U4),0)),"",INDIRECT(CONCATENATE("Table!",ADDRESS($Q4,MATCH(H$1,INDIRECT("Table!A" &amp; $U4):INDIRECT("Table!" &amp; $X$171 &amp; $U4),0)))))</f>
        <v>1.2136297062735497</v>
      </c>
      <c r="I4" s="33">
        <f ca="1">IF(ISERROR(MATCH(I$1,INDIRECT("Table!A"&amp;$U4):INDIRECT("Table!" &amp; $X$171 &amp; $U4),0)),"",INDIRECT(CONCATENATE("Table!",ADDRESS($Q4,MATCH(I$1,INDIRECT("Table!A" &amp; $U4):INDIRECT("Table!" &amp; $X$171 &amp; $U4),0)))))</f>
        <v>1.4637638568697644</v>
      </c>
      <c r="J4" s="33">
        <f ca="1">IF(ISERROR(MATCH(J$1,INDIRECT("Table!A"&amp;$U4):INDIRECT("Table!" &amp; $X$171 &amp; $U4),0)),"",INDIRECT(CONCATENATE("Table!",ADDRESS($Q4,MATCH(J$1,INDIRECT("Table!A" &amp; $U4):INDIRECT("Table!" &amp; $X$171 &amp; $U4),0)))))</f>
        <v>0.85480630926257906</v>
      </c>
      <c r="K4" s="33">
        <f ca="1">IF(ISERROR(MATCH(K$1,INDIRECT("Table!A"&amp;$U4):INDIRECT("Table!" &amp; $X$171 &amp; $U4),0)),"",INDIRECT(CONCATENATE("Table!",ADDRESS($Q4,MATCH(K$1,INDIRECT("Table!A" &amp; $U4):INDIRECT("Table!" &amp; $X$171 &amp; $U4),0)))))</f>
        <v>1.6367982999360542</v>
      </c>
      <c r="L4" s="33">
        <f ca="1">IF(ISERROR(MATCH(L$1,INDIRECT("Table!A"&amp;$U4):INDIRECT("Table!" &amp; $X$171 &amp; $U4),0)),"",INDIRECT(CONCATENATE("Table!",ADDRESS($Q4,MATCH(L$1,INDIRECT("Table!A" &amp; $U4):INDIRECT("Table!" &amp; $X$171 &amp; $U4),0)))))</f>
        <v>0.90969247339123505</v>
      </c>
      <c r="M4" s="33">
        <f ca="1">IF(ISERROR(MATCH(M$1,INDIRECT("Table!A"&amp;$U4):INDIRECT("Table!" &amp; $X$171 &amp; $U4),0)),"",INDIRECT(CONCATENATE("Table!",ADDRESS($Q4,MATCH(M$1,INDIRECT("Table!A" &amp; $U4):INDIRECT("Table!" &amp; $X$171 &amp; $U4),0)))))</f>
        <v>0.59117783721056738</v>
      </c>
      <c r="N4" s="372"/>
      <c r="O4" s="372"/>
      <c r="P4" s="372"/>
      <c r="Q4" s="31">
        <f>MATCH($A4,Table!$A:$A,0)+$S$2-1</f>
        <v>36</v>
      </c>
      <c r="R4" s="372"/>
      <c r="S4" s="372"/>
      <c r="T4" s="372"/>
      <c r="U4" s="31">
        <f>MATCH($A4,Table!$A:$A,0)+$W$2-1</f>
        <v>21</v>
      </c>
      <c r="V4" s="372"/>
      <c r="W4" s="372"/>
      <c r="X4" s="372" t="s">
        <v>209</v>
      </c>
    </row>
    <row r="5" spans="1:24" ht="19.5" customHeight="1">
      <c r="A5" s="5">
        <v>41414</v>
      </c>
      <c r="B5" s="33">
        <f ca="1">IF(ISERROR(MATCH(B$1,INDIRECT("Table!A"&amp;$U5):INDIRECT("Table!" &amp; $X$171 &amp; $U5),0)),"",INDIRECT(CONCATENATE("Table!",ADDRESS($Q5,MATCH(B$1,INDIRECT("Table!A" &amp; $U5):INDIRECT("Table!" &amp; $X$171 &amp; $U5),0)))))</f>
        <v>0.71973344236565751</v>
      </c>
      <c r="C5" s="33">
        <f ca="1">IF(ISERROR(MATCH(C$1,INDIRECT("Table!A"&amp;$U5):INDIRECT("Table!" &amp; $X$171 &amp; $U5),0)),"",INDIRECT(CONCATENATE("Table!",ADDRESS($Q5,MATCH(C$1,INDIRECT("Table!A" &amp; $U5):INDIRECT("Table!" &amp; $X$171 &amp; $U5),0)))))</f>
        <v>0.59429246032642424</v>
      </c>
      <c r="D5" s="33">
        <f ca="1">IF(ISERROR(MATCH(D$1,INDIRECT("Table!A"&amp;$U5):INDIRECT("Table!" &amp; $X$171 &amp; $U5),0)),"",INDIRECT(CONCATENATE("Table!",ADDRESS($Q5,MATCH(D$1,INDIRECT("Table!A" &amp; $U5):INDIRECT("Table!" &amp; $X$171 &amp; $U5),0)))))</f>
        <v>0.60123669940298641</v>
      </c>
      <c r="E5" s="33">
        <f ca="1">IF(ISERROR(MATCH(E$1,INDIRECT("Table!A"&amp;$U5):INDIRECT("Table!" &amp; $X$171 &amp; $U5),0)),"",INDIRECT(CONCATENATE("Table!",ADDRESS($Q5,MATCH(E$1,INDIRECT("Table!A" &amp; $U5):INDIRECT("Table!" &amp; $X$171 &amp; $U5),0)))))</f>
        <v>1.5276443352611957</v>
      </c>
      <c r="F5" s="33">
        <f ca="1">IF(ISERROR(MATCH(F$1,INDIRECT("Table!A"&amp;$U5):INDIRECT("Table!" &amp; $X$171 &amp; $U5),0)),"",INDIRECT(CONCATENATE("Table!",ADDRESS($Q5,MATCH(F$1,INDIRECT("Table!A" &amp; $U5):INDIRECT("Table!" &amp; $X$171 &amp; $U5),0)))))</f>
        <v>0.77947675314667364</v>
      </c>
      <c r="G5" s="33">
        <f ca="1">IF(ISERROR(MATCH(G$1,INDIRECT("Table!A"&amp;$U5):INDIRECT("Table!" &amp; $X$171 &amp; $U5),0)),"",INDIRECT(CONCATENATE("Table!",ADDRESS($Q5,MATCH(G$1,INDIRECT("Table!A" &amp; $U5):INDIRECT("Table!" &amp; $X$171 &amp; $U5),0)))))</f>
        <v>1.1791631651630883</v>
      </c>
      <c r="H5" s="33">
        <f ca="1">IF(ISERROR(MATCH(H$1,INDIRECT("Table!A"&amp;$U5):INDIRECT("Table!" &amp; $X$171 &amp; $U5),0)),"",INDIRECT(CONCATENATE("Table!",ADDRESS($Q5,MATCH(H$1,INDIRECT("Table!A" &amp; $U5):INDIRECT("Table!" &amp; $X$171 &amp; $U5),0)))))</f>
        <v>1.2090938786420431</v>
      </c>
      <c r="I5" s="33">
        <f ca="1">IF(ISERROR(MATCH(I$1,INDIRECT("Table!A"&amp;$U5):INDIRECT("Table!" &amp; $X$171 &amp; $U5),0)),"",INDIRECT(CONCATENATE("Table!",ADDRESS($Q5,MATCH(I$1,INDIRECT("Table!A" &amp; $U5):INDIRECT("Table!" &amp; $X$171 &amp; $U5),0)))))</f>
        <v>1.4637638568697644</v>
      </c>
      <c r="J5" s="33">
        <f ca="1">IF(ISERROR(MATCH(J$1,INDIRECT("Table!A"&amp;$U5):INDIRECT("Table!" &amp; $X$171 &amp; $U5),0)),"",INDIRECT(CONCATENATE("Table!",ADDRESS($Q5,MATCH(J$1,INDIRECT("Table!A" &amp; $U5):INDIRECT("Table!" &amp; $X$171 &amp; $U5),0)))))</f>
        <v>0.84995907276541049</v>
      </c>
      <c r="K5" s="33">
        <f ca="1">IF(ISERROR(MATCH(K$1,INDIRECT("Table!A"&amp;$U5):INDIRECT("Table!" &amp; $X$171 &amp; $U5),0)),"",INDIRECT(CONCATENATE("Table!",ADDRESS($Q5,MATCH(K$1,INDIRECT("Table!A" &amp; $U5):INDIRECT("Table!" &amp; $X$171 &amp; $U5),0)))))</f>
        <v>1.6188652508331691</v>
      </c>
      <c r="L5" s="33">
        <f ca="1">IF(ISERROR(MATCH(L$1,INDIRECT("Table!A"&amp;$U5):INDIRECT("Table!" &amp; $X$171 &amp; $U5),0)),"",INDIRECT(CONCATENATE("Table!",ADDRESS($Q5,MATCH(L$1,INDIRECT("Table!A" &amp; $U5):INDIRECT("Table!" &amp; $X$171 &amp; $U5),0)))))</f>
        <v>0.9068802520353213</v>
      </c>
      <c r="M5" s="33">
        <f ca="1">IF(ISERROR(MATCH(M$1,INDIRECT("Table!A"&amp;$U5):INDIRECT("Table!" &amp; $X$171 &amp; $U5),0)),"",INDIRECT(CONCATENATE("Table!",ADDRESS($Q5,MATCH(M$1,INDIRECT("Table!A" &amp; $U5):INDIRECT("Table!" &amp; $X$171 &amp; $U5),0)))))</f>
        <v>0.59117783721056738</v>
      </c>
      <c r="N5" s="372"/>
      <c r="O5" s="372"/>
      <c r="P5" s="372"/>
      <c r="Q5" s="31">
        <f>MATCH($A5,Table!$A:$A,0)+$S$2-1</f>
        <v>54</v>
      </c>
      <c r="R5" s="372"/>
      <c r="S5" s="372"/>
      <c r="T5" s="372"/>
      <c r="U5" s="31">
        <f>MATCH($A5,Table!$A:$A,0)+$W$2-1</f>
        <v>39</v>
      </c>
      <c r="V5" s="372"/>
      <c r="W5" s="372"/>
      <c r="X5" s="372" t="s">
        <v>209</v>
      </c>
    </row>
    <row r="6" spans="1:24" ht="19.5" customHeight="1">
      <c r="A6" s="5">
        <v>41408</v>
      </c>
      <c r="B6" s="33">
        <f ca="1">IF(ISERROR(MATCH(B$1,INDIRECT("Table!A"&amp;$U6):INDIRECT("Table!" &amp; $X$171 &amp; $U6),0)),"",INDIRECT(CONCATENATE("Table!",ADDRESS($Q6,MATCH(B$1,INDIRECT("Table!A" &amp; $U6):INDIRECT("Table!" &amp; $X$171 &amp; $U6),0)))))</f>
        <v>0.71406943551173996</v>
      </c>
      <c r="C6" s="33">
        <f ca="1">IF(ISERROR(MATCH(C$1,INDIRECT("Table!A"&amp;$U6):INDIRECT("Table!" &amp; $X$171 &amp; $U6),0)),"",INDIRECT(CONCATENATE("Table!",ADDRESS($Q6,MATCH(C$1,INDIRECT("Table!A" &amp; $U6):INDIRECT("Table!" &amp; $X$171 &amp; $U6),0)))))</f>
        <v>0.59429246032642424</v>
      </c>
      <c r="D6" s="33">
        <f ca="1">IF(ISERROR(MATCH(D$1,INDIRECT("Table!A"&amp;$U6):INDIRECT("Table!" &amp; $X$171 &amp; $U6),0)),"",INDIRECT(CONCATENATE("Table!",ADDRESS($Q6,MATCH(D$1,INDIRECT("Table!A" &amp; $U6):INDIRECT("Table!" &amp; $X$171 &amp; $U6),0)))))</f>
        <v>0.60123669940298641</v>
      </c>
      <c r="E6" s="33">
        <f ca="1">IF(ISERROR(MATCH(E$1,INDIRECT("Table!A"&amp;$U6):INDIRECT("Table!" &amp; $X$171 &amp; $U6),0)),"",INDIRECT(CONCATENATE("Table!",ADDRESS($Q6,MATCH(E$1,INDIRECT("Table!A" &amp; $U6):INDIRECT("Table!" &amp; $X$171 &amp; $U6),0)))))</f>
        <v>1.5276443352611957</v>
      </c>
      <c r="F6" s="33">
        <f ca="1">IF(ISERROR(MATCH(F$1,INDIRECT("Table!A"&amp;$U6):INDIRECT("Table!" &amp; $X$171 &amp; $U6),0)),"",INDIRECT(CONCATENATE("Table!",ADDRESS($Q6,MATCH(F$1,INDIRECT("Table!A" &amp; $U6):INDIRECT("Table!" &amp; $X$171 &amp; $U6),0)))))</f>
        <v>0.77438213384506127</v>
      </c>
      <c r="G6" s="33">
        <f ca="1">IF(ISERROR(MATCH(G$1,INDIRECT("Table!A"&amp;$U6):INDIRECT("Table!" &amp; $X$171 &amp; $U6),0)),"",INDIRECT(CONCATENATE("Table!",ADDRESS($Q6,MATCH(G$1,INDIRECT("Table!A" &amp; $U6):INDIRECT("Table!" &amp; $X$171 &amp; $U6),0)))))</f>
        <v>1.1786437862913384</v>
      </c>
      <c r="H6" s="33">
        <f ca="1">IF(ISERROR(MATCH(H$1,INDIRECT("Table!A"&amp;$U6):INDIRECT("Table!" &amp; $X$171 &amp; $U6),0)),"",INDIRECT(CONCATENATE("Table!",ADDRESS($Q6,MATCH(H$1,INDIRECT("Table!A" &amp; $U6):INDIRECT("Table!" &amp; $X$171 &amp; $U6),0)))))</f>
        <v>1.2090938786420431</v>
      </c>
      <c r="I6" s="33">
        <f ca="1">IF(ISERROR(MATCH(I$1,INDIRECT("Table!A"&amp;$U6):INDIRECT("Table!" &amp; $X$171 &amp; $U6),0)),"",INDIRECT(CONCATENATE("Table!",ADDRESS($Q6,MATCH(I$1,INDIRECT("Table!A" &amp; $U6):INDIRECT("Table!" &amp; $X$171 &amp; $U6),0)))))</f>
        <v>1.4637638568697644</v>
      </c>
      <c r="J6" s="33">
        <f ca="1">IF(ISERROR(MATCH(J$1,INDIRECT("Table!A"&amp;$U6):INDIRECT("Table!" &amp; $X$171 &amp; $U6),0)),"",INDIRECT(CONCATENATE("Table!",ADDRESS($Q6,MATCH(J$1,INDIRECT("Table!A" &amp; $U6):INDIRECT("Table!" &amp; $X$171 &amp; $U6),0)))))</f>
        <v>0.84972825197983115</v>
      </c>
      <c r="K6" s="33">
        <f ca="1">IF(ISERROR(MATCH(K$1,INDIRECT("Table!A"&amp;$U6):INDIRECT("Table!" &amp; $X$171 &amp; $U6),0)),"",INDIRECT(CONCATENATE("Table!",ADDRESS($Q6,MATCH(K$1,INDIRECT("Table!A" &amp; $U6):INDIRECT("Table!" &amp; $X$171 &amp; $U6),0)))))</f>
        <v>1.608676018388348</v>
      </c>
      <c r="L6" s="33">
        <f ca="1">IF(ISERROR(MATCH(L$1,INDIRECT("Table!A"&amp;$U6):INDIRECT("Table!" &amp; $X$171 &amp; $U6),0)),"",INDIRECT(CONCATENATE("Table!",ADDRESS($Q6,MATCH(L$1,INDIRECT("Table!A" &amp; $U6):INDIRECT("Table!" &amp; $X$171 &amp; $U6),0)))))</f>
        <v>0.9068802520353213</v>
      </c>
      <c r="M6" s="33">
        <f ca="1">IF(ISERROR(MATCH(M$1,INDIRECT("Table!A"&amp;$U6):INDIRECT("Table!" &amp; $X$171 &amp; $U6),0)),"",INDIRECT(CONCATENATE("Table!",ADDRESS($Q6,MATCH(M$1,INDIRECT("Table!A" &amp; $U6):INDIRECT("Table!" &amp; $X$171 &amp; $U6),0)))))</f>
        <v>0.59117783721056738</v>
      </c>
      <c r="N6" s="372"/>
      <c r="O6" s="372"/>
      <c r="P6" s="372"/>
      <c r="Q6" s="31">
        <f>MATCH($A6,Table!$A:$A,0)+$S$2-1</f>
        <v>72</v>
      </c>
      <c r="R6" s="372"/>
      <c r="S6" s="372"/>
      <c r="T6" s="372"/>
      <c r="U6" s="31">
        <f>MATCH($A6,Table!$A:$A,0)+$W$2-1</f>
        <v>57</v>
      </c>
      <c r="V6" s="372"/>
      <c r="W6" s="372"/>
      <c r="X6" s="372" t="s">
        <v>209</v>
      </c>
    </row>
    <row r="7" spans="1:24" ht="19.5" customHeight="1">
      <c r="A7" s="5">
        <v>41401</v>
      </c>
      <c r="B7" s="33">
        <f ca="1">IF(ISERROR(MATCH(B$1,INDIRECT("Table!A"&amp;$U7):INDIRECT("Table!" &amp; $X$171 &amp; $U7),0)),"",INDIRECT(CONCATENATE("Table!",ADDRESS($Q7,MATCH(B$1,INDIRECT("Table!A" &amp; $U7):INDIRECT("Table!" &amp; $X$171 &amp; $U7),0)))))</f>
        <v>0.70503399600668115</v>
      </c>
      <c r="C7" s="33">
        <f ca="1">IF(ISERROR(MATCH(C$1,INDIRECT("Table!A"&amp;$U7):INDIRECT("Table!" &amp; $X$171 &amp; $U7),0)),"",INDIRECT(CONCATENATE("Table!",ADDRESS($Q7,MATCH(C$1,INDIRECT("Table!A" &amp; $U7):INDIRECT("Table!" &amp; $X$171 &amp; $U7),0)))))</f>
        <v>0.59294841405354126</v>
      </c>
      <c r="D7" s="33">
        <f ca="1">IF(ISERROR(MATCH(D$1,INDIRECT("Table!A"&amp;$U7):INDIRECT("Table!" &amp; $X$171 &amp; $U7),0)),"",INDIRECT(CONCATENATE("Table!",ADDRESS($Q7,MATCH(D$1,INDIRECT("Table!A" &amp; $U7):INDIRECT("Table!" &amp; $X$171 &amp; $U7),0)))))</f>
        <v>0.59989265313010343</v>
      </c>
      <c r="E7" s="33">
        <f ca="1">IF(ISERROR(MATCH(E$1,INDIRECT("Table!A"&amp;$U7):INDIRECT("Table!" &amp; $X$171 &amp; $U7),0)),"",INDIRECT(CONCATENATE("Table!",ADDRESS($Q7,MATCH(E$1,INDIRECT("Table!A" &amp; $U7):INDIRECT("Table!" &amp; $X$171 &amp; $U7),0)))))</f>
        <v>1.5276443352611957</v>
      </c>
      <c r="F7" s="33">
        <f ca="1">IF(ISERROR(MATCH(F$1,INDIRECT("Table!A"&amp;$U7):INDIRECT("Table!" &amp; $X$171 &amp; $U7),0)),"",INDIRECT(CONCATENATE("Table!",ADDRESS($Q7,MATCH(F$1,INDIRECT("Table!A" &amp; $U7):INDIRECT("Table!" &amp; $X$171 &amp; $U7),0)))))</f>
        <v>0.77295564044060994</v>
      </c>
      <c r="G7" s="33">
        <f ca="1">IF(ISERROR(MATCH(G$1,INDIRECT("Table!A"&amp;$U7):INDIRECT("Table!" &amp; $X$171 &amp; $U7),0)),"",INDIRECT(CONCATENATE("Table!",ADDRESS($Q7,MATCH(G$1,INDIRECT("Table!A" &amp; $U7):INDIRECT("Table!" &amp; $X$171 &amp; $U7),0)))))</f>
        <v>1.1750081341890883</v>
      </c>
      <c r="H7" s="33">
        <f ca="1">IF(ISERROR(MATCH(H$1,INDIRECT("Table!A"&amp;$U7):INDIRECT("Table!" &amp; $X$171 &amp; $U7),0)),"",INDIRECT(CONCATENATE("Table!",ADDRESS($Q7,MATCH(H$1,INDIRECT("Table!A" &amp; $U7):INDIRECT("Table!" &amp; $X$171 &amp; $U7),0)))))</f>
        <v>1.733189962565461</v>
      </c>
      <c r="I7" s="33">
        <f ca="1">IF(ISERROR(MATCH(I$1,INDIRECT("Table!A"&amp;$U7):INDIRECT("Table!" &amp; $X$171 &amp; $U7),0)),"",INDIRECT(CONCATENATE("Table!",ADDRESS($Q7,MATCH(I$1,INDIRECT("Table!A" &amp; $U7):INDIRECT("Table!" &amp; $X$171 &amp; $U7),0)))))</f>
        <v>1.4637638568697644</v>
      </c>
      <c r="J7" s="33">
        <f ca="1">IF(ISERROR(MATCH(J$1,INDIRECT("Table!A"&amp;$U7):INDIRECT("Table!" &amp; $X$171 &amp; $U7),0)),"",INDIRECT(CONCATENATE("Table!",ADDRESS($Q7,MATCH(J$1,INDIRECT("Table!A" &amp; $U7):INDIRECT("Table!" &amp; $X$171 &amp; $U7),0)))))</f>
        <v>0.85049765459842941</v>
      </c>
      <c r="K7" s="33">
        <f ca="1">IF(ISERROR(MATCH(K$1,INDIRECT("Table!A"&amp;$U7):INDIRECT("Table!" &amp; $X$171 &amp; $U7),0)),"",INDIRECT(CONCATENATE("Table!",ADDRESS($Q7,MATCH(K$1,INDIRECT("Table!A" &amp; $U7):INDIRECT("Table!" &amp; $X$171 &amp; $U7),0)))))</f>
        <v>1.6037851868148338</v>
      </c>
      <c r="L7" s="33">
        <f ca="1">IF(ISERROR(MATCH(L$1,INDIRECT("Table!A"&amp;$U7):INDIRECT("Table!" &amp; $X$171 &amp; $U7),0)),"",INDIRECT(CONCATENATE("Table!",ADDRESS($Q7,MATCH(L$1,INDIRECT("Table!A" &amp; $U7):INDIRECT("Table!" &amp; $X$171 &amp; $U7),0)))))</f>
        <v>1.4496736484652604</v>
      </c>
      <c r="M7" s="33">
        <f ca="1">IF(ISERROR(MATCH(M$1,INDIRECT("Table!A"&amp;$U7):INDIRECT("Table!" &amp; $X$171 &amp; $U7),0)),"",INDIRECT(CONCATENATE("Table!",ADDRESS($Q7,MATCH(M$1,INDIRECT("Table!A" &amp; $U7):INDIRECT("Table!" &amp; $X$171 &amp; $U7),0)))))</f>
        <v>0.57650537796232171</v>
      </c>
      <c r="N7" s="372"/>
      <c r="O7" s="372"/>
      <c r="P7" s="372"/>
      <c r="Q7" s="31">
        <f>MATCH($A7,Table!$A:$A,0)+$S$2-1</f>
        <v>90</v>
      </c>
      <c r="R7" s="372"/>
      <c r="S7" s="372"/>
      <c r="T7" s="372"/>
      <c r="U7" s="31">
        <f>MATCH($A7,Table!$A:$A,0)+$W$2-1</f>
        <v>75</v>
      </c>
      <c r="V7" s="372"/>
      <c r="W7" s="372"/>
      <c r="X7" s="372" t="s">
        <v>209</v>
      </c>
    </row>
    <row r="8" spans="1:24" ht="19.5" customHeight="1">
      <c r="A8" s="5">
        <v>41393</v>
      </c>
      <c r="B8" s="33">
        <f ca="1">IF(ISERROR(MATCH(B$1,INDIRECT("Table!A"&amp;$U8):INDIRECT("Table!" &amp; $X$171 &amp; $U8),0)),"",INDIRECT(CONCATENATE("Table!",ADDRESS($Q8,MATCH(B$1,INDIRECT("Table!A" &amp; $U8):INDIRECT("Table!" &amp; $X$171 &amp; $U8),0)))))</f>
        <v>0.76895635907232129</v>
      </c>
      <c r="C8" s="33">
        <f ca="1">IF(ISERROR(MATCH(C$1,INDIRECT("Table!A"&amp;$U8):INDIRECT("Table!" &amp; $X$171 &amp; $U8),0)),"",INDIRECT(CONCATENATE("Table!",ADDRESS($Q8,MATCH(C$1,INDIRECT("Table!A" &amp; $U8):INDIRECT("Table!" &amp; $X$171 &amp; $U8),0)))))</f>
        <v>0.59294841405354126</v>
      </c>
      <c r="D8" s="33">
        <f ca="1">IF(ISERROR(MATCH(D$1,INDIRECT("Table!A"&amp;$U8):INDIRECT("Table!" &amp; $X$171 &amp; $U8),0)),"",INDIRECT(CONCATENATE("Table!",ADDRESS($Q8,MATCH(D$1,INDIRECT("Table!A" &amp; $U8):INDIRECT("Table!" &amp; $X$171 &amp; $U8),0)))))</f>
        <v>0.59989265313010343</v>
      </c>
      <c r="E8" s="33">
        <f ca="1">IF(ISERROR(MATCH(E$1,INDIRECT("Table!A"&amp;$U8):INDIRECT("Table!" &amp; $X$171 &amp; $U8),0)),"",INDIRECT(CONCATENATE("Table!",ADDRESS($Q8,MATCH(E$1,INDIRECT("Table!A" &amp; $U8):INDIRECT("Table!" &amp; $X$171 &amp; $U8),0)))))</f>
        <v>1.5276443352611957</v>
      </c>
      <c r="F8" s="33">
        <f ca="1">IF(ISERROR(MATCH(F$1,INDIRECT("Table!A"&amp;$U8):INDIRECT("Table!" &amp; $X$171 &amp; $U8),0)),"",INDIRECT(CONCATENATE("Table!",ADDRESS($Q8,MATCH(F$1,INDIRECT("Table!A" &amp; $U8):INDIRECT("Table!" &amp; $X$171 &amp; $U8),0)))))</f>
        <v>0.76643452773454623</v>
      </c>
      <c r="G8" s="33">
        <f ca="1">IF(ISERROR(MATCH(G$1,INDIRECT("Table!A"&amp;$U8):INDIRECT("Table!" &amp; $X$171 &amp; $U8),0)),"",INDIRECT(CONCATENATE("Table!",ADDRESS($Q8,MATCH(G$1,INDIRECT("Table!A" &amp; $U8):INDIRECT("Table!" &amp; $X$171 &amp; $U8),0)))))</f>
        <v>1.1611580309424216</v>
      </c>
      <c r="H8" s="33">
        <f ca="1">IF(ISERROR(MATCH(H$1,INDIRECT("Table!A"&amp;$U8):INDIRECT("Table!" &amp; $X$171 &amp; $U8),0)),"",INDIRECT(CONCATENATE("Table!",ADDRESS($Q8,MATCH(H$1,INDIRECT("Table!A" &amp; $U8):INDIRECT("Table!" &amp; $X$171 &amp; $U8),0)))))</f>
        <v>1.6578822056542473</v>
      </c>
      <c r="I8" s="33">
        <f ca="1">IF(ISERROR(MATCH(I$1,INDIRECT("Table!A"&amp;$U8):INDIRECT("Table!" &amp; $X$171 &amp; $U8),0)),"",INDIRECT(CONCATENATE("Table!",ADDRESS($Q8,MATCH(I$1,INDIRECT("Table!A" &amp; $U8):INDIRECT("Table!" &amp; $X$171 &amp; $U8),0)))))</f>
        <v>1.4676066736777758</v>
      </c>
      <c r="J8" s="33">
        <f ca="1">IF(ISERROR(MATCH(J$1,INDIRECT("Table!A"&amp;$U8):INDIRECT("Table!" &amp; $X$171 &amp; $U8),0)),"",INDIRECT(CONCATENATE("Table!",ADDRESS($Q8,MATCH(J$1,INDIRECT("Table!A" &amp; $U8):INDIRECT("Table!" &amp; $X$171 &amp; $U8),0)))))</f>
        <v>0.85049765459842941</v>
      </c>
      <c r="K8" s="33">
        <f ca="1">IF(ISERROR(MATCH(K$1,INDIRECT("Table!A"&amp;$U8):INDIRECT("Table!" &amp; $X$171 &amp; $U8),0)),"",INDIRECT(CONCATENATE("Table!",ADDRESS($Q8,MATCH(K$1,INDIRECT("Table!A" &amp; $U8):INDIRECT("Table!" &amp; $X$171 &amp; $U8),0)))))</f>
        <v>1.5976716473479413</v>
      </c>
      <c r="L8" s="33">
        <f ca="1">IF(ISERROR(MATCH(L$1,INDIRECT("Table!A"&amp;$U8):INDIRECT("Table!" &amp; $X$171 &amp; $U8),0)),"",INDIRECT(CONCATENATE("Table!",ADDRESS($Q8,MATCH(L$1,INDIRECT("Table!A" &amp; $U8):INDIRECT("Table!" &amp; $X$171 &amp; $U8),0)))))</f>
        <v>1.3915949993965415</v>
      </c>
      <c r="M8" s="33">
        <f ca="1">IF(ISERROR(MATCH(M$1,INDIRECT("Table!A"&amp;$U8):INDIRECT("Table!" &amp; $X$171 &amp; $U8),0)),"",INDIRECT(CONCATENATE("Table!",ADDRESS($Q8,MATCH(M$1,INDIRECT("Table!A" &amp; $U8):INDIRECT("Table!" &amp; $X$171 &amp; $U8),0)))))</f>
        <v>0.45178947435223299</v>
      </c>
      <c r="N8" s="372"/>
      <c r="O8" s="372"/>
      <c r="P8" s="372"/>
      <c r="Q8" s="31">
        <f>MATCH($A8,Table!$A:$A,0)+$S$2-1</f>
        <v>108</v>
      </c>
      <c r="R8" s="372"/>
      <c r="S8" s="372"/>
      <c r="T8" s="372"/>
      <c r="U8" s="31">
        <f>MATCH($A8,Table!$A:$A,0)+$W$2-1</f>
        <v>93</v>
      </c>
      <c r="V8" s="372"/>
      <c r="W8" s="372"/>
      <c r="X8" s="372" t="s">
        <v>209</v>
      </c>
    </row>
    <row r="9" spans="1:24" ht="19.5" customHeight="1">
      <c r="A9" s="5">
        <v>41374</v>
      </c>
      <c r="B9" s="33">
        <f ca="1">IF(ISERROR(MATCH(B$1,INDIRECT("Table!A"&amp;$U9):INDIRECT("Table!" &amp; $X$171 &amp; $U9),0)),"",INDIRECT(CONCATENATE("Table!",ADDRESS($Q9,MATCH(B$1,INDIRECT("Table!A" &amp; $U9):INDIRECT("Table!" &amp; $X$171 &amp; $U9),0)))))</f>
        <v>0.76895635907232129</v>
      </c>
      <c r="C9" s="33">
        <f ca="1">IF(ISERROR(MATCH(C$1,INDIRECT("Table!A"&amp;$U9):INDIRECT("Table!" &amp; $X$171 &amp; $U9),0)),"",INDIRECT(CONCATENATE("Table!",ADDRESS($Q9,MATCH(C$1,INDIRECT("Table!A" &amp; $U9):INDIRECT("Table!" &amp; $X$171 &amp; $U9),0)))))</f>
        <v>0.59294841405354126</v>
      </c>
      <c r="D9" s="33">
        <f ca="1">IF(ISERROR(MATCH(D$1,INDIRECT("Table!A"&amp;$U9):INDIRECT("Table!" &amp; $X$171 &amp; $U9),0)),"",INDIRECT(CONCATENATE("Table!",ADDRESS($Q9,MATCH(D$1,INDIRECT("Table!A" &amp; $U9):INDIRECT("Table!" &amp; $X$171 &amp; $U9),0)))))</f>
        <v>0.59989265313010343</v>
      </c>
      <c r="E9" s="33">
        <f ca="1">IF(ISERROR(MATCH(E$1,INDIRECT("Table!A"&amp;$U9):INDIRECT("Table!" &amp; $X$171 &amp; $U9),0)),"",INDIRECT(CONCATENATE("Table!",ADDRESS($Q9,MATCH(E$1,INDIRECT("Table!A" &amp; $U9):INDIRECT("Table!" &amp; $X$171 &amp; $U9),0)))))</f>
        <v>1.5276443352611957</v>
      </c>
      <c r="F9" s="33">
        <f ca="1">IF(ISERROR(MATCH(F$1,INDIRECT("Table!A"&amp;$U9):INDIRECT("Table!" &amp; $X$171 &amp; $U9),0)),"",INDIRECT(CONCATENATE("Table!",ADDRESS($Q9,MATCH(F$1,INDIRECT("Table!A" &amp; $U9):INDIRECT("Table!" &amp; $X$171 &amp; $U9),0)))))</f>
        <v>0.76643452773454623</v>
      </c>
      <c r="G9" s="33">
        <f ca="1">IF(ISERROR(MATCH(G$1,INDIRECT("Table!A"&amp;$U9):INDIRECT("Table!" &amp; $X$171 &amp; $U9),0)),"",INDIRECT(CONCATENATE("Table!",ADDRESS($Q9,MATCH(G$1,INDIRECT("Table!A" &amp; $U9):INDIRECT("Table!" &amp; $X$171 &amp; $U9),0)))))</f>
        <v>1.1611580309424216</v>
      </c>
      <c r="H9" s="33">
        <f ca="1">IF(ISERROR(MATCH(H$1,INDIRECT("Table!A"&amp;$U9):INDIRECT("Table!" &amp; $X$171 &amp; $U9),0)),"",INDIRECT(CONCATENATE("Table!",ADDRESS($Q9,MATCH(H$1,INDIRECT("Table!A" &amp; $U9):INDIRECT("Table!" &amp; $X$171 &amp; $U9),0)))))</f>
        <v>1.6578822056542473</v>
      </c>
      <c r="I9" s="33">
        <f ca="1">IF(ISERROR(MATCH(I$1,INDIRECT("Table!A"&amp;$U9):INDIRECT("Table!" &amp; $X$171 &amp; $U9),0)),"",INDIRECT(CONCATENATE("Table!",ADDRESS($Q9,MATCH(I$1,INDIRECT("Table!A" &amp; $U9):INDIRECT("Table!" &amp; $X$171 &amp; $U9),0)))))</f>
        <v>1.4676066736777758</v>
      </c>
      <c r="J9" s="33">
        <f ca="1">IF(ISERROR(MATCH(J$1,INDIRECT("Table!A"&amp;$U9):INDIRECT("Table!" &amp; $X$171 &amp; $U9),0)),"",INDIRECT(CONCATENATE("Table!",ADDRESS($Q9,MATCH(J$1,INDIRECT("Table!A" &amp; $U9):INDIRECT("Table!" &amp; $X$171 &amp; $U9),0)))))</f>
        <v>0.85049765459842941</v>
      </c>
      <c r="K9" s="33">
        <f ca="1">IF(ISERROR(MATCH(K$1,INDIRECT("Table!A"&amp;$U9):INDIRECT("Table!" &amp; $X$171 &amp; $U9),0)),"",INDIRECT(CONCATENATE("Table!",ADDRESS($Q9,MATCH(K$1,INDIRECT("Table!A" &amp; $U9):INDIRECT("Table!" &amp; $X$171 &amp; $U9),0)))))</f>
        <v>1.5976716473479413</v>
      </c>
      <c r="L9" s="33">
        <f ca="1">IF(ISERROR(MATCH(L$1,INDIRECT("Table!A"&amp;$U9):INDIRECT("Table!" &amp; $X$171 &amp; $U9),0)),"",INDIRECT(CONCATENATE("Table!",ADDRESS($Q9,MATCH(L$1,INDIRECT("Table!A" &amp; $U9):INDIRECT("Table!" &amp; $X$171 &amp; $U9),0)))))</f>
        <v>1.3915949993965415</v>
      </c>
      <c r="M9" s="33">
        <f ca="1">IF(ISERROR(MATCH(M$1,INDIRECT("Table!A"&amp;$U9):INDIRECT("Table!" &amp; $X$171 &amp; $U9),0)),"",INDIRECT(CONCATENATE("Table!",ADDRESS($Q9,MATCH(M$1,INDIRECT("Table!A" &amp; $U9):INDIRECT("Table!" &amp; $X$171 &amp; $U9),0)))))</f>
        <v>0.45178947435223299</v>
      </c>
      <c r="N9" s="372"/>
      <c r="O9" s="372"/>
      <c r="P9" s="372"/>
      <c r="Q9" s="31">
        <f>MATCH($A9,Table!$A:$A,0)+$S$2-1</f>
        <v>126</v>
      </c>
      <c r="R9" s="372"/>
      <c r="S9" s="372"/>
      <c r="T9" s="372"/>
      <c r="U9" s="31">
        <f>MATCH($A9,Table!$A:$A,0)+$W$2-1</f>
        <v>111</v>
      </c>
      <c r="V9" s="372"/>
      <c r="W9" s="372"/>
      <c r="X9" s="372" t="s">
        <v>209</v>
      </c>
    </row>
    <row r="10" spans="1:24" ht="19.5" customHeight="1">
      <c r="A10" s="5">
        <v>41361</v>
      </c>
      <c r="B10" s="33">
        <f ca="1">IF(ISERROR(MATCH(B$1,INDIRECT("Table!A"&amp;$U10):INDIRECT("Table!" &amp; $X$171 &amp; $U10),0)),"",INDIRECT(CONCATENATE("Table!",ADDRESS($Q10,MATCH(B$1,INDIRECT("Table!A" &amp; $U10):INDIRECT("Table!" &amp; $X$171 &amp; $U10),0)))))</f>
        <v>0.7689632009906503</v>
      </c>
      <c r="C10" s="33">
        <f ca="1">IF(ISERROR(MATCH(C$1,INDIRECT("Table!A"&amp;$U10):INDIRECT("Table!" &amp; $X$171 &amp; $U10),0)),"",INDIRECT(CONCATENATE("Table!",ADDRESS($Q10,MATCH(C$1,INDIRECT("Table!A" &amp; $U10):INDIRECT("Table!" &amp; $X$171 &amp; $U10),0)))))</f>
        <v>0.70899071725360396</v>
      </c>
      <c r="D10" s="33">
        <f ca="1">IF(ISERROR(MATCH(D$1,INDIRECT("Table!A"&amp;$U10):INDIRECT("Table!" &amp; $X$171 &amp; $U10),0)),"",INDIRECT(CONCATENATE("Table!",ADDRESS($Q10,MATCH(D$1,INDIRECT("Table!A" &amp; $U10):INDIRECT("Table!" &amp; $X$171 &amp; $U10),0)))))</f>
        <v>0.70831868813772381</v>
      </c>
      <c r="E10" s="33">
        <f ca="1">IF(ISERROR(MATCH(E$1,INDIRECT("Table!A"&amp;$U10):INDIRECT("Table!" &amp; $X$171 &amp; $U10),0)),"",INDIRECT(CONCATENATE("Table!",ADDRESS($Q10,MATCH(E$1,INDIRECT("Table!A" &amp; $U10):INDIRECT("Table!" &amp; $X$171 &amp; $U10),0)))))</f>
        <v>1.7208846095941819</v>
      </c>
      <c r="F10" s="33">
        <f ca="1">IF(ISERROR(MATCH(F$1,INDIRECT("Table!A"&amp;$U10):INDIRECT("Table!" &amp; $X$171 &amp; $U10),0)),"",INDIRECT(CONCATENATE("Table!",ADDRESS($Q10,MATCH(F$1,INDIRECT("Table!A" &amp; $U10):INDIRECT("Table!" &amp; $X$171 &amp; $U10),0)))))</f>
        <v>3.1321998156570614</v>
      </c>
      <c r="G10" s="33">
        <f ca="1">IF(ISERROR(MATCH(G$1,INDIRECT("Table!A"&amp;$U10):INDIRECT("Table!" &amp; $X$171 &amp; $U10),0)),"",INDIRECT(CONCATENATE("Table!",ADDRESS($Q10,MATCH(G$1,INDIRECT("Table!A" &amp; $U10):INDIRECT("Table!" &amp; $X$171 &amp; $U10),0)))))</f>
        <v>1.3309202008399912</v>
      </c>
      <c r="H10" s="33">
        <f ca="1">IF(ISERROR(MATCH(H$1,INDIRECT("Table!A"&amp;$U10):INDIRECT("Table!" &amp; $X$171 &amp; $U10),0)),"",INDIRECT(CONCATENATE("Table!",ADDRESS($Q10,MATCH(H$1,INDIRECT("Table!A" &amp; $U10):INDIRECT("Table!" &amp; $X$171 &amp; $U10),0)))))</f>
        <v>1.4500345828546184</v>
      </c>
      <c r="I10" s="33">
        <f ca="1">IF(ISERROR(MATCH(I$1,INDIRECT("Table!A"&amp;$U10):INDIRECT("Table!" &amp; $X$171 &amp; $U10),0)),"",INDIRECT(CONCATENATE("Table!",ADDRESS($Q10,MATCH(I$1,INDIRECT("Table!A" &amp; $U10):INDIRECT("Table!" &amp; $X$171 &amp; $U10),0)))))</f>
        <v>1.5932110896403093</v>
      </c>
      <c r="J10" s="33">
        <f ca="1">IF(ISERROR(MATCH(J$1,INDIRECT("Table!A"&amp;$U10):INDIRECT("Table!" &amp; $X$171 &amp; $U10),0)),"",INDIRECT(CONCATENATE("Table!",ADDRESS($Q10,MATCH(J$1,INDIRECT("Table!A" &amp; $U10):INDIRECT("Table!" &amp; $X$171 &amp; $U10),0)))))</f>
        <v>0.93060074729724296</v>
      </c>
      <c r="K10" s="33">
        <f ca="1">IF(ISERROR(MATCH(K$1,INDIRECT("Table!A"&amp;$U10):INDIRECT("Table!" &amp; $X$171 &amp; $U10),0)),"",INDIRECT(CONCATENATE("Table!",ADDRESS($Q10,MATCH(K$1,INDIRECT("Table!A" &amp; $U10):INDIRECT("Table!" &amp; $X$171 &amp; $U10),0)))))</f>
        <v>1.6160266444891165</v>
      </c>
      <c r="L10" s="33">
        <f ca="1">IF(ISERROR(MATCH(L$1,INDIRECT("Table!A"&amp;$U10):INDIRECT("Table!" &amp; $X$171 &amp; $U10),0)),"",INDIRECT(CONCATENATE("Table!",ADDRESS($Q10,MATCH(L$1,INDIRECT("Table!A" &amp; $U10):INDIRECT("Table!" &amp; $X$171 &amp; $U10),0)))))</f>
        <v>1.8592975062144899</v>
      </c>
      <c r="M10" s="33">
        <f ca="1">IF(ISERROR(MATCH(M$1,INDIRECT("Table!A"&amp;$U10):INDIRECT("Table!" &amp; $X$171 &amp; $U10),0)),"",INDIRECT(CONCATENATE("Table!",ADDRESS($Q10,MATCH(M$1,INDIRECT("Table!A" &amp; $U10):INDIRECT("Table!" &amp; $X$171 &amp; $U10),0)))))</f>
        <v>1.1200076879838987</v>
      </c>
      <c r="N10" s="372"/>
      <c r="O10" s="372"/>
      <c r="P10" s="372"/>
      <c r="Q10" s="31">
        <f>MATCH($A10,Table!$A:$A,0)+$S$2-1</f>
        <v>144</v>
      </c>
      <c r="R10" s="372"/>
      <c r="S10" s="372"/>
      <c r="T10" s="372"/>
      <c r="U10" s="31">
        <f>MATCH($A10,Table!$A:$A,0)+$W$2-1</f>
        <v>129</v>
      </c>
      <c r="V10" s="372"/>
      <c r="W10" s="372"/>
      <c r="X10" s="372" t="s">
        <v>209</v>
      </c>
    </row>
    <row r="11" spans="1:24" ht="19.5" customHeight="1">
      <c r="A11" s="5">
        <v>41355</v>
      </c>
      <c r="B11" s="33">
        <f ca="1">IF(ISERROR(MATCH(B$1,INDIRECT("Table!A"&amp;$U11):INDIRECT("Table!" &amp; $X$171 &amp; $U11),0)),"",INDIRECT(CONCATENATE("Table!",ADDRESS($Q11,MATCH(B$1,INDIRECT("Table!A" &amp; $U11):INDIRECT("Table!" &amp; $X$171 &amp; $U11),0)))))</f>
        <v>0.7689632009906503</v>
      </c>
      <c r="C11" s="33">
        <f ca="1">IF(ISERROR(MATCH(C$1,INDIRECT("Table!A"&amp;$U11):INDIRECT("Table!" &amp; $X$171 &amp; $U11),0)),"",INDIRECT(CONCATENATE("Table!",ADDRESS($Q11,MATCH(C$1,INDIRECT("Table!A" &amp; $U11):INDIRECT("Table!" &amp; $X$171 &amp; $U11),0)))))</f>
        <v>0.59295368991162389</v>
      </c>
      <c r="D11" s="33">
        <f ca="1">IF(ISERROR(MATCH(D$1,INDIRECT("Table!A"&amp;$U11):INDIRECT("Table!" &amp; $X$171 &amp; $U11),0)),"",INDIRECT(CONCATENATE("Table!",ADDRESS($Q11,MATCH(D$1,INDIRECT("Table!A" &amp; $U11):INDIRECT("Table!" &amp; $X$171 &amp; $U11),0)))))</f>
        <v>0.59989799077571926</v>
      </c>
      <c r="E11" s="33">
        <f ca="1">IF(ISERROR(MATCH(E$1,INDIRECT("Table!A"&amp;$U11):INDIRECT("Table!" &amp; $X$171 &amp; $U11),0)),"",INDIRECT(CONCATENATE("Table!",ADDRESS($Q11,MATCH(E$1,INDIRECT("Table!A" &amp; $U11):INDIRECT("Table!" &amp; $X$171 &amp; $U11),0)))))</f>
        <v>1.5276579277331923</v>
      </c>
      <c r="F11" s="33">
        <f ca="1">IF(ISERROR(MATCH(F$1,INDIRECT("Table!A"&amp;$U11):INDIRECT("Table!" &amp; $X$171 &amp; $U11),0)),"",INDIRECT(CONCATENATE("Table!",ADDRESS($Q11,MATCH(F$1,INDIRECT("Table!A" &amp; $U11):INDIRECT("Table!" &amp; $X$171 &amp; $U11),0)))))</f>
        <v>1.4888647920097913</v>
      </c>
      <c r="G11" s="33">
        <f ca="1">IF(ISERROR(MATCH(G$1,INDIRECT("Table!A"&amp;$U11):INDIRECT("Table!" &amp; $X$171 &amp; $U11),0)),"",INDIRECT(CONCATENATE("Table!",ADDRESS($Q11,MATCH(G$1,INDIRECT("Table!A" &amp; $U11):INDIRECT("Table!" &amp; $X$171 &amp; $U11),0)))))</f>
        <v>1.1611683625409848</v>
      </c>
      <c r="H11" s="33">
        <f ca="1">IF(ISERROR(MATCH(H$1,INDIRECT("Table!A"&amp;$U11):INDIRECT("Table!" &amp; $X$171 &amp; $U11),0)),"",INDIRECT(CONCATENATE("Table!",ADDRESS($Q11,MATCH(H$1,INDIRECT("Table!A" &amp; $U11):INDIRECT("Table!" &amp; $X$171 &amp; $U11),0)))))</f>
        <v>1.0582084498870039</v>
      </c>
      <c r="I11" s="33">
        <f ca="1">IF(ISERROR(MATCH(I$1,INDIRECT("Table!A"&amp;$U11):INDIRECT("Table!" &amp; $X$171 &amp; $U11),0)),"",INDIRECT(CONCATENATE("Table!",ADDRESS($Q11,MATCH(I$1,INDIRECT("Table!A" &amp; $U11):INDIRECT("Table!" &amp; $X$171 &amp; $U11),0)))))</f>
        <v>1.4676197319545969</v>
      </c>
      <c r="J11" s="33">
        <f ca="1">IF(ISERROR(MATCH(J$1,INDIRECT("Table!A"&amp;$U11):INDIRECT("Table!" &amp; $X$171 &amp; $U11),0)),"",INDIRECT(CONCATENATE("Table!",ADDRESS($Q11,MATCH(J$1,INDIRECT("Table!A" &amp; $U11):INDIRECT("Table!" &amp; $X$171 &amp; $U11),0)))))</f>
        <v>0.81111145746238411</v>
      </c>
      <c r="K11" s="33">
        <f ca="1">IF(ISERROR(MATCH(K$1,INDIRECT("Table!A"&amp;$U11):INDIRECT("Table!" &amp; $X$171 &amp; $U11),0)),"",INDIRECT(CONCATENATE("Table!",ADDRESS($Q11,MATCH(K$1,INDIRECT("Table!A" &amp; $U11):INDIRECT("Table!" &amp; $X$171 &amp; $U11),0)))))</f>
        <v>1.5536679870851229</v>
      </c>
      <c r="L11" s="33">
        <f ca="1">IF(ISERROR(MATCH(L$1,INDIRECT("Table!A"&amp;$U11):INDIRECT("Table!" &amp; $X$171 &amp; $U11),0)),"",INDIRECT(CONCATENATE("Table!",ADDRESS($Q11,MATCH(L$1,INDIRECT("Table!A" &amp; $U11):INDIRECT("Table!" &amp; $X$171 &amp; $U11),0)))))</f>
        <v>1.357600501352257</v>
      </c>
      <c r="M11" s="33">
        <f ca="1">IF(ISERROR(MATCH(M$1,INDIRECT("Table!A"&amp;$U11):INDIRECT("Table!" &amp; $X$171 &amp; $U11),0)),"",INDIRECT(CONCATENATE("Table!",ADDRESS($Q11,MATCH(M$1,INDIRECT("Table!A" &amp; $U11):INDIRECT("Table!" &amp; $X$171 &amp; $U11),0)))))</f>
        <v>0.45179349422494602</v>
      </c>
      <c r="N11" s="372"/>
      <c r="O11" s="372"/>
      <c r="P11" s="372"/>
      <c r="Q11" s="31">
        <f>MATCH($A11,Table!$A:$A,0)+$S$2-1</f>
        <v>162</v>
      </c>
      <c r="R11" s="372"/>
      <c r="S11" s="372"/>
      <c r="T11" s="372"/>
      <c r="U11" s="31">
        <f>MATCH($A11,Table!$A:$A,0)+$W$2-1</f>
        <v>147</v>
      </c>
      <c r="V11" s="372"/>
      <c r="W11" s="372"/>
      <c r="X11" s="372" t="s">
        <v>209</v>
      </c>
    </row>
    <row r="12" spans="1:24" ht="19.5" customHeight="1">
      <c r="A12" s="5">
        <v>41351</v>
      </c>
      <c r="B12" s="33">
        <f ca="1">IF(ISERROR(MATCH(B$1,INDIRECT("Table!A"&amp;$U12):INDIRECT("Table!" &amp; $X$171 &amp; $U12),0)),"",INDIRECT(CONCATENATE("Table!",ADDRESS($Q12,MATCH(B$1,INDIRECT("Table!A" &amp; $U12):INDIRECT("Table!" &amp; $X$171 &amp; $U12),0)))))</f>
        <v>0.7689632009906503</v>
      </c>
      <c r="C12" s="33">
        <f ca="1">IF(ISERROR(MATCH(C$1,INDIRECT("Table!A"&amp;$U12):INDIRECT("Table!" &amp; $X$171 &amp; $U12),0)),"",INDIRECT(CONCATENATE("Table!",ADDRESS($Q12,MATCH(C$1,INDIRECT("Table!A" &amp; $U12):INDIRECT("Table!" &amp; $X$171 &amp; $U12),0)))))</f>
        <v>0.59295368991162389</v>
      </c>
      <c r="D12" s="33">
        <f ca="1">IF(ISERROR(MATCH(D$1,INDIRECT("Table!A"&amp;$U12):INDIRECT("Table!" &amp; $X$171 &amp; $U12),0)),"",INDIRECT(CONCATENATE("Table!",ADDRESS($Q12,MATCH(D$1,INDIRECT("Table!A" &amp; $U12):INDIRECT("Table!" &amp; $X$171 &amp; $U12),0)))))</f>
        <v>0.59989799077571926</v>
      </c>
      <c r="E12" s="33">
        <f ca="1">IF(ISERROR(MATCH(E$1,INDIRECT("Table!A"&amp;$U12):INDIRECT("Table!" &amp; $X$171 &amp; $U12),0)),"",INDIRECT(CONCATENATE("Table!",ADDRESS($Q12,MATCH(E$1,INDIRECT("Table!A" &amp; $U12):INDIRECT("Table!" &amp; $X$171 &amp; $U12),0)))))</f>
        <v>1.5276579277331923</v>
      </c>
      <c r="F12" s="33">
        <f ca="1">IF(ISERROR(MATCH(F$1,INDIRECT("Table!A"&amp;$U12):INDIRECT("Table!" &amp; $X$171 &amp; $U12),0)),"",INDIRECT(CONCATENATE("Table!",ADDRESS($Q12,MATCH(F$1,INDIRECT("Table!A" &amp; $U12):INDIRECT("Table!" &amp; $X$171 &amp; $U12),0)))))</f>
        <v>1.4424014505673832</v>
      </c>
      <c r="G12" s="33">
        <f ca="1">IF(ISERROR(MATCH(G$1,INDIRECT("Table!A"&amp;$U12):INDIRECT("Table!" &amp; $X$171 &amp; $U12),0)),"",INDIRECT(CONCATENATE("Table!",ADDRESS($Q12,MATCH(G$1,INDIRECT("Table!A" &amp; $U12):INDIRECT("Table!" &amp; $X$171 &amp; $U12),0)))))</f>
        <v>1.1611683625409848</v>
      </c>
      <c r="H12" s="33">
        <f ca="1">IF(ISERROR(MATCH(H$1,INDIRECT("Table!A"&amp;$U12):INDIRECT("Table!" &amp; $X$171 &amp; $U12),0)),"",INDIRECT(CONCATENATE("Table!",ADDRESS($Q12,MATCH(H$1,INDIRECT("Table!A" &amp; $U12):INDIRECT("Table!" &amp; $X$171 &amp; $U12),0)))))</f>
        <v>0.97345173318124334</v>
      </c>
      <c r="I12" s="33">
        <f ca="1">IF(ISERROR(MATCH(I$1,INDIRECT("Table!A"&amp;$U12):INDIRECT("Table!" &amp; $X$171 &amp; $U12),0)),"",INDIRECT(CONCATENATE("Table!",ADDRESS($Q12,MATCH(I$1,INDIRECT("Table!A" &amp; $U12):INDIRECT("Table!" &amp; $X$171 &amp; $U12),0)))))</f>
        <v>1.4545191035450997</v>
      </c>
      <c r="J12" s="33">
        <f ca="1">IF(ISERROR(MATCH(J$1,INDIRECT("Table!A"&amp;$U12):INDIRECT("Table!" &amp; $X$171 &amp; $U12),0)),"",INDIRECT(CONCATENATE("Table!",ADDRESS($Q12,MATCH(J$1,INDIRECT("Table!A" &amp; $U12):INDIRECT("Table!" &amp; $X$171 &amp; $U12),0)))))</f>
        <v>0.80611029594321737</v>
      </c>
      <c r="K12" s="33">
        <f ca="1">IF(ISERROR(MATCH(K$1,INDIRECT("Table!A"&amp;$U12):INDIRECT("Table!" &amp; $X$171 &amp; $U12),0)),"",INDIRECT(CONCATENATE("Table!",ADDRESS($Q12,MATCH(K$1,INDIRECT("Table!A" &amp; $U12):INDIRECT("Table!" &amp; $X$171 &amp; $U12),0)))))</f>
        <v>1.5182091426789304</v>
      </c>
      <c r="L12" s="33">
        <f ca="1">IF(ISERROR(MATCH(L$1,INDIRECT("Table!A"&amp;$U12):INDIRECT("Table!" &amp; $X$171 &amp; $U12),0)),"",INDIRECT(CONCATENATE("Table!",ADDRESS($Q12,MATCH(L$1,INDIRECT("Table!A" &amp; $U12):INDIRECT("Table!" &amp; $X$171 &amp; $U12),0)))))</f>
        <v>1.2632218568732232</v>
      </c>
      <c r="M12" s="33">
        <f ca="1">IF(ISERROR(MATCH(M$1,INDIRECT("Table!A"&amp;$U12):INDIRECT("Table!" &amp; $X$171 &amp; $U12),0)),"",INDIRECT(CONCATENATE("Table!",ADDRESS($Q12,MATCH(M$1,INDIRECT("Table!A" &amp; $U12):INDIRECT("Table!" &amp; $X$171 &amp; $U12),0)))))</f>
        <v>0.32952191256731517</v>
      </c>
      <c r="N12" s="372"/>
      <c r="O12" s="372"/>
      <c r="P12" s="372"/>
      <c r="Q12" s="31">
        <f>MATCH($A12,Table!$A:$A,0)+$S$2-1</f>
        <v>180</v>
      </c>
      <c r="R12" s="372"/>
      <c r="S12" s="372"/>
      <c r="T12" s="372"/>
      <c r="U12" s="31">
        <f>MATCH($A12,Table!$A:$A,0)+$W$2-1</f>
        <v>165</v>
      </c>
      <c r="V12" s="372"/>
      <c r="W12" s="372"/>
      <c r="X12" s="372" t="s">
        <v>209</v>
      </c>
    </row>
    <row r="13" spans="1:24" ht="19.5" customHeight="1">
      <c r="A13" s="5">
        <v>41345</v>
      </c>
      <c r="B13" s="33">
        <f ca="1">IF(ISERROR(MATCH(B$1,INDIRECT("Table!A"&amp;$U13):INDIRECT("Table!" &amp; $X$171 &amp; $U13),0)),"",INDIRECT(CONCATENATE("Table!",ADDRESS($Q13,MATCH(B$1,INDIRECT("Table!A" &amp; $U13):INDIRECT("Table!" &amp; $X$171 &amp; $U13),0)))))</f>
        <v>0.7689632009906503</v>
      </c>
      <c r="C13" s="33">
        <f ca="1">IF(ISERROR(MATCH(C$1,INDIRECT("Table!A"&amp;$U13):INDIRECT("Table!" &amp; $X$171 &amp; $U13),0)),"",INDIRECT(CONCATENATE("Table!",ADDRESS($Q13,MATCH(C$1,INDIRECT("Table!A" &amp; $U13):INDIRECT("Table!" &amp; $X$171 &amp; $U13),0)))))</f>
        <v>0.59295368991162389</v>
      </c>
      <c r="D13" s="33">
        <f ca="1">IF(ISERROR(MATCH(D$1,INDIRECT("Table!A"&amp;$U13):INDIRECT("Table!" &amp; $X$171 &amp; $U13),0)),"",INDIRECT(CONCATENATE("Table!",ADDRESS($Q13,MATCH(D$1,INDIRECT("Table!A" &amp; $U13):INDIRECT("Table!" &amp; $X$171 &amp; $U13),0)))))</f>
        <v>0.59989799077571926</v>
      </c>
      <c r="E13" s="33">
        <f ca="1">IF(ISERROR(MATCH(E$1,INDIRECT("Table!A"&amp;$U13):INDIRECT("Table!" &amp; $X$171 &amp; $U13),0)),"",INDIRECT(CONCATENATE("Table!",ADDRESS($Q13,MATCH(E$1,INDIRECT("Table!A" &amp; $U13):INDIRECT("Table!" &amp; $X$171 &amp; $U13),0)))))</f>
        <v>1.5276579277331923</v>
      </c>
      <c r="F13" s="33">
        <f ca="1">IF(ISERROR(MATCH(F$1,INDIRECT("Table!A"&amp;$U13):INDIRECT("Table!" &amp; $X$171 &amp; $U13),0)),"",INDIRECT(CONCATENATE("Table!",ADDRESS($Q13,MATCH(F$1,INDIRECT("Table!A" &amp; $U13):INDIRECT("Table!" &amp; $X$171 &amp; $U13),0)))))</f>
        <v>1.4424014505673832</v>
      </c>
      <c r="G13" s="33">
        <f ca="1">IF(ISERROR(MATCH(G$1,INDIRECT("Table!A"&amp;$U13):INDIRECT("Table!" &amp; $X$171 &amp; $U13),0)),"",INDIRECT(CONCATENATE("Table!",ADDRESS($Q13,MATCH(G$1,INDIRECT("Table!A" &amp; $U13):INDIRECT("Table!" &amp; $X$171 &amp; $U13),0)))))</f>
        <v>1.1591773924844437</v>
      </c>
      <c r="H13" s="33">
        <f ca="1">IF(ISERROR(MATCH(H$1,INDIRECT("Table!A"&amp;$U13):INDIRECT("Table!" &amp; $X$171 &amp; $U13),0)),"",INDIRECT(CONCATENATE("Table!",ADDRESS($Q13,MATCH(H$1,INDIRECT("Table!A" &amp; $U13):INDIRECT("Table!" &amp; $X$171 &amp; $U13),0)))))</f>
        <v>0.94288373699228056</v>
      </c>
      <c r="I13" s="33">
        <f ca="1">IF(ISERROR(MATCH(I$1,INDIRECT("Table!A"&amp;$U13):INDIRECT("Table!" &amp; $X$171 &amp; $U13),0)),"",INDIRECT(CONCATENATE("Table!",ADDRESS($Q13,MATCH(I$1,INDIRECT("Table!A" &amp; $U13):INDIRECT("Table!" &amp; $X$171 &amp; $U13),0)))))</f>
        <v>1.4545191035450997</v>
      </c>
      <c r="J13" s="33">
        <f ca="1">IF(ISERROR(MATCH(J$1,INDIRECT("Table!A"&amp;$U13):INDIRECT("Table!" &amp; $X$171 &amp; $U13),0)),"",INDIRECT(CONCATENATE("Table!",ADDRESS($Q13,MATCH(J$1,INDIRECT("Table!A" &amp; $U13):INDIRECT("Table!" &amp; $X$171 &amp; $U13),0)))))</f>
        <v>0.78502847661626873</v>
      </c>
      <c r="K13" s="33">
        <f ca="1">IF(ISERROR(MATCH(K$1,INDIRECT("Table!A"&amp;$U13):INDIRECT("Table!" &amp; $X$171 &amp; $U13),0)),"",INDIRECT(CONCATENATE("Table!",ADDRESS($Q13,MATCH(K$1,INDIRECT("Table!A" &amp; $U13):INDIRECT("Table!" &amp; $X$171 &amp; $U13),0)))))</f>
        <v>1.5182091426789304</v>
      </c>
      <c r="L13" s="33">
        <f ca="1">IF(ISERROR(MATCH(L$1,INDIRECT("Table!A"&amp;$U13):INDIRECT("Table!" &amp; $X$171 &amp; $U13),0)),"",INDIRECT(CONCATENATE("Table!",ADDRESS($Q13,MATCH(L$1,INDIRECT("Table!A" &amp; $U13):INDIRECT("Table!" &amp; $X$171 &amp; $U13),0)))))</f>
        <v>1.2366659224955194</v>
      </c>
      <c r="M13" s="33">
        <f ca="1">IF(ISERROR(MATCH(M$1,INDIRECT("Table!A"&amp;$U13):INDIRECT("Table!" &amp; $X$171 &amp; $U13),0)),"",INDIRECT(CONCATENATE("Table!",ADDRESS($Q13,MATCH(M$1,INDIRECT("Table!A" &amp; $U13):INDIRECT("Table!" &amp; $X$171 &amp; $U13),0)))))</f>
        <v>0.32952191256731517</v>
      </c>
      <c r="N13" s="372"/>
      <c r="O13" s="372"/>
      <c r="P13" s="372"/>
      <c r="Q13" s="31">
        <f>MATCH($A13,Table!$A:$A,0)+$S$2-1</f>
        <v>198</v>
      </c>
      <c r="R13" s="372"/>
      <c r="S13" s="372"/>
      <c r="T13" s="372"/>
      <c r="U13" s="31">
        <f>MATCH($A13,Table!$A:$A,0)+$W$2-1</f>
        <v>183</v>
      </c>
      <c r="V13" s="372"/>
      <c r="W13" s="372"/>
      <c r="X13" s="372" t="s">
        <v>209</v>
      </c>
    </row>
    <row r="14" spans="1:24" ht="19.5" customHeight="1">
      <c r="A14" s="5">
        <v>41289</v>
      </c>
      <c r="B14" s="33">
        <f ca="1">IF(ISERROR(MATCH(B$1,INDIRECT("Table!A"&amp;$U14):INDIRECT("Table!" &amp; $X$171 &amp; $U14),0)),"",INDIRECT(CONCATENATE("Table!",ADDRESS($Q14,MATCH(B$1,INDIRECT("Table!A" &amp; $U14):INDIRECT("Table!" &amp; $X$171 &amp; $U14),0)))))</f>
        <v>1.3215948984672805</v>
      </c>
      <c r="C14" s="33">
        <f ca="1">IF(ISERROR(MATCH(C$1,INDIRECT("Table!A"&amp;$U14):INDIRECT("Table!" &amp; $X$171 &amp; $U14),0)),"",INDIRECT(CONCATENATE("Table!",ADDRESS($Q14,MATCH(C$1,INDIRECT("Table!A" &amp; $U14):INDIRECT("Table!" &amp; $X$171 &amp; $U14),0)))))</f>
        <v>0.60062345614214585</v>
      </c>
      <c r="D14" s="33">
        <f ca="1">IF(ISERROR(MATCH(D$1,INDIRECT("Table!A"&amp;$U14):INDIRECT("Table!" &amp; $X$171 &amp; $U14),0)),"",INDIRECT(CONCATENATE("Table!",ADDRESS($Q14,MATCH(D$1,INDIRECT("Table!A" &amp; $U14):INDIRECT("Table!" &amp; $X$171 &amp; $U14),0)))))</f>
        <v>0.60488001924050505</v>
      </c>
      <c r="E14" s="33">
        <f ca="1">IF(ISERROR(MATCH(E$1,INDIRECT("Table!A"&amp;$U14):INDIRECT("Table!" &amp; $X$171 &amp; $U14),0)),"",INDIRECT(CONCATENATE("Table!",ADDRESS($Q14,MATCH(E$1,INDIRECT("Table!A" &amp; $U14):INDIRECT("Table!" &amp; $X$171 &amp; $U14),0)))))</f>
        <v>1.5190858351035013</v>
      </c>
      <c r="F14" s="33">
        <f ca="1">IF(ISERROR(MATCH(F$1,INDIRECT("Table!A"&amp;$U14):INDIRECT("Table!" &amp; $X$171 &amp; $U14),0)),"",INDIRECT(CONCATENATE("Table!",ADDRESS($Q14,MATCH(F$1,INDIRECT("Table!A" &amp; $U14):INDIRECT("Table!" &amp; $X$171 &amp; $U14),0)))))</f>
        <v>1.4294862876052039</v>
      </c>
      <c r="G14" s="33">
        <f ca="1">IF(ISERROR(MATCH(G$1,INDIRECT("Table!A"&amp;$U14):INDIRECT("Table!" &amp; $X$171 &amp; $U14),0)),"",INDIRECT(CONCATENATE("Table!",ADDRESS($Q14,MATCH(G$1,INDIRECT("Table!A" &amp; $U14):INDIRECT("Table!" &amp; $X$171 &amp; $U14),0)))))</f>
        <v>3.3849641267823083</v>
      </c>
      <c r="H14" s="33">
        <f ca="1">IF(ISERROR(MATCH(H$1,INDIRECT("Table!A"&amp;$U14):INDIRECT("Table!" &amp; $X$171 &amp; $U14),0)),"",INDIRECT(CONCATENATE("Table!",ADDRESS($Q14,MATCH(H$1,INDIRECT("Table!A" &amp; $U14):INDIRECT("Table!" &amp; $X$171 &amp; $U14),0)))))</f>
        <v>0.84486342409821646</v>
      </c>
      <c r="I14" s="33">
        <f ca="1">IF(ISERROR(MATCH(I$1,INDIRECT("Table!A"&amp;$U14):INDIRECT("Table!" &amp; $X$171 &amp; $U14),0)),"",INDIRECT(CONCATENATE("Table!",ADDRESS($Q14,MATCH(I$1,INDIRECT("Table!A" &amp; $U14):INDIRECT("Table!" &amp; $X$171 &amp; $U14),0)))))</f>
        <v>1.3863445010283535</v>
      </c>
      <c r="J14" s="33">
        <f ca="1">IF(ISERROR(MATCH(J$1,INDIRECT("Table!A"&amp;$U14):INDIRECT("Table!" &amp; $X$171 &amp; $U14),0)),"",INDIRECT(CONCATENATE("Table!",ADDRESS($Q14,MATCH(J$1,INDIRECT("Table!A" &amp; $U14):INDIRECT("Table!" &amp; $X$171 &amp; $U14),0)))))</f>
        <v>2.4386812601318981</v>
      </c>
      <c r="K14" s="33">
        <f ca="1">IF(ISERROR(MATCH(K$1,INDIRECT("Table!A"&amp;$U14):INDIRECT("Table!" &amp; $X$171 &amp; $U14),0)),"",INDIRECT(CONCATENATE("Table!",ADDRESS($Q14,MATCH(K$1,INDIRECT("Table!A" &amp; $U14):INDIRECT("Table!" &amp; $X$171 &amp; $U14),0)))))</f>
        <v>1.502447468338364</v>
      </c>
      <c r="L14" s="33">
        <f ca="1">IF(ISERROR(MATCH(L$1,INDIRECT("Table!A"&amp;$U14):INDIRECT("Table!" &amp; $X$171 &amp; $U14),0)),"",INDIRECT(CONCATENATE("Table!",ADDRESS($Q14,MATCH(L$1,INDIRECT("Table!A" &amp; $U14):INDIRECT("Table!" &amp; $X$171 &amp; $U14),0)))))</f>
        <v>1.2835873431220168</v>
      </c>
      <c r="M14" s="33" t="str">
        <f ca="1">IF(ISERROR(MATCH(M$1,INDIRECT("Table!A"&amp;$U14):INDIRECT("Table!" &amp; $X$171 &amp; $U14),0)),"",INDIRECT(CONCATENATE("Table!",ADDRESS($Q14,MATCH(M$1,INDIRECT("Table!A" &amp; $U14):INDIRECT("Table!" &amp; $X$171 &amp; $U14),0)))))</f>
        <v/>
      </c>
      <c r="N14" s="372"/>
      <c r="O14" s="372"/>
      <c r="P14" s="372"/>
      <c r="Q14" s="31">
        <f>MATCH($A14,Table!$A:$A,0)+$S$14-1</f>
        <v>215</v>
      </c>
      <c r="R14" s="372" t="s">
        <v>10</v>
      </c>
      <c r="S14" s="372">
        <v>17</v>
      </c>
      <c r="T14" s="372"/>
      <c r="U14" s="31">
        <f>MATCH($A14,Table!$A:$A,0)+$W$2-1</f>
        <v>201</v>
      </c>
      <c r="V14" s="372"/>
      <c r="W14" s="372"/>
      <c r="X14" s="372" t="s">
        <v>209</v>
      </c>
    </row>
    <row r="15" spans="1:24" ht="19.5" customHeight="1">
      <c r="A15" s="5">
        <v>41242</v>
      </c>
      <c r="B15" s="33">
        <f ca="1">IF(ISERROR(MATCH(B$1,INDIRECT("Table!A"&amp;$U15):INDIRECT("Table!" &amp; $X$171 &amp; $U15),0)),"",INDIRECT(CONCATENATE("Table!",ADDRESS($Q15,MATCH(B$1,INDIRECT("Table!A" &amp; $U15):INDIRECT("Table!" &amp; $X$171 &amp; $U15),0)))))</f>
        <v>1.2980789750070085</v>
      </c>
      <c r="C15" s="33">
        <f ca="1">IF(ISERROR(MATCH(C$1,INDIRECT("Table!A"&amp;$U15):INDIRECT("Table!" &amp; $X$171 &amp; $U15),0)),"",INDIRECT(CONCATENATE("Table!",ADDRESS($Q15,MATCH(C$1,INDIRECT("Table!A" &amp; $U15):INDIRECT("Table!" &amp; $X$171 &amp; $U15),0)))))</f>
        <v>0.61675358998855945</v>
      </c>
      <c r="D15" s="33">
        <f ca="1">IF(ISERROR(MATCH(D$1,INDIRECT("Table!A"&amp;$U15):INDIRECT("Table!" &amp; $X$171 &amp; $U15),0)),"",INDIRECT(CONCATENATE("Table!",ADDRESS($Q15,MATCH(D$1,INDIRECT("Table!A" &amp; $U15):INDIRECT("Table!" &amp; $X$171 &amp; $U15),0)))))</f>
        <v>0.61540941216802492</v>
      </c>
      <c r="E15" s="33">
        <f ca="1">IF(ISERROR(MATCH(E$1,INDIRECT("Table!A"&amp;$U15):INDIRECT("Table!" &amp; $X$171 &amp; $U15),0)),"",INDIRECT(CONCATENATE("Table!",ADDRESS($Q15,MATCH(E$1,INDIRECT("Table!A" &amp; $U15):INDIRECT("Table!" &amp; $X$171 &amp; $U15),0)))))</f>
        <v>1.5263116367340703</v>
      </c>
      <c r="F15" s="33">
        <f ca="1">IF(ISERROR(MATCH(F$1,INDIRECT("Table!A"&amp;$U15):INDIRECT("Table!" &amp; $X$171 &amp; $U15),0)),"",INDIRECT(CONCATENATE("Table!",ADDRESS($Q15,MATCH(F$1,INDIRECT("Table!A" &amp; $U15):INDIRECT("Table!" &amp; $X$171 &amp; $U15),0)))))</f>
        <v>1.4058449403907465</v>
      </c>
      <c r="G15" s="33">
        <f ca="1">IF(ISERROR(MATCH(G$1,INDIRECT("Table!A"&amp;$U15):INDIRECT("Table!" &amp; $X$171 &amp; $U15),0)),"",INDIRECT(CONCATENATE("Table!",ADDRESS($Q15,MATCH(G$1,INDIRECT("Table!A" &amp; $U15):INDIRECT("Table!" &amp; $X$171 &amp; $U15),0)))))</f>
        <v>3.2828843883389336</v>
      </c>
      <c r="H15" s="33">
        <f ca="1">IF(ISERROR(MATCH(H$1,INDIRECT("Table!A"&amp;$U15):INDIRECT("Table!" &amp; $X$171 &amp; $U15),0)),"",INDIRECT(CONCATENATE("Table!",ADDRESS($Q15,MATCH(H$1,INDIRECT("Table!A" &amp; $U15):INDIRECT("Table!" &amp; $X$171 &amp; $U15),0)))))</f>
        <v>0.81734977969501799</v>
      </c>
      <c r="I15" s="33">
        <f ca="1">IF(ISERROR(MATCH(I$1,INDIRECT("Table!A"&amp;$U15):INDIRECT("Table!" &amp; $X$171 &amp; $U15),0)),"",INDIRECT(CONCATENATE("Table!",ADDRESS($Q15,MATCH(I$1,INDIRECT("Table!A" &amp; $U15):INDIRECT("Table!" &amp; $X$171 &amp; $U15),0)))))</f>
        <v>1.3873926445523164</v>
      </c>
      <c r="J15" s="33">
        <f ca="1">IF(ISERROR(MATCH(J$1,INDIRECT("Table!A"&amp;$U15):INDIRECT("Table!" &amp; $X$171 &amp; $U15),0)),"",INDIRECT(CONCATENATE("Table!",ADDRESS($Q15,MATCH(J$1,INDIRECT("Table!A" &amp; $U15):INDIRECT("Table!" &amp; $X$171 &amp; $U15),0)))))</f>
        <v>2.4348532757344534</v>
      </c>
      <c r="K15" s="33">
        <f ca="1">IF(ISERROR(MATCH(K$1,INDIRECT("Table!A"&amp;$U15):INDIRECT("Table!" &amp; $X$171 &amp; $U15),0)),"",INDIRECT(CONCATENATE("Table!",ADDRESS($Q15,MATCH(K$1,INDIRECT("Table!A" &amp; $U15):INDIRECT("Table!" &amp; $X$171 &amp; $U15),0)))))</f>
        <v>1.502447468338364</v>
      </c>
      <c r="L15" s="33">
        <f ca="1">IF(ISERROR(MATCH(L$1,INDIRECT("Table!A"&amp;$U15):INDIRECT("Table!" &amp; $X$171 &amp; $U15),0)),"",INDIRECT(CONCATENATE("Table!",ADDRESS($Q15,MATCH(L$1,INDIRECT("Table!A" &amp; $U15):INDIRECT("Table!" &amp; $X$171 &amp; $U15),0)))))</f>
        <v>1.2457560996063635</v>
      </c>
      <c r="M15" s="33">
        <f ca="1">IF(ISERROR(MATCH(M$1,INDIRECT("Table!A"&amp;$U15):INDIRECT("Table!" &amp; $X$171 &amp; $U15),0)),"",INDIRECT(CONCATENATE("Table!",ADDRESS($Q15,MATCH(M$1,INDIRECT("Table!A" &amp; $U15):INDIRECT("Table!" &amp; $X$171 &amp; $U15),0)))))</f>
        <v>0.38618888949582131</v>
      </c>
      <c r="N15" s="372"/>
      <c r="O15" s="372"/>
      <c r="P15" s="372"/>
      <c r="Q15" s="31">
        <f>MATCH($A15,Table!$A:$A,0)+$S$14-1</f>
        <v>232</v>
      </c>
      <c r="R15" s="372"/>
      <c r="S15" s="372"/>
      <c r="T15" s="372"/>
      <c r="U15" s="31">
        <f>MATCH($A15,Table!$A:$A,0)+$W$2-1</f>
        <v>218</v>
      </c>
      <c r="V15" s="372"/>
      <c r="W15" s="372"/>
      <c r="X15" s="372" t="s">
        <v>209</v>
      </c>
    </row>
    <row r="16" spans="1:24" ht="19.5" customHeight="1">
      <c r="A16" s="5">
        <v>41241</v>
      </c>
      <c r="B16" s="33">
        <f ca="1">IF(ISERROR(MATCH(B$1,INDIRECT("Table!A"&amp;$U16):INDIRECT("Table!" &amp; $X$171 &amp; $U16),0)),"",INDIRECT(CONCATENATE("Table!",ADDRESS($Q16,MATCH(B$1,INDIRECT("Table!A" &amp; $U16):INDIRECT("Table!" &amp; $X$171 &amp; $U16),0)))))</f>
        <v>48923.7</v>
      </c>
      <c r="C16" s="33">
        <f ca="1">IF(ISERROR(MATCH(C$1,INDIRECT("Table!A"&amp;$U16):INDIRECT("Table!" &amp; $X$171 &amp; $U16),0)),"",INDIRECT(CONCATENATE("Table!",ADDRESS($Q16,MATCH(C$1,INDIRECT("Table!A" &amp; $U16):INDIRECT("Table!" &amp; $X$171 &amp; $U16),0)))))</f>
        <v>74934.2</v>
      </c>
      <c r="D16" s="33">
        <f ca="1">IF(ISERROR(MATCH(D$1,INDIRECT("Table!A"&amp;$U16):INDIRECT("Table!" &amp; $X$171 &amp; $U16),0)),"",INDIRECT(CONCATENATE("Table!",ADDRESS($Q16,MATCH(D$1,INDIRECT("Table!A" &amp; $U16):INDIRECT("Table!" &amp; $X$171 &amp; $U16),0)))))</f>
        <v>76350.2</v>
      </c>
      <c r="E16" s="33">
        <f ca="1">IF(ISERROR(MATCH(E$1,INDIRECT("Table!A"&amp;$U16):INDIRECT("Table!" &amp; $X$171 &amp; $U16),0)),"",INDIRECT(CONCATENATE("Table!",ADDRESS($Q16,MATCH(E$1,INDIRECT("Table!A" &amp; $U16):INDIRECT("Table!" &amp; $X$171 &amp; $U16),0)))))</f>
        <v>159588.6</v>
      </c>
      <c r="F16" s="33">
        <f ca="1">IF(ISERROR(MATCH(F$1,INDIRECT("Table!A"&amp;$U16):INDIRECT("Table!" &amp; $X$171 &amp; $U16),0)),"",INDIRECT(CONCATENATE("Table!",ADDRESS($Q16,MATCH(F$1,INDIRECT("Table!A" &amp; $U16):INDIRECT("Table!" &amp; $X$171 &amp; $U16),0)))))</f>
        <v>63182.8</v>
      </c>
      <c r="G16" s="33">
        <f ca="1">IF(ISERROR(MATCH(G$1,INDIRECT("Table!A"&amp;$U16):INDIRECT("Table!" &amp; $X$171 &amp; $U16),0)),"",INDIRECT(CONCATENATE("Table!",ADDRESS($Q16,MATCH(G$1,INDIRECT("Table!A" &amp; $U16):INDIRECT("Table!" &amp; $X$171 &amp; $U16),0)))))</f>
        <v>29434.7</v>
      </c>
      <c r="H16" s="33">
        <f ca="1">IF(ISERROR(MATCH(H$1,INDIRECT("Table!A"&amp;$U16):INDIRECT("Table!" &amp; $X$171 &amp; $U16),0)),"",INDIRECT(CONCATENATE("Table!",ADDRESS($Q16,MATCH(H$1,INDIRECT("Table!A" &amp; $U16):INDIRECT("Table!" &amp; $X$171 &amp; $U16),0)))))</f>
        <v>48608</v>
      </c>
      <c r="I16" s="33">
        <f ca="1">IF(ISERROR(MATCH(I$1,INDIRECT("Table!A"&amp;$U16):INDIRECT("Table!" &amp; $X$171 &amp; $U16),0)),"",INDIRECT(CONCATENATE("Table!",ADDRESS($Q16,MATCH(I$1,INDIRECT("Table!A" &amp; $U16):INDIRECT("Table!" &amp; $X$171 &amp; $U16),0)))))</f>
        <v>147764.9</v>
      </c>
      <c r="J16" s="33">
        <f ca="1">IF(ISERROR(MATCH(J$1,INDIRECT("Table!A"&amp;$U16):INDIRECT("Table!" &amp; $X$171 &amp; $U16),0)),"",INDIRECT(CONCATENATE("Table!",ADDRESS($Q16,MATCH(J$1,INDIRECT("Table!A" &amp; $U16):INDIRECT("Table!" &amp; $X$171 &amp; $U16),0)))))</f>
        <v>36995.800000000003</v>
      </c>
      <c r="K16" s="33">
        <f ca="1">IF(ISERROR(MATCH(K$1,INDIRECT("Table!A"&amp;$U16):INDIRECT("Table!" &amp; $X$171 &amp; $U16),0)),"",INDIRECT(CONCATENATE("Table!",ADDRESS($Q16,MATCH(K$1,INDIRECT("Table!A" &amp; $U16):INDIRECT("Table!" &amp; $X$171 &amp; $U16),0)))))</f>
        <v>32880</v>
      </c>
      <c r="L16" s="33">
        <f ca="1">IF(ISERROR(MATCH(L$1,INDIRECT("Table!A"&amp;$U16):INDIRECT("Table!" &amp; $X$171 &amp; $U16),0)),"",INDIRECT(CONCATENATE("Table!",ADDRESS($Q16,MATCH(L$1,INDIRECT("Table!A" &amp; $U16):INDIRECT("Table!" &amp; $X$171 &amp; $U16),0)))))</f>
        <v>98561.5</v>
      </c>
      <c r="M16" s="33">
        <f ca="1">IF(ISERROR(MATCH(M$1,INDIRECT("Table!A"&amp;$U16):INDIRECT("Table!" &amp; $X$171 &amp; $U16),0)),"",INDIRECT(CONCATENATE("Table!",ADDRESS($Q16,MATCH(M$1,INDIRECT("Table!A" &amp; $U16):INDIRECT("Table!" &amp; $X$171 &amp; $U16),0)))))</f>
        <v>20795</v>
      </c>
      <c r="N16" s="270"/>
      <c r="O16" s="270"/>
      <c r="P16" s="270"/>
      <c r="Q16" s="31">
        <f>MATCH($A16,Table!$A:$A,0)+$S$14-1</f>
        <v>249</v>
      </c>
      <c r="R16" s="270"/>
      <c r="S16" s="270"/>
      <c r="T16" s="270"/>
      <c r="U16" s="31">
        <f>MATCH($A16,Table!$A:$A,0)+$W$2-1</f>
        <v>235</v>
      </c>
      <c r="V16" s="270"/>
      <c r="W16" s="270"/>
      <c r="X16" s="372" t="s">
        <v>209</v>
      </c>
    </row>
    <row r="17" spans="1:24" ht="19.5" customHeight="1">
      <c r="A17" s="5">
        <v>41239</v>
      </c>
      <c r="B17" s="33">
        <f ca="1">IF(ISERROR(MATCH(B$1,INDIRECT("Table!A"&amp;$U17):INDIRECT("Table!" &amp; $X$171 &amp; $U17),0)),"",INDIRECT(CONCATENATE("Table!",ADDRESS($Q17,MATCH(B$1,INDIRECT("Table!A" &amp; $U17):INDIRECT("Table!" &amp; $X$171 &amp; $U17),0)))))</f>
        <v>50060.2</v>
      </c>
      <c r="C17" s="33">
        <f ca="1">IF(ISERROR(MATCH(C$1,INDIRECT("Table!A"&amp;$U17):INDIRECT("Table!" &amp; $X$171 &amp; $U17),0)),"",INDIRECT(CONCATENATE("Table!",ADDRESS($Q17,MATCH(C$1,INDIRECT("Table!A" &amp; $U17):INDIRECT("Table!" &amp; $X$171 &amp; $U17),0)))))</f>
        <v>74664.899999999994</v>
      </c>
      <c r="D17" s="33">
        <f ca="1">IF(ISERROR(MATCH(D$1,INDIRECT("Table!A"&amp;$U17):INDIRECT("Table!" &amp; $X$171 &amp; $U17),0)),"",INDIRECT(CONCATENATE("Table!",ADDRESS($Q17,MATCH(D$1,INDIRECT("Table!A" &amp; $U17):INDIRECT("Table!" &amp; $X$171 &amp; $U17),0)))))</f>
        <v>76090.7</v>
      </c>
      <c r="E17" s="33">
        <f ca="1">IF(ISERROR(MATCH(E$1,INDIRECT("Table!A"&amp;$U17):INDIRECT("Table!" &amp; $X$171 &amp; $U17),0)),"",INDIRECT(CONCATENATE("Table!",ADDRESS($Q17,MATCH(E$1,INDIRECT("Table!A" &amp; $U17):INDIRECT("Table!" &amp; $X$171 &amp; $U17),0)))))</f>
        <v>159178.6</v>
      </c>
      <c r="F17" s="33">
        <f ca="1">IF(ISERROR(MATCH(F$1,INDIRECT("Table!A"&amp;$U17):INDIRECT("Table!" &amp; $X$171 &amp; $U17),0)),"",INDIRECT(CONCATENATE("Table!",ADDRESS($Q17,MATCH(F$1,INDIRECT("Table!A" &amp; $U17):INDIRECT("Table!" &amp; $X$171 &amp; $U17),0)))))</f>
        <v>62179.3</v>
      </c>
      <c r="G17" s="33">
        <f ca="1">IF(ISERROR(MATCH(G$1,INDIRECT("Table!A"&amp;$U17):INDIRECT("Table!" &amp; $X$171 &amp; $U17),0)),"",INDIRECT(CONCATENATE("Table!",ADDRESS($Q17,MATCH(G$1,INDIRECT("Table!A" &amp; $U17):INDIRECT("Table!" &amp; $X$171 &amp; $U17),0)))))</f>
        <v>29760.5</v>
      </c>
      <c r="H17" s="33">
        <f ca="1">IF(ISERROR(MATCH(H$1,INDIRECT("Table!A"&amp;$U17):INDIRECT("Table!" &amp; $X$171 &amp; $U17),0)),"",INDIRECT(CONCATENATE("Table!",ADDRESS($Q17,MATCH(H$1,INDIRECT("Table!A" &amp; $U17):INDIRECT("Table!" &amp; $X$171 &amp; $U17),0)))))</f>
        <v>48355.8</v>
      </c>
      <c r="I17" s="33">
        <f ca="1">IF(ISERROR(MATCH(I$1,INDIRECT("Table!A"&amp;$U17):INDIRECT("Table!" &amp; $X$171 &amp; $U17),0)),"",INDIRECT(CONCATENATE("Table!",ADDRESS($Q17,MATCH(I$1,INDIRECT("Table!A" &amp; $U17):INDIRECT("Table!" &amp; $X$171 &amp; $U17),0)))))</f>
        <v>147365.29999999999</v>
      </c>
      <c r="J17" s="33">
        <f ca="1">IF(ISERROR(MATCH(J$1,INDIRECT("Table!A"&amp;$U17):INDIRECT("Table!" &amp; $X$171 &amp; $U17),0)),"",INDIRECT(CONCATENATE("Table!",ADDRESS($Q17,MATCH(J$1,INDIRECT("Table!A" &amp; $U17):INDIRECT("Table!" &amp; $X$171 &amp; $U17),0)))))</f>
        <v>38439.800000000003</v>
      </c>
      <c r="K17" s="33">
        <f ca="1">IF(ISERROR(MATCH(K$1,INDIRECT("Table!A"&amp;$U17):INDIRECT("Table!" &amp; $X$171 &amp; $U17),0)),"",INDIRECT(CONCATENATE("Table!",ADDRESS($Q17,MATCH(K$1,INDIRECT("Table!A" &amp; $U17):INDIRECT("Table!" &amp; $X$171 &amp; $U17),0)))))</f>
        <v>32075.599999999999</v>
      </c>
      <c r="L17" s="33">
        <f ca="1">IF(ISERROR(MATCH(L$1,INDIRECT("Table!A"&amp;$U17):INDIRECT("Table!" &amp; $X$171 &amp; $U17),0)),"",INDIRECT(CONCATENATE("Table!",ADDRESS($Q17,MATCH(L$1,INDIRECT("Table!A" &amp; $U17):INDIRECT("Table!" &amp; $X$171 &amp; $U17),0)))))</f>
        <v>98473.2</v>
      </c>
      <c r="M17" s="33">
        <f ca="1">IF(ISERROR(MATCH(M$1,INDIRECT("Table!A"&amp;$U17):INDIRECT("Table!" &amp; $X$171 &amp; $U17),0)),"",INDIRECT(CONCATENATE("Table!",ADDRESS($Q17,MATCH(M$1,INDIRECT("Table!A" &amp; $U17):INDIRECT("Table!" &amp; $X$171 &amp; $U17),0)))))</f>
        <v>20795</v>
      </c>
      <c r="N17" s="269"/>
      <c r="O17" s="269"/>
      <c r="P17" s="269"/>
      <c r="Q17" s="31">
        <f>MATCH($A17,Table!$A:$A,0)+$S$14-1</f>
        <v>261</v>
      </c>
      <c r="R17" s="269"/>
      <c r="S17" s="269"/>
      <c r="T17" s="269"/>
      <c r="U17" s="31">
        <f>MATCH($A17,Table!$A:$A,0)+$W$2-1</f>
        <v>247</v>
      </c>
      <c r="V17" s="269"/>
      <c r="W17" s="269"/>
      <c r="X17" s="372" t="s">
        <v>209</v>
      </c>
    </row>
    <row r="18" spans="1:24" ht="19.5" customHeight="1">
      <c r="A18" s="5">
        <v>41234</v>
      </c>
      <c r="B18" s="33">
        <f ca="1">IF(ISERROR(MATCH(B$1,INDIRECT("Table!A"&amp;$U18):INDIRECT("Table!" &amp; $X$171 &amp; $U18),0)),"",INDIRECT(CONCATENATE("Table!",ADDRESS($Q18,MATCH(B$1,INDIRECT("Table!A" &amp; $U18):INDIRECT("Table!" &amp; $X$171 &amp; $U18),0)))))</f>
        <v>54116.9</v>
      </c>
      <c r="C18" s="33">
        <f ca="1">IF(ISERROR(MATCH(C$1,INDIRECT("Table!A"&amp;$U18):INDIRECT("Table!" &amp; $X$171 &amp; $U18),0)),"",INDIRECT(CONCATENATE("Table!",ADDRESS($Q18,MATCH(C$1,INDIRECT("Table!A" &amp; $U18):INDIRECT("Table!" &amp; $X$171 &amp; $U18),0)))))</f>
        <v>74607.399999999994</v>
      </c>
      <c r="D18" s="33">
        <f ca="1">IF(ISERROR(MATCH(D$1,INDIRECT("Table!A"&amp;$U18):INDIRECT("Table!" &amp; $X$171 &amp; $U18),0)),"",INDIRECT(CONCATENATE("Table!",ADDRESS($Q18,MATCH(D$1,INDIRECT("Table!A" &amp; $U18):INDIRECT("Table!" &amp; $X$171 &amp; $U18),0)))))</f>
        <v>76034.399999999994</v>
      </c>
      <c r="E18" s="33">
        <f ca="1">IF(ISERROR(MATCH(E$1,INDIRECT("Table!A"&amp;$U18):INDIRECT("Table!" &amp; $X$171 &amp; $U18),0)),"",INDIRECT(CONCATENATE("Table!",ADDRESS($Q18,MATCH(E$1,INDIRECT("Table!A" &amp; $U18):INDIRECT("Table!" &amp; $X$171 &amp; $U18),0)))))</f>
        <v>158852.5</v>
      </c>
      <c r="F18" s="33">
        <f ca="1">IF(ISERROR(MATCH(F$1,INDIRECT("Table!A"&amp;$U18):INDIRECT("Table!" &amp; $X$171 &amp; $U18),0)),"",INDIRECT(CONCATENATE("Table!",ADDRESS($Q18,MATCH(F$1,INDIRECT("Table!A" &amp; $U18):INDIRECT("Table!" &amp; $X$171 &amp; $U18),0)))))</f>
        <v>60905.599999999999</v>
      </c>
      <c r="G18" s="33">
        <f ca="1">IF(ISERROR(MATCH(G$1,INDIRECT("Table!A"&amp;$U18):INDIRECT("Table!" &amp; $X$171 &amp; $U18),0)),"",INDIRECT(CONCATENATE("Table!",ADDRESS($Q18,MATCH(G$1,INDIRECT("Table!A" &amp; $U18):INDIRECT("Table!" &amp; $X$171 &amp; $U18),0)))))</f>
        <v>30629.1</v>
      </c>
      <c r="H18" s="33">
        <f ca="1">IF(ISERROR(MATCH(H$1,INDIRECT("Table!A"&amp;$U18):INDIRECT("Table!" &amp; $X$171 &amp; $U18),0)),"",INDIRECT(CONCATENATE("Table!",ADDRESS($Q18,MATCH(H$1,INDIRECT("Table!A" &amp; $U18):INDIRECT("Table!" &amp; $X$171 &amp; $U18),0)))))</f>
        <v>48141.8</v>
      </c>
      <c r="I18" s="33">
        <f ca="1">IF(ISERROR(MATCH(I$1,INDIRECT("Table!A"&amp;$U18):INDIRECT("Table!" &amp; $X$171 &amp; $U18),0)),"",INDIRECT(CONCATENATE("Table!",ADDRESS($Q18,MATCH(I$1,INDIRECT("Table!A" &amp; $U18):INDIRECT("Table!" &amp; $X$171 &amp; $U18),0)))))</f>
        <v>147226.1</v>
      </c>
      <c r="J18" s="33">
        <f ca="1">IF(ISERROR(MATCH(J$1,INDIRECT("Table!A"&amp;$U18):INDIRECT("Table!" &amp; $X$171 &amp; $U18),0)),"",INDIRECT(CONCATENATE("Table!",ADDRESS($Q18,MATCH(J$1,INDIRECT("Table!A" &amp; $U18):INDIRECT("Table!" &amp; $X$171 &amp; $U18),0)))))</f>
        <v>37466.199999999997</v>
      </c>
      <c r="K18" s="33">
        <f ca="1">IF(ISERROR(MATCH(K$1,INDIRECT("Table!A"&amp;$U18):INDIRECT("Table!" &amp; $X$171 &amp; $U18),0)),"",INDIRECT(CONCATENATE("Table!",ADDRESS($Q18,MATCH(K$1,INDIRECT("Table!A" &amp; $U18):INDIRECT("Table!" &amp; $X$171 &amp; $U18),0)))))</f>
        <v>32009.200000000001</v>
      </c>
      <c r="L18" s="33">
        <f ca="1">IF(ISERROR(MATCH(L$1,INDIRECT("Table!A"&amp;$U18):INDIRECT("Table!" &amp; $X$171 &amp; $U18),0)),"",INDIRECT(CONCATENATE("Table!",ADDRESS($Q18,MATCH(L$1,INDIRECT("Table!A" &amp; $U18):INDIRECT("Table!" &amp; $X$171 &amp; $U18),0)))))</f>
        <v>98436.7</v>
      </c>
      <c r="M18" s="33">
        <f ca="1">IF(ISERROR(MATCH(M$1,INDIRECT("Table!A"&amp;$U18):INDIRECT("Table!" &amp; $X$171 &amp; $U18),0)),"",INDIRECT(CONCATENATE("Table!",ADDRESS($Q18,MATCH(M$1,INDIRECT("Table!A" &amp; $U18):INDIRECT("Table!" &amp; $X$171 &amp; $U18),0)))))</f>
        <v>20795</v>
      </c>
      <c r="N18" s="268"/>
      <c r="O18" s="268"/>
      <c r="P18" s="268"/>
      <c r="Q18" s="31">
        <f>MATCH($A18,Table!$A:$A,0)+$S$14-1</f>
        <v>273</v>
      </c>
      <c r="R18" s="268"/>
      <c r="S18" s="268"/>
      <c r="T18" s="268"/>
      <c r="U18" s="31">
        <f>MATCH($A18,Table!$A:$A,0)+$W$2-1</f>
        <v>259</v>
      </c>
      <c r="V18" s="268"/>
      <c r="W18" s="268"/>
      <c r="X18" s="372" t="s">
        <v>209</v>
      </c>
    </row>
    <row r="19" spans="1:24" ht="19.5" customHeight="1">
      <c r="A19" s="5">
        <v>41232</v>
      </c>
      <c r="B19" s="33">
        <f ca="1">IF(ISERROR(MATCH(B$1,INDIRECT("Table!A"&amp;$U19):INDIRECT("Table!" &amp; $X$171 &amp; $U19),0)),"",INDIRECT(CONCATENATE("Table!",ADDRESS($Q19,MATCH(B$1,INDIRECT("Table!A" &amp; $U19):INDIRECT("Table!" &amp; $X$171 &amp; $U19),0)))))</f>
        <v>55627.7</v>
      </c>
      <c r="C19" s="33">
        <f ca="1">IF(ISERROR(MATCH(C$1,INDIRECT("Table!A"&amp;$U19):INDIRECT("Table!" &amp; $X$171 &amp; $U19),0)),"",INDIRECT(CONCATENATE("Table!",ADDRESS($Q19,MATCH(C$1,INDIRECT("Table!A" &amp; $U19):INDIRECT("Table!" &amp; $X$171 &amp; $U19),0)))))</f>
        <v>73841</v>
      </c>
      <c r="D19" s="33">
        <f ca="1">IF(ISERROR(MATCH(D$1,INDIRECT("Table!A"&amp;$U19):INDIRECT("Table!" &amp; $X$171 &amp; $U19),0)),"",INDIRECT(CONCATENATE("Table!",ADDRESS($Q19,MATCH(D$1,INDIRECT("Table!A" &amp; $U19):INDIRECT("Table!" &amp; $X$171 &amp; $U19),0)))))</f>
        <v>75268</v>
      </c>
      <c r="E19" s="33">
        <f ca="1">IF(ISERROR(MATCH(E$1,INDIRECT("Table!A"&amp;$U19):INDIRECT("Table!" &amp; $X$171 &amp; $U19),0)),"",INDIRECT(CONCATENATE("Table!",ADDRESS($Q19,MATCH(E$1,INDIRECT("Table!A" &amp; $U19):INDIRECT("Table!" &amp; $X$171 &amp; $U19),0)))))</f>
        <v>158586.5</v>
      </c>
      <c r="F19" s="33">
        <f ca="1">IF(ISERROR(MATCH(F$1,INDIRECT("Table!A"&amp;$U19):INDIRECT("Table!" &amp; $X$171 &amp; $U19),0)),"",INDIRECT(CONCATENATE("Table!",ADDRESS($Q19,MATCH(F$1,INDIRECT("Table!A" &amp; $U19):INDIRECT("Table!" &amp; $X$171 &amp; $U19),0)))))</f>
        <v>60477.4</v>
      </c>
      <c r="G19" s="33">
        <f ca="1">IF(ISERROR(MATCH(G$1,INDIRECT("Table!A"&amp;$U19):INDIRECT("Table!" &amp; $X$171 &amp; $U19),0)),"",INDIRECT(CONCATENATE("Table!",ADDRESS($Q19,MATCH(G$1,INDIRECT("Table!A" &amp; $U19):INDIRECT("Table!" &amp; $X$171 &amp; $U19),0)))))</f>
        <v>34199.199999999997</v>
      </c>
      <c r="H19" s="33">
        <f ca="1">IF(ISERROR(MATCH(H$1,INDIRECT("Table!A"&amp;$U19):INDIRECT("Table!" &amp; $X$171 &amp; $U19),0)),"",INDIRECT(CONCATENATE("Table!",ADDRESS($Q19,MATCH(H$1,INDIRECT("Table!A" &amp; $U19):INDIRECT("Table!" &amp; $X$171 &amp; $U19),0)))))</f>
        <v>48045.9</v>
      </c>
      <c r="I19" s="33">
        <f ca="1">IF(ISERROR(MATCH(I$1,INDIRECT("Table!A"&amp;$U19):INDIRECT("Table!" &amp; $X$171 &amp; $U19),0)),"",INDIRECT(CONCATENATE("Table!",ADDRESS($Q19,MATCH(I$1,INDIRECT("Table!A" &amp; $U19):INDIRECT("Table!" &amp; $X$171 &amp; $U19),0)))))</f>
        <v>147015.4</v>
      </c>
      <c r="J19" s="33">
        <f ca="1">IF(ISERROR(MATCH(J$1,INDIRECT("Table!A"&amp;$U19):INDIRECT("Table!" &amp; $X$171 &amp; $U19),0)),"",INDIRECT(CONCATENATE("Table!",ADDRESS($Q19,MATCH(J$1,INDIRECT("Table!A" &amp; $U19):INDIRECT("Table!" &amp; $X$171 &amp; $U19),0)))))</f>
        <v>37379</v>
      </c>
      <c r="K19" s="33">
        <f ca="1">IF(ISERROR(MATCH(K$1,INDIRECT("Table!A"&amp;$U19):INDIRECT("Table!" &amp; $X$171 &amp; $U19),0)),"",INDIRECT(CONCATENATE("Table!",ADDRESS($Q19,MATCH(K$1,INDIRECT("Table!A" &amp; $U19):INDIRECT("Table!" &amp; $X$171 &amp; $U19),0)))))</f>
        <v>31465</v>
      </c>
      <c r="L19" s="33">
        <f ca="1">IF(ISERROR(MATCH(L$1,INDIRECT("Table!A"&amp;$U19):INDIRECT("Table!" &amp; $X$171 &amp; $U19),0)),"",INDIRECT(CONCATENATE("Table!",ADDRESS($Q19,MATCH(L$1,INDIRECT("Table!A" &amp; $U19):INDIRECT("Table!" &amp; $X$171 &amp; $U19),0)))))</f>
        <v>98245.3</v>
      </c>
      <c r="M19" s="33">
        <f ca="1">IF(ISERROR(MATCH(M$1,INDIRECT("Table!A"&amp;$U19):INDIRECT("Table!" &amp; $X$171 &amp; $U19),0)),"",INDIRECT(CONCATENATE("Table!",ADDRESS($Q19,MATCH(M$1,INDIRECT("Table!A" &amp; $U19):INDIRECT("Table!" &amp; $X$171 &amp; $U19),0)))))</f>
        <v>20795</v>
      </c>
      <c r="N19" s="267"/>
      <c r="O19" s="267"/>
      <c r="P19" s="267"/>
      <c r="Q19" s="31">
        <f>MATCH($A19,Table!$A:$A,0)+$S$14-1</f>
        <v>285</v>
      </c>
      <c r="R19" s="267"/>
      <c r="S19" s="267"/>
      <c r="T19" s="267"/>
      <c r="U19" s="31">
        <f>MATCH($A19,Table!$A:$A,0)+$W$2-1</f>
        <v>271</v>
      </c>
      <c r="V19" s="267"/>
      <c r="W19" s="267"/>
      <c r="X19" s="372" t="s">
        <v>209</v>
      </c>
    </row>
    <row r="20" spans="1:24" ht="19.5" customHeight="1">
      <c r="A20" s="5">
        <v>41227</v>
      </c>
      <c r="B20" s="33">
        <f ca="1">IF(ISERROR(MATCH(B$1,INDIRECT("Table!A"&amp;$U20):INDIRECT("Table!" &amp; $X$171 &amp; $U20),0)),"",INDIRECT(CONCATENATE("Table!",ADDRESS($Q20,MATCH(B$1,INDIRECT("Table!A" &amp; $U20):INDIRECT("Table!" &amp; $X$171 &amp; $U20),0)))))</f>
        <v>55783.7</v>
      </c>
      <c r="C20" s="33">
        <f ca="1">IF(ISERROR(MATCH(C$1,INDIRECT("Table!A"&amp;$U20):INDIRECT("Table!" &amp; $X$171 &amp; $U20),0)),"",INDIRECT(CONCATENATE("Table!",ADDRESS($Q20,MATCH(C$1,INDIRECT("Table!A" &amp; $U20):INDIRECT("Table!" &amp; $X$171 &amp; $U20),0)))))</f>
        <v>73738.7</v>
      </c>
      <c r="D20" s="33">
        <f ca="1">IF(ISERROR(MATCH(D$1,INDIRECT("Table!A"&amp;$U20):INDIRECT("Table!" &amp; $X$171 &amp; $U20),0)),"",INDIRECT(CONCATENATE("Table!",ADDRESS($Q20,MATCH(D$1,INDIRECT("Table!A" &amp; $U20):INDIRECT("Table!" &amp; $X$171 &amp; $U20),0)))))</f>
        <v>75165.7</v>
      </c>
      <c r="E20" s="33">
        <f ca="1">IF(ISERROR(MATCH(E$1,INDIRECT("Table!A"&amp;$U20):INDIRECT("Table!" &amp; $X$171 &amp; $U20),0)),"",INDIRECT(CONCATENATE("Table!",ADDRESS($Q20,MATCH(E$1,INDIRECT("Table!A" &amp; $U20):INDIRECT("Table!" &amp; $X$171 &amp; $U20),0)))))</f>
        <v>158449.60000000001</v>
      </c>
      <c r="F20" s="33">
        <f ca="1">IF(ISERROR(MATCH(F$1,INDIRECT("Table!A"&amp;$U20):INDIRECT("Table!" &amp; $X$171 &amp; $U20),0)),"",INDIRECT(CONCATENATE("Table!",ADDRESS($Q20,MATCH(F$1,INDIRECT("Table!A" &amp; $U20):INDIRECT("Table!" &amp; $X$171 &amp; $U20),0)))))</f>
        <v>60313.9</v>
      </c>
      <c r="G20" s="33">
        <f ca="1">IF(ISERROR(MATCH(G$1,INDIRECT("Table!A"&amp;$U20):INDIRECT("Table!" &amp; $X$171 &amp; $U20),0)),"",INDIRECT(CONCATENATE("Table!",ADDRESS($Q20,MATCH(G$1,INDIRECT("Table!A" &amp; $U20):INDIRECT("Table!" &amp; $X$171 &amp; $U20),0)))))</f>
        <v>36558</v>
      </c>
      <c r="H20" s="33">
        <f ca="1">IF(ISERROR(MATCH(H$1,INDIRECT("Table!A"&amp;$U20):INDIRECT("Table!" &amp; $X$171 &amp; $U20),0)),"",INDIRECT(CONCATENATE("Table!",ADDRESS($Q20,MATCH(H$1,INDIRECT("Table!A" &amp; $U20):INDIRECT("Table!" &amp; $X$171 &amp; $U20),0)))))</f>
        <v>47977.7</v>
      </c>
      <c r="I20" s="33">
        <f ca="1">IF(ISERROR(MATCH(I$1,INDIRECT("Table!A"&amp;$U20):INDIRECT("Table!" &amp; $X$171 &amp; $U20),0)),"",INDIRECT(CONCATENATE("Table!",ADDRESS($Q20,MATCH(I$1,INDIRECT("Table!A" &amp; $U20):INDIRECT("Table!" &amp; $X$171 &amp; $U20),0)))))</f>
        <v>146922.29999999999</v>
      </c>
      <c r="J20" s="33">
        <f ca="1">IF(ISERROR(MATCH(J$1,INDIRECT("Table!A"&amp;$U20):INDIRECT("Table!" &amp; $X$171 &amp; $U20),0)),"",INDIRECT(CONCATENATE("Table!",ADDRESS($Q20,MATCH(J$1,INDIRECT("Table!A" &amp; $U20):INDIRECT("Table!" &amp; $X$171 &amp; $U20),0)))))</f>
        <v>37088.9</v>
      </c>
      <c r="K20" s="33">
        <f ca="1">IF(ISERROR(MATCH(K$1,INDIRECT("Table!A"&amp;$U20):INDIRECT("Table!" &amp; $X$171 &amp; $U20),0)),"",INDIRECT(CONCATENATE("Table!",ADDRESS($Q20,MATCH(K$1,INDIRECT("Table!A" &amp; $U20):INDIRECT("Table!" &amp; $X$171 &amp; $U20),0)))))</f>
        <v>31381.8</v>
      </c>
      <c r="L20" s="33">
        <f ca="1">IF(ISERROR(MATCH(L$1,INDIRECT("Table!A"&amp;$U20):INDIRECT("Table!" &amp; $X$171 &amp; $U20),0)),"",INDIRECT(CONCATENATE("Table!",ADDRESS($Q20,MATCH(L$1,INDIRECT("Table!A" &amp; $U20):INDIRECT("Table!" &amp; $X$171 &amp; $U20),0)))))</f>
        <v>98115.5</v>
      </c>
      <c r="M20" s="33">
        <f ca="1">IF(ISERROR(MATCH(M$1,INDIRECT("Table!A"&amp;$U20):INDIRECT("Table!" &amp; $X$171 &amp; $U20),0)),"",INDIRECT(CONCATENATE("Table!",ADDRESS($Q20,MATCH(M$1,INDIRECT("Table!A" &amp; $U20):INDIRECT("Table!" &amp; $X$171 &amp; $U20),0)))))</f>
        <v>20795</v>
      </c>
      <c r="N20" s="266"/>
      <c r="O20" s="266"/>
      <c r="P20" s="266"/>
      <c r="Q20" s="31">
        <f>MATCH($A20,Table!$A:$A,0)+$S$14-1</f>
        <v>297</v>
      </c>
      <c r="R20" s="266"/>
      <c r="S20" s="266"/>
      <c r="T20" s="266"/>
      <c r="U20" s="31">
        <f>MATCH($A20,Table!$A:$A,0)+$W$2-1</f>
        <v>283</v>
      </c>
      <c r="V20" s="266"/>
      <c r="W20" s="266"/>
      <c r="X20" s="372" t="s">
        <v>209</v>
      </c>
    </row>
    <row r="21" spans="1:24" ht="19.5" customHeight="1">
      <c r="A21" s="5">
        <v>41225</v>
      </c>
      <c r="B21" s="33">
        <f ca="1">IF(ISERROR(MATCH(B$1,INDIRECT("Table!A"&amp;$U21):INDIRECT("Table!" &amp; $X$171 &amp; $U21),0)),"",INDIRECT(CONCATENATE("Table!",ADDRESS($Q21,MATCH(B$1,INDIRECT("Table!A" &amp; $U21):INDIRECT("Table!" &amp; $X$171 &amp; $U21),0)))))</f>
        <v>62457.1</v>
      </c>
      <c r="C21" s="33">
        <f ca="1">IF(ISERROR(MATCH(C$1,INDIRECT("Table!A"&amp;$U21):INDIRECT("Table!" &amp; $X$171 &amp; $U21),0)),"",INDIRECT(CONCATENATE("Table!",ADDRESS($Q21,MATCH(C$1,INDIRECT("Table!A" &amp; $U21):INDIRECT("Table!" &amp; $X$171 &amp; $U21),0)))))</f>
        <v>73564.2</v>
      </c>
      <c r="D21" s="33">
        <f ca="1">IF(ISERROR(MATCH(D$1,INDIRECT("Table!A"&amp;$U21):INDIRECT("Table!" &amp; $X$171 &amp; $U21),0)),"",INDIRECT(CONCATENATE("Table!",ADDRESS($Q21,MATCH(D$1,INDIRECT("Table!A" &amp; $U21):INDIRECT("Table!" &amp; $X$171 &amp; $U21),0)))))</f>
        <v>74991.3</v>
      </c>
      <c r="E21" s="33">
        <f ca="1">IF(ISERROR(MATCH(E$1,INDIRECT("Table!A"&amp;$U21):INDIRECT("Table!" &amp; $X$171 &amp; $U21),0)),"",INDIRECT(CONCATENATE("Table!",ADDRESS($Q21,MATCH(E$1,INDIRECT("Table!A" &amp; $U21):INDIRECT("Table!" &amp; $X$171 &amp; $U21),0)))))</f>
        <v>158263.79999999999</v>
      </c>
      <c r="F21" s="33">
        <f ca="1">IF(ISERROR(MATCH(F$1,INDIRECT("Table!A"&amp;$U21):INDIRECT("Table!" &amp; $X$171 &amp; $U21),0)),"",INDIRECT(CONCATENATE("Table!",ADDRESS($Q21,MATCH(F$1,INDIRECT("Table!A" &amp; $U21):INDIRECT("Table!" &amp; $X$171 &amp; $U21),0)))))</f>
        <v>60005</v>
      </c>
      <c r="G21" s="33">
        <f ca="1">IF(ISERROR(MATCH(G$1,INDIRECT("Table!A"&amp;$U21):INDIRECT("Table!" &amp; $X$171 &amp; $U21),0)),"",INDIRECT(CONCATENATE("Table!",ADDRESS($Q21,MATCH(G$1,INDIRECT("Table!A" &amp; $U21):INDIRECT("Table!" &amp; $X$171 &amp; $U21),0)))))</f>
        <v>38091.1</v>
      </c>
      <c r="H21" s="33">
        <f ca="1">IF(ISERROR(MATCH(H$1,INDIRECT("Table!A"&amp;$U21):INDIRECT("Table!" &amp; $X$171 &amp; $U21),0)),"",INDIRECT(CONCATENATE("Table!",ADDRESS($Q21,MATCH(H$1,INDIRECT("Table!A" &amp; $U21):INDIRECT("Table!" &amp; $X$171 &amp; $U21),0)))))</f>
        <v>47809.4</v>
      </c>
      <c r="I21" s="33">
        <f ca="1">IF(ISERROR(MATCH(I$1,INDIRECT("Table!A"&amp;$U21):INDIRECT("Table!" &amp; $X$171 &amp; $U21),0)),"",INDIRECT(CONCATENATE("Table!",ADDRESS($Q21,MATCH(I$1,INDIRECT("Table!A" &amp; $U21):INDIRECT("Table!" &amp; $X$171 &amp; $U21),0)))))</f>
        <v>146582.29999999999</v>
      </c>
      <c r="J21" s="33">
        <f ca="1">IF(ISERROR(MATCH(J$1,INDIRECT("Table!A"&amp;$U21):INDIRECT("Table!" &amp; $X$171 &amp; $U21),0)),"",INDIRECT(CONCATENATE("Table!",ADDRESS($Q21,MATCH(J$1,INDIRECT("Table!A" &amp; $U21):INDIRECT("Table!" &amp; $X$171 &amp; $U21),0)))))</f>
        <v>41645.800000000003</v>
      </c>
      <c r="K21" s="33">
        <f ca="1">IF(ISERROR(MATCH(K$1,INDIRECT("Table!A"&amp;$U21):INDIRECT("Table!" &amp; $X$171 &amp; $U21),0)),"",INDIRECT(CONCATENATE("Table!",ADDRESS($Q21,MATCH(K$1,INDIRECT("Table!A" &amp; $U21):INDIRECT("Table!" &amp; $X$171 &amp; $U21),0)))))</f>
        <v>31223.3</v>
      </c>
      <c r="L21" s="33">
        <f ca="1">IF(ISERROR(MATCH(L$1,INDIRECT("Table!A"&amp;$U21):INDIRECT("Table!" &amp; $X$171 &amp; $U21),0)),"",INDIRECT(CONCATENATE("Table!",ADDRESS($Q21,MATCH(L$1,INDIRECT("Table!A" &amp; $U21):INDIRECT("Table!" &amp; $X$171 &amp; $U21),0)))))</f>
        <v>97855.1</v>
      </c>
      <c r="M21" s="33">
        <f ca="1">IF(ISERROR(MATCH(M$1,INDIRECT("Table!A"&amp;$U21):INDIRECT("Table!" &amp; $X$171 &amp; $U21),0)),"",INDIRECT(CONCATENATE("Table!",ADDRESS($Q21,MATCH(M$1,INDIRECT("Table!A" &amp; $U21):INDIRECT("Table!" &amp; $X$171 &amp; $U21),0)))))</f>
        <v>20795</v>
      </c>
      <c r="N21" s="265"/>
      <c r="O21" s="265"/>
      <c r="P21" s="265"/>
      <c r="Q21" s="31">
        <f>MATCH($A21,Table!$A:$A,0)+$S$14-1</f>
        <v>309</v>
      </c>
      <c r="R21" s="265"/>
      <c r="S21" s="265"/>
      <c r="T21" s="265"/>
      <c r="U21" s="31">
        <f>MATCH($A21,Table!$A:$A,0)+$W$2-1</f>
        <v>295</v>
      </c>
      <c r="V21" s="265"/>
      <c r="W21" s="265"/>
      <c r="X21" s="372" t="s">
        <v>209</v>
      </c>
    </row>
    <row r="22" spans="1:24" ht="19.5" customHeight="1">
      <c r="A22" s="5">
        <v>41221</v>
      </c>
      <c r="B22" s="33">
        <f ca="1">IF(ISERROR(MATCH(B$1,INDIRECT("Table!A"&amp;$U22):INDIRECT("Table!" &amp; $X$171 &amp; $U22),0)),"",INDIRECT(CONCATENATE("Table!",ADDRESS($Q22,MATCH(B$1,INDIRECT("Table!A" &amp; $U22):INDIRECT("Table!" &amp; $X$171 &amp; $U22),0)))))</f>
        <v>63919.6</v>
      </c>
      <c r="C22" s="33">
        <f ca="1">IF(ISERROR(MATCH(C$1,INDIRECT("Table!A"&amp;$U22):INDIRECT("Table!" &amp; $X$171 &amp; $U22),0)),"",INDIRECT(CONCATENATE("Table!",ADDRESS($Q22,MATCH(C$1,INDIRECT("Table!A" &amp; $U22):INDIRECT("Table!" &amp; $X$171 &amp; $U22),0)))))</f>
        <v>73539.399999999994</v>
      </c>
      <c r="D22" s="33">
        <f ca="1">IF(ISERROR(MATCH(D$1,INDIRECT("Table!A"&amp;$U22):INDIRECT("Table!" &amp; $X$171 &amp; $U22),0)),"",INDIRECT(CONCATENATE("Table!",ADDRESS($Q22,MATCH(D$1,INDIRECT("Table!A" &amp; $U22):INDIRECT("Table!" &amp; $X$171 &amp; $U22),0)))))</f>
        <v>74966.7</v>
      </c>
      <c r="E22" s="33">
        <f ca="1">IF(ISERROR(MATCH(E$1,INDIRECT("Table!A"&amp;$U22):INDIRECT("Table!" &amp; $X$171 &amp; $U22),0)),"",INDIRECT(CONCATENATE("Table!",ADDRESS($Q22,MATCH(E$1,INDIRECT("Table!A" &amp; $U22):INDIRECT("Table!" &amp; $X$171 &amp; $U22),0)))))</f>
        <v>158054.20000000001</v>
      </c>
      <c r="F22" s="33">
        <f ca="1">IF(ISERROR(MATCH(F$1,INDIRECT("Table!A"&amp;$U22):INDIRECT("Table!" &amp; $X$171 &amp; $U22),0)),"",INDIRECT(CONCATENATE("Table!",ADDRESS($Q22,MATCH(F$1,INDIRECT("Table!A" &amp; $U22):INDIRECT("Table!" &amp; $X$171 &amp; $U22),0)))))</f>
        <v>59708.1</v>
      </c>
      <c r="G22" s="33">
        <f ca="1">IF(ISERROR(MATCH(G$1,INDIRECT("Table!A"&amp;$U22):INDIRECT("Table!" &amp; $X$171 &amp; $U22),0)),"",INDIRECT(CONCATENATE("Table!",ADDRESS($Q22,MATCH(G$1,INDIRECT("Table!A" &amp; $U22):INDIRECT("Table!" &amp; $X$171 &amp; $U22),0)))))</f>
        <v>39024.199999999997</v>
      </c>
      <c r="H22" s="33">
        <f ca="1">IF(ISERROR(MATCH(H$1,INDIRECT("Table!A"&amp;$U22):INDIRECT("Table!" &amp; $X$171 &amp; $U22),0)),"",INDIRECT(CONCATENATE("Table!",ADDRESS($Q22,MATCH(H$1,INDIRECT("Table!A" &amp; $U22):INDIRECT("Table!" &amp; $X$171 &amp; $U22),0)))))</f>
        <v>47764.2</v>
      </c>
      <c r="I22" s="33">
        <f ca="1">IF(ISERROR(MATCH(I$1,INDIRECT("Table!A"&amp;$U22):INDIRECT("Table!" &amp; $X$171 &amp; $U22),0)),"",INDIRECT(CONCATENATE("Table!",ADDRESS($Q22,MATCH(I$1,INDIRECT("Table!A" &amp; $U22):INDIRECT("Table!" &amp; $X$171 &amp; $U22),0)))))</f>
        <v>146504.20000000001</v>
      </c>
      <c r="J22" s="33">
        <f ca="1">IF(ISERROR(MATCH(J$1,INDIRECT("Table!A"&amp;$U22):INDIRECT("Table!" &amp; $X$171 &amp; $U22),0)),"",INDIRECT(CONCATENATE("Table!",ADDRESS($Q22,MATCH(J$1,INDIRECT("Table!A" &amp; $U22):INDIRECT("Table!" &amp; $X$171 &amp; $U22),0)))))</f>
        <v>38574.699999999997</v>
      </c>
      <c r="K22" s="33">
        <f ca="1">IF(ISERROR(MATCH(K$1,INDIRECT("Table!A"&amp;$U22):INDIRECT("Table!" &amp; $X$171 &amp; $U22),0)),"",INDIRECT(CONCATENATE("Table!",ADDRESS($Q22,MATCH(K$1,INDIRECT("Table!A" &amp; $U22):INDIRECT("Table!" &amp; $X$171 &amp; $U22),0)))))</f>
        <v>31068.400000000001</v>
      </c>
      <c r="L22" s="33">
        <f ca="1">IF(ISERROR(MATCH(L$1,INDIRECT("Table!A"&amp;$U22):INDIRECT("Table!" &amp; $X$171 &amp; $U22),0)),"",INDIRECT(CONCATENATE("Table!",ADDRESS($Q22,MATCH(L$1,INDIRECT("Table!A" &amp; $U22):INDIRECT("Table!" &amp; $X$171 &amp; $U22),0)))))</f>
        <v>97775.9</v>
      </c>
      <c r="M22" s="33">
        <f ca="1">IF(ISERROR(MATCH(M$1,INDIRECT("Table!A"&amp;$U22):INDIRECT("Table!" &amp; $X$171 &amp; $U22),0)),"",INDIRECT(CONCATENATE("Table!",ADDRESS($Q22,MATCH(M$1,INDIRECT("Table!A" &amp; $U22):INDIRECT("Table!" &amp; $X$171 &amp; $U22),0)))))</f>
        <v>20795</v>
      </c>
      <c r="N22" s="264"/>
      <c r="O22" s="264"/>
      <c r="P22" s="264"/>
      <c r="Q22" s="31">
        <f>MATCH($A22,Table!$A:$A,0)+$S$14-1</f>
        <v>321</v>
      </c>
      <c r="R22" s="264"/>
      <c r="S22" s="264"/>
      <c r="T22" s="264"/>
      <c r="U22" s="31">
        <f>MATCH($A22,Table!$A:$A,0)+$W$2-1</f>
        <v>307</v>
      </c>
      <c r="V22" s="264"/>
      <c r="W22" s="264"/>
      <c r="X22" s="372" t="s">
        <v>209</v>
      </c>
    </row>
    <row r="23" spans="1:24" ht="19.5" customHeight="1">
      <c r="A23" s="5">
        <v>41220</v>
      </c>
      <c r="B23" s="33">
        <f ca="1">IF(ISERROR(MATCH(B$1,INDIRECT("Table!A"&amp;$U23):INDIRECT("Table!" &amp; $X$171 &amp; $U23),0)),"",INDIRECT(CONCATENATE("Table!",ADDRESS($Q23,MATCH(B$1,INDIRECT("Table!A" &amp; $U23):INDIRECT("Table!" &amp; $X$171 &amp; $U23),0)))))</f>
        <v>65815.899999999994</v>
      </c>
      <c r="C23" s="33">
        <f ca="1">IF(ISERROR(MATCH(C$1,INDIRECT("Table!A"&amp;$U23):INDIRECT("Table!" &amp; $X$171 &amp; $U23),0)),"",INDIRECT(CONCATENATE("Table!",ADDRESS($Q23,MATCH(C$1,INDIRECT("Table!A" &amp; $U23):INDIRECT("Table!" &amp; $X$171 &amp; $U23),0)))))</f>
        <v>73530.5</v>
      </c>
      <c r="D23" s="33">
        <f ca="1">IF(ISERROR(MATCH(D$1,INDIRECT("Table!A"&amp;$U23):INDIRECT("Table!" &amp; $X$171 &amp; $U23),0)),"",INDIRECT(CONCATENATE("Table!",ADDRESS($Q23,MATCH(D$1,INDIRECT("Table!A" &amp; $U23):INDIRECT("Table!" &amp; $X$171 &amp; $U23),0)))))</f>
        <v>74962</v>
      </c>
      <c r="E23" s="33">
        <f ca="1">IF(ISERROR(MATCH(E$1,INDIRECT("Table!A"&amp;$U23):INDIRECT("Table!" &amp; $X$171 &amp; $U23),0)),"",INDIRECT(CONCATENATE("Table!",ADDRESS($Q23,MATCH(E$1,INDIRECT("Table!A" &amp; $U23):INDIRECT("Table!" &amp; $X$171 &amp; $U23),0)))))</f>
        <v>157992.1</v>
      </c>
      <c r="F23" s="33">
        <f ca="1">IF(ISERROR(MATCH(F$1,INDIRECT("Table!A"&amp;$U23):INDIRECT("Table!" &amp; $X$171 &amp; $U23),0)),"",INDIRECT(CONCATENATE("Table!",ADDRESS($Q23,MATCH(F$1,INDIRECT("Table!A" &amp; $U23):INDIRECT("Table!" &amp; $X$171 &amp; $U23),0)))))</f>
        <v>59632</v>
      </c>
      <c r="G23" s="33">
        <f ca="1">IF(ISERROR(MATCH(G$1,INDIRECT("Table!A"&amp;$U23):INDIRECT("Table!" &amp; $X$171 &amp; $U23),0)),"",INDIRECT(CONCATENATE("Table!",ADDRESS($Q23,MATCH(G$1,INDIRECT("Table!A" &amp; $U23):INDIRECT("Table!" &amp; $X$171 &amp; $U23),0)))))</f>
        <v>39819.9</v>
      </c>
      <c r="H23" s="33">
        <f ca="1">IF(ISERROR(MATCH(H$1,INDIRECT("Table!A"&amp;$U23):INDIRECT("Table!" &amp; $X$171 &amp; $U23),0)),"",INDIRECT(CONCATENATE("Table!",ADDRESS($Q23,MATCH(H$1,INDIRECT("Table!A" &amp; $U23):INDIRECT("Table!" &amp; $X$171 &amp; $U23),0)))))</f>
        <v>47754.1</v>
      </c>
      <c r="I23" s="33">
        <f ca="1">IF(ISERROR(MATCH(I$1,INDIRECT("Table!A"&amp;$U23):INDIRECT("Table!" &amp; $X$171 &amp; $U23),0)),"",INDIRECT(CONCATENATE("Table!",ADDRESS($Q23,MATCH(I$1,INDIRECT("Table!A" &amp; $U23):INDIRECT("Table!" &amp; $X$171 &amp; $U23),0)))))</f>
        <v>146493.20000000001</v>
      </c>
      <c r="J23" s="33">
        <f ca="1">IF(ISERROR(MATCH(J$1,INDIRECT("Table!A"&amp;$U23):INDIRECT("Table!" &amp; $X$171 &amp; $U23),0)),"",INDIRECT(CONCATENATE("Table!",ADDRESS($Q23,MATCH(J$1,INDIRECT("Table!A" &amp; $U23):INDIRECT("Table!" &amp; $X$171 &amp; $U23),0)))))</f>
        <v>38342.800000000003</v>
      </c>
      <c r="K23" s="33">
        <f ca="1">IF(ISERROR(MATCH(K$1,INDIRECT("Table!A"&amp;$U23):INDIRECT("Table!" &amp; $X$171 &amp; $U23),0)),"",INDIRECT(CONCATENATE("Table!",ADDRESS($Q23,MATCH(K$1,INDIRECT("Table!A" &amp; $U23):INDIRECT("Table!" &amp; $X$171 &amp; $U23),0)))))</f>
        <v>31030.2</v>
      </c>
      <c r="L23" s="33">
        <f ca="1">IF(ISERROR(MATCH(L$1,INDIRECT("Table!A"&amp;$U23):INDIRECT("Table!" &amp; $X$171 &amp; $U23),0)),"",INDIRECT(CONCATENATE("Table!",ADDRESS($Q23,MATCH(L$1,INDIRECT("Table!A" &amp; $U23):INDIRECT("Table!" &amp; $X$171 &amp; $U23),0)))))</f>
        <v>97755.6</v>
      </c>
      <c r="M23" s="33">
        <f ca="1">IF(ISERROR(MATCH(M$1,INDIRECT("Table!A"&amp;$U23):INDIRECT("Table!" &amp; $X$171 &amp; $U23),0)),"",INDIRECT(CONCATENATE("Table!",ADDRESS($Q23,MATCH(M$1,INDIRECT("Table!A" &amp; $U23):INDIRECT("Table!" &amp; $X$171 &amp; $U23),0)))))</f>
        <v>20795</v>
      </c>
      <c r="N23" s="263"/>
      <c r="O23" s="263"/>
      <c r="P23" s="263"/>
      <c r="Q23" s="31">
        <f>MATCH($A23,Table!$A:$A,0)+$S$14-1</f>
        <v>333</v>
      </c>
      <c r="R23" s="263"/>
      <c r="S23" s="263"/>
      <c r="T23" s="263"/>
      <c r="U23" s="31">
        <f>MATCH($A23,Table!$A:$A,0)+$W$2-1</f>
        <v>319</v>
      </c>
      <c r="V23" s="263"/>
      <c r="W23" s="263"/>
      <c r="X23" s="372" t="s">
        <v>209</v>
      </c>
    </row>
    <row r="24" spans="1:24" ht="19.5" customHeight="1">
      <c r="A24" s="5">
        <v>41219</v>
      </c>
      <c r="B24" s="33">
        <f ca="1">IF(ISERROR(MATCH(B$1,INDIRECT("Table!A"&amp;$U24):INDIRECT("Table!" &amp; $X$171 &amp; $U24),0)),"",INDIRECT(CONCATENATE("Table!",ADDRESS($Q24,MATCH(B$1,INDIRECT("Table!A" &amp; $U24):INDIRECT("Table!" &amp; $X$171 &amp; $U24),0)))))</f>
        <v>67593</v>
      </c>
      <c r="C24" s="33">
        <f ca="1">IF(ISERROR(MATCH(C$1,INDIRECT("Table!A"&amp;$U24):INDIRECT("Table!" &amp; $X$171 &amp; $U24),0)),"",INDIRECT(CONCATENATE("Table!",ADDRESS($Q24,MATCH(C$1,INDIRECT("Table!A" &amp; $U24):INDIRECT("Table!" &amp; $X$171 &amp; $U24),0)))))</f>
        <v>73478.399999999994</v>
      </c>
      <c r="D24" s="33">
        <f ca="1">IF(ISERROR(MATCH(D$1,INDIRECT("Table!A"&amp;$U24):INDIRECT("Table!" &amp; $X$171 &amp; $U24),0)),"",INDIRECT(CONCATENATE("Table!",ADDRESS($Q24,MATCH(D$1,INDIRECT("Table!A" &amp; $U24):INDIRECT("Table!" &amp; $X$171 &amp; $U24),0)))))</f>
        <v>74921.399999999994</v>
      </c>
      <c r="E24" s="33">
        <f ca="1">IF(ISERROR(MATCH(E$1,INDIRECT("Table!A"&amp;$U24):INDIRECT("Table!" &amp; $X$171 &amp; $U24),0)),"",INDIRECT(CONCATENATE("Table!",ADDRESS($Q24,MATCH(E$1,INDIRECT("Table!A" &amp; $U24):INDIRECT("Table!" &amp; $X$171 &amp; $U24),0)))))</f>
        <v>161637.5</v>
      </c>
      <c r="F24" s="33">
        <f ca="1">IF(ISERROR(MATCH(F$1,INDIRECT("Table!A"&amp;$U24):INDIRECT("Table!" &amp; $X$171 &amp; $U24),0)),"",INDIRECT(CONCATENATE("Table!",ADDRESS($Q24,MATCH(F$1,INDIRECT("Table!A" &amp; $U24):INDIRECT("Table!" &amp; $X$171 &amp; $U24),0)))))</f>
        <v>59176.7</v>
      </c>
      <c r="G24" s="33">
        <f ca="1">IF(ISERROR(MATCH(G$1,INDIRECT("Table!A"&amp;$U24):INDIRECT("Table!" &amp; $X$171 &amp; $U24),0)),"",INDIRECT(CONCATENATE("Table!",ADDRESS($Q24,MATCH(G$1,INDIRECT("Table!A" &amp; $U24):INDIRECT("Table!" &amp; $X$171 &amp; $U24),0)))))</f>
        <v>40779.800000000003</v>
      </c>
      <c r="H24" s="33">
        <f ca="1">IF(ISERROR(MATCH(H$1,INDIRECT("Table!A"&amp;$U24):INDIRECT("Table!" &amp; $X$171 &amp; $U24),0)),"",INDIRECT(CONCATENATE("Table!",ADDRESS($Q24,MATCH(H$1,INDIRECT("Table!A" &amp; $U24):INDIRECT("Table!" &amp; $X$171 &amp; $U24),0)))))</f>
        <v>47374.6</v>
      </c>
      <c r="I24" s="33">
        <f ca="1">IF(ISERROR(MATCH(I$1,INDIRECT("Table!A"&amp;$U24):INDIRECT("Table!" &amp; $X$171 &amp; $U24),0)),"",INDIRECT(CONCATENATE("Table!",ADDRESS($Q24,MATCH(I$1,INDIRECT("Table!A" &amp; $U24):INDIRECT("Table!" &amp; $X$171 &amp; $U24),0)))))</f>
        <v>146156.79999999999</v>
      </c>
      <c r="J24" s="33">
        <f ca="1">IF(ISERROR(MATCH(J$1,INDIRECT("Table!A"&amp;$U24):INDIRECT("Table!" &amp; $X$171 &amp; $U24),0)),"",INDIRECT(CONCATENATE("Table!",ADDRESS($Q24,MATCH(J$1,INDIRECT("Table!A" &amp; $U24):INDIRECT("Table!" &amp; $X$171 &amp; $U24),0)))))</f>
        <v>38845.300000000003</v>
      </c>
      <c r="K24" s="33">
        <f ca="1">IF(ISERROR(MATCH(K$1,INDIRECT("Table!A"&amp;$U24):INDIRECT("Table!" &amp; $X$171 &amp; $U24),0)),"",INDIRECT(CONCATENATE("Table!",ADDRESS($Q24,MATCH(K$1,INDIRECT("Table!A" &amp; $U24):INDIRECT("Table!" &amp; $X$171 &amp; $U24),0)))))</f>
        <v>30785.9</v>
      </c>
      <c r="L24" s="33">
        <f ca="1">IF(ISERROR(MATCH(L$1,INDIRECT("Table!A"&amp;$U24):INDIRECT("Table!" &amp; $X$171 &amp; $U24),0)),"",INDIRECT(CONCATENATE("Table!",ADDRESS($Q24,MATCH(L$1,INDIRECT("Table!A" &amp; $U24):INDIRECT("Table!" &amp; $X$171 &amp; $U24),0)))))</f>
        <v>97591.4</v>
      </c>
      <c r="M24" s="33">
        <f ca="1">IF(ISERROR(MATCH(M$1,INDIRECT("Table!A"&amp;$U24):INDIRECT("Table!" &amp; $X$171 &amp; $U24),0)),"",INDIRECT(CONCATENATE("Table!",ADDRESS($Q24,MATCH(M$1,INDIRECT("Table!A" &amp; $U24):INDIRECT("Table!" &amp; $X$171 &amp; $U24),0)))))</f>
        <v>23055</v>
      </c>
      <c r="N24" s="263"/>
      <c r="O24" s="263"/>
      <c r="P24" s="263"/>
      <c r="Q24" s="31">
        <f>MATCH($A24,Table!$A:$A,0)+$S$14-1</f>
        <v>345</v>
      </c>
      <c r="R24" s="263"/>
      <c r="S24" s="263"/>
      <c r="T24" s="263"/>
      <c r="U24" s="31">
        <f>MATCH($A24,Table!$A:$A,0)+$W$2-1</f>
        <v>331</v>
      </c>
      <c r="V24" s="263"/>
      <c r="W24" s="263"/>
      <c r="X24" s="372" t="s">
        <v>209</v>
      </c>
    </row>
    <row r="25" spans="1:24" ht="19.5" customHeight="1">
      <c r="A25" s="5">
        <v>41215</v>
      </c>
      <c r="B25" s="33">
        <f ca="1">IF(ISERROR(MATCH(B$1,INDIRECT("Table!A"&amp;$U25):INDIRECT("Table!" &amp; $X$171 &amp; $U25),0)),"",INDIRECT(CONCATENATE("Table!",ADDRESS($Q25,MATCH(B$1,INDIRECT("Table!A" &amp; $U25):INDIRECT("Table!" &amp; $X$171 &amp; $U25),0)))))</f>
        <v>68904.5</v>
      </c>
      <c r="C25" s="33">
        <f ca="1">IF(ISERROR(MATCH(C$1,INDIRECT("Table!A"&amp;$U25):INDIRECT("Table!" &amp; $X$171 &amp; $U25),0)),"",INDIRECT(CONCATENATE("Table!",ADDRESS($Q25,MATCH(C$1,INDIRECT("Table!A" &amp; $U25):INDIRECT("Table!" &amp; $X$171 &amp; $U25),0)))))</f>
        <v>73467.100000000006</v>
      </c>
      <c r="D25" s="33">
        <f ca="1">IF(ISERROR(MATCH(D$1,INDIRECT("Table!A"&amp;$U25):INDIRECT("Table!" &amp; $X$171 &amp; $U25),0)),"",INDIRECT(CONCATENATE("Table!",ADDRESS($Q25,MATCH(D$1,INDIRECT("Table!A" &amp; $U25):INDIRECT("Table!" &amp; $X$171 &amp; $U25),0)))))</f>
        <v>74910</v>
      </c>
      <c r="E25" s="33">
        <f ca="1">IF(ISERROR(MATCH(E$1,INDIRECT("Table!A"&amp;$U25):INDIRECT("Table!" &amp; $X$171 &amp; $U25),0)),"",INDIRECT(CONCATENATE("Table!",ADDRESS($Q25,MATCH(E$1,INDIRECT("Table!A" &amp; $U25):INDIRECT("Table!" &amp; $X$171 &amp; $U25),0)))))</f>
        <v>161575.20000000001</v>
      </c>
      <c r="F25" s="33">
        <f ca="1">IF(ISERROR(MATCH(F$1,INDIRECT("Table!A"&amp;$U25):INDIRECT("Table!" &amp; $X$171 &amp; $U25),0)),"",INDIRECT(CONCATENATE("Table!",ADDRESS($Q25,MATCH(F$1,INDIRECT("Table!A" &amp; $U25):INDIRECT("Table!" &amp; $X$171 &amp; $U25),0)))))</f>
        <v>58797.9</v>
      </c>
      <c r="G25" s="33">
        <f ca="1">IF(ISERROR(MATCH(G$1,INDIRECT("Table!A"&amp;$U25):INDIRECT("Table!" &amp; $X$171 &amp; $U25),0)),"",INDIRECT(CONCATENATE("Table!",ADDRESS($Q25,MATCH(G$1,INDIRECT("Table!A" &amp; $U25):INDIRECT("Table!" &amp; $X$171 &amp; $U25),0)))))</f>
        <v>41472.300000000003</v>
      </c>
      <c r="H25" s="33">
        <f ca="1">IF(ISERROR(MATCH(H$1,INDIRECT("Table!A"&amp;$U25):INDIRECT("Table!" &amp; $X$171 &amp; $U25),0)),"",INDIRECT(CONCATENATE("Table!",ADDRESS($Q25,MATCH(H$1,INDIRECT("Table!A" &amp; $U25):INDIRECT("Table!" &amp; $X$171 &amp; $U25),0)))))</f>
        <v>47359.199999999997</v>
      </c>
      <c r="I25" s="33">
        <f ca="1">IF(ISERROR(MATCH(I$1,INDIRECT("Table!A"&amp;$U25):INDIRECT("Table!" &amp; $X$171 &amp; $U25),0)),"",INDIRECT(CONCATENATE("Table!",ADDRESS($Q25,MATCH(I$1,INDIRECT("Table!A" &amp; $U25):INDIRECT("Table!" &amp; $X$171 &amp; $U25),0)))))</f>
        <v>146112.5</v>
      </c>
      <c r="J25" s="33">
        <f ca="1">IF(ISERROR(MATCH(J$1,INDIRECT("Table!A"&amp;$U25):INDIRECT("Table!" &amp; $X$171 &amp; $U25),0)),"",INDIRECT(CONCATENATE("Table!",ADDRESS($Q25,MATCH(J$1,INDIRECT("Table!A" &amp; $U25):INDIRECT("Table!" &amp; $X$171 &amp; $U25),0)))))</f>
        <v>39254</v>
      </c>
      <c r="K25" s="33">
        <f ca="1">IF(ISERROR(MATCH(K$1,INDIRECT("Table!A"&amp;$U25):INDIRECT("Table!" &amp; $X$171 &amp; $U25),0)),"",INDIRECT(CONCATENATE("Table!",ADDRESS($Q25,MATCH(K$1,INDIRECT("Table!A" &amp; $U25):INDIRECT("Table!" &amp; $X$171 &amp; $U25),0)))))</f>
        <v>30595.3</v>
      </c>
      <c r="L25" s="33">
        <f ca="1">IF(ISERROR(MATCH(L$1,INDIRECT("Table!A"&amp;$U25):INDIRECT("Table!" &amp; $X$171 &amp; $U25),0)),"",INDIRECT(CONCATENATE("Table!",ADDRESS($Q25,MATCH(L$1,INDIRECT("Table!A" &amp; $U25):INDIRECT("Table!" &amp; $X$171 &amp; $U25),0)))))</f>
        <v>97560.3</v>
      </c>
      <c r="M25" s="33">
        <f ca="1">IF(ISERROR(MATCH(M$1,INDIRECT("Table!A"&amp;$U25):INDIRECT("Table!" &amp; $X$171 &amp; $U25),0)),"",INDIRECT(CONCATENATE("Table!",ADDRESS($Q25,MATCH(M$1,INDIRECT("Table!A" &amp; $U25):INDIRECT("Table!" &amp; $X$171 &amp; $U25),0)))))</f>
        <v>23055</v>
      </c>
      <c r="N25" s="262"/>
      <c r="O25" s="262"/>
      <c r="P25" s="262"/>
      <c r="Q25" s="31">
        <f>MATCH($A25,Table!$A:$A,0)+$S$14-1</f>
        <v>357</v>
      </c>
      <c r="R25" s="262"/>
      <c r="S25" s="262"/>
      <c r="T25" s="262"/>
      <c r="U25" s="31">
        <f>MATCH($A25,Table!$A:$A,0)+$W$2-1</f>
        <v>343</v>
      </c>
      <c r="V25" s="262"/>
      <c r="W25" s="262"/>
      <c r="X25" s="372" t="s">
        <v>209</v>
      </c>
    </row>
    <row r="26" spans="1:24" ht="19.5" customHeight="1">
      <c r="A26" s="5">
        <v>41214</v>
      </c>
      <c r="B26" s="33">
        <f ca="1">IF(ISERROR(MATCH(B$1,INDIRECT("Table!A"&amp;$U26):INDIRECT("Table!" &amp; $X$171 &amp; $U26),0)),"",INDIRECT(CONCATENATE("Table!",ADDRESS($Q26,MATCH(B$1,INDIRECT("Table!A" &amp; $U26):INDIRECT("Table!" &amp; $X$171 &amp; $U26),0)))))</f>
        <v>70253.399999999994</v>
      </c>
      <c r="C26" s="33">
        <f ca="1">IF(ISERROR(MATCH(C$1,INDIRECT("Table!A"&amp;$U26):INDIRECT("Table!" &amp; $X$171 &amp; $U26),0)),"",INDIRECT(CONCATENATE("Table!",ADDRESS($Q26,MATCH(C$1,INDIRECT("Table!A" &amp; $U26):INDIRECT("Table!" &amp; $X$171 &amp; $U26),0)))))</f>
        <v>73454.899999999994</v>
      </c>
      <c r="D26" s="33">
        <f ca="1">IF(ISERROR(MATCH(D$1,INDIRECT("Table!A"&amp;$U26):INDIRECT("Table!" &amp; $X$171 &amp; $U26),0)),"",INDIRECT(CONCATENATE("Table!",ADDRESS($Q26,MATCH(D$1,INDIRECT("Table!A" &amp; $U26):INDIRECT("Table!" &amp; $X$171 &amp; $U26),0)))))</f>
        <v>74897.899999999994</v>
      </c>
      <c r="E26" s="33">
        <f ca="1">IF(ISERROR(MATCH(E$1,INDIRECT("Table!A"&amp;$U26):INDIRECT("Table!" &amp; $X$171 &amp; $U26),0)),"",INDIRECT(CONCATENATE("Table!",ADDRESS($Q26,MATCH(E$1,INDIRECT("Table!A" &amp; $U26):INDIRECT("Table!" &amp; $X$171 &amp; $U26),0)))))</f>
        <v>161535.70000000001</v>
      </c>
      <c r="F26" s="33">
        <f ca="1">IF(ISERROR(MATCH(F$1,INDIRECT("Table!A"&amp;$U26):INDIRECT("Table!" &amp; $X$171 &amp; $U26),0)),"",INDIRECT(CONCATENATE("Table!",ADDRESS($Q26,MATCH(F$1,INDIRECT("Table!A" &amp; $U26):INDIRECT("Table!" &amp; $X$171 &amp; $U26),0)))))</f>
        <v>58495.4</v>
      </c>
      <c r="G26" s="33">
        <f ca="1">IF(ISERROR(MATCH(G$1,INDIRECT("Table!A"&amp;$U26):INDIRECT("Table!" &amp; $X$171 &amp; $U26),0)),"",INDIRECT(CONCATENATE("Table!",ADDRESS($Q26,MATCH(G$1,INDIRECT("Table!A" &amp; $U26):INDIRECT("Table!" &amp; $X$171 &amp; $U26),0)))))</f>
        <v>40783.4</v>
      </c>
      <c r="H26" s="33">
        <f ca="1">IF(ISERROR(MATCH(H$1,INDIRECT("Table!A"&amp;$U26):INDIRECT("Table!" &amp; $X$171 &amp; $U26),0)),"",INDIRECT(CONCATENATE("Table!",ADDRESS($Q26,MATCH(H$1,INDIRECT("Table!A" &amp; $U26):INDIRECT("Table!" &amp; $X$171 &amp; $U26),0)))))</f>
        <v>47322.8</v>
      </c>
      <c r="I26" s="33">
        <f ca="1">IF(ISERROR(MATCH(I$1,INDIRECT("Table!A"&amp;$U26):INDIRECT("Table!" &amp; $X$171 &amp; $U26),0)),"",INDIRECT(CONCATENATE("Table!",ADDRESS($Q26,MATCH(I$1,INDIRECT("Table!A" &amp; $U26):INDIRECT("Table!" &amp; $X$171 &amp; $U26),0)))))</f>
        <v>146089</v>
      </c>
      <c r="J26" s="33">
        <f ca="1">IF(ISERROR(MATCH(J$1,INDIRECT("Table!A"&amp;$U26):INDIRECT("Table!" &amp; $X$171 &amp; $U26),0)),"",INDIRECT(CONCATENATE("Table!",ADDRESS($Q26,MATCH(J$1,INDIRECT("Table!A" &amp; $U26):INDIRECT("Table!" &amp; $X$171 &amp; $U26),0)))))</f>
        <v>39135.5</v>
      </c>
      <c r="K26" s="33">
        <f ca="1">IF(ISERROR(MATCH(K$1,INDIRECT("Table!A"&amp;$U26):INDIRECT("Table!" &amp; $X$171 &amp; $U26),0)),"",INDIRECT(CONCATENATE("Table!",ADDRESS($Q26,MATCH(K$1,INDIRECT("Table!A" &amp; $U26):INDIRECT("Table!" &amp; $X$171 &amp; $U26),0)))))</f>
        <v>30444.6</v>
      </c>
      <c r="L26" s="33">
        <f ca="1">IF(ISERROR(MATCH(L$1,INDIRECT("Table!A"&amp;$U26):INDIRECT("Table!" &amp; $X$171 &amp; $U26),0)),"",INDIRECT(CONCATENATE("Table!",ADDRESS($Q26,MATCH(L$1,INDIRECT("Table!A" &amp; $U26):INDIRECT("Table!" &amp; $X$171 &amp; $U26),0)))))</f>
        <v>97487.4</v>
      </c>
      <c r="M26" s="33">
        <f ca="1">IF(ISERROR(MATCH(M$1,INDIRECT("Table!A"&amp;$U26):INDIRECT("Table!" &amp; $X$171 &amp; $U26),0)),"",INDIRECT(CONCATENATE("Table!",ADDRESS($Q26,MATCH(M$1,INDIRECT("Table!A" &amp; $U26):INDIRECT("Table!" &amp; $X$171 &amp; $U26),0)))))</f>
        <v>23055</v>
      </c>
      <c r="N26" s="261"/>
      <c r="O26" s="261"/>
      <c r="P26" s="261"/>
      <c r="Q26" s="31">
        <f>MATCH($A26,Table!$A:$A,0)+$S$14-1</f>
        <v>369</v>
      </c>
      <c r="R26" s="261"/>
      <c r="S26" s="261"/>
      <c r="T26" s="261"/>
      <c r="U26" s="31">
        <f>MATCH($A26,Table!$A:$A,0)+$W$2-1</f>
        <v>355</v>
      </c>
      <c r="V26" s="261"/>
      <c r="W26" s="261"/>
      <c r="X26" s="372" t="s">
        <v>209</v>
      </c>
    </row>
    <row r="27" spans="1:24" ht="19.5" customHeight="1">
      <c r="A27" s="5">
        <v>41213</v>
      </c>
      <c r="B27" s="33">
        <f ca="1">IF(ISERROR(MATCH(B$1,INDIRECT("Table!A"&amp;$U27):INDIRECT("Table!" &amp; $X$171 &amp; $U27),0)),"",INDIRECT(CONCATENATE("Table!",ADDRESS($Q27,MATCH(B$1,INDIRECT("Table!A" &amp; $U27):INDIRECT("Table!" &amp; $X$171 &amp; $U27),0)))))</f>
        <v>71967.199999999997</v>
      </c>
      <c r="C27" s="33">
        <f ca="1">IF(ISERROR(MATCH(C$1,INDIRECT("Table!A"&amp;$U27):INDIRECT("Table!" &amp; $X$171 &amp; $U27),0)),"",INDIRECT(CONCATENATE("Table!",ADDRESS($Q27,MATCH(C$1,INDIRECT("Table!A" &amp; $U27):INDIRECT("Table!" &amp; $X$171 &amp; $U27),0)))))</f>
        <v>73291.7</v>
      </c>
      <c r="D27" s="33">
        <f ca="1">IF(ISERROR(MATCH(D$1,INDIRECT("Table!A"&amp;$U27):INDIRECT("Table!" &amp; $X$171 &amp; $U27),0)),"",INDIRECT(CONCATENATE("Table!",ADDRESS($Q27,MATCH(D$1,INDIRECT("Table!A" &amp; $U27):INDIRECT("Table!" &amp; $X$171 &amp; $U27),0)))))</f>
        <v>74723.5</v>
      </c>
      <c r="E27" s="33">
        <f ca="1">IF(ISERROR(MATCH(E$1,INDIRECT("Table!A"&amp;$U27):INDIRECT("Table!" &amp; $X$171 &amp; $U27),0)),"",INDIRECT(CONCATENATE("Table!",ADDRESS($Q27,MATCH(E$1,INDIRECT("Table!A" &amp; $U27):INDIRECT("Table!" &amp; $X$171 &amp; $U27),0)))))</f>
        <v>161437.5</v>
      </c>
      <c r="F27" s="33">
        <f ca="1">IF(ISERROR(MATCH(F$1,INDIRECT("Table!A"&amp;$U27):INDIRECT("Table!" &amp; $X$171 &amp; $U27),0)),"",INDIRECT(CONCATENATE("Table!",ADDRESS($Q27,MATCH(F$1,INDIRECT("Table!A" &amp; $U27):INDIRECT("Table!" &amp; $X$171 &amp; $U27),0)))))</f>
        <v>58140.4</v>
      </c>
      <c r="G27" s="33">
        <f ca="1">IF(ISERROR(MATCH(G$1,INDIRECT("Table!A"&amp;$U27):INDIRECT("Table!" &amp; $X$171 &amp; $U27),0)),"",INDIRECT(CONCATENATE("Table!",ADDRESS($Q27,MATCH(G$1,INDIRECT("Table!A" &amp; $U27):INDIRECT("Table!" &amp; $X$171 &amp; $U27),0)))))</f>
        <v>39658.699999999997</v>
      </c>
      <c r="H27" s="33">
        <f ca="1">IF(ISERROR(MATCH(H$1,INDIRECT("Table!A"&amp;$U27):INDIRECT("Table!" &amp; $X$171 &amp; $U27),0)),"",INDIRECT(CONCATENATE("Table!",ADDRESS($Q27,MATCH(H$1,INDIRECT("Table!A" &amp; $U27):INDIRECT("Table!" &amp; $X$171 &amp; $U27),0)))))</f>
        <v>47274.7</v>
      </c>
      <c r="I27" s="33">
        <f ca="1">IF(ISERROR(MATCH(I$1,INDIRECT("Table!A"&amp;$U27):INDIRECT("Table!" &amp; $X$171 &amp; $U27),0)),"",INDIRECT(CONCATENATE("Table!",ADDRESS($Q27,MATCH(I$1,INDIRECT("Table!A" &amp; $U27):INDIRECT("Table!" &amp; $X$171 &amp; $U27),0)))))</f>
        <v>145976.1</v>
      </c>
      <c r="J27" s="33">
        <f ca="1">IF(ISERROR(MATCH(J$1,INDIRECT("Table!A"&amp;$U27):INDIRECT("Table!" &amp; $X$171 &amp; $U27),0)),"",INDIRECT(CONCATENATE("Table!",ADDRESS($Q27,MATCH(J$1,INDIRECT("Table!A" &amp; $U27):INDIRECT("Table!" &amp; $X$171 &amp; $U27),0)))))</f>
        <v>39607.300000000003</v>
      </c>
      <c r="K27" s="33">
        <f ca="1">IF(ISERROR(MATCH(K$1,INDIRECT("Table!A"&amp;$U27):INDIRECT("Table!" &amp; $X$171 &amp; $U27),0)),"",INDIRECT(CONCATENATE("Table!",ADDRESS($Q27,MATCH(K$1,INDIRECT("Table!A" &amp; $U27):INDIRECT("Table!" &amp; $X$171 &amp; $U27),0)))))</f>
        <v>30266.6</v>
      </c>
      <c r="L27" s="33">
        <f ca="1">IF(ISERROR(MATCH(L$1,INDIRECT("Table!A"&amp;$U27):INDIRECT("Table!" &amp; $X$171 &amp; $U27),0)),"",INDIRECT(CONCATENATE("Table!",ADDRESS($Q27,MATCH(L$1,INDIRECT("Table!A" &amp; $U27):INDIRECT("Table!" &amp; $X$171 &amp; $U27),0)))))</f>
        <v>97394.3</v>
      </c>
      <c r="M27" s="33">
        <f ca="1">IF(ISERROR(MATCH(M$1,INDIRECT("Table!A"&amp;$U27):INDIRECT("Table!" &amp; $X$171 &amp; $U27),0)),"",INDIRECT(CONCATENATE("Table!",ADDRESS($Q27,MATCH(M$1,INDIRECT("Table!A" &amp; $U27):INDIRECT("Table!" &amp; $X$171 &amp; $U27),0)))))</f>
        <v>23055</v>
      </c>
      <c r="N27" s="260"/>
      <c r="O27" s="260"/>
      <c r="P27" s="260"/>
      <c r="Q27" s="31">
        <f>MATCH($A27,Table!$A:$A,0)+$S$14-1</f>
        <v>381</v>
      </c>
      <c r="R27" s="260"/>
      <c r="S27" s="260"/>
      <c r="T27" s="260"/>
      <c r="U27" s="31">
        <f>MATCH($A27,Table!$A:$A,0)+$W$2-1</f>
        <v>367</v>
      </c>
      <c r="V27" s="260"/>
      <c r="W27" s="260"/>
      <c r="X27" s="372" t="s">
        <v>209</v>
      </c>
    </row>
    <row r="28" spans="1:24" ht="19.5" customHeight="1">
      <c r="A28" s="5">
        <v>41211</v>
      </c>
      <c r="B28" s="33">
        <f ca="1">IF(ISERROR(MATCH(B$1,INDIRECT("Table!A"&amp;$U28):INDIRECT("Table!" &amp; $X$171 &amp; $U28),0)),"",INDIRECT(CONCATENATE("Table!",ADDRESS($Q28,MATCH(B$1,INDIRECT("Table!A" &amp; $U28):INDIRECT("Table!" &amp; $X$171 &amp; $U28),0)))))</f>
        <v>62709.3</v>
      </c>
      <c r="C28" s="33">
        <f ca="1">IF(ISERROR(MATCH(C$1,INDIRECT("Table!A"&amp;$U28):INDIRECT("Table!" &amp; $X$171 &amp; $U28),0)),"",INDIRECT(CONCATENATE("Table!",ADDRESS($Q28,MATCH(C$1,INDIRECT("Table!A" &amp; $U28):INDIRECT("Table!" &amp; $X$171 &amp; $U28),0)))))</f>
        <v>72056.399999999994</v>
      </c>
      <c r="D28" s="33">
        <f ca="1">IF(ISERROR(MATCH(D$1,INDIRECT("Table!A"&amp;$U28):INDIRECT("Table!" &amp; $X$171 &amp; $U28),0)),"",INDIRECT(CONCATENATE("Table!",ADDRESS($Q28,MATCH(D$1,INDIRECT("Table!A" &amp; $U28):INDIRECT("Table!" &amp; $X$171 &amp; $U28),0)))))</f>
        <v>73485.7</v>
      </c>
      <c r="E28" s="33">
        <f ca="1">IF(ISERROR(MATCH(E$1,INDIRECT("Table!A"&amp;$U28):INDIRECT("Table!" &amp; $X$171 &amp; $U28),0)),"",INDIRECT(CONCATENATE("Table!",ADDRESS($Q28,MATCH(E$1,INDIRECT("Table!A" &amp; $U28):INDIRECT("Table!" &amp; $X$171 &amp; $U28),0)))))</f>
        <v>161306.9</v>
      </c>
      <c r="F28" s="33">
        <f ca="1">IF(ISERROR(MATCH(F$1,INDIRECT("Table!A"&amp;$U28):INDIRECT("Table!" &amp; $X$171 &amp; $U28),0)),"",INDIRECT(CONCATENATE("Table!",ADDRESS($Q28,MATCH(F$1,INDIRECT("Table!A" &amp; $U28):INDIRECT("Table!" &amp; $X$171 &amp; $U28),0)))))</f>
        <v>57799.3</v>
      </c>
      <c r="G28" s="33">
        <f ca="1">IF(ISERROR(MATCH(G$1,INDIRECT("Table!A"&amp;$U28):INDIRECT("Table!" &amp; $X$171 &amp; $U28),0)),"",INDIRECT(CONCATENATE("Table!",ADDRESS($Q28,MATCH(G$1,INDIRECT("Table!A" &amp; $U28):INDIRECT("Table!" &amp; $X$171 &amp; $U28),0)))))</f>
        <v>38654.400000000001</v>
      </c>
      <c r="H28" s="33">
        <f ca="1">IF(ISERROR(MATCH(H$1,INDIRECT("Table!A"&amp;$U28):INDIRECT("Table!" &amp; $X$171 &amp; $U28),0)),"",INDIRECT(CONCATENATE("Table!",ADDRESS($Q28,MATCH(H$1,INDIRECT("Table!A" &amp; $U28):INDIRECT("Table!" &amp; $X$171 &amp; $U28),0)))))</f>
        <v>47150.9</v>
      </c>
      <c r="I28" s="33">
        <f ca="1">IF(ISERROR(MATCH(I$1,INDIRECT("Table!A"&amp;$U28):INDIRECT("Table!" &amp; $X$171 &amp; $U28),0)),"",INDIRECT(CONCATENATE("Table!",ADDRESS($Q28,MATCH(I$1,INDIRECT("Table!A" &amp; $U28):INDIRECT("Table!" &amp; $X$171 &amp; $U28),0)))))</f>
        <v>145832</v>
      </c>
      <c r="J28" s="33">
        <f ca="1">IF(ISERROR(MATCH(J$1,INDIRECT("Table!A"&amp;$U28):INDIRECT("Table!" &amp; $X$171 &amp; $U28),0)),"",INDIRECT(CONCATENATE("Table!",ADDRESS($Q28,MATCH(J$1,INDIRECT("Table!A" &amp; $U28):INDIRECT("Table!" &amp; $X$171 &amp; $U28),0)))))</f>
        <v>40672.9</v>
      </c>
      <c r="K28" s="33">
        <f ca="1">IF(ISERROR(MATCH(K$1,INDIRECT("Table!A"&amp;$U28):INDIRECT("Table!" &amp; $X$171 &amp; $U28),0)),"",INDIRECT(CONCATENATE("Table!",ADDRESS($Q28,MATCH(K$1,INDIRECT("Table!A" &amp; $U28):INDIRECT("Table!" &amp; $X$171 &amp; $U28),0)))))</f>
        <v>29817.7</v>
      </c>
      <c r="L28" s="33">
        <f ca="1">IF(ISERROR(MATCH(L$1,INDIRECT("Table!A"&amp;$U28):INDIRECT("Table!" &amp; $X$171 &amp; $U28),0)),"",INDIRECT(CONCATENATE("Table!",ADDRESS($Q28,MATCH(L$1,INDIRECT("Table!A" &amp; $U28):INDIRECT("Table!" &amp; $X$171 &amp; $U28),0)))))</f>
        <v>97146.2</v>
      </c>
      <c r="M28" s="33">
        <f ca="1">IF(ISERROR(MATCH(M$1,INDIRECT("Table!A"&amp;$U28):INDIRECT("Table!" &amp; $X$171 &amp; $U28),0)),"",INDIRECT(CONCATENATE("Table!",ADDRESS($Q28,MATCH(M$1,INDIRECT("Table!A" &amp; $U28):INDIRECT("Table!" &amp; $X$171 &amp; $U28),0)))))</f>
        <v>23054.799999999999</v>
      </c>
      <c r="N28" s="259"/>
      <c r="O28" s="259"/>
      <c r="P28" s="259"/>
      <c r="Q28" s="31">
        <f>MATCH($A28,Table!$A:$A,0)+$S$14-1</f>
        <v>393</v>
      </c>
      <c r="R28" s="259"/>
      <c r="S28" s="259"/>
      <c r="T28" s="259"/>
      <c r="U28" s="31">
        <f>MATCH($A28,Table!$A:$A,0)+$W$2-1</f>
        <v>379</v>
      </c>
      <c r="V28" s="259"/>
      <c r="W28" s="259"/>
      <c r="X28" s="372" t="s">
        <v>209</v>
      </c>
    </row>
    <row r="29" spans="1:24" ht="19.5" customHeight="1">
      <c r="A29" s="5">
        <v>41208</v>
      </c>
      <c r="B29" s="33">
        <f ca="1">IF(ISERROR(MATCH(B$1,INDIRECT("Table!A"&amp;$U29):INDIRECT("Table!" &amp; $X$171 &amp; $U29),0)),"",INDIRECT(CONCATENATE("Table!",ADDRESS($Q29,MATCH(B$1,INDIRECT("Table!A" &amp; $U29):INDIRECT("Table!" &amp; $X$171 &amp; $U29),0)))))</f>
        <v>64251.8</v>
      </c>
      <c r="C29" s="33">
        <f ca="1">IF(ISERROR(MATCH(C$1,INDIRECT("Table!A"&amp;$U29):INDIRECT("Table!" &amp; $X$171 &amp; $U29),0)),"",INDIRECT(CONCATENATE("Table!",ADDRESS($Q29,MATCH(C$1,INDIRECT("Table!A" &amp; $U29):INDIRECT("Table!" &amp; $X$171 &amp; $U29),0)))))</f>
        <v>72039.399999999994</v>
      </c>
      <c r="D29" s="33">
        <f ca="1">IF(ISERROR(MATCH(D$1,INDIRECT("Table!A"&amp;$U29):INDIRECT("Table!" &amp; $X$171 &amp; $U29),0)),"",INDIRECT(CONCATENATE("Table!",ADDRESS($Q29,MATCH(D$1,INDIRECT("Table!A" &amp; $U29):INDIRECT("Table!" &amp; $X$171 &amp; $U29),0)))))</f>
        <v>73460.899999999994</v>
      </c>
      <c r="E29" s="33">
        <f ca="1">IF(ISERROR(MATCH(E$1,INDIRECT("Table!A"&amp;$U29):INDIRECT("Table!" &amp; $X$171 &amp; $U29),0)),"",INDIRECT(CONCATENATE("Table!",ADDRESS($Q29,MATCH(E$1,INDIRECT("Table!A" &amp; $U29):INDIRECT("Table!" &amp; $X$171 &amp; $U29),0)))))</f>
        <v>161279.29999999999</v>
      </c>
      <c r="F29" s="33">
        <f ca="1">IF(ISERROR(MATCH(F$1,INDIRECT("Table!A"&amp;$U29):INDIRECT("Table!" &amp; $X$171 &amp; $U29),0)),"",INDIRECT(CONCATENATE("Table!",ADDRESS($Q29,MATCH(F$1,INDIRECT("Table!A" &amp; $U29):INDIRECT("Table!" &amp; $X$171 &amp; $U29),0)))))</f>
        <v>57167.5</v>
      </c>
      <c r="G29" s="33">
        <f ca="1">IF(ISERROR(MATCH(G$1,INDIRECT("Table!A"&amp;$U29):INDIRECT("Table!" &amp; $X$171 &amp; $U29),0)),"",INDIRECT(CONCATENATE("Table!",ADDRESS($Q29,MATCH(G$1,INDIRECT("Table!A" &amp; $U29):INDIRECT("Table!" &amp; $X$171 &amp; $U29),0)))))</f>
        <v>38501.1</v>
      </c>
      <c r="H29" s="33">
        <f ca="1">IF(ISERROR(MATCH(H$1,INDIRECT("Table!A"&amp;$U29):INDIRECT("Table!" &amp; $X$171 &amp; $U29),0)),"",INDIRECT(CONCATENATE("Table!",ADDRESS($Q29,MATCH(H$1,INDIRECT("Table!A" &amp; $U29):INDIRECT("Table!" &amp; $X$171 &amp; $U29),0)))))</f>
        <v>47144.1</v>
      </c>
      <c r="I29" s="33">
        <f ca="1">IF(ISERROR(MATCH(I$1,INDIRECT("Table!A"&amp;$U29):INDIRECT("Table!" &amp; $X$171 &amp; $U29),0)),"",INDIRECT(CONCATENATE("Table!",ADDRESS($Q29,MATCH(I$1,INDIRECT("Table!A" &amp; $U29):INDIRECT("Table!" &amp; $X$171 &amp; $U29),0)))))</f>
        <v>145803.1</v>
      </c>
      <c r="J29" s="33">
        <f ca="1">IF(ISERROR(MATCH(J$1,INDIRECT("Table!A"&amp;$U29):INDIRECT("Table!" &amp; $X$171 &amp; $U29),0)),"",INDIRECT(CONCATENATE("Table!",ADDRESS($Q29,MATCH(J$1,INDIRECT("Table!A" &amp; $U29):INDIRECT("Table!" &amp; $X$171 &amp; $U29),0)))))</f>
        <v>39978.699999999997</v>
      </c>
      <c r="K29" s="33">
        <f ca="1">IF(ISERROR(MATCH(K$1,INDIRECT("Table!A"&amp;$U29):INDIRECT("Table!" &amp; $X$171 &amp; $U29),0)),"",INDIRECT(CONCATENATE("Table!",ADDRESS($Q29,MATCH(K$1,INDIRECT("Table!A" &amp; $U29):INDIRECT("Table!" &amp; $X$171 &amp; $U29),0)))))</f>
        <v>29488.5</v>
      </c>
      <c r="L29" s="33">
        <f ca="1">IF(ISERROR(MATCH(L$1,INDIRECT("Table!A"&amp;$U29):INDIRECT("Table!" &amp; $X$171 &amp; $U29),0)),"",INDIRECT(CONCATENATE("Table!",ADDRESS($Q29,MATCH(L$1,INDIRECT("Table!A" &amp; $U29):INDIRECT("Table!" &amp; $X$171 &amp; $U29),0)))))</f>
        <v>97132.4</v>
      </c>
      <c r="M29" s="33">
        <f ca="1">IF(ISERROR(MATCH(M$1,INDIRECT("Table!A"&amp;$U29):INDIRECT("Table!" &amp; $X$171 &amp; $U29),0)),"",INDIRECT(CONCATENATE("Table!",ADDRESS($Q29,MATCH(M$1,INDIRECT("Table!A" &amp; $U29):INDIRECT("Table!" &amp; $X$171 &amp; $U29),0)))))</f>
        <v>23054.799999999999</v>
      </c>
      <c r="N29" s="258"/>
      <c r="O29" s="258"/>
      <c r="P29" s="258"/>
      <c r="Q29" s="31">
        <f>MATCH($A29,Table!$A:$A,0)+$S$14-1</f>
        <v>405</v>
      </c>
      <c r="R29" s="258"/>
      <c r="S29" s="258"/>
      <c r="T29" s="258"/>
      <c r="U29" s="31">
        <f>MATCH($A29,Table!$A:$A,0)+$W$2-1</f>
        <v>391</v>
      </c>
      <c r="V29" s="258"/>
      <c r="W29" s="258"/>
      <c r="X29" s="372" t="s">
        <v>209</v>
      </c>
    </row>
    <row r="30" spans="1:24" ht="19.5" customHeight="1">
      <c r="A30" s="5">
        <v>41207</v>
      </c>
      <c r="B30" s="33">
        <f ca="1">IF(ISERROR(MATCH(B$1,INDIRECT("Table!A"&amp;$U30):INDIRECT("Table!" &amp; $X$171 &amp; $U30),0)),"",INDIRECT(CONCATENATE("Table!",ADDRESS($Q30,MATCH(B$1,INDIRECT("Table!A" &amp; $U30):INDIRECT("Table!" &amp; $X$171 &amp; $U30),0)))))</f>
        <v>67167.7</v>
      </c>
      <c r="C30" s="33">
        <f ca="1">IF(ISERROR(MATCH(C$1,INDIRECT("Table!A"&amp;$U30):INDIRECT("Table!" &amp; $X$171 &amp; $U30),0)),"",INDIRECT(CONCATENATE("Table!",ADDRESS($Q30,MATCH(C$1,INDIRECT("Table!A" &amp; $U30):INDIRECT("Table!" &amp; $X$171 &amp; $U30),0)))))</f>
        <v>72004.100000000006</v>
      </c>
      <c r="D30" s="33">
        <f ca="1">IF(ISERROR(MATCH(D$1,INDIRECT("Table!A"&amp;$U30):INDIRECT("Table!" &amp; $X$171 &amp; $U30),0)),"",INDIRECT(CONCATENATE("Table!",ADDRESS($Q30,MATCH(D$1,INDIRECT("Table!A" &amp; $U30):INDIRECT("Table!" &amp; $X$171 &amp; $U30),0)))))</f>
        <v>73425.5</v>
      </c>
      <c r="E30" s="33">
        <f ca="1">IF(ISERROR(MATCH(E$1,INDIRECT("Table!A"&amp;$U30):INDIRECT("Table!" &amp; $X$171 &amp; $U30),0)),"",INDIRECT(CONCATENATE("Table!",ADDRESS($Q30,MATCH(E$1,INDIRECT("Table!A" &amp; $U30):INDIRECT("Table!" &amp; $X$171 &amp; $U30),0)))))</f>
        <v>161216.9</v>
      </c>
      <c r="F30" s="33">
        <f ca="1">IF(ISERROR(MATCH(F$1,INDIRECT("Table!A"&amp;$U30):INDIRECT("Table!" &amp; $X$171 &amp; $U30),0)),"",INDIRECT(CONCATENATE("Table!",ADDRESS($Q30,MATCH(F$1,INDIRECT("Table!A" &amp; $U30):INDIRECT("Table!" &amp; $X$171 &amp; $U30),0)))))</f>
        <v>55488.4</v>
      </c>
      <c r="G30" s="33">
        <f ca="1">IF(ISERROR(MATCH(G$1,INDIRECT("Table!A"&amp;$U30):INDIRECT("Table!" &amp; $X$171 &amp; $U30),0)),"",INDIRECT(CONCATENATE("Table!",ADDRESS($Q30,MATCH(G$1,INDIRECT("Table!A" &amp; $U30):INDIRECT("Table!" &amp; $X$171 &amp; $U30),0)))))</f>
        <v>31728.2</v>
      </c>
      <c r="H30" s="33">
        <f ca="1">IF(ISERROR(MATCH(H$1,INDIRECT("Table!A"&amp;$U30):INDIRECT("Table!" &amp; $X$171 &amp; $U30),0)),"",INDIRECT(CONCATENATE("Table!",ADDRESS($Q30,MATCH(H$1,INDIRECT("Table!A" &amp; $U30):INDIRECT("Table!" &amp; $X$171 &amp; $U30),0)))))</f>
        <v>47121.7</v>
      </c>
      <c r="I30" s="33">
        <f ca="1">IF(ISERROR(MATCH(I$1,INDIRECT("Table!A"&amp;$U30):INDIRECT("Table!" &amp; $X$171 &amp; $U30),0)),"",INDIRECT(CONCATENATE("Table!",ADDRESS($Q30,MATCH(I$1,INDIRECT("Table!A" &amp; $U30):INDIRECT("Table!" &amp; $X$171 &amp; $U30),0)))))</f>
        <v>145574.5</v>
      </c>
      <c r="J30" s="33">
        <f ca="1">IF(ISERROR(MATCH(J$1,INDIRECT("Table!A"&amp;$U30):INDIRECT("Table!" &amp; $X$171 &amp; $U30),0)),"",INDIRECT(CONCATENATE("Table!",ADDRESS($Q30,MATCH(J$1,INDIRECT("Table!A" &amp; $U30):INDIRECT("Table!" &amp; $X$171 &amp; $U30),0)))))</f>
        <v>41742.1</v>
      </c>
      <c r="K30" s="33">
        <f ca="1">IF(ISERROR(MATCH(K$1,INDIRECT("Table!A"&amp;$U30):INDIRECT("Table!" &amp; $X$171 &amp; $U30),0)),"",INDIRECT(CONCATENATE("Table!",ADDRESS($Q30,MATCH(K$1,INDIRECT("Table!A" &amp; $U30):INDIRECT("Table!" &amp; $X$171 &amp; $U30),0)))))</f>
        <v>29130</v>
      </c>
      <c r="L30" s="33">
        <f ca="1">IF(ISERROR(MATCH(L$1,INDIRECT("Table!A"&amp;$U30):INDIRECT("Table!" &amp; $X$171 &amp; $U30),0)),"",INDIRECT(CONCATENATE("Table!",ADDRESS($Q30,MATCH(L$1,INDIRECT("Table!A" &amp; $U30):INDIRECT("Table!" &amp; $X$171 &amp; $U30),0)))))</f>
        <v>97087.6</v>
      </c>
      <c r="M30" s="33">
        <f ca="1">IF(ISERROR(MATCH(M$1,INDIRECT("Table!A"&amp;$U30):INDIRECT("Table!" &amp; $X$171 &amp; $U30),0)),"",INDIRECT(CONCATENATE("Table!",ADDRESS($Q30,MATCH(M$1,INDIRECT("Table!A" &amp; $U30):INDIRECT("Table!" &amp; $X$171 &amp; $U30),0)))))</f>
        <v>23054.799999999999</v>
      </c>
      <c r="N30" s="257"/>
      <c r="O30" s="257"/>
      <c r="P30" s="257"/>
      <c r="Q30" s="31">
        <f>MATCH($A30,Table!$A:$A,0)+$S$14-1</f>
        <v>417</v>
      </c>
      <c r="R30" s="257"/>
      <c r="S30" s="257"/>
      <c r="T30" s="257"/>
      <c r="U30" s="31">
        <f>MATCH($A30,Table!$A:$A,0)+$W$2-1</f>
        <v>403</v>
      </c>
      <c r="V30" s="257"/>
      <c r="W30" s="257"/>
      <c r="X30" s="372" t="s">
        <v>209</v>
      </c>
    </row>
    <row r="31" spans="1:24" ht="19.5" customHeight="1">
      <c r="A31" s="5">
        <v>41205</v>
      </c>
      <c r="B31" s="33">
        <f ca="1">IF(ISERROR(MATCH(B$1,INDIRECT("Table!A"&amp;$U31):INDIRECT("Table!" &amp; $X$171 &amp; $U31),0)),"",INDIRECT(CONCATENATE("Table!",ADDRESS($Q31,MATCH(B$1,INDIRECT("Table!A" &amp; $U31):INDIRECT("Table!" &amp; $X$171 &amp; $U31),0)))))</f>
        <v>75311.5</v>
      </c>
      <c r="C31" s="33">
        <f ca="1">IF(ISERROR(MATCH(C$1,INDIRECT("Table!A"&amp;$U31):INDIRECT("Table!" &amp; $X$171 &amp; $U31),0)),"",INDIRECT(CONCATENATE("Table!",ADDRESS($Q31,MATCH(C$1,INDIRECT("Table!A" &amp; $U31):INDIRECT("Table!" &amp; $X$171 &amp; $U31),0)))))</f>
        <v>71952.600000000006</v>
      </c>
      <c r="D31" s="33">
        <f ca="1">IF(ISERROR(MATCH(D$1,INDIRECT("Table!A"&amp;$U31):INDIRECT("Table!" &amp; $X$171 &amp; $U31),0)),"",INDIRECT(CONCATENATE("Table!",ADDRESS($Q31,MATCH(D$1,INDIRECT("Table!A" &amp; $U31):INDIRECT("Table!" &amp; $X$171 &amp; $U31),0)))))</f>
        <v>73371.5</v>
      </c>
      <c r="E31" s="33">
        <f ca="1">IF(ISERROR(MATCH(E$1,INDIRECT("Table!A"&amp;$U31):INDIRECT("Table!" &amp; $X$171 &amp; $U31),0)),"",INDIRECT(CONCATENATE("Table!",ADDRESS($Q31,MATCH(E$1,INDIRECT("Table!A" &amp; $U31):INDIRECT("Table!" &amp; $X$171 &amp; $U31),0)))))</f>
        <v>161033.1</v>
      </c>
      <c r="F31" s="33">
        <f ca="1">IF(ISERROR(MATCH(F$1,INDIRECT("Table!A"&amp;$U31):INDIRECT("Table!" &amp; $X$171 &amp; $U31),0)),"",INDIRECT(CONCATENATE("Table!",ADDRESS($Q31,MATCH(F$1,INDIRECT("Table!A" &amp; $U31):INDIRECT("Table!" &amp; $X$171 &amp; $U31),0)))))</f>
        <v>55488.4</v>
      </c>
      <c r="G31" s="33">
        <f ca="1">IF(ISERROR(MATCH(G$1,INDIRECT("Table!A"&amp;$U31):INDIRECT("Table!" &amp; $X$171 &amp; $U31),0)),"",INDIRECT(CONCATENATE("Table!",ADDRESS($Q31,MATCH(G$1,INDIRECT("Table!A" &amp; $U31):INDIRECT("Table!" &amp; $X$171 &amp; $U31),0)))))</f>
        <v>23722.2</v>
      </c>
      <c r="H31" s="33">
        <f ca="1">IF(ISERROR(MATCH(H$1,INDIRECT("Table!A"&amp;$U31):INDIRECT("Table!" &amp; $X$171 &amp; $U31),0)),"",INDIRECT(CONCATENATE("Table!",ADDRESS($Q31,MATCH(H$1,INDIRECT("Table!A" &amp; $U31):INDIRECT("Table!" &amp; $X$171 &amp; $U31),0)))))</f>
        <v>47009.4</v>
      </c>
      <c r="I31" s="33">
        <f ca="1">IF(ISERROR(MATCH(I$1,INDIRECT("Table!A"&amp;$U31):INDIRECT("Table!" &amp; $X$171 &amp; $U31),0)),"",INDIRECT(CONCATENATE("Table!",ADDRESS($Q31,MATCH(I$1,INDIRECT("Table!A" &amp; $U31):INDIRECT("Table!" &amp; $X$171 &amp; $U31),0)))))</f>
        <v>145325.9</v>
      </c>
      <c r="J31" s="33">
        <f ca="1">IF(ISERROR(MATCH(J$1,INDIRECT("Table!A"&amp;$U31):INDIRECT("Table!" &amp; $X$171 &amp; $U31),0)),"",INDIRECT(CONCATENATE("Table!",ADDRESS($Q31,MATCH(J$1,INDIRECT("Table!A" &amp; $U31):INDIRECT("Table!" &amp; $X$171 &amp; $U31),0)))))</f>
        <v>44341.2</v>
      </c>
      <c r="K31" s="33">
        <f ca="1">IF(ISERROR(MATCH(K$1,INDIRECT("Table!A"&amp;$U31):INDIRECT("Table!" &amp; $X$171 &amp; $U31),0)),"",INDIRECT(CONCATENATE("Table!",ADDRESS($Q31,MATCH(K$1,INDIRECT("Table!A" &amp; $U31):INDIRECT("Table!" &amp; $X$171 &amp; $U31),0)))))</f>
        <v>28675.200000000001</v>
      </c>
      <c r="L31" s="33">
        <f ca="1">IF(ISERROR(MATCH(L$1,INDIRECT("Table!A"&amp;$U31):INDIRECT("Table!" &amp; $X$171 &amp; $U31),0)),"",INDIRECT(CONCATENATE("Table!",ADDRESS($Q31,MATCH(L$1,INDIRECT("Table!A" &amp; $U31):INDIRECT("Table!" &amp; $X$171 &amp; $U31),0)))))</f>
        <v>96868.2</v>
      </c>
      <c r="M31" s="33">
        <f ca="1">IF(ISERROR(MATCH(M$1,INDIRECT("Table!A"&amp;$U31):INDIRECT("Table!" &amp; $X$171 &amp; $U31),0)),"",INDIRECT(CONCATENATE("Table!",ADDRESS($Q31,MATCH(M$1,INDIRECT("Table!A" &amp; $U31):INDIRECT("Table!" &amp; $X$171 &amp; $U31),0)))))</f>
        <v>23054.400000000001</v>
      </c>
      <c r="N31" s="257"/>
      <c r="O31" s="257"/>
      <c r="P31" s="257"/>
      <c r="Q31" s="31">
        <f>MATCH($A31,Table!$A:$A,0)+$S$14-1</f>
        <v>429</v>
      </c>
      <c r="R31" s="257"/>
      <c r="S31" s="257"/>
      <c r="T31" s="257"/>
      <c r="U31" s="31">
        <f>MATCH($A31,Table!$A:$A,0)+$W$2-1</f>
        <v>415</v>
      </c>
      <c r="V31" s="257"/>
      <c r="W31" s="257"/>
      <c r="X31" s="372" t="s">
        <v>209</v>
      </c>
    </row>
    <row r="32" spans="1:24" ht="19.5" customHeight="1">
      <c r="A32" s="5">
        <v>41200</v>
      </c>
      <c r="B32" s="33">
        <f ca="1">IF(ISERROR(MATCH(B$1,INDIRECT("Table!A"&amp;$U32):INDIRECT("Table!" &amp; $X$171 &amp; $U32),0)),"",INDIRECT(CONCATENATE("Table!",ADDRESS($Q32,MATCH(B$1,INDIRECT("Table!A" &amp; $U32):INDIRECT("Table!" &amp; $X$171 &amp; $U32),0)))))</f>
        <v>143392.20000000001</v>
      </c>
      <c r="C32" s="33">
        <f ca="1">IF(ISERROR(MATCH(C$1,INDIRECT("Table!A"&amp;$U32):INDIRECT("Table!" &amp; $X$171 &amp; $U32),0)),"",INDIRECT(CONCATENATE("Table!",ADDRESS($Q32,MATCH(C$1,INDIRECT("Table!A" &amp; $U32):INDIRECT("Table!" &amp; $X$171 &amp; $U32),0)))))</f>
        <v>150515.79999999999</v>
      </c>
      <c r="D32" s="33">
        <f ca="1">IF(ISERROR(MATCH(D$1,INDIRECT("Table!A"&amp;$U32):INDIRECT("Table!" &amp; $X$171 &amp; $U32),0)),"",INDIRECT(CONCATENATE("Table!",ADDRESS($Q32,MATCH(D$1,INDIRECT("Table!A" &amp; $U32):INDIRECT("Table!" &amp; $X$171 &amp; $U32),0)))))</f>
        <v>150515.79999999999</v>
      </c>
      <c r="E32" s="33">
        <f ca="1">IF(ISERROR(MATCH(E$1,INDIRECT("Table!A"&amp;$U32):INDIRECT("Table!" &amp; $X$171 &amp; $U32),0)),"",INDIRECT(CONCATENATE("Table!",ADDRESS($Q32,MATCH(E$1,INDIRECT("Table!A" &amp; $U32):INDIRECT("Table!" &amp; $X$171 &amp; $U32),0)))))</f>
        <v>181997.8</v>
      </c>
      <c r="F32" s="33">
        <f ca="1">IF(ISERROR(MATCH(F$1,INDIRECT("Table!A"&amp;$U32):INDIRECT("Table!" &amp; $X$171 &amp; $U32),0)),"",INDIRECT(CONCATENATE("Table!",ADDRESS($Q32,MATCH(F$1,INDIRECT("Table!A" &amp; $U32):INDIRECT("Table!" &amp; $X$171 &amp; $U32),0)))))</f>
        <v>165452.5</v>
      </c>
      <c r="G32" s="33">
        <f ca="1">IF(ISERROR(MATCH(G$1,INDIRECT("Table!A"&amp;$U32):INDIRECT("Table!" &amp; $X$171 &amp; $U32),0)),"",INDIRECT(CONCATENATE("Table!",ADDRESS($Q32,MATCH(G$1,INDIRECT("Table!A" &amp; $U32):INDIRECT("Table!" &amp; $X$171 &amp; $U32),0)))))</f>
        <v>110071.9</v>
      </c>
      <c r="H32" s="33">
        <f ca="1">IF(ISERROR(MATCH(H$1,INDIRECT("Table!A"&amp;$U32):INDIRECT("Table!" &amp; $X$171 &amp; $U32),0)),"",INDIRECT(CONCATENATE("Table!",ADDRESS($Q32,MATCH(H$1,INDIRECT("Table!A" &amp; $U32):INDIRECT("Table!" &amp; $X$171 &amp; $U32),0)))))</f>
        <v>121331.8</v>
      </c>
      <c r="I32" s="33">
        <f ca="1">IF(ISERROR(MATCH(I$1,INDIRECT("Table!A"&amp;$U32):INDIRECT("Table!" &amp; $X$171 &amp; $U32),0)),"",INDIRECT(CONCATENATE("Table!",ADDRESS($Q32,MATCH(I$1,INDIRECT("Table!A" &amp; $U32):INDIRECT("Table!" &amp; $X$171 &amp; $U32),0)))))</f>
        <v>170967.6</v>
      </c>
      <c r="J32" s="33">
        <f ca="1">IF(ISERROR(MATCH(J$1,INDIRECT("Table!A"&amp;$U32):INDIRECT("Table!" &amp; $X$171 &amp; $U32),0)),"",INDIRECT(CONCATENATE("Table!",ADDRESS($Q32,MATCH(J$1,INDIRECT("Table!A" &amp; $U32):INDIRECT("Table!" &amp; $X$171 &amp; $U32),0)))))</f>
        <v>132132.20000000001</v>
      </c>
      <c r="K32" s="33">
        <f ca="1">IF(ISERROR(MATCH(K$1,INDIRECT("Table!A"&amp;$U32):INDIRECT("Table!" &amp; $X$171 &amp; $U32),0)),"",INDIRECT(CONCATENATE("Table!",ADDRESS($Q32,MATCH(K$1,INDIRECT("Table!A" &amp; $U32):INDIRECT("Table!" &amp; $X$171 &amp; $U32),0)))))</f>
        <v>82726.3</v>
      </c>
      <c r="L32" s="33">
        <f ca="1">IF(ISERROR(MATCH(L$1,INDIRECT("Table!A"&amp;$U32):INDIRECT("Table!" &amp; $X$171 &amp; $U32),0)),"",INDIRECT(CONCATENATE("Table!",ADDRESS($Q32,MATCH(L$1,INDIRECT("Table!A" &amp; $U32):INDIRECT("Table!" &amp; $X$171 &amp; $U32),0)))))</f>
        <v>176482.7</v>
      </c>
      <c r="M32" s="33">
        <f ca="1">IF(ISERROR(MATCH(M$1,INDIRECT("Table!A"&amp;$U32):INDIRECT("Table!" &amp; $X$171 &amp; $U32),0)),"",INDIRECT(CONCATENATE("Table!",ADDRESS($Q32,MATCH(M$1,INDIRECT("Table!A" &amp; $U32):INDIRECT("Table!" &amp; $X$171 &amp; $U32),0)))))</f>
        <v>54921</v>
      </c>
      <c r="N32" s="254"/>
      <c r="O32" s="254"/>
      <c r="P32" s="254"/>
      <c r="Q32" s="31">
        <f>MATCH($A32,Table!$A:$A,0)+$S$14-1</f>
        <v>441</v>
      </c>
      <c r="R32" s="254"/>
      <c r="S32" s="254"/>
      <c r="T32" s="254"/>
      <c r="U32" s="31">
        <f>MATCH($A32,Table!$A:$A,0)+$W$2-1</f>
        <v>427</v>
      </c>
      <c r="V32" s="254"/>
      <c r="W32" s="254"/>
      <c r="X32" s="372" t="s">
        <v>209</v>
      </c>
    </row>
    <row r="33" spans="1:24" ht="19.5" customHeight="1">
      <c r="A33" s="5">
        <v>41198</v>
      </c>
      <c r="B33" s="33">
        <f ca="1">IF(ISERROR(MATCH(B$1,INDIRECT("Table!A"&amp;$U33):INDIRECT("Table!" &amp; $X$171 &amp; $U33),0)),"",INDIRECT(CONCATENATE("Table!",ADDRESS($Q33,MATCH(B$1,INDIRECT("Table!A" &amp; $U33):INDIRECT("Table!" &amp; $X$171 &amp; $U33),0)))))</f>
        <v>143392.20000000001</v>
      </c>
      <c r="C33" s="33">
        <f ca="1">IF(ISERROR(MATCH(C$1,INDIRECT("Table!A"&amp;$U33):INDIRECT("Table!" &amp; $X$171 &amp; $U33),0)),"",INDIRECT(CONCATENATE("Table!",ADDRESS($Q33,MATCH(C$1,INDIRECT("Table!A" &amp; $U33):INDIRECT("Table!" &amp; $X$171 &amp; $U33),0)))))</f>
        <v>150515.79999999999</v>
      </c>
      <c r="D33" s="33">
        <f ca="1">IF(ISERROR(MATCH(D$1,INDIRECT("Table!A"&amp;$U33):INDIRECT("Table!" &amp; $X$171 &amp; $U33),0)),"",INDIRECT(CONCATENATE("Table!",ADDRESS($Q33,MATCH(D$1,INDIRECT("Table!A" &amp; $U33):INDIRECT("Table!" &amp; $X$171 &amp; $U33),0)))))</f>
        <v>150515.79999999999</v>
      </c>
      <c r="E33" s="33">
        <f ca="1">IF(ISERROR(MATCH(E$1,INDIRECT("Table!A"&amp;$U33):INDIRECT("Table!" &amp; $X$171 &amp; $U33),0)),"",INDIRECT(CONCATENATE("Table!",ADDRESS($Q33,MATCH(E$1,INDIRECT("Table!A" &amp; $U33):INDIRECT("Table!" &amp; $X$171 &amp; $U33),0)))))</f>
        <v>181997.8</v>
      </c>
      <c r="F33" s="33">
        <f ca="1">IF(ISERROR(MATCH(F$1,INDIRECT("Table!A"&amp;$U33):INDIRECT("Table!" &amp; $X$171 &amp; $U33),0)),"",INDIRECT(CONCATENATE("Table!",ADDRESS($Q33,MATCH(F$1,INDIRECT("Table!A" &amp; $U33):INDIRECT("Table!" &amp; $X$171 &amp; $U33),0)))))</f>
        <v>165452.5</v>
      </c>
      <c r="G33" s="33">
        <f ca="1">IF(ISERROR(MATCH(G$1,INDIRECT("Table!A"&amp;$U33):INDIRECT("Table!" &amp; $X$171 &amp; $U33),0)),"",INDIRECT(CONCATENATE("Table!",ADDRESS($Q33,MATCH(G$1,INDIRECT("Table!A" &amp; $U33):INDIRECT("Table!" &amp; $X$171 &amp; $U33),0)))))</f>
        <v>110071.9</v>
      </c>
      <c r="H33" s="33">
        <f ca="1">IF(ISERROR(MATCH(H$1,INDIRECT("Table!A"&amp;$U33):INDIRECT("Table!" &amp; $X$171 &amp; $U33),0)),"",INDIRECT(CONCATENATE("Table!",ADDRESS($Q33,MATCH(H$1,INDIRECT("Table!A" &amp; $U33):INDIRECT("Table!" &amp; $X$171 &amp; $U33),0)))))</f>
        <v>121331.8</v>
      </c>
      <c r="I33" s="33">
        <f ca="1">IF(ISERROR(MATCH(I$1,INDIRECT("Table!A"&amp;$U33):INDIRECT("Table!" &amp; $X$171 &amp; $U33),0)),"",INDIRECT(CONCATENATE("Table!",ADDRESS($Q33,MATCH(I$1,INDIRECT("Table!A" &amp; $U33):INDIRECT("Table!" &amp; $X$171 &amp; $U33),0)))))</f>
        <v>170967.6</v>
      </c>
      <c r="J33" s="33">
        <f ca="1">IF(ISERROR(MATCH(J$1,INDIRECT("Table!A"&amp;$U33):INDIRECT("Table!" &amp; $X$171 &amp; $U33),0)),"",INDIRECT(CONCATENATE("Table!",ADDRESS($Q33,MATCH(J$1,INDIRECT("Table!A" &amp; $U33):INDIRECT("Table!" &amp; $X$171 &amp; $U33),0)))))</f>
        <v>132132.20000000001</v>
      </c>
      <c r="K33" s="33">
        <f ca="1">IF(ISERROR(MATCH(K$1,INDIRECT("Table!A"&amp;$U33):INDIRECT("Table!" &amp; $X$171 &amp; $U33),0)),"",INDIRECT(CONCATENATE("Table!",ADDRESS($Q33,MATCH(K$1,INDIRECT("Table!A" &amp; $U33):INDIRECT("Table!" &amp; $X$171 &amp; $U33),0)))))</f>
        <v>82726.3</v>
      </c>
      <c r="L33" s="33">
        <f ca="1">IF(ISERROR(MATCH(L$1,INDIRECT("Table!A"&amp;$U33):INDIRECT("Table!" &amp; $X$171 &amp; $U33),0)),"",INDIRECT(CONCATENATE("Table!",ADDRESS($Q33,MATCH(L$1,INDIRECT("Table!A" &amp; $U33):INDIRECT("Table!" &amp; $X$171 &amp; $U33),0)))))</f>
        <v>176482.7</v>
      </c>
      <c r="M33" s="33">
        <f ca="1">IF(ISERROR(MATCH(M$1,INDIRECT("Table!A"&amp;$U33):INDIRECT("Table!" &amp; $X$171 &amp; $U33),0)),"",INDIRECT(CONCATENATE("Table!",ADDRESS($Q33,MATCH(M$1,INDIRECT("Table!A" &amp; $U33):INDIRECT("Table!" &amp; $X$171 &amp; $U33),0)))))</f>
        <v>54921</v>
      </c>
      <c r="N33" s="254"/>
      <c r="O33" s="254"/>
      <c r="P33" s="254"/>
      <c r="Q33" s="31">
        <f>MATCH($A33,Table!$A:$A,0)+$S$14-1</f>
        <v>454</v>
      </c>
      <c r="R33" s="254"/>
      <c r="S33" s="254"/>
      <c r="T33" s="254"/>
      <c r="U33" s="31">
        <f>MATCH($A33,Table!$A:$A,0)+$W$2-1</f>
        <v>440</v>
      </c>
      <c r="V33" s="254"/>
      <c r="W33" s="254"/>
      <c r="X33" s="372" t="s">
        <v>209</v>
      </c>
    </row>
    <row r="34" spans="1:24" ht="19.5" customHeight="1">
      <c r="A34" s="5">
        <v>41193</v>
      </c>
      <c r="B34" s="33">
        <f ca="1">IF(ISERROR(MATCH(B$1,INDIRECT("Table!A"&amp;$U34):INDIRECT("Table!" &amp; $X$171 &amp; $U34),0)),"",INDIRECT(CONCATENATE("Table!",ADDRESS($Q34,MATCH(B$1,INDIRECT("Table!A" &amp; $U34):INDIRECT("Table!" &amp; $X$171 &amp; $U34),0)))))</f>
        <v>143392.20000000001</v>
      </c>
      <c r="C34" s="33">
        <f ca="1">IF(ISERROR(MATCH(C$1,INDIRECT("Table!A"&amp;$U34):INDIRECT("Table!" &amp; $X$171 &amp; $U34),0)),"",INDIRECT(CONCATENATE("Table!",ADDRESS($Q34,MATCH(C$1,INDIRECT("Table!A" &amp; $U34):INDIRECT("Table!" &amp; $X$171 &amp; $U34),0)))))</f>
        <v>150515.79999999999</v>
      </c>
      <c r="D34" s="33">
        <f ca="1">IF(ISERROR(MATCH(D$1,INDIRECT("Table!A"&amp;$U34):INDIRECT("Table!" &amp; $X$171 &amp; $U34),0)),"",INDIRECT(CONCATENATE("Table!",ADDRESS($Q34,MATCH(D$1,INDIRECT("Table!A" &amp; $U34):INDIRECT("Table!" &amp; $X$171 &amp; $U34),0)))))</f>
        <v>150515.79999999999</v>
      </c>
      <c r="E34" s="33">
        <f ca="1">IF(ISERROR(MATCH(E$1,INDIRECT("Table!A"&amp;$U34):INDIRECT("Table!" &amp; $X$171 &amp; $U34),0)),"",INDIRECT(CONCATENATE("Table!",ADDRESS($Q34,MATCH(E$1,INDIRECT("Table!A" &amp; $U34):INDIRECT("Table!" &amp; $X$171 &amp; $U34),0)))))</f>
        <v>181997.8</v>
      </c>
      <c r="F34" s="33">
        <f ca="1">IF(ISERROR(MATCH(F$1,INDIRECT("Table!A"&amp;$U34):INDIRECT("Table!" &amp; $X$171 &amp; $U34),0)),"",INDIRECT(CONCATENATE("Table!",ADDRESS($Q34,MATCH(F$1,INDIRECT("Table!A" &amp; $U34):INDIRECT("Table!" &amp; $X$171 &amp; $U34),0)))))</f>
        <v>165452.5</v>
      </c>
      <c r="G34" s="33">
        <f ca="1">IF(ISERROR(MATCH(G$1,INDIRECT("Table!A"&amp;$U34):INDIRECT("Table!" &amp; $X$171 &amp; $U34),0)),"",INDIRECT(CONCATENATE("Table!",ADDRESS($Q34,MATCH(G$1,INDIRECT("Table!A" &amp; $U34):INDIRECT("Table!" &amp; $X$171 &amp; $U34),0)))))</f>
        <v>110071.9</v>
      </c>
      <c r="H34" s="33">
        <f ca="1">IF(ISERROR(MATCH(H$1,INDIRECT("Table!A"&amp;$U34):INDIRECT("Table!" &amp; $X$171 &amp; $U34),0)),"",INDIRECT(CONCATENATE("Table!",ADDRESS($Q34,MATCH(H$1,INDIRECT("Table!A" &amp; $U34):INDIRECT("Table!" &amp; $X$171 &amp; $U34),0)))))</f>
        <v>121331.8</v>
      </c>
      <c r="I34" s="33">
        <f ca="1">IF(ISERROR(MATCH(I$1,INDIRECT("Table!A"&amp;$U34):INDIRECT("Table!" &amp; $X$171 &amp; $U34),0)),"",INDIRECT(CONCATENATE("Table!",ADDRESS($Q34,MATCH(I$1,INDIRECT("Table!A" &amp; $U34):INDIRECT("Table!" &amp; $X$171 &amp; $U34),0)))))</f>
        <v>170967.6</v>
      </c>
      <c r="J34" s="33">
        <f ca="1">IF(ISERROR(MATCH(J$1,INDIRECT("Table!A"&amp;$U34):INDIRECT("Table!" &amp; $X$171 &amp; $U34),0)),"",INDIRECT(CONCATENATE("Table!",ADDRESS($Q34,MATCH(J$1,INDIRECT("Table!A" &amp; $U34):INDIRECT("Table!" &amp; $X$171 &amp; $U34),0)))))</f>
        <v>132132.20000000001</v>
      </c>
      <c r="K34" s="33">
        <f ca="1">IF(ISERROR(MATCH(K$1,INDIRECT("Table!A"&amp;$U34):INDIRECT("Table!" &amp; $X$171 &amp; $U34),0)),"",INDIRECT(CONCATENATE("Table!",ADDRESS($Q34,MATCH(K$1,INDIRECT("Table!A" &amp; $U34):INDIRECT("Table!" &amp; $X$171 &amp; $U34),0)))))</f>
        <v>82726.3</v>
      </c>
      <c r="L34" s="33">
        <f ca="1">IF(ISERROR(MATCH(L$1,INDIRECT("Table!A"&amp;$U34):INDIRECT("Table!" &amp; $X$171 &amp; $U34),0)),"",INDIRECT(CONCATENATE("Table!",ADDRESS($Q34,MATCH(L$1,INDIRECT("Table!A" &amp; $U34):INDIRECT("Table!" &amp; $X$171 &amp; $U34),0)))))</f>
        <v>176482.7</v>
      </c>
      <c r="M34" s="33">
        <f ca="1">IF(ISERROR(MATCH(M$1,INDIRECT("Table!A"&amp;$U34):INDIRECT("Table!" &amp; $X$171 &amp; $U34),0)),"",INDIRECT(CONCATENATE("Table!",ADDRESS($Q34,MATCH(M$1,INDIRECT("Table!A" &amp; $U34):INDIRECT("Table!" &amp; $X$171 &amp; $U34),0)))))</f>
        <v>54921</v>
      </c>
      <c r="N34" s="254"/>
      <c r="O34" s="254"/>
      <c r="P34" s="254"/>
      <c r="Q34" s="31">
        <f>MATCH($A34,Table!$A:$A,0)+$S$14-1</f>
        <v>467</v>
      </c>
      <c r="R34" s="254"/>
      <c r="S34" s="254"/>
      <c r="T34" s="254"/>
      <c r="U34" s="31">
        <f>MATCH($A34,Table!$A:$A,0)+$W$2-1</f>
        <v>453</v>
      </c>
      <c r="V34" s="254"/>
      <c r="W34" s="254"/>
      <c r="X34" s="372" t="s">
        <v>209</v>
      </c>
    </row>
    <row r="35" spans="1:24" ht="19.5" customHeight="1">
      <c r="A35" s="5">
        <v>41190</v>
      </c>
      <c r="B35" s="33">
        <f ca="1">IF(ISERROR(MATCH(B$1,INDIRECT("Table!A"&amp;$U35):INDIRECT("Table!" &amp; $X$171 &amp; $U35),0)),"",INDIRECT(CONCATENATE("Table!",ADDRESS($Q35,MATCH(B$1,INDIRECT("Table!A" &amp; $U35):INDIRECT("Table!" &amp; $X$171 &amp; $U35),0)))))</f>
        <v>143392.20000000001</v>
      </c>
      <c r="C35" s="33">
        <f ca="1">IF(ISERROR(MATCH(C$1,INDIRECT("Table!A"&amp;$U35):INDIRECT("Table!" &amp; $X$171 &amp; $U35),0)),"",INDIRECT(CONCATENATE("Table!",ADDRESS($Q35,MATCH(C$1,INDIRECT("Table!A" &amp; $U35):INDIRECT("Table!" &amp; $X$171 &amp; $U35),0)))))</f>
        <v>150515.79999999999</v>
      </c>
      <c r="D35" s="33">
        <f ca="1">IF(ISERROR(MATCH(D$1,INDIRECT("Table!A"&amp;$U35):INDIRECT("Table!" &amp; $X$171 &amp; $U35),0)),"",INDIRECT(CONCATENATE("Table!",ADDRESS($Q35,MATCH(D$1,INDIRECT("Table!A" &amp; $U35):INDIRECT("Table!" &amp; $X$171 &amp; $U35),0)))))</f>
        <v>150515.79999999999</v>
      </c>
      <c r="E35" s="33">
        <f ca="1">IF(ISERROR(MATCH(E$1,INDIRECT("Table!A"&amp;$U35):INDIRECT("Table!" &amp; $X$171 &amp; $U35),0)),"",INDIRECT(CONCATENATE("Table!",ADDRESS($Q35,MATCH(E$1,INDIRECT("Table!A" &amp; $U35):INDIRECT("Table!" &amp; $X$171 &amp; $U35),0)))))</f>
        <v>181997.8</v>
      </c>
      <c r="F35" s="33">
        <f ca="1">IF(ISERROR(MATCH(F$1,INDIRECT("Table!A"&amp;$U35):INDIRECT("Table!" &amp; $X$171 &amp; $U35),0)),"",INDIRECT(CONCATENATE("Table!",ADDRESS($Q35,MATCH(F$1,INDIRECT("Table!A" &amp; $U35):INDIRECT("Table!" &amp; $X$171 &amp; $U35),0)))))</f>
        <v>165452.5</v>
      </c>
      <c r="G35" s="33">
        <f ca="1">IF(ISERROR(MATCH(G$1,INDIRECT("Table!A"&amp;$U35):INDIRECT("Table!" &amp; $X$171 &amp; $U35),0)),"",INDIRECT(CONCATENATE("Table!",ADDRESS($Q35,MATCH(G$1,INDIRECT("Table!A" &amp; $U35):INDIRECT("Table!" &amp; $X$171 &amp; $U35),0)))))</f>
        <v>110071.9</v>
      </c>
      <c r="H35" s="33">
        <f ca="1">IF(ISERROR(MATCH(H$1,INDIRECT("Table!A"&amp;$U35):INDIRECT("Table!" &amp; $X$171 &amp; $U35),0)),"",INDIRECT(CONCATENATE("Table!",ADDRESS($Q35,MATCH(H$1,INDIRECT("Table!A" &amp; $U35):INDIRECT("Table!" &amp; $X$171 &amp; $U35),0)))))</f>
        <v>121331.8</v>
      </c>
      <c r="I35" s="33">
        <f ca="1">IF(ISERROR(MATCH(I$1,INDIRECT("Table!A"&amp;$U35):INDIRECT("Table!" &amp; $X$171 &amp; $U35),0)),"",INDIRECT(CONCATENATE("Table!",ADDRESS($Q35,MATCH(I$1,INDIRECT("Table!A" &amp; $U35):INDIRECT("Table!" &amp; $X$171 &amp; $U35),0)))))</f>
        <v>170967.6</v>
      </c>
      <c r="J35" s="33">
        <f ca="1">IF(ISERROR(MATCH(J$1,INDIRECT("Table!A"&amp;$U35):INDIRECT("Table!" &amp; $X$171 &amp; $U35),0)),"",INDIRECT(CONCATENATE("Table!",ADDRESS($Q35,MATCH(J$1,INDIRECT("Table!A" &amp; $U35):INDIRECT("Table!" &amp; $X$171 &amp; $U35),0)))))</f>
        <v>132132.20000000001</v>
      </c>
      <c r="K35" s="33">
        <f ca="1">IF(ISERROR(MATCH(K$1,INDIRECT("Table!A"&amp;$U35):INDIRECT("Table!" &amp; $X$171 &amp; $U35),0)),"",INDIRECT(CONCATENATE("Table!",ADDRESS($Q35,MATCH(K$1,INDIRECT("Table!A" &amp; $U35):INDIRECT("Table!" &amp; $X$171 &amp; $U35),0)))))</f>
        <v>82726.3</v>
      </c>
      <c r="L35" s="33">
        <f ca="1">IF(ISERROR(MATCH(L$1,INDIRECT("Table!A"&amp;$U35):INDIRECT("Table!" &amp; $X$171 &amp; $U35),0)),"",INDIRECT(CONCATENATE("Table!",ADDRESS($Q35,MATCH(L$1,INDIRECT("Table!A" &amp; $U35):INDIRECT("Table!" &amp; $X$171 &amp; $U35),0)))))</f>
        <v>176482.7</v>
      </c>
      <c r="M35" s="33">
        <f ca="1">IF(ISERROR(MATCH(M$1,INDIRECT("Table!A"&amp;$U35):INDIRECT("Table!" &amp; $X$171 &amp; $U35),0)),"",INDIRECT(CONCATENATE("Table!",ADDRESS($Q35,MATCH(M$1,INDIRECT("Table!A" &amp; $U35):INDIRECT("Table!" &amp; $X$171 &amp; $U35),0)))))</f>
        <v>54921</v>
      </c>
      <c r="N35" s="253"/>
      <c r="O35" s="253"/>
      <c r="P35" s="253"/>
      <c r="Q35" s="31">
        <f>MATCH($A35,Table!$A:$A,0)+$S$14-1</f>
        <v>480</v>
      </c>
      <c r="R35" s="253"/>
      <c r="S35" s="253"/>
      <c r="T35" s="253"/>
      <c r="U35" s="31">
        <f>MATCH($A35,Table!$A:$A,0)+$W$2-1</f>
        <v>466</v>
      </c>
      <c r="V35" s="253"/>
      <c r="W35" s="253"/>
      <c r="X35" s="372" t="s">
        <v>209</v>
      </c>
    </row>
    <row r="36" spans="1:24" ht="19.5" customHeight="1">
      <c r="A36" s="5">
        <v>41184</v>
      </c>
      <c r="B36" s="33">
        <f ca="1">IF(ISERROR(MATCH(B$1,INDIRECT("Table!A"&amp;$U36):INDIRECT("Table!" &amp; $X$171 &amp; $U36),0)),"",INDIRECT(CONCATENATE("Table!",ADDRESS($Q36,MATCH(B$1,INDIRECT("Table!A" &amp; $U36):INDIRECT("Table!" &amp; $X$171 &amp; $U36),0)))))</f>
        <v>143392.20000000001</v>
      </c>
      <c r="C36" s="33">
        <f ca="1">IF(ISERROR(MATCH(C$1,INDIRECT("Table!A"&amp;$U36):INDIRECT("Table!" &amp; $X$171 &amp; $U36),0)),"",INDIRECT(CONCATENATE("Table!",ADDRESS($Q36,MATCH(C$1,INDIRECT("Table!A" &amp; $U36):INDIRECT("Table!" &amp; $X$171 &amp; $U36),0)))))</f>
        <v>150515.79999999999</v>
      </c>
      <c r="D36" s="33">
        <f ca="1">IF(ISERROR(MATCH(D$1,INDIRECT("Table!A"&amp;$U36):INDIRECT("Table!" &amp; $X$171 &amp; $U36),0)),"",INDIRECT(CONCATENATE("Table!",ADDRESS($Q36,MATCH(D$1,INDIRECT("Table!A" &amp; $U36):INDIRECT("Table!" &amp; $X$171 &amp; $U36),0)))))</f>
        <v>150515.79999999999</v>
      </c>
      <c r="E36" s="33">
        <f ca="1">IF(ISERROR(MATCH(E$1,INDIRECT("Table!A"&amp;$U36):INDIRECT("Table!" &amp; $X$171 &amp; $U36),0)),"",INDIRECT(CONCATENATE("Table!",ADDRESS($Q36,MATCH(E$1,INDIRECT("Table!A" &amp; $U36):INDIRECT("Table!" &amp; $X$171 &amp; $U36),0)))))</f>
        <v>181997.8</v>
      </c>
      <c r="F36" s="33">
        <f ca="1">IF(ISERROR(MATCH(F$1,INDIRECT("Table!A"&amp;$U36):INDIRECT("Table!" &amp; $X$171 &amp; $U36),0)),"",INDIRECT(CONCATENATE("Table!",ADDRESS($Q36,MATCH(F$1,INDIRECT("Table!A" &amp; $U36):INDIRECT("Table!" &amp; $X$171 &amp; $U36),0)))))</f>
        <v>165452.5</v>
      </c>
      <c r="G36" s="33">
        <f ca="1">IF(ISERROR(MATCH(G$1,INDIRECT("Table!A"&amp;$U36):INDIRECT("Table!" &amp; $X$171 &amp; $U36),0)),"",INDIRECT(CONCATENATE("Table!",ADDRESS($Q36,MATCH(G$1,INDIRECT("Table!A" &amp; $U36):INDIRECT("Table!" &amp; $X$171 &amp; $U36),0)))))</f>
        <v>110071.9</v>
      </c>
      <c r="H36" s="33">
        <f ca="1">IF(ISERROR(MATCH(H$1,INDIRECT("Table!A"&amp;$U36):INDIRECT("Table!" &amp; $X$171 &amp; $U36),0)),"",INDIRECT(CONCATENATE("Table!",ADDRESS($Q36,MATCH(H$1,INDIRECT("Table!A" &amp; $U36):INDIRECT("Table!" &amp; $X$171 &amp; $U36),0)))))</f>
        <v>121331.8</v>
      </c>
      <c r="I36" s="33">
        <f ca="1">IF(ISERROR(MATCH(I$1,INDIRECT("Table!A"&amp;$U36):INDIRECT("Table!" &amp; $X$171 &amp; $U36),0)),"",INDIRECT(CONCATENATE("Table!",ADDRESS($Q36,MATCH(I$1,INDIRECT("Table!A" &amp; $U36):INDIRECT("Table!" &amp; $X$171 &amp; $U36),0)))))</f>
        <v>170967.6</v>
      </c>
      <c r="J36" s="33">
        <f ca="1">IF(ISERROR(MATCH(J$1,INDIRECT("Table!A"&amp;$U36):INDIRECT("Table!" &amp; $X$171 &amp; $U36),0)),"",INDIRECT(CONCATENATE("Table!",ADDRESS($Q36,MATCH(J$1,INDIRECT("Table!A" &amp; $U36):INDIRECT("Table!" &amp; $X$171 &amp; $U36),0)))))</f>
        <v>132132.20000000001</v>
      </c>
      <c r="K36" s="33">
        <f ca="1">IF(ISERROR(MATCH(K$1,INDIRECT("Table!A"&amp;$U36):INDIRECT("Table!" &amp; $X$171 &amp; $U36),0)),"",INDIRECT(CONCATENATE("Table!",ADDRESS($Q36,MATCH(K$1,INDIRECT("Table!A" &amp; $U36):INDIRECT("Table!" &amp; $X$171 &amp; $U36),0)))))</f>
        <v>82726.3</v>
      </c>
      <c r="L36" s="33">
        <f ca="1">IF(ISERROR(MATCH(L$1,INDIRECT("Table!A"&amp;$U36):INDIRECT("Table!" &amp; $X$171 &amp; $U36),0)),"",INDIRECT(CONCATENATE("Table!",ADDRESS($Q36,MATCH(L$1,INDIRECT("Table!A" &amp; $U36):INDIRECT("Table!" &amp; $X$171 &amp; $U36),0)))))</f>
        <v>176482.7</v>
      </c>
      <c r="M36" s="33">
        <f ca="1">IF(ISERROR(MATCH(M$1,INDIRECT("Table!A"&amp;$U36):INDIRECT("Table!" &amp; $X$171 &amp; $U36),0)),"",INDIRECT(CONCATENATE("Table!",ADDRESS($Q36,MATCH(M$1,INDIRECT("Table!A" &amp; $U36):INDIRECT("Table!" &amp; $X$171 &amp; $U36),0)))))</f>
        <v>54921</v>
      </c>
      <c r="N36" s="252"/>
      <c r="O36" s="252"/>
      <c r="P36" s="252"/>
      <c r="Q36" s="31">
        <f>MATCH($A36,Table!$A:$A,0)+$S$14-1</f>
        <v>493</v>
      </c>
      <c r="R36" s="252"/>
      <c r="S36" s="252"/>
      <c r="T36" s="252"/>
      <c r="U36" s="31">
        <f>MATCH($A36,Table!$A:$A,0)+$W$2-1</f>
        <v>479</v>
      </c>
      <c r="V36" s="252"/>
      <c r="W36" s="252"/>
      <c r="X36" s="372" t="s">
        <v>209</v>
      </c>
    </row>
    <row r="37" spans="1:24" ht="19.5" customHeight="1">
      <c r="A37" s="5">
        <v>41178</v>
      </c>
      <c r="B37" s="33">
        <f ca="1">IF(ISERROR(MATCH(B$1,INDIRECT("Table!A"&amp;$U37):INDIRECT("Table!" &amp; $X$171 &amp; $U37),0)),"",INDIRECT(CONCATENATE("Table!",ADDRESS($Q37,MATCH(B$1,INDIRECT("Table!A" &amp; $U37):INDIRECT("Table!" &amp; $X$171 &amp; $U37),0)))))</f>
        <v>143392.20000000001</v>
      </c>
      <c r="C37" s="33">
        <f ca="1">IF(ISERROR(MATCH(C$1,INDIRECT("Table!A"&amp;$U37):INDIRECT("Table!" &amp; $X$171 &amp; $U37),0)),"",INDIRECT(CONCATENATE("Table!",ADDRESS($Q37,MATCH(C$1,INDIRECT("Table!A" &amp; $U37):INDIRECT("Table!" &amp; $X$171 &amp; $U37),0)))))</f>
        <v>150515.79999999999</v>
      </c>
      <c r="D37" s="33">
        <f ca="1">IF(ISERROR(MATCH(D$1,INDIRECT("Table!A"&amp;$U37):INDIRECT("Table!" &amp; $X$171 &amp; $U37),0)),"",INDIRECT(CONCATENATE("Table!",ADDRESS($Q37,MATCH(D$1,INDIRECT("Table!A" &amp; $U37):INDIRECT("Table!" &amp; $X$171 &amp; $U37),0)))))</f>
        <v>150515.79999999999</v>
      </c>
      <c r="E37" s="33">
        <f ca="1">IF(ISERROR(MATCH(E$1,INDIRECT("Table!A"&amp;$U37):INDIRECT("Table!" &amp; $X$171 &amp; $U37),0)),"",INDIRECT(CONCATENATE("Table!",ADDRESS($Q37,MATCH(E$1,INDIRECT("Table!A" &amp; $U37):INDIRECT("Table!" &amp; $X$171 &amp; $U37),0)))))</f>
        <v>181997.8</v>
      </c>
      <c r="F37" s="33">
        <f ca="1">IF(ISERROR(MATCH(F$1,INDIRECT("Table!A"&amp;$U37):INDIRECT("Table!" &amp; $X$171 &amp; $U37),0)),"",INDIRECT(CONCATENATE("Table!",ADDRESS($Q37,MATCH(F$1,INDIRECT("Table!A" &amp; $U37):INDIRECT("Table!" &amp; $X$171 &amp; $U37),0)))))</f>
        <v>165452.5</v>
      </c>
      <c r="G37" s="33">
        <f ca="1">IF(ISERROR(MATCH(G$1,INDIRECT("Table!A"&amp;$U37):INDIRECT("Table!" &amp; $X$171 &amp; $U37),0)),"",INDIRECT(CONCATENATE("Table!",ADDRESS($Q37,MATCH(G$1,INDIRECT("Table!A" &amp; $U37):INDIRECT("Table!" &amp; $X$171 &amp; $U37),0)))))</f>
        <v>110071.9</v>
      </c>
      <c r="H37" s="33">
        <f ca="1">IF(ISERROR(MATCH(H$1,INDIRECT("Table!A"&amp;$U37):INDIRECT("Table!" &amp; $X$171 &amp; $U37),0)),"",INDIRECT(CONCATENATE("Table!",ADDRESS($Q37,MATCH(H$1,INDIRECT("Table!A" &amp; $U37):INDIRECT("Table!" &amp; $X$171 &amp; $U37),0)))))</f>
        <v>121331.8</v>
      </c>
      <c r="I37" s="33">
        <f ca="1">IF(ISERROR(MATCH(I$1,INDIRECT("Table!A"&amp;$U37):INDIRECT("Table!" &amp; $X$171 &amp; $U37),0)),"",INDIRECT(CONCATENATE("Table!",ADDRESS($Q37,MATCH(I$1,INDIRECT("Table!A" &amp; $U37):INDIRECT("Table!" &amp; $X$171 &amp; $U37),0)))))</f>
        <v>170967.6</v>
      </c>
      <c r="J37" s="33">
        <f ca="1">IF(ISERROR(MATCH(J$1,INDIRECT("Table!A"&amp;$U37):INDIRECT("Table!" &amp; $X$171 &amp; $U37),0)),"",INDIRECT(CONCATENATE("Table!",ADDRESS($Q37,MATCH(J$1,INDIRECT("Table!A" &amp; $U37):INDIRECT("Table!" &amp; $X$171 &amp; $U37),0)))))</f>
        <v>132132.20000000001</v>
      </c>
      <c r="K37" s="33">
        <f ca="1">IF(ISERROR(MATCH(K$1,INDIRECT("Table!A"&amp;$U37):INDIRECT("Table!" &amp; $X$171 &amp; $U37),0)),"",INDIRECT(CONCATENATE("Table!",ADDRESS($Q37,MATCH(K$1,INDIRECT("Table!A" &amp; $U37):INDIRECT("Table!" &amp; $X$171 &amp; $U37),0)))))</f>
        <v>82726.3</v>
      </c>
      <c r="L37" s="33">
        <f ca="1">IF(ISERROR(MATCH(L$1,INDIRECT("Table!A"&amp;$U37):INDIRECT("Table!" &amp; $X$171 &amp; $U37),0)),"",INDIRECT(CONCATENATE("Table!",ADDRESS($Q37,MATCH(L$1,INDIRECT("Table!A" &amp; $U37):INDIRECT("Table!" &amp; $X$171 &amp; $U37),0)))))</f>
        <v>176482.7</v>
      </c>
      <c r="M37" s="33">
        <f ca="1">IF(ISERROR(MATCH(M$1,INDIRECT("Table!A"&amp;$U37):INDIRECT("Table!" &amp; $X$171 &amp; $U37),0)),"",INDIRECT(CONCATENATE("Table!",ADDRESS($Q37,MATCH(M$1,INDIRECT("Table!A" &amp; $U37):INDIRECT("Table!" &amp; $X$171 &amp; $U37),0)))))</f>
        <v>54921</v>
      </c>
      <c r="N37" s="251"/>
      <c r="O37" s="251"/>
      <c r="P37" s="251"/>
      <c r="Q37" s="31">
        <f>MATCH($A37,Table!$A:$A,0)+$S$14-1</f>
        <v>506</v>
      </c>
      <c r="R37" s="251"/>
      <c r="S37" s="251"/>
      <c r="T37" s="251"/>
      <c r="U37" s="31">
        <f>MATCH($A37,Table!$A:$A,0)+$W$2-1</f>
        <v>492</v>
      </c>
      <c r="V37" s="251"/>
      <c r="W37" s="251"/>
      <c r="X37" s="372" t="s">
        <v>209</v>
      </c>
    </row>
    <row r="38" spans="1:24" ht="19.5" customHeight="1">
      <c r="A38" s="5">
        <v>41176</v>
      </c>
      <c r="B38" s="33">
        <f ca="1">IF(ISERROR(MATCH(B$1,INDIRECT("Table!A"&amp;$U38):INDIRECT("Table!" &amp; $X$171 &amp; $U38),0)),"",INDIRECT(CONCATENATE("Table!",ADDRESS($Q38,MATCH(B$1,INDIRECT("Table!A" &amp; $U38):INDIRECT("Table!" &amp; $X$171 &amp; $U38),0)))))</f>
        <v>143392.20000000001</v>
      </c>
      <c r="C38" s="33">
        <f ca="1">IF(ISERROR(MATCH(C$1,INDIRECT("Table!A"&amp;$U38):INDIRECT("Table!" &amp; $X$171 &amp; $U38),0)),"",INDIRECT(CONCATENATE("Table!",ADDRESS($Q38,MATCH(C$1,INDIRECT("Table!A" &amp; $U38):INDIRECT("Table!" &amp; $X$171 &amp; $U38),0)))))</f>
        <v>150515.79999999999</v>
      </c>
      <c r="D38" s="33">
        <f ca="1">IF(ISERROR(MATCH(D$1,INDIRECT("Table!A"&amp;$U38):INDIRECT("Table!" &amp; $X$171 &amp; $U38),0)),"",INDIRECT(CONCATENATE("Table!",ADDRESS($Q38,MATCH(D$1,INDIRECT("Table!A" &amp; $U38):INDIRECT("Table!" &amp; $X$171 &amp; $U38),0)))))</f>
        <v>150515.79999999999</v>
      </c>
      <c r="E38" s="33">
        <f ca="1">IF(ISERROR(MATCH(E$1,INDIRECT("Table!A"&amp;$U38):INDIRECT("Table!" &amp; $X$171 &amp; $U38),0)),"",INDIRECT(CONCATENATE("Table!",ADDRESS($Q38,MATCH(E$1,INDIRECT("Table!A" &amp; $U38):INDIRECT("Table!" &amp; $X$171 &amp; $U38),0)))))</f>
        <v>181997.8</v>
      </c>
      <c r="F38" s="33">
        <f ca="1">IF(ISERROR(MATCH(F$1,INDIRECT("Table!A"&amp;$U38):INDIRECT("Table!" &amp; $X$171 &amp; $U38),0)),"",INDIRECT(CONCATENATE("Table!",ADDRESS($Q38,MATCH(F$1,INDIRECT("Table!A" &amp; $U38):INDIRECT("Table!" &amp; $X$171 &amp; $U38),0)))))</f>
        <v>165452.5</v>
      </c>
      <c r="G38" s="33">
        <f ca="1">IF(ISERROR(MATCH(G$1,INDIRECT("Table!A"&amp;$U38):INDIRECT("Table!" &amp; $X$171 &amp; $U38),0)),"",INDIRECT(CONCATENATE("Table!",ADDRESS($Q38,MATCH(G$1,INDIRECT("Table!A" &amp; $U38):INDIRECT("Table!" &amp; $X$171 &amp; $U38),0)))))</f>
        <v>110071.9</v>
      </c>
      <c r="H38" s="33">
        <f ca="1">IF(ISERROR(MATCH(H$1,INDIRECT("Table!A"&amp;$U38):INDIRECT("Table!" &amp; $X$171 &amp; $U38),0)),"",INDIRECT(CONCATENATE("Table!",ADDRESS($Q38,MATCH(H$1,INDIRECT("Table!A" &amp; $U38):INDIRECT("Table!" &amp; $X$171 &amp; $U38),0)))))</f>
        <v>121331.8</v>
      </c>
      <c r="I38" s="33">
        <f ca="1">IF(ISERROR(MATCH(I$1,INDIRECT("Table!A"&amp;$U38):INDIRECT("Table!" &amp; $X$171 &amp; $U38),0)),"",INDIRECT(CONCATENATE("Table!",ADDRESS($Q38,MATCH(I$1,INDIRECT("Table!A" &amp; $U38):INDIRECT("Table!" &amp; $X$171 &amp; $U38),0)))))</f>
        <v>170967.6</v>
      </c>
      <c r="J38" s="33">
        <f ca="1">IF(ISERROR(MATCH(J$1,INDIRECT("Table!A"&amp;$U38):INDIRECT("Table!" &amp; $X$171 &amp; $U38),0)),"",INDIRECT(CONCATENATE("Table!",ADDRESS($Q38,MATCH(J$1,INDIRECT("Table!A" &amp; $U38):INDIRECT("Table!" &amp; $X$171 &amp; $U38),0)))))</f>
        <v>132132.20000000001</v>
      </c>
      <c r="K38" s="33">
        <f ca="1">IF(ISERROR(MATCH(K$1,INDIRECT("Table!A"&amp;$U38):INDIRECT("Table!" &amp; $X$171 &amp; $U38),0)),"",INDIRECT(CONCATENATE("Table!",ADDRESS($Q38,MATCH(K$1,INDIRECT("Table!A" &amp; $U38):INDIRECT("Table!" &amp; $X$171 &amp; $U38),0)))))</f>
        <v>82726.3</v>
      </c>
      <c r="L38" s="33">
        <f ca="1">IF(ISERROR(MATCH(L$1,INDIRECT("Table!A"&amp;$U38):INDIRECT("Table!" &amp; $X$171 &amp; $U38),0)),"",INDIRECT(CONCATENATE("Table!",ADDRESS($Q38,MATCH(L$1,INDIRECT("Table!A" &amp; $U38):INDIRECT("Table!" &amp; $X$171 &amp; $U38),0)))))</f>
        <v>176482.7</v>
      </c>
      <c r="M38" s="33">
        <f ca="1">IF(ISERROR(MATCH(M$1,INDIRECT("Table!A"&amp;$U38):INDIRECT("Table!" &amp; $X$171 &amp; $U38),0)),"",INDIRECT(CONCATENATE("Table!",ADDRESS($Q38,MATCH(M$1,INDIRECT("Table!A" &amp; $U38):INDIRECT("Table!" &amp; $X$171 &amp; $U38),0)))))</f>
        <v>54921</v>
      </c>
      <c r="N38" s="250"/>
      <c r="O38" s="250"/>
      <c r="P38" s="250"/>
      <c r="Q38" s="31">
        <f>MATCH($A38,Table!$A:$A,0)+$S$14-1</f>
        <v>519</v>
      </c>
      <c r="R38" s="250"/>
      <c r="S38" s="250"/>
      <c r="T38" s="250"/>
      <c r="U38" s="31">
        <f>MATCH($A38,Table!$A:$A,0)+$W$2-1</f>
        <v>505</v>
      </c>
      <c r="V38" s="250"/>
      <c r="W38" s="250"/>
      <c r="X38" s="372" t="s">
        <v>209</v>
      </c>
    </row>
    <row r="39" spans="1:24" ht="19.5" customHeight="1">
      <c r="A39" s="5">
        <v>41172</v>
      </c>
      <c r="B39" s="33">
        <f ca="1">IF(ISERROR(MATCH(B$1,INDIRECT("Table!A"&amp;$U39):INDIRECT("Table!" &amp; $X$171 &amp; $U39),0)),"",INDIRECT(CONCATENATE("Table!",ADDRESS($Q39,MATCH(B$1,INDIRECT("Table!A" &amp; $U39):INDIRECT("Table!" &amp; $X$171 &amp; $U39),0)))))</f>
        <v>143392.20000000001</v>
      </c>
      <c r="C39" s="33">
        <f ca="1">IF(ISERROR(MATCH(C$1,INDIRECT("Table!A"&amp;$U39):INDIRECT("Table!" &amp; $X$171 &amp; $U39),0)),"",INDIRECT(CONCATENATE("Table!",ADDRESS($Q39,MATCH(C$1,INDIRECT("Table!A" &amp; $U39):INDIRECT("Table!" &amp; $X$171 &amp; $U39),0)))))</f>
        <v>150515.79999999999</v>
      </c>
      <c r="D39" s="33">
        <f ca="1">IF(ISERROR(MATCH(D$1,INDIRECT("Table!A"&amp;$U39):INDIRECT("Table!" &amp; $X$171 &amp; $U39),0)),"",INDIRECT(CONCATENATE("Table!",ADDRESS($Q39,MATCH(D$1,INDIRECT("Table!A" &amp; $U39):INDIRECT("Table!" &amp; $X$171 &amp; $U39),0)))))</f>
        <v>150515.79999999999</v>
      </c>
      <c r="E39" s="33">
        <f ca="1">IF(ISERROR(MATCH(E$1,INDIRECT("Table!A"&amp;$U39):INDIRECT("Table!" &amp; $X$171 &amp; $U39),0)),"",INDIRECT(CONCATENATE("Table!",ADDRESS($Q39,MATCH(E$1,INDIRECT("Table!A" &amp; $U39):INDIRECT("Table!" &amp; $X$171 &amp; $U39),0)))))</f>
        <v>181997.8</v>
      </c>
      <c r="F39" s="33">
        <f ca="1">IF(ISERROR(MATCH(F$1,INDIRECT("Table!A"&amp;$U39):INDIRECT("Table!" &amp; $X$171 &amp; $U39),0)),"",INDIRECT(CONCATENATE("Table!",ADDRESS($Q39,MATCH(F$1,INDIRECT("Table!A" &amp; $U39):INDIRECT("Table!" &amp; $X$171 &amp; $U39),0)))))</f>
        <v>165452.5</v>
      </c>
      <c r="G39" s="33">
        <f ca="1">IF(ISERROR(MATCH(G$1,INDIRECT("Table!A"&amp;$U39):INDIRECT("Table!" &amp; $X$171 &amp; $U39),0)),"",INDIRECT(CONCATENATE("Table!",ADDRESS($Q39,MATCH(G$1,INDIRECT("Table!A" &amp; $U39):INDIRECT("Table!" &amp; $X$171 &amp; $U39),0)))))</f>
        <v>110071.9</v>
      </c>
      <c r="H39" s="33">
        <f ca="1">IF(ISERROR(MATCH(H$1,INDIRECT("Table!A"&amp;$U39):INDIRECT("Table!" &amp; $X$171 &amp; $U39),0)),"",INDIRECT(CONCATENATE("Table!",ADDRESS($Q39,MATCH(H$1,INDIRECT("Table!A" &amp; $U39):INDIRECT("Table!" &amp; $X$171 &amp; $U39),0)))))</f>
        <v>121331.8</v>
      </c>
      <c r="I39" s="33">
        <f ca="1">IF(ISERROR(MATCH(I$1,INDIRECT("Table!A"&amp;$U39):INDIRECT("Table!" &amp; $X$171 &amp; $U39),0)),"",INDIRECT(CONCATENATE("Table!",ADDRESS($Q39,MATCH(I$1,INDIRECT("Table!A" &amp; $U39):INDIRECT("Table!" &amp; $X$171 &amp; $U39),0)))))</f>
        <v>170967.6</v>
      </c>
      <c r="J39" s="33">
        <f ca="1">IF(ISERROR(MATCH(J$1,INDIRECT("Table!A"&amp;$U39):INDIRECT("Table!" &amp; $X$171 &amp; $U39),0)),"",INDIRECT(CONCATENATE("Table!",ADDRESS($Q39,MATCH(J$1,INDIRECT("Table!A" &amp; $U39):INDIRECT("Table!" &amp; $X$171 &amp; $U39),0)))))</f>
        <v>132132.20000000001</v>
      </c>
      <c r="K39" s="33">
        <f ca="1">IF(ISERROR(MATCH(K$1,INDIRECT("Table!A"&amp;$U39):INDIRECT("Table!" &amp; $X$171 &amp; $U39),0)),"",INDIRECT(CONCATENATE("Table!",ADDRESS($Q39,MATCH(K$1,INDIRECT("Table!A" &amp; $U39):INDIRECT("Table!" &amp; $X$171 &amp; $U39),0)))))</f>
        <v>82726.3</v>
      </c>
      <c r="L39" s="33">
        <f ca="1">IF(ISERROR(MATCH(L$1,INDIRECT("Table!A"&amp;$U39):INDIRECT("Table!" &amp; $X$171 &amp; $U39),0)),"",INDIRECT(CONCATENATE("Table!",ADDRESS($Q39,MATCH(L$1,INDIRECT("Table!A" &amp; $U39):INDIRECT("Table!" &amp; $X$171 &amp; $U39),0)))))</f>
        <v>176482.7</v>
      </c>
      <c r="M39" s="33">
        <f ca="1">IF(ISERROR(MATCH(M$1,INDIRECT("Table!A"&amp;$U39):INDIRECT("Table!" &amp; $X$171 &amp; $U39),0)),"",INDIRECT(CONCATENATE("Table!",ADDRESS($Q39,MATCH(M$1,INDIRECT("Table!A" &amp; $U39):INDIRECT("Table!" &amp; $X$171 &amp; $U39),0)))))</f>
        <v>54921</v>
      </c>
      <c r="N39" s="249"/>
      <c r="O39" s="249"/>
      <c r="P39" s="249"/>
      <c r="Q39" s="31">
        <f>MATCH($A39,Table!$A:$A,0)+$S$14-1</f>
        <v>532</v>
      </c>
      <c r="R39" s="249"/>
      <c r="S39" s="249"/>
      <c r="T39" s="249"/>
      <c r="U39" s="31">
        <f>MATCH($A39,Table!$A:$A,0)+$W$2-1</f>
        <v>518</v>
      </c>
      <c r="V39" s="249"/>
      <c r="W39" s="249"/>
      <c r="X39" s="372" t="s">
        <v>209</v>
      </c>
    </row>
    <row r="40" spans="1:24" ht="19.5" customHeight="1">
      <c r="A40" s="5">
        <v>41171</v>
      </c>
      <c r="B40" s="33">
        <f ca="1">IF(ISERROR(MATCH(B$1,INDIRECT("Table!A"&amp;$U40):INDIRECT("Table!" &amp; $X$171 &amp; $U40),0)),"",INDIRECT(CONCATENATE("Table!",ADDRESS($Q40,MATCH(B$1,INDIRECT("Table!A" &amp; $U40):INDIRECT("Table!" &amp; $X$171 &amp; $U40),0)))))</f>
        <v>143392.20000000001</v>
      </c>
      <c r="C40" s="33">
        <f ca="1">IF(ISERROR(MATCH(C$1,INDIRECT("Table!A"&amp;$U40):INDIRECT("Table!" &amp; $X$171 &amp; $U40),0)),"",INDIRECT(CONCATENATE("Table!",ADDRESS($Q40,MATCH(C$1,INDIRECT("Table!A" &amp; $U40):INDIRECT("Table!" &amp; $X$171 &amp; $U40),0)))))</f>
        <v>150515.79999999999</v>
      </c>
      <c r="D40" s="33">
        <f ca="1">IF(ISERROR(MATCH(D$1,INDIRECT("Table!A"&amp;$U40):INDIRECT("Table!" &amp; $X$171 &amp; $U40),0)),"",INDIRECT(CONCATENATE("Table!",ADDRESS($Q40,MATCH(D$1,INDIRECT("Table!A" &amp; $U40):INDIRECT("Table!" &amp; $X$171 &amp; $U40),0)))))</f>
        <v>150515.79999999999</v>
      </c>
      <c r="E40" s="33">
        <f ca="1">IF(ISERROR(MATCH(E$1,INDIRECT("Table!A"&amp;$U40):INDIRECT("Table!" &amp; $X$171 &amp; $U40),0)),"",INDIRECT(CONCATENATE("Table!",ADDRESS($Q40,MATCH(E$1,INDIRECT("Table!A" &amp; $U40):INDIRECT("Table!" &amp; $X$171 &amp; $U40),0)))))</f>
        <v>181997.8</v>
      </c>
      <c r="F40" s="33">
        <f ca="1">IF(ISERROR(MATCH(F$1,INDIRECT("Table!A"&amp;$U40):INDIRECT("Table!" &amp; $X$171 &amp; $U40),0)),"",INDIRECT(CONCATENATE("Table!",ADDRESS($Q40,MATCH(F$1,INDIRECT("Table!A" &amp; $U40):INDIRECT("Table!" &amp; $X$171 &amp; $U40),0)))))</f>
        <v>165452.5</v>
      </c>
      <c r="G40" s="33">
        <f ca="1">IF(ISERROR(MATCH(G$1,INDIRECT("Table!A"&amp;$U40):INDIRECT("Table!" &amp; $X$171 &amp; $U40),0)),"",INDIRECT(CONCATENATE("Table!",ADDRESS($Q40,MATCH(G$1,INDIRECT("Table!A" &amp; $U40):INDIRECT("Table!" &amp; $X$171 &amp; $U40),0)))))</f>
        <v>110071.9</v>
      </c>
      <c r="H40" s="33">
        <f ca="1">IF(ISERROR(MATCH(H$1,INDIRECT("Table!A"&amp;$U40):INDIRECT("Table!" &amp; $X$171 &amp; $U40),0)),"",INDIRECT(CONCATENATE("Table!",ADDRESS($Q40,MATCH(H$1,INDIRECT("Table!A" &amp; $U40):INDIRECT("Table!" &amp; $X$171 &amp; $U40),0)))))</f>
        <v>121331.8</v>
      </c>
      <c r="I40" s="33">
        <f ca="1">IF(ISERROR(MATCH(I$1,INDIRECT("Table!A"&amp;$U40):INDIRECT("Table!" &amp; $X$171 &amp; $U40),0)),"",INDIRECT(CONCATENATE("Table!",ADDRESS($Q40,MATCH(I$1,INDIRECT("Table!A" &amp; $U40):INDIRECT("Table!" &amp; $X$171 &amp; $U40),0)))))</f>
        <v>170967.6</v>
      </c>
      <c r="J40" s="33">
        <f ca="1">IF(ISERROR(MATCH(J$1,INDIRECT("Table!A"&amp;$U40):INDIRECT("Table!" &amp; $X$171 &amp; $U40),0)),"",INDIRECT(CONCATENATE("Table!",ADDRESS($Q40,MATCH(J$1,INDIRECT("Table!A" &amp; $U40):INDIRECT("Table!" &amp; $X$171 &amp; $U40),0)))))</f>
        <v>132132.20000000001</v>
      </c>
      <c r="K40" s="33">
        <f ca="1">IF(ISERROR(MATCH(K$1,INDIRECT("Table!A"&amp;$U40):INDIRECT("Table!" &amp; $X$171 &amp; $U40),0)),"",INDIRECT(CONCATENATE("Table!",ADDRESS($Q40,MATCH(K$1,INDIRECT("Table!A" &amp; $U40):INDIRECT("Table!" &amp; $X$171 &amp; $U40),0)))))</f>
        <v>82726.3</v>
      </c>
      <c r="L40" s="33">
        <f ca="1">IF(ISERROR(MATCH(L$1,INDIRECT("Table!A"&amp;$U40):INDIRECT("Table!" &amp; $X$171 &amp; $U40),0)),"",INDIRECT(CONCATENATE("Table!",ADDRESS($Q40,MATCH(L$1,INDIRECT("Table!A" &amp; $U40):INDIRECT("Table!" &amp; $X$171 &amp; $U40),0)))))</f>
        <v>176482.7</v>
      </c>
      <c r="M40" s="33">
        <f ca="1">IF(ISERROR(MATCH(M$1,INDIRECT("Table!A"&amp;$U40):INDIRECT("Table!" &amp; $X$171 &amp; $U40),0)),"",INDIRECT(CONCATENATE("Table!",ADDRESS($Q40,MATCH(M$1,INDIRECT("Table!A" &amp; $U40):INDIRECT("Table!" &amp; $X$171 &amp; $U40),0)))))</f>
        <v>54921</v>
      </c>
      <c r="N40" s="249"/>
      <c r="O40" s="249"/>
      <c r="P40" s="249"/>
      <c r="Q40" s="31">
        <f>MATCH($A40,Table!$A:$A,0)+$S$14-1</f>
        <v>545</v>
      </c>
      <c r="R40" s="249"/>
      <c r="S40" s="249"/>
      <c r="T40" s="249"/>
      <c r="U40" s="31">
        <f>MATCH($A40,Table!$A:$A,0)+$W$2-1</f>
        <v>531</v>
      </c>
      <c r="V40" s="249"/>
      <c r="W40" s="249"/>
      <c r="X40" s="372" t="s">
        <v>209</v>
      </c>
    </row>
    <row r="41" spans="1:24" ht="19.5" customHeight="1">
      <c r="A41" s="5">
        <v>41170</v>
      </c>
      <c r="B41" s="33">
        <f ca="1">IF(ISERROR(MATCH(B$1,INDIRECT("Table!A"&amp;$U41):INDIRECT("Table!" &amp; $X$171 &amp; $U41),0)),"",INDIRECT(CONCATENATE("Table!",ADDRESS($Q41,MATCH(B$1,INDIRECT("Table!A" &amp; $U41):INDIRECT("Table!" &amp; $X$171 &amp; $U41),0)))))</f>
        <v>143392.20000000001</v>
      </c>
      <c r="C41" s="33">
        <f ca="1">IF(ISERROR(MATCH(C$1,INDIRECT("Table!A"&amp;$U41):INDIRECT("Table!" &amp; $X$171 &amp; $U41),0)),"",INDIRECT(CONCATENATE("Table!",ADDRESS($Q41,MATCH(C$1,INDIRECT("Table!A" &amp; $U41):INDIRECT("Table!" &amp; $X$171 &amp; $U41),0)))))</f>
        <v>150515.79999999999</v>
      </c>
      <c r="D41" s="33">
        <f ca="1">IF(ISERROR(MATCH(D$1,INDIRECT("Table!A"&amp;$U41):INDIRECT("Table!" &amp; $X$171 &amp; $U41),0)),"",INDIRECT(CONCATENATE("Table!",ADDRESS($Q41,MATCH(D$1,INDIRECT("Table!A" &amp; $U41):INDIRECT("Table!" &amp; $X$171 &amp; $U41),0)))))</f>
        <v>150515.79999999999</v>
      </c>
      <c r="E41" s="33">
        <f ca="1">IF(ISERROR(MATCH(E$1,INDIRECT("Table!A"&amp;$U41):INDIRECT("Table!" &amp; $X$171 &amp; $U41),0)),"",INDIRECT(CONCATENATE("Table!",ADDRESS($Q41,MATCH(E$1,INDIRECT("Table!A" &amp; $U41):INDIRECT("Table!" &amp; $X$171 &amp; $U41),0)))))</f>
        <v>181997.8</v>
      </c>
      <c r="F41" s="33">
        <f ca="1">IF(ISERROR(MATCH(F$1,INDIRECT("Table!A"&amp;$U41):INDIRECT("Table!" &amp; $X$171 &amp; $U41),0)),"",INDIRECT(CONCATENATE("Table!",ADDRESS($Q41,MATCH(F$1,INDIRECT("Table!A" &amp; $U41):INDIRECT("Table!" &amp; $X$171 &amp; $U41),0)))))</f>
        <v>165452.5</v>
      </c>
      <c r="G41" s="33">
        <f ca="1">IF(ISERROR(MATCH(G$1,INDIRECT("Table!A"&amp;$U41):INDIRECT("Table!" &amp; $X$171 &amp; $U41),0)),"",INDIRECT(CONCATENATE("Table!",ADDRESS($Q41,MATCH(G$1,INDIRECT("Table!A" &amp; $U41):INDIRECT("Table!" &amp; $X$171 &amp; $U41),0)))))</f>
        <v>110071.9</v>
      </c>
      <c r="H41" s="33">
        <f ca="1">IF(ISERROR(MATCH(H$1,INDIRECT("Table!A"&amp;$U41):INDIRECT("Table!" &amp; $X$171 &amp; $U41),0)),"",INDIRECT(CONCATENATE("Table!",ADDRESS($Q41,MATCH(H$1,INDIRECT("Table!A" &amp; $U41):INDIRECT("Table!" &amp; $X$171 &amp; $U41),0)))))</f>
        <v>121331.8</v>
      </c>
      <c r="I41" s="33">
        <f ca="1">IF(ISERROR(MATCH(I$1,INDIRECT("Table!A"&amp;$U41):INDIRECT("Table!" &amp; $X$171 &amp; $U41),0)),"",INDIRECT(CONCATENATE("Table!",ADDRESS($Q41,MATCH(I$1,INDIRECT("Table!A" &amp; $U41):INDIRECT("Table!" &amp; $X$171 &amp; $U41),0)))))</f>
        <v>170967.6</v>
      </c>
      <c r="J41" s="33">
        <f ca="1">IF(ISERROR(MATCH(J$1,INDIRECT("Table!A"&amp;$U41):INDIRECT("Table!" &amp; $X$171 &amp; $U41),0)),"",INDIRECT(CONCATENATE("Table!",ADDRESS($Q41,MATCH(J$1,INDIRECT("Table!A" &amp; $U41):INDIRECT("Table!" &amp; $X$171 &amp; $U41),0)))))</f>
        <v>132132.20000000001</v>
      </c>
      <c r="K41" s="33">
        <f ca="1">IF(ISERROR(MATCH(K$1,INDIRECT("Table!A"&amp;$U41):INDIRECT("Table!" &amp; $X$171 &amp; $U41),0)),"",INDIRECT(CONCATENATE("Table!",ADDRESS($Q41,MATCH(K$1,INDIRECT("Table!A" &amp; $U41):INDIRECT("Table!" &amp; $X$171 &amp; $U41),0)))))</f>
        <v>82726.3</v>
      </c>
      <c r="L41" s="33">
        <f ca="1">IF(ISERROR(MATCH(L$1,INDIRECT("Table!A"&amp;$U41):INDIRECT("Table!" &amp; $X$171 &amp; $U41),0)),"",INDIRECT(CONCATENATE("Table!",ADDRESS($Q41,MATCH(L$1,INDIRECT("Table!A" &amp; $U41):INDIRECT("Table!" &amp; $X$171 &amp; $U41),0)))))</f>
        <v>176482.7</v>
      </c>
      <c r="M41" s="33">
        <f ca="1">IF(ISERROR(MATCH(M$1,INDIRECT("Table!A"&amp;$U41):INDIRECT("Table!" &amp; $X$171 &amp; $U41),0)),"",INDIRECT(CONCATENATE("Table!",ADDRESS($Q41,MATCH(M$1,INDIRECT("Table!A" &amp; $U41):INDIRECT("Table!" &amp; $X$171 &amp; $U41),0)))))</f>
        <v>54921</v>
      </c>
      <c r="N41" s="248"/>
      <c r="O41" s="248"/>
      <c r="P41" s="248"/>
      <c r="Q41" s="31">
        <f>MATCH($A41,Table!$A:$A,0)+$S$14-1</f>
        <v>558</v>
      </c>
      <c r="R41" s="248"/>
      <c r="S41" s="248"/>
      <c r="T41" s="248"/>
      <c r="U41" s="31">
        <f>MATCH($A41,Table!$A:$A,0)+$W$2-1</f>
        <v>544</v>
      </c>
      <c r="V41" s="248"/>
      <c r="W41" s="248"/>
      <c r="X41" s="372" t="s">
        <v>209</v>
      </c>
    </row>
    <row r="42" spans="1:24" ht="19.5" customHeight="1">
      <c r="A42" s="5">
        <v>41169</v>
      </c>
      <c r="B42" s="33">
        <f ca="1">IF(ISERROR(MATCH(B$1,INDIRECT("Table!A"&amp;$U42):INDIRECT("Table!" &amp; $X$171 &amp; $U42),0)),"",INDIRECT(CONCATENATE("Table!",ADDRESS($Q42,MATCH(B$1,INDIRECT("Table!A" &amp; $U42):INDIRECT("Table!" &amp; $X$171 &amp; $U42),0)))))</f>
        <v>143392.20000000001</v>
      </c>
      <c r="C42" s="33">
        <f ca="1">IF(ISERROR(MATCH(C$1,INDIRECT("Table!A"&amp;$U42):INDIRECT("Table!" &amp; $X$171 &amp; $U42),0)),"",INDIRECT(CONCATENATE("Table!",ADDRESS($Q42,MATCH(C$1,INDIRECT("Table!A" &amp; $U42):INDIRECT("Table!" &amp; $X$171 &amp; $U42),0)))))</f>
        <v>150515.79999999999</v>
      </c>
      <c r="D42" s="33">
        <f ca="1">IF(ISERROR(MATCH(D$1,INDIRECT("Table!A"&amp;$U42):INDIRECT("Table!" &amp; $X$171 &amp; $U42),0)),"",INDIRECT(CONCATENATE("Table!",ADDRESS($Q42,MATCH(D$1,INDIRECT("Table!A" &amp; $U42):INDIRECT("Table!" &amp; $X$171 &amp; $U42),0)))))</f>
        <v>150515.79999999999</v>
      </c>
      <c r="E42" s="33">
        <f ca="1">IF(ISERROR(MATCH(E$1,INDIRECT("Table!A"&amp;$U42):INDIRECT("Table!" &amp; $X$171 &amp; $U42),0)),"",INDIRECT(CONCATENATE("Table!",ADDRESS($Q42,MATCH(E$1,INDIRECT("Table!A" &amp; $U42):INDIRECT("Table!" &amp; $X$171 &amp; $U42),0)))))</f>
        <v>181997.8</v>
      </c>
      <c r="F42" s="33">
        <f ca="1">IF(ISERROR(MATCH(F$1,INDIRECT("Table!A"&amp;$U42):INDIRECT("Table!" &amp; $X$171 &amp; $U42),0)),"",INDIRECT(CONCATENATE("Table!",ADDRESS($Q42,MATCH(F$1,INDIRECT("Table!A" &amp; $U42):INDIRECT("Table!" &amp; $X$171 &amp; $U42),0)))))</f>
        <v>165452.5</v>
      </c>
      <c r="G42" s="33">
        <f ca="1">IF(ISERROR(MATCH(G$1,INDIRECT("Table!A"&amp;$U42):INDIRECT("Table!" &amp; $X$171 &amp; $U42),0)),"",INDIRECT(CONCATENATE("Table!",ADDRESS($Q42,MATCH(G$1,INDIRECT("Table!A" &amp; $U42):INDIRECT("Table!" &amp; $X$171 &amp; $U42),0)))))</f>
        <v>110071.9</v>
      </c>
      <c r="H42" s="33">
        <f ca="1">IF(ISERROR(MATCH(H$1,INDIRECT("Table!A"&amp;$U42):INDIRECT("Table!" &amp; $X$171 &amp; $U42),0)),"",INDIRECT(CONCATENATE("Table!",ADDRESS($Q42,MATCH(H$1,INDIRECT("Table!A" &amp; $U42):INDIRECT("Table!" &amp; $X$171 &amp; $U42),0)))))</f>
        <v>121331.8</v>
      </c>
      <c r="I42" s="33">
        <f ca="1">IF(ISERROR(MATCH(I$1,INDIRECT("Table!A"&amp;$U42):INDIRECT("Table!" &amp; $X$171 &amp; $U42),0)),"",INDIRECT(CONCATENATE("Table!",ADDRESS($Q42,MATCH(I$1,INDIRECT("Table!A" &amp; $U42):INDIRECT("Table!" &amp; $X$171 &amp; $U42),0)))))</f>
        <v>170967.6</v>
      </c>
      <c r="J42" s="33">
        <f ca="1">IF(ISERROR(MATCH(J$1,INDIRECT("Table!A"&amp;$U42):INDIRECT("Table!" &amp; $X$171 &amp; $U42),0)),"",INDIRECT(CONCATENATE("Table!",ADDRESS($Q42,MATCH(J$1,INDIRECT("Table!A" &amp; $U42):INDIRECT("Table!" &amp; $X$171 &amp; $U42),0)))))</f>
        <v>132132.20000000001</v>
      </c>
      <c r="K42" s="33">
        <f ca="1">IF(ISERROR(MATCH(K$1,INDIRECT("Table!A"&amp;$U42):INDIRECT("Table!" &amp; $X$171 &amp; $U42),0)),"",INDIRECT(CONCATENATE("Table!",ADDRESS($Q42,MATCH(K$1,INDIRECT("Table!A" &amp; $U42):INDIRECT("Table!" &amp; $X$171 &amp; $U42),0)))))</f>
        <v>82726.3</v>
      </c>
      <c r="L42" s="33">
        <f ca="1">IF(ISERROR(MATCH(L$1,INDIRECT("Table!A"&amp;$U42):INDIRECT("Table!" &amp; $X$171 &amp; $U42),0)),"",INDIRECT(CONCATENATE("Table!",ADDRESS($Q42,MATCH(L$1,INDIRECT("Table!A" &amp; $U42):INDIRECT("Table!" &amp; $X$171 &amp; $U42),0)))))</f>
        <v>176482.7</v>
      </c>
      <c r="M42" s="33">
        <f ca="1">IF(ISERROR(MATCH(M$1,INDIRECT("Table!A"&amp;$U42):INDIRECT("Table!" &amp; $X$171 &amp; $U42),0)),"",INDIRECT(CONCATENATE("Table!",ADDRESS($Q42,MATCH(M$1,INDIRECT("Table!A" &amp; $U42):INDIRECT("Table!" &amp; $X$171 &amp; $U42),0)))))</f>
        <v>54921</v>
      </c>
      <c r="N42" s="247"/>
      <c r="O42" s="247"/>
      <c r="P42" s="247"/>
      <c r="Q42" s="31">
        <f>MATCH($A42,Table!$A:$A,0)+$S$14-1</f>
        <v>571</v>
      </c>
      <c r="R42" s="247"/>
      <c r="S42" s="247"/>
      <c r="T42" s="247"/>
      <c r="U42" s="31">
        <f>MATCH($A42,Table!$A:$A,0)+$W$2-1</f>
        <v>557</v>
      </c>
      <c r="V42" s="247"/>
      <c r="W42" s="247"/>
      <c r="X42" s="372" t="s">
        <v>209</v>
      </c>
    </row>
    <row r="43" spans="1:24" ht="19.5" customHeight="1">
      <c r="A43" s="5">
        <v>41166</v>
      </c>
      <c r="B43" s="33">
        <f ca="1">IF(ISERROR(MATCH(B$1,INDIRECT("Table!A"&amp;$U43):INDIRECT("Table!" &amp; $X$171 &amp; $U43),0)),"",INDIRECT(CONCATENATE("Table!",ADDRESS($Q43,MATCH(B$1,INDIRECT("Table!A" &amp; $U43):INDIRECT("Table!" &amp; $X$171 &amp; $U43),0)))))</f>
        <v>143392.20000000001</v>
      </c>
      <c r="C43" s="33">
        <f ca="1">IF(ISERROR(MATCH(C$1,INDIRECT("Table!A"&amp;$U43):INDIRECT("Table!" &amp; $X$171 &amp; $U43),0)),"",INDIRECT(CONCATENATE("Table!",ADDRESS($Q43,MATCH(C$1,INDIRECT("Table!A" &amp; $U43):INDIRECT("Table!" &amp; $X$171 &amp; $U43),0)))))</f>
        <v>150515.79999999999</v>
      </c>
      <c r="D43" s="33">
        <f ca="1">IF(ISERROR(MATCH(D$1,INDIRECT("Table!A"&amp;$U43):INDIRECT("Table!" &amp; $X$171 &amp; $U43),0)),"",INDIRECT(CONCATENATE("Table!",ADDRESS($Q43,MATCH(D$1,INDIRECT("Table!A" &amp; $U43):INDIRECT("Table!" &amp; $X$171 &amp; $U43),0)))))</f>
        <v>150515.79999999999</v>
      </c>
      <c r="E43" s="33">
        <f ca="1">IF(ISERROR(MATCH(E$1,INDIRECT("Table!A"&amp;$U43):INDIRECT("Table!" &amp; $X$171 &amp; $U43),0)),"",INDIRECT(CONCATENATE("Table!",ADDRESS($Q43,MATCH(E$1,INDIRECT("Table!A" &amp; $U43):INDIRECT("Table!" &amp; $X$171 &amp; $U43),0)))))</f>
        <v>181997.8</v>
      </c>
      <c r="F43" s="33">
        <f ca="1">IF(ISERROR(MATCH(F$1,INDIRECT("Table!A"&amp;$U43):INDIRECT("Table!" &amp; $X$171 &amp; $U43),0)),"",INDIRECT(CONCATENATE("Table!",ADDRESS($Q43,MATCH(F$1,INDIRECT("Table!A" &amp; $U43):INDIRECT("Table!" &amp; $X$171 &amp; $U43),0)))))</f>
        <v>165452.5</v>
      </c>
      <c r="G43" s="33">
        <f ca="1">IF(ISERROR(MATCH(G$1,INDIRECT("Table!A"&amp;$U43):INDIRECT("Table!" &amp; $X$171 &amp; $U43),0)),"",INDIRECT(CONCATENATE("Table!",ADDRESS($Q43,MATCH(G$1,INDIRECT("Table!A" &amp; $U43):INDIRECT("Table!" &amp; $X$171 &amp; $U43),0)))))</f>
        <v>110071.9</v>
      </c>
      <c r="H43" s="33">
        <f ca="1">IF(ISERROR(MATCH(H$1,INDIRECT("Table!A"&amp;$U43):INDIRECT("Table!" &amp; $X$171 &amp; $U43),0)),"",INDIRECT(CONCATENATE("Table!",ADDRESS($Q43,MATCH(H$1,INDIRECT("Table!A" &amp; $U43):INDIRECT("Table!" &amp; $X$171 &amp; $U43),0)))))</f>
        <v>121331.8</v>
      </c>
      <c r="I43" s="33">
        <f ca="1">IF(ISERROR(MATCH(I$1,INDIRECT("Table!A"&amp;$U43):INDIRECT("Table!" &amp; $X$171 &amp; $U43),0)),"",INDIRECT(CONCATENATE("Table!",ADDRESS($Q43,MATCH(I$1,INDIRECT("Table!A" &amp; $U43):INDIRECT("Table!" &amp; $X$171 &amp; $U43),0)))))</f>
        <v>170967.6</v>
      </c>
      <c r="J43" s="33">
        <f ca="1">IF(ISERROR(MATCH(J$1,INDIRECT("Table!A"&amp;$U43):INDIRECT("Table!" &amp; $X$171 &amp; $U43),0)),"",INDIRECT(CONCATENATE("Table!",ADDRESS($Q43,MATCH(J$1,INDIRECT("Table!A" &amp; $U43):INDIRECT("Table!" &amp; $X$171 &amp; $U43),0)))))</f>
        <v>132132.20000000001</v>
      </c>
      <c r="K43" s="33">
        <f ca="1">IF(ISERROR(MATCH(K$1,INDIRECT("Table!A"&amp;$U43):INDIRECT("Table!" &amp; $X$171 &amp; $U43),0)),"",INDIRECT(CONCATENATE("Table!",ADDRESS($Q43,MATCH(K$1,INDIRECT("Table!A" &amp; $U43):INDIRECT("Table!" &amp; $X$171 &amp; $U43),0)))))</f>
        <v>82726.3</v>
      </c>
      <c r="L43" s="33">
        <f ca="1">IF(ISERROR(MATCH(L$1,INDIRECT("Table!A"&amp;$U43):INDIRECT("Table!" &amp; $X$171 &amp; $U43),0)),"",INDIRECT(CONCATENATE("Table!",ADDRESS($Q43,MATCH(L$1,INDIRECT("Table!A" &amp; $U43):INDIRECT("Table!" &amp; $X$171 &amp; $U43),0)))))</f>
        <v>176482.7</v>
      </c>
      <c r="M43" s="33">
        <f ca="1">IF(ISERROR(MATCH(M$1,INDIRECT("Table!A"&amp;$U43):INDIRECT("Table!" &amp; $X$171 &amp; $U43),0)),"",INDIRECT(CONCATENATE("Table!",ADDRESS($Q43,MATCH(M$1,INDIRECT("Table!A" &amp; $U43):INDIRECT("Table!" &amp; $X$171 &amp; $U43),0)))))</f>
        <v>54921</v>
      </c>
      <c r="N43" s="246"/>
      <c r="O43" s="246"/>
      <c r="P43" s="246"/>
      <c r="Q43" s="31">
        <f>MATCH($A43,Table!$A:$A,0)+$S$14-1</f>
        <v>584</v>
      </c>
      <c r="R43" s="246"/>
      <c r="S43" s="246"/>
      <c r="T43" s="246"/>
      <c r="U43" s="31">
        <f>MATCH($A43,Table!$A:$A,0)+$W$2-1</f>
        <v>570</v>
      </c>
      <c r="V43" s="246"/>
      <c r="W43" s="246"/>
      <c r="X43" s="372" t="s">
        <v>209</v>
      </c>
    </row>
    <row r="44" spans="1:24" ht="19.5" customHeight="1">
      <c r="A44" s="5">
        <v>41164</v>
      </c>
      <c r="B44" s="33">
        <f ca="1">IF(ISERROR(MATCH(B$1,INDIRECT("Table!A"&amp;$U44):INDIRECT("Table!" &amp; $X$171 &amp; $U44),0)),"",INDIRECT(CONCATENATE("Table!",ADDRESS($Q44,MATCH(B$1,INDIRECT("Table!A" &amp; $U44):INDIRECT("Table!" &amp; $X$171 &amp; $U44),0)))))</f>
        <v>143392.20000000001</v>
      </c>
      <c r="C44" s="33">
        <f ca="1">IF(ISERROR(MATCH(C$1,INDIRECT("Table!A"&amp;$U44):INDIRECT("Table!" &amp; $X$171 &amp; $U44),0)),"",INDIRECT(CONCATENATE("Table!",ADDRESS($Q44,MATCH(C$1,INDIRECT("Table!A" &amp; $U44):INDIRECT("Table!" &amp; $X$171 &amp; $U44),0)))))</f>
        <v>150515.79999999999</v>
      </c>
      <c r="D44" s="33">
        <f ca="1">IF(ISERROR(MATCH(D$1,INDIRECT("Table!A"&amp;$U44):INDIRECT("Table!" &amp; $X$171 &amp; $U44),0)),"",INDIRECT(CONCATENATE("Table!",ADDRESS($Q44,MATCH(D$1,INDIRECT("Table!A" &amp; $U44):INDIRECT("Table!" &amp; $X$171 &amp; $U44),0)))))</f>
        <v>150515.79999999999</v>
      </c>
      <c r="E44" s="33">
        <f ca="1">IF(ISERROR(MATCH(E$1,INDIRECT("Table!A"&amp;$U44):INDIRECT("Table!" &amp; $X$171 &amp; $U44),0)),"",INDIRECT(CONCATENATE("Table!",ADDRESS($Q44,MATCH(E$1,INDIRECT("Table!A" &amp; $U44):INDIRECT("Table!" &amp; $X$171 &amp; $U44),0)))))</f>
        <v>181997.8</v>
      </c>
      <c r="F44" s="33">
        <f ca="1">IF(ISERROR(MATCH(F$1,INDIRECT("Table!A"&amp;$U44):INDIRECT("Table!" &amp; $X$171 &amp; $U44),0)),"",INDIRECT(CONCATENATE("Table!",ADDRESS($Q44,MATCH(F$1,INDIRECT("Table!A" &amp; $U44):INDIRECT("Table!" &amp; $X$171 &amp; $U44),0)))))</f>
        <v>165452.5</v>
      </c>
      <c r="G44" s="33">
        <f ca="1">IF(ISERROR(MATCH(G$1,INDIRECT("Table!A"&amp;$U44):INDIRECT("Table!" &amp; $X$171 &amp; $U44),0)),"",INDIRECT(CONCATENATE("Table!",ADDRESS($Q44,MATCH(G$1,INDIRECT("Table!A" &amp; $U44):INDIRECT("Table!" &amp; $X$171 &amp; $U44),0)))))</f>
        <v>110071.9</v>
      </c>
      <c r="H44" s="33">
        <f ca="1">IF(ISERROR(MATCH(H$1,INDIRECT("Table!A"&amp;$U44):INDIRECT("Table!" &amp; $X$171 &amp; $U44),0)),"",INDIRECT(CONCATENATE("Table!",ADDRESS($Q44,MATCH(H$1,INDIRECT("Table!A" &amp; $U44):INDIRECT("Table!" &amp; $X$171 &amp; $U44),0)))))</f>
        <v>121331.8</v>
      </c>
      <c r="I44" s="33">
        <f ca="1">IF(ISERROR(MATCH(I$1,INDIRECT("Table!A"&amp;$U44):INDIRECT("Table!" &amp; $X$171 &amp; $U44),0)),"",INDIRECT(CONCATENATE("Table!",ADDRESS($Q44,MATCH(I$1,INDIRECT("Table!A" &amp; $U44):INDIRECT("Table!" &amp; $X$171 &amp; $U44),0)))))</f>
        <v>170967.6</v>
      </c>
      <c r="J44" s="33">
        <f ca="1">IF(ISERROR(MATCH(J$1,INDIRECT("Table!A"&amp;$U44):INDIRECT("Table!" &amp; $X$171 &amp; $U44),0)),"",INDIRECT(CONCATENATE("Table!",ADDRESS($Q44,MATCH(J$1,INDIRECT("Table!A" &amp; $U44):INDIRECT("Table!" &amp; $X$171 &amp; $U44),0)))))</f>
        <v>132132.20000000001</v>
      </c>
      <c r="K44" s="33">
        <f ca="1">IF(ISERROR(MATCH(K$1,INDIRECT("Table!A"&amp;$U44):INDIRECT("Table!" &amp; $X$171 &amp; $U44),0)),"",INDIRECT(CONCATENATE("Table!",ADDRESS($Q44,MATCH(K$1,INDIRECT("Table!A" &amp; $U44):INDIRECT("Table!" &amp; $X$171 &amp; $U44),0)))))</f>
        <v>82726.3</v>
      </c>
      <c r="L44" s="33">
        <f ca="1">IF(ISERROR(MATCH(L$1,INDIRECT("Table!A"&amp;$U44):INDIRECT("Table!" &amp; $X$171 &amp; $U44),0)),"",INDIRECT(CONCATENATE("Table!",ADDRESS($Q44,MATCH(L$1,INDIRECT("Table!A" &amp; $U44):INDIRECT("Table!" &amp; $X$171 &amp; $U44),0)))))</f>
        <v>176482.7</v>
      </c>
      <c r="M44" s="33">
        <f ca="1">IF(ISERROR(MATCH(M$1,INDIRECT("Table!A"&amp;$U44):INDIRECT("Table!" &amp; $X$171 &amp; $U44),0)),"",INDIRECT(CONCATENATE("Table!",ADDRESS($Q44,MATCH(M$1,INDIRECT("Table!A" &amp; $U44):INDIRECT("Table!" &amp; $X$171 &amp; $U44),0)))))</f>
        <v>54921</v>
      </c>
      <c r="N44" s="245"/>
      <c r="O44" s="245"/>
      <c r="P44" s="245"/>
      <c r="Q44" s="31">
        <f>MATCH($A44,Table!$A:$A,0)+$S$14-1</f>
        <v>597</v>
      </c>
      <c r="R44" s="245"/>
      <c r="S44" s="245"/>
      <c r="T44" s="245"/>
      <c r="U44" s="31">
        <f>MATCH($A44,Table!$A:$A,0)+$W$2-1</f>
        <v>583</v>
      </c>
      <c r="V44" s="245"/>
      <c r="W44" s="245"/>
      <c r="X44" s="372" t="s">
        <v>209</v>
      </c>
    </row>
    <row r="45" spans="1:24" ht="19.5" customHeight="1">
      <c r="A45" s="5">
        <v>41162</v>
      </c>
      <c r="B45" s="33">
        <f ca="1">IF(ISERROR(MATCH(B$1,INDIRECT("Table!A"&amp;$U45):INDIRECT("Table!" &amp; $X$171 &amp; $U45),0)),"",INDIRECT(CONCATENATE("Table!",ADDRESS($Q45,MATCH(B$1,INDIRECT("Table!A" &amp; $U45):INDIRECT("Table!" &amp; $X$171 &amp; $U45),0)))))</f>
        <v>143392.20000000001</v>
      </c>
      <c r="C45" s="33">
        <f ca="1">IF(ISERROR(MATCH(C$1,INDIRECT("Table!A"&amp;$U45):INDIRECT("Table!" &amp; $X$171 &amp; $U45),0)),"",INDIRECT(CONCATENATE("Table!",ADDRESS($Q45,MATCH(C$1,INDIRECT("Table!A" &amp; $U45):INDIRECT("Table!" &amp; $X$171 &amp; $U45),0)))))</f>
        <v>150515.79999999999</v>
      </c>
      <c r="D45" s="33">
        <f ca="1">IF(ISERROR(MATCH(D$1,INDIRECT("Table!A"&amp;$U45):INDIRECT("Table!" &amp; $X$171 &amp; $U45),0)),"",INDIRECT(CONCATENATE("Table!",ADDRESS($Q45,MATCH(D$1,INDIRECT("Table!A" &amp; $U45):INDIRECT("Table!" &amp; $X$171 &amp; $U45),0)))))</f>
        <v>150515.79999999999</v>
      </c>
      <c r="E45" s="33">
        <f ca="1">IF(ISERROR(MATCH(E$1,INDIRECT("Table!A"&amp;$U45):INDIRECT("Table!" &amp; $X$171 &amp; $U45),0)),"",INDIRECT(CONCATENATE("Table!",ADDRESS($Q45,MATCH(E$1,INDIRECT("Table!A" &amp; $U45):INDIRECT("Table!" &amp; $X$171 &amp; $U45),0)))))</f>
        <v>181997.8</v>
      </c>
      <c r="F45" s="33">
        <f ca="1">IF(ISERROR(MATCH(F$1,INDIRECT("Table!A"&amp;$U45):INDIRECT("Table!" &amp; $X$171 &amp; $U45),0)),"",INDIRECT(CONCATENATE("Table!",ADDRESS($Q45,MATCH(F$1,INDIRECT("Table!A" &amp; $U45):INDIRECT("Table!" &amp; $X$171 &amp; $U45),0)))))</f>
        <v>165452.5</v>
      </c>
      <c r="G45" s="33">
        <f ca="1">IF(ISERROR(MATCH(G$1,INDIRECT("Table!A"&amp;$U45):INDIRECT("Table!" &amp; $X$171 &amp; $U45),0)),"",INDIRECT(CONCATENATE("Table!",ADDRESS($Q45,MATCH(G$1,INDIRECT("Table!A" &amp; $U45):INDIRECT("Table!" &amp; $X$171 &amp; $U45),0)))))</f>
        <v>110071.9</v>
      </c>
      <c r="H45" s="33">
        <f ca="1">IF(ISERROR(MATCH(H$1,INDIRECT("Table!A"&amp;$U45):INDIRECT("Table!" &amp; $X$171 &amp; $U45),0)),"",INDIRECT(CONCATENATE("Table!",ADDRESS($Q45,MATCH(H$1,INDIRECT("Table!A" &amp; $U45):INDIRECT("Table!" &amp; $X$171 &amp; $U45),0)))))</f>
        <v>121331.8</v>
      </c>
      <c r="I45" s="33">
        <f ca="1">IF(ISERROR(MATCH(I$1,INDIRECT("Table!A"&amp;$U45):INDIRECT("Table!" &amp; $X$171 &amp; $U45),0)),"",INDIRECT(CONCATENATE("Table!",ADDRESS($Q45,MATCH(I$1,INDIRECT("Table!A" &amp; $U45):INDIRECT("Table!" &amp; $X$171 &amp; $U45),0)))))</f>
        <v>170967.6</v>
      </c>
      <c r="J45" s="33">
        <f ca="1">IF(ISERROR(MATCH(J$1,INDIRECT("Table!A"&amp;$U45):INDIRECT("Table!" &amp; $X$171 &amp; $U45),0)),"",INDIRECT(CONCATENATE("Table!",ADDRESS($Q45,MATCH(J$1,INDIRECT("Table!A" &amp; $U45):INDIRECT("Table!" &amp; $X$171 &amp; $U45),0)))))</f>
        <v>132132.20000000001</v>
      </c>
      <c r="K45" s="33">
        <f ca="1">IF(ISERROR(MATCH(K$1,INDIRECT("Table!A"&amp;$U45):INDIRECT("Table!" &amp; $X$171 &amp; $U45),0)),"",INDIRECT(CONCATENATE("Table!",ADDRESS($Q45,MATCH(K$1,INDIRECT("Table!A" &amp; $U45):INDIRECT("Table!" &amp; $X$171 &amp; $U45),0)))))</f>
        <v>82726.3</v>
      </c>
      <c r="L45" s="33">
        <f ca="1">IF(ISERROR(MATCH(L$1,INDIRECT("Table!A"&amp;$U45):INDIRECT("Table!" &amp; $X$171 &amp; $U45),0)),"",INDIRECT(CONCATENATE("Table!",ADDRESS($Q45,MATCH(L$1,INDIRECT("Table!A" &amp; $U45):INDIRECT("Table!" &amp; $X$171 &amp; $U45),0)))))</f>
        <v>176482.7</v>
      </c>
      <c r="M45" s="33">
        <f ca="1">IF(ISERROR(MATCH(M$1,INDIRECT("Table!A"&amp;$U45):INDIRECT("Table!" &amp; $X$171 &amp; $U45),0)),"",INDIRECT(CONCATENATE("Table!",ADDRESS($Q45,MATCH(M$1,INDIRECT("Table!A" &amp; $U45):INDIRECT("Table!" &amp; $X$171 &amp; $U45),0)))))</f>
        <v>54921</v>
      </c>
      <c r="N45" s="244"/>
      <c r="O45" s="244"/>
      <c r="P45" s="244"/>
      <c r="Q45" s="31">
        <f>MATCH($A45,Table!$A:$A,0)+$S$14-1</f>
        <v>610</v>
      </c>
      <c r="R45" s="244"/>
      <c r="S45" s="244"/>
      <c r="T45" s="244"/>
      <c r="U45" s="31">
        <f>MATCH($A45,Table!$A:$A,0)+$W$2-1</f>
        <v>596</v>
      </c>
      <c r="V45" s="244"/>
      <c r="W45" s="244"/>
      <c r="X45" s="372" t="s">
        <v>209</v>
      </c>
    </row>
    <row r="46" spans="1:24" ht="19.5" customHeight="1">
      <c r="A46" s="5">
        <v>41159</v>
      </c>
      <c r="B46" s="33">
        <f ca="1">IF(ISERROR(MATCH(B$1,INDIRECT("Table!A"&amp;$U46):INDIRECT("Table!" &amp; $X$171 &amp; $U46),0)),"",INDIRECT(CONCATENATE("Table!",ADDRESS($Q46,MATCH(B$1,INDIRECT("Table!A" &amp; $U46):INDIRECT("Table!" &amp; $X$171 &amp; $U46),0)))))</f>
        <v>143392.20000000001</v>
      </c>
      <c r="C46" s="33">
        <f ca="1">IF(ISERROR(MATCH(C$1,INDIRECT("Table!A"&amp;$U46):INDIRECT("Table!" &amp; $X$171 &amp; $U46),0)),"",INDIRECT(CONCATENATE("Table!",ADDRESS($Q46,MATCH(C$1,INDIRECT("Table!A" &amp; $U46):INDIRECT("Table!" &amp; $X$171 &amp; $U46),0)))))</f>
        <v>150515.79999999999</v>
      </c>
      <c r="D46" s="33">
        <f ca="1">IF(ISERROR(MATCH(D$1,INDIRECT("Table!A"&amp;$U46):INDIRECT("Table!" &amp; $X$171 &amp; $U46),0)),"",INDIRECT(CONCATENATE("Table!",ADDRESS($Q46,MATCH(D$1,INDIRECT("Table!A" &amp; $U46):INDIRECT("Table!" &amp; $X$171 &amp; $U46),0)))))</f>
        <v>150515.79999999999</v>
      </c>
      <c r="E46" s="33">
        <f ca="1">IF(ISERROR(MATCH(E$1,INDIRECT("Table!A"&amp;$U46):INDIRECT("Table!" &amp; $X$171 &amp; $U46),0)),"",INDIRECT(CONCATENATE("Table!",ADDRESS($Q46,MATCH(E$1,INDIRECT("Table!A" &amp; $U46):INDIRECT("Table!" &amp; $X$171 &amp; $U46),0)))))</f>
        <v>181997.8</v>
      </c>
      <c r="F46" s="33">
        <f ca="1">IF(ISERROR(MATCH(F$1,INDIRECT("Table!A"&amp;$U46):INDIRECT("Table!" &amp; $X$171 &amp; $U46),0)),"",INDIRECT(CONCATENATE("Table!",ADDRESS($Q46,MATCH(F$1,INDIRECT("Table!A" &amp; $U46):INDIRECT("Table!" &amp; $X$171 &amp; $U46),0)))))</f>
        <v>165452.5</v>
      </c>
      <c r="G46" s="33">
        <f ca="1">IF(ISERROR(MATCH(G$1,INDIRECT("Table!A"&amp;$U46):INDIRECT("Table!" &amp; $X$171 &amp; $U46),0)),"",INDIRECT(CONCATENATE("Table!",ADDRESS($Q46,MATCH(G$1,INDIRECT("Table!A" &amp; $U46):INDIRECT("Table!" &amp; $X$171 &amp; $U46),0)))))</f>
        <v>110071.9</v>
      </c>
      <c r="H46" s="33">
        <f ca="1">IF(ISERROR(MATCH(H$1,INDIRECT("Table!A"&amp;$U46):INDIRECT("Table!" &amp; $X$171 &amp; $U46),0)),"",INDIRECT(CONCATENATE("Table!",ADDRESS($Q46,MATCH(H$1,INDIRECT("Table!A" &amp; $U46):INDIRECT("Table!" &amp; $X$171 &amp; $U46),0)))))</f>
        <v>121331.8</v>
      </c>
      <c r="I46" s="33">
        <f ca="1">IF(ISERROR(MATCH(I$1,INDIRECT("Table!A"&amp;$U46):INDIRECT("Table!" &amp; $X$171 &amp; $U46),0)),"",INDIRECT(CONCATENATE("Table!",ADDRESS($Q46,MATCH(I$1,INDIRECT("Table!A" &amp; $U46):INDIRECT("Table!" &amp; $X$171 &amp; $U46),0)))))</f>
        <v>170967.6</v>
      </c>
      <c r="J46" s="33">
        <f ca="1">IF(ISERROR(MATCH(J$1,INDIRECT("Table!A"&amp;$U46):INDIRECT("Table!" &amp; $X$171 &amp; $U46),0)),"",INDIRECT(CONCATENATE("Table!",ADDRESS($Q46,MATCH(J$1,INDIRECT("Table!A" &amp; $U46):INDIRECT("Table!" &amp; $X$171 &amp; $U46),0)))))</f>
        <v>132132.20000000001</v>
      </c>
      <c r="K46" s="33">
        <f ca="1">IF(ISERROR(MATCH(K$1,INDIRECT("Table!A"&amp;$U46):INDIRECT("Table!" &amp; $X$171 &amp; $U46),0)),"",INDIRECT(CONCATENATE("Table!",ADDRESS($Q46,MATCH(K$1,INDIRECT("Table!A" &amp; $U46):INDIRECT("Table!" &amp; $X$171 &amp; $U46),0)))))</f>
        <v>82726.3</v>
      </c>
      <c r="L46" s="33">
        <f ca="1">IF(ISERROR(MATCH(L$1,INDIRECT("Table!A"&amp;$U46):INDIRECT("Table!" &amp; $X$171 &amp; $U46),0)),"",INDIRECT(CONCATENATE("Table!",ADDRESS($Q46,MATCH(L$1,INDIRECT("Table!A" &amp; $U46):INDIRECT("Table!" &amp; $X$171 &amp; $U46),0)))))</f>
        <v>176482.7</v>
      </c>
      <c r="M46" s="33">
        <f ca="1">IF(ISERROR(MATCH(M$1,INDIRECT("Table!A"&amp;$U46):INDIRECT("Table!" &amp; $X$171 &amp; $U46),0)),"",INDIRECT(CONCATENATE("Table!",ADDRESS($Q46,MATCH(M$1,INDIRECT("Table!A" &amp; $U46):INDIRECT("Table!" &amp; $X$171 &amp; $U46),0)))))</f>
        <v>54921</v>
      </c>
      <c r="N46" s="243"/>
      <c r="O46" s="243"/>
      <c r="P46" s="243"/>
      <c r="Q46" s="31">
        <f>MATCH($A46,Table!$A:$A,0)+$S$14-1</f>
        <v>623</v>
      </c>
      <c r="R46" s="243"/>
      <c r="S46" s="243"/>
      <c r="T46" s="243"/>
      <c r="U46" s="31">
        <f>MATCH($A46,Table!$A:$A,0)+$W$2-1</f>
        <v>609</v>
      </c>
      <c r="V46" s="243"/>
      <c r="W46" s="243"/>
      <c r="X46" s="372" t="s">
        <v>209</v>
      </c>
    </row>
    <row r="47" spans="1:24" ht="19.5" customHeight="1">
      <c r="A47" s="5">
        <v>41156</v>
      </c>
      <c r="B47" s="33">
        <f ca="1">IF(ISERROR(MATCH(B$1,INDIRECT("Table!A"&amp;$U47):INDIRECT("Table!" &amp; $X$171 &amp; $U47),0)),"",INDIRECT(CONCATENATE("Table!",ADDRESS($Q47,MATCH(B$1,INDIRECT("Table!A" &amp; $U47):INDIRECT("Table!" &amp; $X$171 &amp; $U47),0)))))</f>
        <v>143392.20000000001</v>
      </c>
      <c r="C47" s="33">
        <f ca="1">IF(ISERROR(MATCH(C$1,INDIRECT("Table!A"&amp;$U47):INDIRECT("Table!" &amp; $X$171 &amp; $U47),0)),"",INDIRECT(CONCATENATE("Table!",ADDRESS($Q47,MATCH(C$1,INDIRECT("Table!A" &amp; $U47):INDIRECT("Table!" &amp; $X$171 &amp; $U47),0)))))</f>
        <v>150515.79999999999</v>
      </c>
      <c r="D47" s="33">
        <f ca="1">IF(ISERROR(MATCH(D$1,INDIRECT("Table!A"&amp;$U47):INDIRECT("Table!" &amp; $X$171 &amp; $U47),0)),"",INDIRECT(CONCATENATE("Table!",ADDRESS($Q47,MATCH(D$1,INDIRECT("Table!A" &amp; $U47):INDIRECT("Table!" &amp; $X$171 &amp; $U47),0)))))</f>
        <v>150515.79999999999</v>
      </c>
      <c r="E47" s="33">
        <f ca="1">IF(ISERROR(MATCH(E$1,INDIRECT("Table!A"&amp;$U47):INDIRECT("Table!" &amp; $X$171 &amp; $U47),0)),"",INDIRECT(CONCATENATE("Table!",ADDRESS($Q47,MATCH(E$1,INDIRECT("Table!A" &amp; $U47):INDIRECT("Table!" &amp; $X$171 &amp; $U47),0)))))</f>
        <v>181997.8</v>
      </c>
      <c r="F47" s="33">
        <f ca="1">IF(ISERROR(MATCH(F$1,INDIRECT("Table!A"&amp;$U47):INDIRECT("Table!" &amp; $X$171 &amp; $U47),0)),"",INDIRECT(CONCATENATE("Table!",ADDRESS($Q47,MATCH(F$1,INDIRECT("Table!A" &amp; $U47):INDIRECT("Table!" &amp; $X$171 &amp; $U47),0)))))</f>
        <v>165452.5</v>
      </c>
      <c r="G47" s="33">
        <f ca="1">IF(ISERROR(MATCH(G$1,INDIRECT("Table!A"&amp;$U47):INDIRECT("Table!" &amp; $X$171 &amp; $U47),0)),"",INDIRECT(CONCATENATE("Table!",ADDRESS($Q47,MATCH(G$1,INDIRECT("Table!A" &amp; $U47):INDIRECT("Table!" &amp; $X$171 &amp; $U47),0)))))</f>
        <v>110071.9</v>
      </c>
      <c r="H47" s="33">
        <f ca="1">IF(ISERROR(MATCH(H$1,INDIRECT("Table!A"&amp;$U47):INDIRECT("Table!" &amp; $X$171 &amp; $U47),0)),"",INDIRECT(CONCATENATE("Table!",ADDRESS($Q47,MATCH(H$1,INDIRECT("Table!A" &amp; $U47):INDIRECT("Table!" &amp; $X$171 &amp; $U47),0)))))</f>
        <v>121331.8</v>
      </c>
      <c r="I47" s="33">
        <f ca="1">IF(ISERROR(MATCH(I$1,INDIRECT("Table!A"&amp;$U47):INDIRECT("Table!" &amp; $X$171 &amp; $U47),0)),"",INDIRECT(CONCATENATE("Table!",ADDRESS($Q47,MATCH(I$1,INDIRECT("Table!A" &amp; $U47):INDIRECT("Table!" &amp; $X$171 &amp; $U47),0)))))</f>
        <v>170967.6</v>
      </c>
      <c r="J47" s="33">
        <f ca="1">IF(ISERROR(MATCH(J$1,INDIRECT("Table!A"&amp;$U47):INDIRECT("Table!" &amp; $X$171 &amp; $U47),0)),"",INDIRECT(CONCATENATE("Table!",ADDRESS($Q47,MATCH(J$1,INDIRECT("Table!A" &amp; $U47):INDIRECT("Table!" &amp; $X$171 &amp; $U47),0)))))</f>
        <v>132132.20000000001</v>
      </c>
      <c r="K47" s="33">
        <f ca="1">IF(ISERROR(MATCH(K$1,INDIRECT("Table!A"&amp;$U47):INDIRECT("Table!" &amp; $X$171 &amp; $U47),0)),"",INDIRECT(CONCATENATE("Table!",ADDRESS($Q47,MATCH(K$1,INDIRECT("Table!A" &amp; $U47):INDIRECT("Table!" &amp; $X$171 &amp; $U47),0)))))</f>
        <v>82726.3</v>
      </c>
      <c r="L47" s="33">
        <f ca="1">IF(ISERROR(MATCH(L$1,INDIRECT("Table!A"&amp;$U47):INDIRECT("Table!" &amp; $X$171 &amp; $U47),0)),"",INDIRECT(CONCATENATE("Table!",ADDRESS($Q47,MATCH(L$1,INDIRECT("Table!A" &amp; $U47):INDIRECT("Table!" &amp; $X$171 &amp; $U47),0)))))</f>
        <v>176482.7</v>
      </c>
      <c r="M47" s="33">
        <f ca="1">IF(ISERROR(MATCH(M$1,INDIRECT("Table!A"&amp;$U47):INDIRECT("Table!" &amp; $X$171 &amp; $U47),0)),"",INDIRECT(CONCATENATE("Table!",ADDRESS($Q47,MATCH(M$1,INDIRECT("Table!A" &amp; $U47):INDIRECT("Table!" &amp; $X$171 &amp; $U47),0)))))</f>
        <v>54921</v>
      </c>
      <c r="N47" s="242"/>
      <c r="O47" s="242"/>
      <c r="P47" s="242"/>
      <c r="Q47" s="31">
        <f>MATCH($A47,Table!$A:$A,0)+$S$14-1</f>
        <v>636</v>
      </c>
      <c r="R47" s="242"/>
      <c r="S47" s="242"/>
      <c r="T47" s="242"/>
      <c r="U47" s="31">
        <f>MATCH($A47,Table!$A:$A,0)+$W$2-1</f>
        <v>622</v>
      </c>
      <c r="V47" s="242"/>
      <c r="W47" s="242"/>
      <c r="X47" s="372" t="s">
        <v>209</v>
      </c>
    </row>
    <row r="48" spans="1:24" ht="19.5" customHeight="1">
      <c r="A48" s="5">
        <v>41151</v>
      </c>
      <c r="B48" s="33">
        <f ca="1">IF(ISERROR(MATCH(B$1,INDIRECT("Table!A"&amp;$U48):INDIRECT("Table!" &amp; $X$171 &amp; $U48),0)),"",INDIRECT(CONCATENATE("Table!",ADDRESS($Q48,MATCH(B$1,INDIRECT("Table!A" &amp; $U48):INDIRECT("Table!" &amp; $X$171 &amp; $U48),0)))))</f>
        <v>143392.20000000001</v>
      </c>
      <c r="C48" s="33">
        <f ca="1">IF(ISERROR(MATCH(C$1,INDIRECT("Table!A"&amp;$U48):INDIRECT("Table!" &amp; $X$171 &amp; $U48),0)),"",INDIRECT(CONCATENATE("Table!",ADDRESS($Q48,MATCH(C$1,INDIRECT("Table!A" &amp; $U48):INDIRECT("Table!" &amp; $X$171 &amp; $U48),0)))))</f>
        <v>150515.79999999999</v>
      </c>
      <c r="D48" s="33">
        <f ca="1">IF(ISERROR(MATCH(D$1,INDIRECT("Table!A"&amp;$U48):INDIRECT("Table!" &amp; $X$171 &amp; $U48),0)),"",INDIRECT(CONCATENATE("Table!",ADDRESS($Q48,MATCH(D$1,INDIRECT("Table!A" &amp; $U48):INDIRECT("Table!" &amp; $X$171 &amp; $U48),0)))))</f>
        <v>150515.79999999999</v>
      </c>
      <c r="E48" s="33">
        <f ca="1">IF(ISERROR(MATCH(E$1,INDIRECT("Table!A"&amp;$U48):INDIRECT("Table!" &amp; $X$171 &amp; $U48),0)),"",INDIRECT(CONCATENATE("Table!",ADDRESS($Q48,MATCH(E$1,INDIRECT("Table!A" &amp; $U48):INDIRECT("Table!" &amp; $X$171 &amp; $U48),0)))))</f>
        <v>181997.8</v>
      </c>
      <c r="F48" s="33">
        <f ca="1">IF(ISERROR(MATCH(F$1,INDIRECT("Table!A"&amp;$U48):INDIRECT("Table!" &amp; $X$171 &amp; $U48),0)),"",INDIRECT(CONCATENATE("Table!",ADDRESS($Q48,MATCH(F$1,INDIRECT("Table!A" &amp; $U48):INDIRECT("Table!" &amp; $X$171 &amp; $U48),0)))))</f>
        <v>165452.5</v>
      </c>
      <c r="G48" s="33">
        <f ca="1">IF(ISERROR(MATCH(G$1,INDIRECT("Table!A"&amp;$U48):INDIRECT("Table!" &amp; $X$171 &amp; $U48),0)),"",INDIRECT(CONCATENATE("Table!",ADDRESS($Q48,MATCH(G$1,INDIRECT("Table!A" &amp; $U48):INDIRECT("Table!" &amp; $X$171 &amp; $U48),0)))))</f>
        <v>110071.9</v>
      </c>
      <c r="H48" s="33">
        <f ca="1">IF(ISERROR(MATCH(H$1,INDIRECT("Table!A"&amp;$U48):INDIRECT("Table!" &amp; $X$171 &amp; $U48),0)),"",INDIRECT(CONCATENATE("Table!",ADDRESS($Q48,MATCH(H$1,INDIRECT("Table!A" &amp; $U48):INDIRECT("Table!" &amp; $X$171 &amp; $U48),0)))))</f>
        <v>121331.8</v>
      </c>
      <c r="I48" s="33">
        <f ca="1">IF(ISERROR(MATCH(I$1,INDIRECT("Table!A"&amp;$U48):INDIRECT("Table!" &amp; $X$171 &amp; $U48),0)),"",INDIRECT(CONCATENATE("Table!",ADDRESS($Q48,MATCH(I$1,INDIRECT("Table!A" &amp; $U48):INDIRECT("Table!" &amp; $X$171 &amp; $U48),0)))))</f>
        <v>170967.6</v>
      </c>
      <c r="J48" s="33">
        <f ca="1">IF(ISERROR(MATCH(J$1,INDIRECT("Table!A"&amp;$U48):INDIRECT("Table!" &amp; $X$171 &amp; $U48),0)),"",INDIRECT(CONCATENATE("Table!",ADDRESS($Q48,MATCH(J$1,INDIRECT("Table!A" &amp; $U48):INDIRECT("Table!" &amp; $X$171 &amp; $U48),0)))))</f>
        <v>132132.20000000001</v>
      </c>
      <c r="K48" s="33">
        <f ca="1">IF(ISERROR(MATCH(K$1,INDIRECT("Table!A"&amp;$U48):INDIRECT("Table!" &amp; $X$171 &amp; $U48),0)),"",INDIRECT(CONCATENATE("Table!",ADDRESS($Q48,MATCH(K$1,INDIRECT("Table!A" &amp; $U48):INDIRECT("Table!" &amp; $X$171 &amp; $U48),0)))))</f>
        <v>82726.3</v>
      </c>
      <c r="L48" s="33">
        <f ca="1">IF(ISERROR(MATCH(L$1,INDIRECT("Table!A"&amp;$U48):INDIRECT("Table!" &amp; $X$171 &amp; $U48),0)),"",INDIRECT(CONCATENATE("Table!",ADDRESS($Q48,MATCH(L$1,INDIRECT("Table!A" &amp; $U48):INDIRECT("Table!" &amp; $X$171 &amp; $U48),0)))))</f>
        <v>176482.7</v>
      </c>
      <c r="M48" s="33">
        <f ca="1">IF(ISERROR(MATCH(M$1,INDIRECT("Table!A"&amp;$U48):INDIRECT("Table!" &amp; $X$171 &amp; $U48),0)),"",INDIRECT(CONCATENATE("Table!",ADDRESS($Q48,MATCH(M$1,INDIRECT("Table!A" &amp; $U48):INDIRECT("Table!" &amp; $X$171 &amp; $U48),0)))))</f>
        <v>54921</v>
      </c>
      <c r="N48" s="241"/>
      <c r="O48" s="241"/>
      <c r="P48" s="241"/>
      <c r="Q48" s="31">
        <f>MATCH($A48,Table!$A:$A,0)+$S$14-1</f>
        <v>649</v>
      </c>
      <c r="R48" s="241"/>
      <c r="S48" s="241"/>
      <c r="T48" s="241"/>
      <c r="U48" s="31">
        <f>MATCH($A48,Table!$A:$A,0)+$W$2-1</f>
        <v>635</v>
      </c>
      <c r="V48" s="241"/>
      <c r="W48" s="241"/>
      <c r="X48" s="372" t="s">
        <v>209</v>
      </c>
    </row>
    <row r="49" spans="1:24" ht="19.5" customHeight="1">
      <c r="A49" s="5">
        <v>41150</v>
      </c>
      <c r="B49" s="33">
        <f ca="1">IF(ISERROR(MATCH(B$1,INDIRECT("Table!A"&amp;$U49):INDIRECT("Table!" &amp; $X$171 &amp; $U49),0)),"",INDIRECT(CONCATENATE("Table!",ADDRESS($Q49,MATCH(B$1,INDIRECT("Table!A" &amp; $U49):INDIRECT("Table!" &amp; $X$171 &amp; $U49),0)))))</f>
        <v>143392.20000000001</v>
      </c>
      <c r="C49" s="33">
        <f ca="1">IF(ISERROR(MATCH(C$1,INDIRECT("Table!A"&amp;$U49):INDIRECT("Table!" &amp; $X$171 &amp; $U49),0)),"",INDIRECT(CONCATENATE("Table!",ADDRESS($Q49,MATCH(C$1,INDIRECT("Table!A" &amp; $U49):INDIRECT("Table!" &amp; $X$171 &amp; $U49),0)))))</f>
        <v>150515.79999999999</v>
      </c>
      <c r="D49" s="33">
        <f ca="1">IF(ISERROR(MATCH(D$1,INDIRECT("Table!A"&amp;$U49):INDIRECT("Table!" &amp; $X$171 &amp; $U49),0)),"",INDIRECT(CONCATENATE("Table!",ADDRESS($Q49,MATCH(D$1,INDIRECT("Table!A" &amp; $U49):INDIRECT("Table!" &amp; $X$171 &amp; $U49),0)))))</f>
        <v>150515.79999999999</v>
      </c>
      <c r="E49" s="33">
        <f ca="1">IF(ISERROR(MATCH(E$1,INDIRECT("Table!A"&amp;$U49):INDIRECT("Table!" &amp; $X$171 &amp; $U49),0)),"",INDIRECT(CONCATENATE("Table!",ADDRESS($Q49,MATCH(E$1,INDIRECT("Table!A" &amp; $U49):INDIRECT("Table!" &amp; $X$171 &amp; $U49),0)))))</f>
        <v>181997.8</v>
      </c>
      <c r="F49" s="33">
        <f ca="1">IF(ISERROR(MATCH(F$1,INDIRECT("Table!A"&amp;$U49):INDIRECT("Table!" &amp; $X$171 &amp; $U49),0)),"",INDIRECT(CONCATENATE("Table!",ADDRESS($Q49,MATCH(F$1,INDIRECT("Table!A" &amp; $U49):INDIRECT("Table!" &amp; $X$171 &amp; $U49),0)))))</f>
        <v>165452.5</v>
      </c>
      <c r="G49" s="33">
        <f ca="1">IF(ISERROR(MATCH(G$1,INDIRECT("Table!A"&amp;$U49):INDIRECT("Table!" &amp; $X$171 &amp; $U49),0)),"",INDIRECT(CONCATENATE("Table!",ADDRESS($Q49,MATCH(G$1,INDIRECT("Table!A" &amp; $U49):INDIRECT("Table!" &amp; $X$171 &amp; $U49),0)))))</f>
        <v>110071.9</v>
      </c>
      <c r="H49" s="33">
        <f ca="1">IF(ISERROR(MATCH(H$1,INDIRECT("Table!A"&amp;$U49):INDIRECT("Table!" &amp; $X$171 &amp; $U49),0)),"",INDIRECT(CONCATENATE("Table!",ADDRESS($Q49,MATCH(H$1,INDIRECT("Table!A" &amp; $U49):INDIRECT("Table!" &amp; $X$171 &amp; $U49),0)))))</f>
        <v>121331.8</v>
      </c>
      <c r="I49" s="33">
        <f ca="1">IF(ISERROR(MATCH(I$1,INDIRECT("Table!A"&amp;$U49):INDIRECT("Table!" &amp; $X$171 &amp; $U49),0)),"",INDIRECT(CONCATENATE("Table!",ADDRESS($Q49,MATCH(I$1,INDIRECT("Table!A" &amp; $U49):INDIRECT("Table!" &amp; $X$171 &amp; $U49),0)))))</f>
        <v>170967.6</v>
      </c>
      <c r="J49" s="33">
        <f ca="1">IF(ISERROR(MATCH(J$1,INDIRECT("Table!A"&amp;$U49):INDIRECT("Table!" &amp; $X$171 &amp; $U49),0)),"",INDIRECT(CONCATENATE("Table!",ADDRESS($Q49,MATCH(J$1,INDIRECT("Table!A" &amp; $U49):INDIRECT("Table!" &amp; $X$171 &amp; $U49),0)))))</f>
        <v>132132.20000000001</v>
      </c>
      <c r="K49" s="33">
        <f ca="1">IF(ISERROR(MATCH(K$1,INDIRECT("Table!A"&amp;$U49):INDIRECT("Table!" &amp; $X$171 &amp; $U49),0)),"",INDIRECT(CONCATENATE("Table!",ADDRESS($Q49,MATCH(K$1,INDIRECT("Table!A" &amp; $U49):INDIRECT("Table!" &amp; $X$171 &amp; $U49),0)))))</f>
        <v>82726.3</v>
      </c>
      <c r="L49" s="33">
        <f ca="1">IF(ISERROR(MATCH(L$1,INDIRECT("Table!A"&amp;$U49):INDIRECT("Table!" &amp; $X$171 &amp; $U49),0)),"",INDIRECT(CONCATENATE("Table!",ADDRESS($Q49,MATCH(L$1,INDIRECT("Table!A" &amp; $U49):INDIRECT("Table!" &amp; $X$171 &amp; $U49),0)))))</f>
        <v>176482.7</v>
      </c>
      <c r="M49" s="33">
        <f ca="1">IF(ISERROR(MATCH(M$1,INDIRECT("Table!A"&amp;$U49):INDIRECT("Table!" &amp; $X$171 &amp; $U49),0)),"",INDIRECT(CONCATENATE("Table!",ADDRESS($Q49,MATCH(M$1,INDIRECT("Table!A" &amp; $U49):INDIRECT("Table!" &amp; $X$171 &amp; $U49),0)))))</f>
        <v>54921</v>
      </c>
      <c r="N49" s="241"/>
      <c r="O49" s="241"/>
      <c r="P49" s="241"/>
      <c r="Q49" s="31">
        <f>MATCH($A49,Table!$A:$A,0)+$S$14-1</f>
        <v>662</v>
      </c>
      <c r="R49" s="241"/>
      <c r="S49" s="241"/>
      <c r="T49" s="241"/>
      <c r="U49" s="31">
        <f>MATCH($A49,Table!$A:$A,0)+$W$2-1</f>
        <v>648</v>
      </c>
      <c r="V49" s="241"/>
      <c r="W49" s="241"/>
      <c r="X49" s="372" t="s">
        <v>209</v>
      </c>
    </row>
    <row r="50" spans="1:24" ht="19.5" customHeight="1">
      <c r="A50" s="5">
        <v>41149</v>
      </c>
      <c r="B50" s="33">
        <f ca="1">IF(ISERROR(MATCH(B$1,INDIRECT("Table!A"&amp;$U50):INDIRECT("Table!" &amp; $X$171 &amp; $U50),0)),"",INDIRECT(CONCATENATE("Table!",ADDRESS($Q50,MATCH(B$1,INDIRECT("Table!A" &amp; $U50):INDIRECT("Table!" &amp; $X$171 &amp; $U50),0)))))</f>
        <v>143392.20000000001</v>
      </c>
      <c r="C50" s="33">
        <f ca="1">IF(ISERROR(MATCH(C$1,INDIRECT("Table!A"&amp;$U50):INDIRECT("Table!" &amp; $X$171 &amp; $U50),0)),"",INDIRECT(CONCATENATE("Table!",ADDRESS($Q50,MATCH(C$1,INDIRECT("Table!A" &amp; $U50):INDIRECT("Table!" &amp; $X$171 &amp; $U50),0)))))</f>
        <v>150515.79999999999</v>
      </c>
      <c r="D50" s="33">
        <f ca="1">IF(ISERROR(MATCH(D$1,INDIRECT("Table!A"&amp;$U50):INDIRECT("Table!" &amp; $X$171 &amp; $U50),0)),"",INDIRECT(CONCATENATE("Table!",ADDRESS($Q50,MATCH(D$1,INDIRECT("Table!A" &amp; $U50):INDIRECT("Table!" &amp; $X$171 &amp; $U50),0)))))</f>
        <v>150515.79999999999</v>
      </c>
      <c r="E50" s="33">
        <f ca="1">IF(ISERROR(MATCH(E$1,INDIRECT("Table!A"&amp;$U50):INDIRECT("Table!" &amp; $X$171 &amp; $U50),0)),"",INDIRECT(CONCATENATE("Table!",ADDRESS($Q50,MATCH(E$1,INDIRECT("Table!A" &amp; $U50):INDIRECT("Table!" &amp; $X$171 &amp; $U50),0)))))</f>
        <v>181997.8</v>
      </c>
      <c r="F50" s="33">
        <f ca="1">IF(ISERROR(MATCH(F$1,INDIRECT("Table!A"&amp;$U50):INDIRECT("Table!" &amp; $X$171 &amp; $U50),0)),"",INDIRECT(CONCATENATE("Table!",ADDRESS($Q50,MATCH(F$1,INDIRECT("Table!A" &amp; $U50):INDIRECT("Table!" &amp; $X$171 &amp; $U50),0)))))</f>
        <v>165452.5</v>
      </c>
      <c r="G50" s="33">
        <f ca="1">IF(ISERROR(MATCH(G$1,INDIRECT("Table!A"&amp;$U50):INDIRECT("Table!" &amp; $X$171 &amp; $U50),0)),"",INDIRECT(CONCATENATE("Table!",ADDRESS($Q50,MATCH(G$1,INDIRECT("Table!A" &amp; $U50):INDIRECT("Table!" &amp; $X$171 &amp; $U50),0)))))</f>
        <v>110071.9</v>
      </c>
      <c r="H50" s="33">
        <f ca="1">IF(ISERROR(MATCH(H$1,INDIRECT("Table!A"&amp;$U50):INDIRECT("Table!" &amp; $X$171 &amp; $U50),0)),"",INDIRECT(CONCATENATE("Table!",ADDRESS($Q50,MATCH(H$1,INDIRECT("Table!A" &amp; $U50):INDIRECT("Table!" &amp; $X$171 &amp; $U50),0)))))</f>
        <v>121331.8</v>
      </c>
      <c r="I50" s="33">
        <f ca="1">IF(ISERROR(MATCH(I$1,INDIRECT("Table!A"&amp;$U50):INDIRECT("Table!" &amp; $X$171 &amp; $U50),0)),"",INDIRECT(CONCATENATE("Table!",ADDRESS($Q50,MATCH(I$1,INDIRECT("Table!A" &amp; $U50):INDIRECT("Table!" &amp; $X$171 &amp; $U50),0)))))</f>
        <v>170967.6</v>
      </c>
      <c r="J50" s="33">
        <f ca="1">IF(ISERROR(MATCH(J$1,INDIRECT("Table!A"&amp;$U50):INDIRECT("Table!" &amp; $X$171 &amp; $U50),0)),"",INDIRECT(CONCATENATE("Table!",ADDRESS($Q50,MATCH(J$1,INDIRECT("Table!A" &amp; $U50):INDIRECT("Table!" &amp; $X$171 &amp; $U50),0)))))</f>
        <v>132132.20000000001</v>
      </c>
      <c r="K50" s="33">
        <f ca="1">IF(ISERROR(MATCH(K$1,INDIRECT("Table!A"&amp;$U50):INDIRECT("Table!" &amp; $X$171 &amp; $U50),0)),"",INDIRECT(CONCATENATE("Table!",ADDRESS($Q50,MATCH(K$1,INDIRECT("Table!A" &amp; $U50):INDIRECT("Table!" &amp; $X$171 &amp; $U50),0)))))</f>
        <v>82726.3</v>
      </c>
      <c r="L50" s="33">
        <f ca="1">IF(ISERROR(MATCH(L$1,INDIRECT("Table!A"&amp;$U50):INDIRECT("Table!" &amp; $X$171 &amp; $U50),0)),"",INDIRECT(CONCATENATE("Table!",ADDRESS($Q50,MATCH(L$1,INDIRECT("Table!A" &amp; $U50):INDIRECT("Table!" &amp; $X$171 &amp; $U50),0)))))</f>
        <v>176482.7</v>
      </c>
      <c r="M50" s="33">
        <f ca="1">IF(ISERROR(MATCH(M$1,INDIRECT("Table!A"&amp;$U50):INDIRECT("Table!" &amp; $X$171 &amp; $U50),0)),"",INDIRECT(CONCATENATE("Table!",ADDRESS($Q50,MATCH(M$1,INDIRECT("Table!A" &amp; $U50):INDIRECT("Table!" &amp; $X$171 &amp; $U50),0)))))</f>
        <v>54921</v>
      </c>
      <c r="N50" s="240"/>
      <c r="O50" s="240"/>
      <c r="P50" s="240"/>
      <c r="Q50" s="31">
        <f>MATCH($A50,Table!$A:$A,0)+$S$14-1</f>
        <v>675</v>
      </c>
      <c r="R50" s="240"/>
      <c r="S50" s="240"/>
      <c r="T50" s="240"/>
      <c r="U50" s="31">
        <f>MATCH($A50,Table!$A:$A,0)+$W$2-1</f>
        <v>661</v>
      </c>
      <c r="V50" s="240"/>
      <c r="W50" s="240"/>
      <c r="X50" s="372" t="s">
        <v>209</v>
      </c>
    </row>
    <row r="51" spans="1:24" ht="19.5" customHeight="1">
      <c r="A51" s="5">
        <v>41144</v>
      </c>
      <c r="B51" s="33">
        <f ca="1">IF(ISERROR(MATCH(B$1,INDIRECT("Table!A"&amp;$U51):INDIRECT("Table!" &amp; $X$171 &amp; $U51),0)),"",INDIRECT(CONCATENATE("Table!",ADDRESS($Q51,MATCH(B$1,INDIRECT("Table!A" &amp; $U51):INDIRECT("Table!" &amp; $X$171 &amp; $U51),0)))))</f>
        <v>143392.20000000001</v>
      </c>
      <c r="C51" s="33">
        <f ca="1">IF(ISERROR(MATCH(C$1,INDIRECT("Table!A"&amp;$U51):INDIRECT("Table!" &amp; $X$171 &amp; $U51),0)),"",INDIRECT(CONCATENATE("Table!",ADDRESS($Q51,MATCH(C$1,INDIRECT("Table!A" &amp; $U51):INDIRECT("Table!" &amp; $X$171 &amp; $U51),0)))))</f>
        <v>150515.79999999999</v>
      </c>
      <c r="D51" s="33">
        <f ca="1">IF(ISERROR(MATCH(D$1,INDIRECT("Table!A"&amp;$U51):INDIRECT("Table!" &amp; $X$171 &amp; $U51),0)),"",INDIRECT(CONCATENATE("Table!",ADDRESS($Q51,MATCH(D$1,INDIRECT("Table!A" &amp; $U51):INDIRECT("Table!" &amp; $X$171 &amp; $U51),0)))))</f>
        <v>150515.79999999999</v>
      </c>
      <c r="E51" s="33">
        <f ca="1">IF(ISERROR(MATCH(E$1,INDIRECT("Table!A"&amp;$U51):INDIRECT("Table!" &amp; $X$171 &amp; $U51),0)),"",INDIRECT(CONCATENATE("Table!",ADDRESS($Q51,MATCH(E$1,INDIRECT("Table!A" &amp; $U51):INDIRECT("Table!" &amp; $X$171 &amp; $U51),0)))))</f>
        <v>181997.8</v>
      </c>
      <c r="F51" s="33">
        <f ca="1">IF(ISERROR(MATCH(F$1,INDIRECT("Table!A"&amp;$U51):INDIRECT("Table!" &amp; $X$171 &amp; $U51),0)),"",INDIRECT(CONCATENATE("Table!",ADDRESS($Q51,MATCH(F$1,INDIRECT("Table!A" &amp; $U51):INDIRECT("Table!" &amp; $X$171 &amp; $U51),0)))))</f>
        <v>165452.5</v>
      </c>
      <c r="G51" s="33">
        <f ca="1">IF(ISERROR(MATCH(G$1,INDIRECT("Table!A"&amp;$U51):INDIRECT("Table!" &amp; $X$171 &amp; $U51),0)),"",INDIRECT(CONCATENATE("Table!",ADDRESS($Q51,MATCH(G$1,INDIRECT("Table!A" &amp; $U51):INDIRECT("Table!" &amp; $X$171 &amp; $U51),0)))))</f>
        <v>110071.9</v>
      </c>
      <c r="H51" s="33">
        <f ca="1">IF(ISERROR(MATCH(H$1,INDIRECT("Table!A"&amp;$U51):INDIRECT("Table!" &amp; $X$171 &amp; $U51),0)),"",INDIRECT(CONCATENATE("Table!",ADDRESS($Q51,MATCH(H$1,INDIRECT("Table!A" &amp; $U51):INDIRECT("Table!" &amp; $X$171 &amp; $U51),0)))))</f>
        <v>121331.8</v>
      </c>
      <c r="I51" s="33">
        <f ca="1">IF(ISERROR(MATCH(I$1,INDIRECT("Table!A"&amp;$U51):INDIRECT("Table!" &amp; $X$171 &amp; $U51),0)),"",INDIRECT(CONCATENATE("Table!",ADDRESS($Q51,MATCH(I$1,INDIRECT("Table!A" &amp; $U51):INDIRECT("Table!" &amp; $X$171 &amp; $U51),0)))))</f>
        <v>170967.6</v>
      </c>
      <c r="J51" s="33">
        <f ca="1">IF(ISERROR(MATCH(J$1,INDIRECT("Table!A"&amp;$U51):INDIRECT("Table!" &amp; $X$171 &amp; $U51),0)),"",INDIRECT(CONCATENATE("Table!",ADDRESS($Q51,MATCH(J$1,INDIRECT("Table!A" &amp; $U51):INDIRECT("Table!" &amp; $X$171 &amp; $U51),0)))))</f>
        <v>132132.20000000001</v>
      </c>
      <c r="K51" s="33">
        <f ca="1">IF(ISERROR(MATCH(K$1,INDIRECT("Table!A"&amp;$U51):INDIRECT("Table!" &amp; $X$171 &amp; $U51),0)),"",INDIRECT(CONCATENATE("Table!",ADDRESS($Q51,MATCH(K$1,INDIRECT("Table!A" &amp; $U51):INDIRECT("Table!" &amp; $X$171 &amp; $U51),0)))))</f>
        <v>82726.3</v>
      </c>
      <c r="L51" s="33">
        <f ca="1">IF(ISERROR(MATCH(L$1,INDIRECT("Table!A"&amp;$U51):INDIRECT("Table!" &amp; $X$171 &amp; $U51),0)),"",INDIRECT(CONCATENATE("Table!",ADDRESS($Q51,MATCH(L$1,INDIRECT("Table!A" &amp; $U51):INDIRECT("Table!" &amp; $X$171 &amp; $U51),0)))))</f>
        <v>176482.7</v>
      </c>
      <c r="M51" s="33">
        <f ca="1">IF(ISERROR(MATCH(M$1,INDIRECT("Table!A"&amp;$U51):INDIRECT("Table!" &amp; $X$171 &amp; $U51),0)),"",INDIRECT(CONCATENATE("Table!",ADDRESS($Q51,MATCH(M$1,INDIRECT("Table!A" &amp; $U51):INDIRECT("Table!" &amp; $X$171 &amp; $U51),0)))))</f>
        <v>54921</v>
      </c>
      <c r="N51" s="239"/>
      <c r="O51" s="239"/>
      <c r="P51" s="239"/>
      <c r="Q51" s="31">
        <f>MATCH($A51,Table!$A:$A,0)+$S$14-1</f>
        <v>688</v>
      </c>
      <c r="R51" s="239"/>
      <c r="S51" s="239"/>
      <c r="T51" s="239"/>
      <c r="U51" s="31">
        <f>MATCH($A51,Table!$A:$A,0)+$W$2-1</f>
        <v>674</v>
      </c>
      <c r="V51" s="239"/>
      <c r="W51" s="239"/>
      <c r="X51" s="372" t="s">
        <v>209</v>
      </c>
    </row>
    <row r="52" spans="1:24" ht="19.5" customHeight="1">
      <c r="A52" s="5">
        <v>41142</v>
      </c>
      <c r="B52" s="33">
        <f ca="1">IF(ISERROR(MATCH(B$1,INDIRECT("Table!A"&amp;$U52):INDIRECT("Table!" &amp; $X$171 &amp; $U52),0)),"",INDIRECT(CONCATENATE("Table!",ADDRESS($Q52,MATCH(B$1,INDIRECT("Table!A" &amp; $U52):INDIRECT("Table!" &amp; $X$171 &amp; $U52),0)))))</f>
        <v>143392.20000000001</v>
      </c>
      <c r="C52" s="33">
        <f ca="1">IF(ISERROR(MATCH(C$1,INDIRECT("Table!A"&amp;$U52):INDIRECT("Table!" &amp; $X$171 &amp; $U52),0)),"",INDIRECT(CONCATENATE("Table!",ADDRESS($Q52,MATCH(C$1,INDIRECT("Table!A" &amp; $U52):INDIRECT("Table!" &amp; $X$171 &amp; $U52),0)))))</f>
        <v>150515.79999999999</v>
      </c>
      <c r="D52" s="33">
        <f ca="1">IF(ISERROR(MATCH(D$1,INDIRECT("Table!A"&amp;$U52):INDIRECT("Table!" &amp; $X$171 &amp; $U52),0)),"",INDIRECT(CONCATENATE("Table!",ADDRESS($Q52,MATCH(D$1,INDIRECT("Table!A" &amp; $U52):INDIRECT("Table!" &amp; $X$171 &amp; $U52),0)))))</f>
        <v>150515.79999999999</v>
      </c>
      <c r="E52" s="33">
        <f ca="1">IF(ISERROR(MATCH(E$1,INDIRECT("Table!A"&amp;$U52):INDIRECT("Table!" &amp; $X$171 &amp; $U52),0)),"",INDIRECT(CONCATENATE("Table!",ADDRESS($Q52,MATCH(E$1,INDIRECT("Table!A" &amp; $U52):INDIRECT("Table!" &amp; $X$171 &amp; $U52),0)))))</f>
        <v>181997.8</v>
      </c>
      <c r="F52" s="33">
        <f ca="1">IF(ISERROR(MATCH(F$1,INDIRECT("Table!A"&amp;$U52):INDIRECT("Table!" &amp; $X$171 &amp; $U52),0)),"",INDIRECT(CONCATENATE("Table!",ADDRESS($Q52,MATCH(F$1,INDIRECT("Table!A" &amp; $U52):INDIRECT("Table!" &amp; $X$171 &amp; $U52),0)))))</f>
        <v>165452.5</v>
      </c>
      <c r="G52" s="33">
        <f ca="1">IF(ISERROR(MATCH(G$1,INDIRECT("Table!A"&amp;$U52):INDIRECT("Table!" &amp; $X$171 &amp; $U52),0)),"",INDIRECT(CONCATENATE("Table!",ADDRESS($Q52,MATCH(G$1,INDIRECT("Table!A" &amp; $U52):INDIRECT("Table!" &amp; $X$171 &amp; $U52),0)))))</f>
        <v>110071.9</v>
      </c>
      <c r="H52" s="33">
        <f ca="1">IF(ISERROR(MATCH(H$1,INDIRECT("Table!A"&amp;$U52):INDIRECT("Table!" &amp; $X$171 &amp; $U52),0)),"",INDIRECT(CONCATENATE("Table!",ADDRESS($Q52,MATCH(H$1,INDIRECT("Table!A" &amp; $U52):INDIRECT("Table!" &amp; $X$171 &amp; $U52),0)))))</f>
        <v>121331.8</v>
      </c>
      <c r="I52" s="33">
        <f ca="1">IF(ISERROR(MATCH(I$1,INDIRECT("Table!A"&amp;$U52):INDIRECT("Table!" &amp; $X$171 &amp; $U52),0)),"",INDIRECT(CONCATENATE("Table!",ADDRESS($Q52,MATCH(I$1,INDIRECT("Table!A" &amp; $U52):INDIRECT("Table!" &amp; $X$171 &amp; $U52),0)))))</f>
        <v>170967.6</v>
      </c>
      <c r="J52" s="33">
        <f ca="1">IF(ISERROR(MATCH(J$1,INDIRECT("Table!A"&amp;$U52):INDIRECT("Table!" &amp; $X$171 &amp; $U52),0)),"",INDIRECT(CONCATENATE("Table!",ADDRESS($Q52,MATCH(J$1,INDIRECT("Table!A" &amp; $U52):INDIRECT("Table!" &amp; $X$171 &amp; $U52),0)))))</f>
        <v>132132.20000000001</v>
      </c>
      <c r="K52" s="33">
        <f ca="1">IF(ISERROR(MATCH(K$1,INDIRECT("Table!A"&amp;$U52):INDIRECT("Table!" &amp; $X$171 &amp; $U52),0)),"",INDIRECT(CONCATENATE("Table!",ADDRESS($Q52,MATCH(K$1,INDIRECT("Table!A" &amp; $U52):INDIRECT("Table!" &amp; $X$171 &amp; $U52),0)))))</f>
        <v>82726.3</v>
      </c>
      <c r="L52" s="33">
        <f ca="1">IF(ISERROR(MATCH(L$1,INDIRECT("Table!A"&amp;$U52):INDIRECT("Table!" &amp; $X$171 &amp; $U52),0)),"",INDIRECT(CONCATENATE("Table!",ADDRESS($Q52,MATCH(L$1,INDIRECT("Table!A" &amp; $U52):INDIRECT("Table!" &amp; $X$171 &amp; $U52),0)))))</f>
        <v>176482.7</v>
      </c>
      <c r="M52" s="33">
        <f ca="1">IF(ISERROR(MATCH(M$1,INDIRECT("Table!A"&amp;$U52):INDIRECT("Table!" &amp; $X$171 &amp; $U52),0)),"",INDIRECT(CONCATENATE("Table!",ADDRESS($Q52,MATCH(M$1,INDIRECT("Table!A" &amp; $U52):INDIRECT("Table!" &amp; $X$171 &amp; $U52),0)))))</f>
        <v>54921</v>
      </c>
      <c r="N52" s="239"/>
      <c r="O52" s="239"/>
      <c r="P52" s="239"/>
      <c r="Q52" s="31">
        <f>MATCH($A52,Table!$A:$A,0)+$S$14-1</f>
        <v>701</v>
      </c>
      <c r="R52" s="239"/>
      <c r="S52" s="239"/>
      <c r="T52" s="239"/>
      <c r="U52" s="31">
        <f>MATCH($A52,Table!$A:$A,0)+$W$2-1</f>
        <v>687</v>
      </c>
      <c r="V52" s="239"/>
      <c r="W52" s="239"/>
      <c r="X52" s="372" t="s">
        <v>209</v>
      </c>
    </row>
    <row r="53" spans="1:24" ht="19.5" customHeight="1">
      <c r="A53" s="5">
        <v>41138</v>
      </c>
      <c r="B53" s="33">
        <f ca="1">IF(ISERROR(MATCH(B$1,INDIRECT("Table!A"&amp;$U53):INDIRECT("Table!" &amp; $X$171 &amp; $U53),0)),"",INDIRECT(CONCATENATE("Table!",ADDRESS($Q53,MATCH(B$1,INDIRECT("Table!A" &amp; $U53):INDIRECT("Table!" &amp; $X$171 &amp; $U53),0)))))</f>
        <v>143392.20000000001</v>
      </c>
      <c r="C53" s="33">
        <f ca="1">IF(ISERROR(MATCH(C$1,INDIRECT("Table!A"&amp;$U53):INDIRECT("Table!" &amp; $X$171 &amp; $U53),0)),"",INDIRECT(CONCATENATE("Table!",ADDRESS($Q53,MATCH(C$1,INDIRECT("Table!A" &amp; $U53):INDIRECT("Table!" &amp; $X$171 &amp; $U53),0)))))</f>
        <v>150515.79999999999</v>
      </c>
      <c r="D53" s="33">
        <f ca="1">IF(ISERROR(MATCH(D$1,INDIRECT("Table!A"&amp;$U53):INDIRECT("Table!" &amp; $X$171 &amp; $U53),0)),"",INDIRECT(CONCATENATE("Table!",ADDRESS($Q53,MATCH(D$1,INDIRECT("Table!A" &amp; $U53):INDIRECT("Table!" &amp; $X$171 &amp; $U53),0)))))</f>
        <v>150515.79999999999</v>
      </c>
      <c r="E53" s="33">
        <f ca="1">IF(ISERROR(MATCH(E$1,INDIRECT("Table!A"&amp;$U53):INDIRECT("Table!" &amp; $X$171 &amp; $U53),0)),"",INDIRECT(CONCATENATE("Table!",ADDRESS($Q53,MATCH(E$1,INDIRECT("Table!A" &amp; $U53):INDIRECT("Table!" &amp; $X$171 &amp; $U53),0)))))</f>
        <v>181997.8</v>
      </c>
      <c r="F53" s="33">
        <f ca="1">IF(ISERROR(MATCH(F$1,INDIRECT("Table!A"&amp;$U53):INDIRECT("Table!" &amp; $X$171 &amp; $U53),0)),"",INDIRECT(CONCATENATE("Table!",ADDRESS($Q53,MATCH(F$1,INDIRECT("Table!A" &amp; $U53):INDIRECT("Table!" &amp; $X$171 &amp; $U53),0)))))</f>
        <v>165452.5</v>
      </c>
      <c r="G53" s="33">
        <f ca="1">IF(ISERROR(MATCH(G$1,INDIRECT("Table!A"&amp;$U53):INDIRECT("Table!" &amp; $X$171 &amp; $U53),0)),"",INDIRECT(CONCATENATE("Table!",ADDRESS($Q53,MATCH(G$1,INDIRECT("Table!A" &amp; $U53):INDIRECT("Table!" &amp; $X$171 &amp; $U53),0)))))</f>
        <v>110071.9</v>
      </c>
      <c r="H53" s="33">
        <f ca="1">IF(ISERROR(MATCH(H$1,INDIRECT("Table!A"&amp;$U53):INDIRECT("Table!" &amp; $X$171 &amp; $U53),0)),"",INDIRECT(CONCATENATE("Table!",ADDRESS($Q53,MATCH(H$1,INDIRECT("Table!A" &amp; $U53):INDIRECT("Table!" &amp; $X$171 &amp; $U53),0)))))</f>
        <v>121331.8</v>
      </c>
      <c r="I53" s="33">
        <f ca="1">IF(ISERROR(MATCH(I$1,INDIRECT("Table!A"&amp;$U53):INDIRECT("Table!" &amp; $X$171 &amp; $U53),0)),"",INDIRECT(CONCATENATE("Table!",ADDRESS($Q53,MATCH(I$1,INDIRECT("Table!A" &amp; $U53):INDIRECT("Table!" &amp; $X$171 &amp; $U53),0)))))</f>
        <v>170967.6</v>
      </c>
      <c r="J53" s="33">
        <f ca="1">IF(ISERROR(MATCH(J$1,INDIRECT("Table!A"&amp;$U53):INDIRECT("Table!" &amp; $X$171 &amp; $U53),0)),"",INDIRECT(CONCATENATE("Table!",ADDRESS($Q53,MATCH(J$1,INDIRECT("Table!A" &amp; $U53):INDIRECT("Table!" &amp; $X$171 &amp; $U53),0)))))</f>
        <v>132132.20000000001</v>
      </c>
      <c r="K53" s="33">
        <f ca="1">IF(ISERROR(MATCH(K$1,INDIRECT("Table!A"&amp;$U53):INDIRECT("Table!" &amp; $X$171 &amp; $U53),0)),"",INDIRECT(CONCATENATE("Table!",ADDRESS($Q53,MATCH(K$1,INDIRECT("Table!A" &amp; $U53):INDIRECT("Table!" &amp; $X$171 &amp; $U53),0)))))</f>
        <v>82726.3</v>
      </c>
      <c r="L53" s="33">
        <f ca="1">IF(ISERROR(MATCH(L$1,INDIRECT("Table!A"&amp;$U53):INDIRECT("Table!" &amp; $X$171 &amp; $U53),0)),"",INDIRECT(CONCATENATE("Table!",ADDRESS($Q53,MATCH(L$1,INDIRECT("Table!A" &amp; $U53):INDIRECT("Table!" &amp; $X$171 &amp; $U53),0)))))</f>
        <v>176482.7</v>
      </c>
      <c r="M53" s="33">
        <f ca="1">IF(ISERROR(MATCH(M$1,INDIRECT("Table!A"&amp;$U53):INDIRECT("Table!" &amp; $X$171 &amp; $U53),0)),"",INDIRECT(CONCATENATE("Table!",ADDRESS($Q53,MATCH(M$1,INDIRECT("Table!A" &amp; $U53):INDIRECT("Table!" &amp; $X$171 &amp; $U53),0)))))</f>
        <v>54921</v>
      </c>
      <c r="N53" s="238"/>
      <c r="O53" s="238"/>
      <c r="P53" s="238"/>
      <c r="Q53" s="31">
        <f>MATCH($A53,Table!$A:$A,0)+$S$14-1</f>
        <v>714</v>
      </c>
      <c r="R53" s="238"/>
      <c r="S53" s="238"/>
      <c r="T53" s="238"/>
      <c r="U53" s="31">
        <f>MATCH($A53,Table!$A:$A,0)+$W$2-1</f>
        <v>700</v>
      </c>
      <c r="V53" s="238"/>
      <c r="W53" s="238"/>
      <c r="X53" s="372" t="s">
        <v>209</v>
      </c>
    </row>
    <row r="54" spans="1:24" ht="19.5" customHeight="1">
      <c r="A54" s="5">
        <v>41137</v>
      </c>
      <c r="B54" s="33">
        <f ca="1">IF(ISERROR(MATCH(B$1,INDIRECT("Table!A"&amp;$U54):INDIRECT("Table!" &amp; $X$171 &amp; $U54),0)),"",INDIRECT(CONCATENATE("Table!",ADDRESS($Q54,MATCH(B$1,INDIRECT("Table!A" &amp; $U54):INDIRECT("Table!" &amp; $X$171 &amp; $U54),0)))))</f>
        <v>143392.20000000001</v>
      </c>
      <c r="C54" s="33">
        <f ca="1">IF(ISERROR(MATCH(C$1,INDIRECT("Table!A"&amp;$U54):INDIRECT("Table!" &amp; $X$171 &amp; $U54),0)),"",INDIRECT(CONCATENATE("Table!",ADDRESS($Q54,MATCH(C$1,INDIRECT("Table!A" &amp; $U54):INDIRECT("Table!" &amp; $X$171 &amp; $U54),0)))))</f>
        <v>150515.79999999999</v>
      </c>
      <c r="D54" s="33">
        <f ca="1">IF(ISERROR(MATCH(D$1,INDIRECT("Table!A"&amp;$U54):INDIRECT("Table!" &amp; $X$171 &amp; $U54),0)),"",INDIRECT(CONCATENATE("Table!",ADDRESS($Q54,MATCH(D$1,INDIRECT("Table!A" &amp; $U54):INDIRECT("Table!" &amp; $X$171 &amp; $U54),0)))))</f>
        <v>150515.79999999999</v>
      </c>
      <c r="E54" s="33">
        <f ca="1">IF(ISERROR(MATCH(E$1,INDIRECT("Table!A"&amp;$U54):INDIRECT("Table!" &amp; $X$171 &amp; $U54),0)),"",INDIRECT(CONCATENATE("Table!",ADDRESS($Q54,MATCH(E$1,INDIRECT("Table!A" &amp; $U54):INDIRECT("Table!" &amp; $X$171 &amp; $U54),0)))))</f>
        <v>181997.8</v>
      </c>
      <c r="F54" s="33">
        <f ca="1">IF(ISERROR(MATCH(F$1,INDIRECT("Table!A"&amp;$U54):INDIRECT("Table!" &amp; $X$171 &amp; $U54),0)),"",INDIRECT(CONCATENATE("Table!",ADDRESS($Q54,MATCH(F$1,INDIRECT("Table!A" &amp; $U54):INDIRECT("Table!" &amp; $X$171 &amp; $U54),0)))))</f>
        <v>165452.5</v>
      </c>
      <c r="G54" s="33">
        <f ca="1">IF(ISERROR(MATCH(G$1,INDIRECT("Table!A"&amp;$U54):INDIRECT("Table!" &amp; $X$171 &amp; $U54),0)),"",INDIRECT(CONCATENATE("Table!",ADDRESS($Q54,MATCH(G$1,INDIRECT("Table!A" &amp; $U54):INDIRECT("Table!" &amp; $X$171 &amp; $U54),0)))))</f>
        <v>110071.9</v>
      </c>
      <c r="H54" s="33">
        <f ca="1">IF(ISERROR(MATCH(H$1,INDIRECT("Table!A"&amp;$U54):INDIRECT("Table!" &amp; $X$171 &amp; $U54),0)),"",INDIRECT(CONCATENATE("Table!",ADDRESS($Q54,MATCH(H$1,INDIRECT("Table!A" &amp; $U54):INDIRECT("Table!" &amp; $X$171 &amp; $U54),0)))))</f>
        <v>121331.8</v>
      </c>
      <c r="I54" s="33">
        <f ca="1">IF(ISERROR(MATCH(I$1,INDIRECT("Table!A"&amp;$U54):INDIRECT("Table!" &amp; $X$171 &amp; $U54),0)),"",INDIRECT(CONCATENATE("Table!",ADDRESS($Q54,MATCH(I$1,INDIRECT("Table!A" &amp; $U54):INDIRECT("Table!" &amp; $X$171 &amp; $U54),0)))))</f>
        <v>170967.6</v>
      </c>
      <c r="J54" s="33">
        <f ca="1">IF(ISERROR(MATCH(J$1,INDIRECT("Table!A"&amp;$U54):INDIRECT("Table!" &amp; $X$171 &amp; $U54),0)),"",INDIRECT(CONCATENATE("Table!",ADDRESS($Q54,MATCH(J$1,INDIRECT("Table!A" &amp; $U54):INDIRECT("Table!" &amp; $X$171 &amp; $U54),0)))))</f>
        <v>132132.20000000001</v>
      </c>
      <c r="K54" s="33">
        <f ca="1">IF(ISERROR(MATCH(K$1,INDIRECT("Table!A"&amp;$U54):INDIRECT("Table!" &amp; $X$171 &amp; $U54),0)),"",INDIRECT(CONCATENATE("Table!",ADDRESS($Q54,MATCH(K$1,INDIRECT("Table!A" &amp; $U54):INDIRECT("Table!" &amp; $X$171 &amp; $U54),0)))))</f>
        <v>82726.3</v>
      </c>
      <c r="L54" s="33">
        <f ca="1">IF(ISERROR(MATCH(L$1,INDIRECT("Table!A"&amp;$U54):INDIRECT("Table!" &amp; $X$171 &amp; $U54),0)),"",INDIRECT(CONCATENATE("Table!",ADDRESS($Q54,MATCH(L$1,INDIRECT("Table!A" &amp; $U54):INDIRECT("Table!" &amp; $X$171 &amp; $U54),0)))))</f>
        <v>176482.7</v>
      </c>
      <c r="M54" s="33">
        <f ca="1">IF(ISERROR(MATCH(M$1,INDIRECT("Table!A"&amp;$U54):INDIRECT("Table!" &amp; $X$171 &amp; $U54),0)),"",INDIRECT(CONCATENATE("Table!",ADDRESS($Q54,MATCH(M$1,INDIRECT("Table!A" &amp; $U54):INDIRECT("Table!" &amp; $X$171 &amp; $U54),0)))))</f>
        <v>54921</v>
      </c>
      <c r="N54" s="237"/>
      <c r="O54" s="237"/>
      <c r="P54" s="237"/>
      <c r="Q54" s="31">
        <f>MATCH($A54,Table!$A:$A,0)+$S$14-1</f>
        <v>727</v>
      </c>
      <c r="R54" s="237"/>
      <c r="S54" s="237"/>
      <c r="T54" s="237"/>
      <c r="U54" s="31">
        <f>MATCH($A54,Table!$A:$A,0)+$W$2-1</f>
        <v>713</v>
      </c>
      <c r="V54" s="237"/>
      <c r="W54" s="237"/>
      <c r="X54" s="372" t="s">
        <v>209</v>
      </c>
    </row>
    <row r="55" spans="1:24" ht="19.5" customHeight="1">
      <c r="A55" s="5">
        <v>41135</v>
      </c>
      <c r="B55" s="33">
        <f ca="1">IF(ISERROR(MATCH(B$1,INDIRECT("Table!A"&amp;$U55):INDIRECT("Table!" &amp; $X$171 &amp; $U55),0)),"",INDIRECT(CONCATENATE("Table!",ADDRESS($Q55,MATCH(B$1,INDIRECT("Table!A" &amp; $U55):INDIRECT("Table!" &amp; $X$171 &amp; $U55),0)))))</f>
        <v>143392.20000000001</v>
      </c>
      <c r="C55" s="33">
        <f ca="1">IF(ISERROR(MATCH(C$1,INDIRECT("Table!A"&amp;$U55):INDIRECT("Table!" &amp; $X$171 &amp; $U55),0)),"",INDIRECT(CONCATENATE("Table!",ADDRESS($Q55,MATCH(C$1,INDIRECT("Table!A" &amp; $U55):INDIRECT("Table!" &amp; $X$171 &amp; $U55),0)))))</f>
        <v>150515.79999999999</v>
      </c>
      <c r="D55" s="33">
        <f ca="1">IF(ISERROR(MATCH(D$1,INDIRECT("Table!A"&amp;$U55):INDIRECT("Table!" &amp; $X$171 &amp; $U55),0)),"",INDIRECT(CONCATENATE("Table!",ADDRESS($Q55,MATCH(D$1,INDIRECT("Table!A" &amp; $U55):INDIRECT("Table!" &amp; $X$171 &amp; $U55),0)))))</f>
        <v>150515.79999999999</v>
      </c>
      <c r="E55" s="33">
        <f ca="1">IF(ISERROR(MATCH(E$1,INDIRECT("Table!A"&amp;$U55):INDIRECT("Table!" &amp; $X$171 &amp; $U55),0)),"",INDIRECT(CONCATENATE("Table!",ADDRESS($Q55,MATCH(E$1,INDIRECT("Table!A" &amp; $U55):INDIRECT("Table!" &amp; $X$171 &amp; $U55),0)))))</f>
        <v>181997.8</v>
      </c>
      <c r="F55" s="33">
        <f ca="1">IF(ISERROR(MATCH(F$1,INDIRECT("Table!A"&amp;$U55):INDIRECT("Table!" &amp; $X$171 &amp; $U55),0)),"",INDIRECT(CONCATENATE("Table!",ADDRESS($Q55,MATCH(F$1,INDIRECT("Table!A" &amp; $U55):INDIRECT("Table!" &amp; $X$171 &amp; $U55),0)))))</f>
        <v>165452.5</v>
      </c>
      <c r="G55" s="33">
        <f ca="1">IF(ISERROR(MATCH(G$1,INDIRECT("Table!A"&amp;$U55):INDIRECT("Table!" &amp; $X$171 &amp; $U55),0)),"",INDIRECT(CONCATENATE("Table!",ADDRESS($Q55,MATCH(G$1,INDIRECT("Table!A" &amp; $U55):INDIRECT("Table!" &amp; $X$171 &amp; $U55),0)))))</f>
        <v>110071.9</v>
      </c>
      <c r="H55" s="33">
        <f ca="1">IF(ISERROR(MATCH(H$1,INDIRECT("Table!A"&amp;$U55):INDIRECT("Table!" &amp; $X$171 &amp; $U55),0)),"",INDIRECT(CONCATENATE("Table!",ADDRESS($Q55,MATCH(H$1,INDIRECT("Table!A" &amp; $U55):INDIRECT("Table!" &amp; $X$171 &amp; $U55),0)))))</f>
        <v>121331.8</v>
      </c>
      <c r="I55" s="33">
        <f ca="1">IF(ISERROR(MATCH(I$1,INDIRECT("Table!A"&amp;$U55):INDIRECT("Table!" &amp; $X$171 &amp; $U55),0)),"",INDIRECT(CONCATENATE("Table!",ADDRESS($Q55,MATCH(I$1,INDIRECT("Table!A" &amp; $U55):INDIRECT("Table!" &amp; $X$171 &amp; $U55),0)))))</f>
        <v>170967.6</v>
      </c>
      <c r="J55" s="33">
        <f ca="1">IF(ISERROR(MATCH(J$1,INDIRECT("Table!A"&amp;$U55):INDIRECT("Table!" &amp; $X$171 &amp; $U55),0)),"",INDIRECT(CONCATENATE("Table!",ADDRESS($Q55,MATCH(J$1,INDIRECT("Table!A" &amp; $U55):INDIRECT("Table!" &amp; $X$171 &amp; $U55),0)))))</f>
        <v>132132.20000000001</v>
      </c>
      <c r="K55" s="33">
        <f ca="1">IF(ISERROR(MATCH(K$1,INDIRECT("Table!A"&amp;$U55):INDIRECT("Table!" &amp; $X$171 &amp; $U55),0)),"",INDIRECT(CONCATENATE("Table!",ADDRESS($Q55,MATCH(K$1,INDIRECT("Table!A" &amp; $U55):INDIRECT("Table!" &amp; $X$171 &amp; $U55),0)))))</f>
        <v>82726.3</v>
      </c>
      <c r="L55" s="33">
        <f ca="1">IF(ISERROR(MATCH(L$1,INDIRECT("Table!A"&amp;$U55):INDIRECT("Table!" &amp; $X$171 &amp; $U55),0)),"",INDIRECT(CONCATENATE("Table!",ADDRESS($Q55,MATCH(L$1,INDIRECT("Table!A" &amp; $U55):INDIRECT("Table!" &amp; $X$171 &amp; $U55),0)))))</f>
        <v>176482.7</v>
      </c>
      <c r="M55" s="33">
        <f ca="1">IF(ISERROR(MATCH(M$1,INDIRECT("Table!A"&amp;$U55):INDIRECT("Table!" &amp; $X$171 &amp; $U55),0)),"",INDIRECT(CONCATENATE("Table!",ADDRESS($Q55,MATCH(M$1,INDIRECT("Table!A" &amp; $U55):INDIRECT("Table!" &amp; $X$171 &amp; $U55),0)))))</f>
        <v>54921</v>
      </c>
      <c r="N55" s="236"/>
      <c r="O55" s="236"/>
      <c r="P55" s="236"/>
      <c r="Q55" s="31">
        <f>MATCH($A55,Table!$A:$A,0)+$S$14-1</f>
        <v>740</v>
      </c>
      <c r="R55" s="236"/>
      <c r="S55" s="236"/>
      <c r="T55" s="236"/>
      <c r="U55" s="31">
        <f>MATCH($A55,Table!$A:$A,0)+$W$2-1</f>
        <v>726</v>
      </c>
      <c r="V55" s="236"/>
      <c r="W55" s="236"/>
      <c r="X55" s="372" t="s">
        <v>209</v>
      </c>
    </row>
    <row r="56" spans="1:24" ht="19.5" customHeight="1">
      <c r="A56" s="5">
        <v>41134</v>
      </c>
      <c r="B56" s="33">
        <f ca="1">IF(ISERROR(MATCH(B$1,INDIRECT("Table!A"&amp;$U56):INDIRECT("Table!" &amp; $X$171 &amp; $U56),0)),"",INDIRECT(CONCATENATE("Table!",ADDRESS($Q56,MATCH(B$1,INDIRECT("Table!A" &amp; $U56):INDIRECT("Table!" &amp; $X$171 &amp; $U56),0)))))</f>
        <v>143392.20000000001</v>
      </c>
      <c r="C56" s="33">
        <f ca="1">IF(ISERROR(MATCH(C$1,INDIRECT("Table!A"&amp;$U56):INDIRECT("Table!" &amp; $X$171 &amp; $U56),0)),"",INDIRECT(CONCATENATE("Table!",ADDRESS($Q56,MATCH(C$1,INDIRECT("Table!A" &amp; $U56):INDIRECT("Table!" &amp; $X$171 &amp; $U56),0)))))</f>
        <v>150515.79999999999</v>
      </c>
      <c r="D56" s="33">
        <f ca="1">IF(ISERROR(MATCH(D$1,INDIRECT("Table!A"&amp;$U56):INDIRECT("Table!" &amp; $X$171 &amp; $U56),0)),"",INDIRECT(CONCATENATE("Table!",ADDRESS($Q56,MATCH(D$1,INDIRECT("Table!A" &amp; $U56):INDIRECT("Table!" &amp; $X$171 &amp; $U56),0)))))</f>
        <v>150515.79999999999</v>
      </c>
      <c r="E56" s="33">
        <f ca="1">IF(ISERROR(MATCH(E$1,INDIRECT("Table!A"&amp;$U56):INDIRECT("Table!" &amp; $X$171 &amp; $U56),0)),"",INDIRECT(CONCATENATE("Table!",ADDRESS($Q56,MATCH(E$1,INDIRECT("Table!A" &amp; $U56):INDIRECT("Table!" &amp; $X$171 &amp; $U56),0)))))</f>
        <v>181997.8</v>
      </c>
      <c r="F56" s="33">
        <f ca="1">IF(ISERROR(MATCH(F$1,INDIRECT("Table!A"&amp;$U56):INDIRECT("Table!" &amp; $X$171 &amp; $U56),0)),"",INDIRECT(CONCATENATE("Table!",ADDRESS($Q56,MATCH(F$1,INDIRECT("Table!A" &amp; $U56):INDIRECT("Table!" &amp; $X$171 &amp; $U56),0)))))</f>
        <v>165452.5</v>
      </c>
      <c r="G56" s="33">
        <f ca="1">IF(ISERROR(MATCH(G$1,INDIRECT("Table!A"&amp;$U56):INDIRECT("Table!" &amp; $X$171 &amp; $U56),0)),"",INDIRECT(CONCATENATE("Table!",ADDRESS($Q56,MATCH(G$1,INDIRECT("Table!A" &amp; $U56):INDIRECT("Table!" &amp; $X$171 &amp; $U56),0)))))</f>
        <v>110071.9</v>
      </c>
      <c r="H56" s="33">
        <f ca="1">IF(ISERROR(MATCH(H$1,INDIRECT("Table!A"&amp;$U56):INDIRECT("Table!" &amp; $X$171 &amp; $U56),0)),"",INDIRECT(CONCATENATE("Table!",ADDRESS($Q56,MATCH(H$1,INDIRECT("Table!A" &amp; $U56):INDIRECT("Table!" &amp; $X$171 &amp; $U56),0)))))</f>
        <v>121331.8</v>
      </c>
      <c r="I56" s="33">
        <f ca="1">IF(ISERROR(MATCH(I$1,INDIRECT("Table!A"&amp;$U56):INDIRECT("Table!" &amp; $X$171 &amp; $U56),0)),"",INDIRECT(CONCATENATE("Table!",ADDRESS($Q56,MATCH(I$1,INDIRECT("Table!A" &amp; $U56):INDIRECT("Table!" &amp; $X$171 &amp; $U56),0)))))</f>
        <v>170967.6</v>
      </c>
      <c r="J56" s="33">
        <f ca="1">IF(ISERROR(MATCH(J$1,INDIRECT("Table!A"&amp;$U56):INDIRECT("Table!" &amp; $X$171 &amp; $U56),0)),"",INDIRECT(CONCATENATE("Table!",ADDRESS($Q56,MATCH(J$1,INDIRECT("Table!A" &amp; $U56):INDIRECT("Table!" &amp; $X$171 &amp; $U56),0)))))</f>
        <v>132132.20000000001</v>
      </c>
      <c r="K56" s="33">
        <f ca="1">IF(ISERROR(MATCH(K$1,INDIRECT("Table!A"&amp;$U56):INDIRECT("Table!" &amp; $X$171 &amp; $U56),0)),"",INDIRECT(CONCATENATE("Table!",ADDRESS($Q56,MATCH(K$1,INDIRECT("Table!A" &amp; $U56):INDIRECT("Table!" &amp; $X$171 &amp; $U56),0)))))</f>
        <v>82726.3</v>
      </c>
      <c r="L56" s="33">
        <f ca="1">IF(ISERROR(MATCH(L$1,INDIRECT("Table!A"&amp;$U56):INDIRECT("Table!" &amp; $X$171 &amp; $U56),0)),"",INDIRECT(CONCATENATE("Table!",ADDRESS($Q56,MATCH(L$1,INDIRECT("Table!A" &amp; $U56):INDIRECT("Table!" &amp; $X$171 &amp; $U56),0)))))</f>
        <v>176482.7</v>
      </c>
      <c r="M56" s="33">
        <f ca="1">IF(ISERROR(MATCH(M$1,INDIRECT("Table!A"&amp;$U56):INDIRECT("Table!" &amp; $X$171 &amp; $U56),0)),"",INDIRECT(CONCATENATE("Table!",ADDRESS($Q56,MATCH(M$1,INDIRECT("Table!A" &amp; $U56):INDIRECT("Table!" &amp; $X$171 &amp; $U56),0)))))</f>
        <v>54921</v>
      </c>
      <c r="N56" s="235"/>
      <c r="O56" s="235"/>
      <c r="P56" s="235"/>
      <c r="Q56" s="31">
        <f>MATCH($A56,Table!$A:$A,0)+$S$14-1</f>
        <v>753</v>
      </c>
      <c r="R56" s="235"/>
      <c r="S56" s="235"/>
      <c r="T56" s="235"/>
      <c r="U56" s="31">
        <f>MATCH($A56,Table!$A:$A,0)+$W$2-1</f>
        <v>739</v>
      </c>
      <c r="V56" s="235"/>
      <c r="W56" s="235"/>
      <c r="X56" s="372" t="s">
        <v>209</v>
      </c>
    </row>
    <row r="57" spans="1:24" ht="19.5" customHeight="1">
      <c r="A57" s="5">
        <v>41131</v>
      </c>
      <c r="B57" s="33">
        <f ca="1">IF(ISERROR(MATCH(B$1,INDIRECT("Table!A"&amp;$U57):INDIRECT("Table!" &amp; $X$171 &amp; $U57),0)),"",INDIRECT(CONCATENATE("Table!",ADDRESS($Q57,MATCH(B$1,INDIRECT("Table!A" &amp; $U57):INDIRECT("Table!" &amp; $X$171 &amp; $U57),0)))))</f>
        <v>143392.20000000001</v>
      </c>
      <c r="C57" s="33">
        <f ca="1">IF(ISERROR(MATCH(C$1,INDIRECT("Table!A"&amp;$U57):INDIRECT("Table!" &amp; $X$171 &amp; $U57),0)),"",INDIRECT(CONCATENATE("Table!",ADDRESS($Q57,MATCH(C$1,INDIRECT("Table!A" &amp; $U57):INDIRECT("Table!" &amp; $X$171 &amp; $U57),0)))))</f>
        <v>150515.79999999999</v>
      </c>
      <c r="D57" s="33">
        <f ca="1">IF(ISERROR(MATCH(D$1,INDIRECT("Table!A"&amp;$U57):INDIRECT("Table!" &amp; $X$171 &amp; $U57),0)),"",INDIRECT(CONCATENATE("Table!",ADDRESS($Q57,MATCH(D$1,INDIRECT("Table!A" &amp; $U57):INDIRECT("Table!" &amp; $X$171 &amp; $U57),0)))))</f>
        <v>150515.79999999999</v>
      </c>
      <c r="E57" s="33">
        <f ca="1">IF(ISERROR(MATCH(E$1,INDIRECT("Table!A"&amp;$U57):INDIRECT("Table!" &amp; $X$171 &amp; $U57),0)),"",INDIRECT(CONCATENATE("Table!",ADDRESS($Q57,MATCH(E$1,INDIRECT("Table!A" &amp; $U57):INDIRECT("Table!" &amp; $X$171 &amp; $U57),0)))))</f>
        <v>181997.8</v>
      </c>
      <c r="F57" s="33">
        <f ca="1">IF(ISERROR(MATCH(F$1,INDIRECT("Table!A"&amp;$U57):INDIRECT("Table!" &amp; $X$171 &amp; $U57),0)),"",INDIRECT(CONCATENATE("Table!",ADDRESS($Q57,MATCH(F$1,INDIRECT("Table!A" &amp; $U57):INDIRECT("Table!" &amp; $X$171 &amp; $U57),0)))))</f>
        <v>165452.5</v>
      </c>
      <c r="G57" s="33">
        <f ca="1">IF(ISERROR(MATCH(G$1,INDIRECT("Table!A"&amp;$U57):INDIRECT("Table!" &amp; $X$171 &amp; $U57),0)),"",INDIRECT(CONCATENATE("Table!",ADDRESS($Q57,MATCH(G$1,INDIRECT("Table!A" &amp; $U57):INDIRECT("Table!" &amp; $X$171 &amp; $U57),0)))))</f>
        <v>110071.9</v>
      </c>
      <c r="H57" s="33">
        <f ca="1">IF(ISERROR(MATCH(H$1,INDIRECT("Table!A"&amp;$U57):INDIRECT("Table!" &amp; $X$171 &amp; $U57),0)),"",INDIRECT(CONCATENATE("Table!",ADDRESS($Q57,MATCH(H$1,INDIRECT("Table!A" &amp; $U57):INDIRECT("Table!" &amp; $X$171 &amp; $U57),0)))))</f>
        <v>121331.8</v>
      </c>
      <c r="I57" s="33">
        <f ca="1">IF(ISERROR(MATCH(I$1,INDIRECT("Table!A"&amp;$U57):INDIRECT("Table!" &amp; $X$171 &amp; $U57),0)),"",INDIRECT(CONCATENATE("Table!",ADDRESS($Q57,MATCH(I$1,INDIRECT("Table!A" &amp; $U57):INDIRECT("Table!" &amp; $X$171 &amp; $U57),0)))))</f>
        <v>170967.6</v>
      </c>
      <c r="J57" s="33">
        <f ca="1">IF(ISERROR(MATCH(J$1,INDIRECT("Table!A"&amp;$U57):INDIRECT("Table!" &amp; $X$171 &amp; $U57),0)),"",INDIRECT(CONCATENATE("Table!",ADDRESS($Q57,MATCH(J$1,INDIRECT("Table!A" &amp; $U57):INDIRECT("Table!" &amp; $X$171 &amp; $U57),0)))))</f>
        <v>132132.20000000001</v>
      </c>
      <c r="K57" s="33">
        <f ca="1">IF(ISERROR(MATCH(K$1,INDIRECT("Table!A"&amp;$U57):INDIRECT("Table!" &amp; $X$171 &amp; $U57),0)),"",INDIRECT(CONCATENATE("Table!",ADDRESS($Q57,MATCH(K$1,INDIRECT("Table!A" &amp; $U57):INDIRECT("Table!" &amp; $X$171 &amp; $U57),0)))))</f>
        <v>82726.3</v>
      </c>
      <c r="L57" s="33">
        <f ca="1">IF(ISERROR(MATCH(L$1,INDIRECT("Table!A"&amp;$U57):INDIRECT("Table!" &amp; $X$171 &amp; $U57),0)),"",INDIRECT(CONCATENATE("Table!",ADDRESS($Q57,MATCH(L$1,INDIRECT("Table!A" &amp; $U57):INDIRECT("Table!" &amp; $X$171 &amp; $U57),0)))))</f>
        <v>176482.7</v>
      </c>
      <c r="M57" s="33">
        <f ca="1">IF(ISERROR(MATCH(M$1,INDIRECT("Table!A"&amp;$U57):INDIRECT("Table!" &amp; $X$171 &amp; $U57),0)),"",INDIRECT(CONCATENATE("Table!",ADDRESS($Q57,MATCH(M$1,INDIRECT("Table!A" &amp; $U57):INDIRECT("Table!" &amp; $X$171 &amp; $U57),0)))))</f>
        <v>54921</v>
      </c>
      <c r="N57" s="234"/>
      <c r="O57" s="234"/>
      <c r="P57" s="234"/>
      <c r="Q57" s="31">
        <f>MATCH($A57,Table!$A:$A,0)+$S$14-1</f>
        <v>766</v>
      </c>
      <c r="R57" s="234"/>
      <c r="S57" s="234"/>
      <c r="T57" s="234"/>
      <c r="U57" s="31">
        <f>MATCH($A57,Table!$A:$A,0)+$W$2-1</f>
        <v>752</v>
      </c>
      <c r="V57" s="234"/>
      <c r="W57" s="234"/>
      <c r="X57" s="372" t="s">
        <v>209</v>
      </c>
    </row>
    <row r="58" spans="1:24" ht="19.5" customHeight="1">
      <c r="A58" s="5">
        <v>41130</v>
      </c>
      <c r="B58" s="33">
        <f ca="1">IF(ISERROR(MATCH(B$1,INDIRECT("Table!A"&amp;$U58):INDIRECT("Table!" &amp; $X$171 &amp; $U58),0)),"",INDIRECT(CONCATENATE("Table!",ADDRESS($Q58,MATCH(B$1,INDIRECT("Table!A" &amp; $U58):INDIRECT("Table!" &amp; $X$171 &amp; $U58),0)))))</f>
        <v>143392.20000000001</v>
      </c>
      <c r="C58" s="33">
        <f ca="1">IF(ISERROR(MATCH(C$1,INDIRECT("Table!A"&amp;$U58):INDIRECT("Table!" &amp; $X$171 &amp; $U58),0)),"",INDIRECT(CONCATENATE("Table!",ADDRESS($Q58,MATCH(C$1,INDIRECT("Table!A" &amp; $U58):INDIRECT("Table!" &amp; $X$171 &amp; $U58),0)))))</f>
        <v>150515.79999999999</v>
      </c>
      <c r="D58" s="33">
        <f ca="1">IF(ISERROR(MATCH(D$1,INDIRECT("Table!A"&amp;$U58):INDIRECT("Table!" &amp; $X$171 &amp; $U58),0)),"",INDIRECT(CONCATENATE("Table!",ADDRESS($Q58,MATCH(D$1,INDIRECT("Table!A" &amp; $U58):INDIRECT("Table!" &amp; $X$171 &amp; $U58),0)))))</f>
        <v>150515.79999999999</v>
      </c>
      <c r="E58" s="33">
        <f ca="1">IF(ISERROR(MATCH(E$1,INDIRECT("Table!A"&amp;$U58):INDIRECT("Table!" &amp; $X$171 &amp; $U58),0)),"",INDIRECT(CONCATENATE("Table!",ADDRESS($Q58,MATCH(E$1,INDIRECT("Table!A" &amp; $U58):INDIRECT("Table!" &amp; $X$171 &amp; $U58),0)))))</f>
        <v>181997.8</v>
      </c>
      <c r="F58" s="33">
        <f ca="1">IF(ISERROR(MATCH(F$1,INDIRECT("Table!A"&amp;$U58):INDIRECT("Table!" &amp; $X$171 &amp; $U58),0)),"",INDIRECT(CONCATENATE("Table!",ADDRESS($Q58,MATCH(F$1,INDIRECT("Table!A" &amp; $U58):INDIRECT("Table!" &amp; $X$171 &amp; $U58),0)))))</f>
        <v>165452.5</v>
      </c>
      <c r="G58" s="33">
        <f ca="1">IF(ISERROR(MATCH(G$1,INDIRECT("Table!A"&amp;$U58):INDIRECT("Table!" &amp; $X$171 &amp; $U58),0)),"",INDIRECT(CONCATENATE("Table!",ADDRESS($Q58,MATCH(G$1,INDIRECT("Table!A" &amp; $U58):INDIRECT("Table!" &amp; $X$171 &amp; $U58),0)))))</f>
        <v>110071.9</v>
      </c>
      <c r="H58" s="33">
        <f ca="1">IF(ISERROR(MATCH(H$1,INDIRECT("Table!A"&amp;$U58):INDIRECT("Table!" &amp; $X$171 &amp; $U58),0)),"",INDIRECT(CONCATENATE("Table!",ADDRESS($Q58,MATCH(H$1,INDIRECT("Table!A" &amp; $U58):INDIRECT("Table!" &amp; $X$171 &amp; $U58),0)))))</f>
        <v>121331.8</v>
      </c>
      <c r="I58" s="33">
        <f ca="1">IF(ISERROR(MATCH(I$1,INDIRECT("Table!A"&amp;$U58):INDIRECT("Table!" &amp; $X$171 &amp; $U58),0)),"",INDIRECT(CONCATENATE("Table!",ADDRESS($Q58,MATCH(I$1,INDIRECT("Table!A" &amp; $U58):INDIRECT("Table!" &amp; $X$171 &amp; $U58),0)))))</f>
        <v>170967.6</v>
      </c>
      <c r="J58" s="33">
        <f ca="1">IF(ISERROR(MATCH(J$1,INDIRECT("Table!A"&amp;$U58):INDIRECT("Table!" &amp; $X$171 &amp; $U58),0)),"",INDIRECT(CONCATENATE("Table!",ADDRESS($Q58,MATCH(J$1,INDIRECT("Table!A" &amp; $U58):INDIRECT("Table!" &amp; $X$171 &amp; $U58),0)))))</f>
        <v>132132.20000000001</v>
      </c>
      <c r="K58" s="33">
        <f ca="1">IF(ISERROR(MATCH(K$1,INDIRECT("Table!A"&amp;$U58):INDIRECT("Table!" &amp; $X$171 &amp; $U58),0)),"",INDIRECT(CONCATENATE("Table!",ADDRESS($Q58,MATCH(K$1,INDIRECT("Table!A" &amp; $U58):INDIRECT("Table!" &amp; $X$171 &amp; $U58),0)))))</f>
        <v>82726.3</v>
      </c>
      <c r="L58" s="33">
        <f ca="1">IF(ISERROR(MATCH(L$1,INDIRECT("Table!A"&amp;$U58):INDIRECT("Table!" &amp; $X$171 &amp; $U58),0)),"",INDIRECT(CONCATENATE("Table!",ADDRESS($Q58,MATCH(L$1,INDIRECT("Table!A" &amp; $U58):INDIRECT("Table!" &amp; $X$171 &amp; $U58),0)))))</f>
        <v>176482.7</v>
      </c>
      <c r="M58" s="33">
        <f ca="1">IF(ISERROR(MATCH(M$1,INDIRECT("Table!A"&amp;$U58):INDIRECT("Table!" &amp; $X$171 &amp; $U58),0)),"",INDIRECT(CONCATENATE("Table!",ADDRESS($Q58,MATCH(M$1,INDIRECT("Table!A" &amp; $U58):INDIRECT("Table!" &amp; $X$171 &amp; $U58),0)))))</f>
        <v>54921</v>
      </c>
      <c r="N58" s="215"/>
      <c r="O58" s="215"/>
      <c r="P58" s="215"/>
      <c r="Q58" s="31">
        <f>MATCH($A58,Table!$A:$A,0)+$S$14-1</f>
        <v>779</v>
      </c>
      <c r="R58" s="215"/>
      <c r="S58" s="215"/>
      <c r="T58" s="215"/>
      <c r="U58" s="31">
        <f>MATCH($A58,Table!$A:$A,0)+$W$2-1</f>
        <v>765</v>
      </c>
      <c r="V58" s="215"/>
      <c r="W58" s="215"/>
      <c r="X58" s="372" t="s">
        <v>209</v>
      </c>
    </row>
    <row r="59" spans="1:24" ht="19.5" customHeight="1">
      <c r="A59" s="5">
        <v>41129</v>
      </c>
      <c r="B59" s="33">
        <f ca="1">IF(ISERROR(MATCH(B$1,INDIRECT("Table!A"&amp;$U59):INDIRECT("Table!" &amp; $X$171 &amp; $U59),0)),"",INDIRECT(CONCATENATE("Table!",ADDRESS($Q59,MATCH(B$1,INDIRECT("Table!A" &amp; $U59):INDIRECT("Table!" &amp; $X$171 &amp; $U59),0)))))</f>
        <v>143392.20000000001</v>
      </c>
      <c r="C59" s="33">
        <f ca="1">IF(ISERROR(MATCH(C$1,INDIRECT("Table!A"&amp;$U59):INDIRECT("Table!" &amp; $X$171 &amp; $U59),0)),"",INDIRECT(CONCATENATE("Table!",ADDRESS($Q59,MATCH(C$1,INDIRECT("Table!A" &amp; $U59):INDIRECT("Table!" &amp; $X$171 &amp; $U59),0)))))</f>
        <v>150515.79999999999</v>
      </c>
      <c r="D59" s="33">
        <f ca="1">IF(ISERROR(MATCH(D$1,INDIRECT("Table!A"&amp;$U59):INDIRECT("Table!" &amp; $X$171 &amp; $U59),0)),"",INDIRECT(CONCATENATE("Table!",ADDRESS($Q59,MATCH(D$1,INDIRECT("Table!A" &amp; $U59):INDIRECT("Table!" &amp; $X$171 &amp; $U59),0)))))</f>
        <v>150515.79999999999</v>
      </c>
      <c r="E59" s="33">
        <f ca="1">IF(ISERROR(MATCH(E$1,INDIRECT("Table!A"&amp;$U59):INDIRECT("Table!" &amp; $X$171 &amp; $U59),0)),"",INDIRECT(CONCATENATE("Table!",ADDRESS($Q59,MATCH(E$1,INDIRECT("Table!A" &amp; $U59):INDIRECT("Table!" &amp; $X$171 &amp; $U59),0)))))</f>
        <v>181997.8</v>
      </c>
      <c r="F59" s="33">
        <f ca="1">IF(ISERROR(MATCH(F$1,INDIRECT("Table!A"&amp;$U59):INDIRECT("Table!" &amp; $X$171 &amp; $U59),0)),"",INDIRECT(CONCATENATE("Table!",ADDRESS($Q59,MATCH(F$1,INDIRECT("Table!A" &amp; $U59):INDIRECT("Table!" &amp; $X$171 &amp; $U59),0)))))</f>
        <v>165452.5</v>
      </c>
      <c r="G59" s="33">
        <f ca="1">IF(ISERROR(MATCH(G$1,INDIRECT("Table!A"&amp;$U59):INDIRECT("Table!" &amp; $X$171 &amp; $U59),0)),"",INDIRECT(CONCATENATE("Table!",ADDRESS($Q59,MATCH(G$1,INDIRECT("Table!A" &amp; $U59):INDIRECT("Table!" &amp; $X$171 &amp; $U59),0)))))</f>
        <v>110071.9</v>
      </c>
      <c r="H59" s="33">
        <f ca="1">IF(ISERROR(MATCH(H$1,INDIRECT("Table!A"&amp;$U59):INDIRECT("Table!" &amp; $X$171 &amp; $U59),0)),"",INDIRECT(CONCATENATE("Table!",ADDRESS($Q59,MATCH(H$1,INDIRECT("Table!A" &amp; $U59):INDIRECT("Table!" &amp; $X$171 &amp; $U59),0)))))</f>
        <v>121331.8</v>
      </c>
      <c r="I59" s="33">
        <f ca="1">IF(ISERROR(MATCH(I$1,INDIRECT("Table!A"&amp;$U59):INDIRECT("Table!" &amp; $X$171 &amp; $U59),0)),"",INDIRECT(CONCATENATE("Table!",ADDRESS($Q59,MATCH(I$1,INDIRECT("Table!A" &amp; $U59):INDIRECT("Table!" &amp; $X$171 &amp; $U59),0)))))</f>
        <v>170967.6</v>
      </c>
      <c r="J59" s="33">
        <f ca="1">IF(ISERROR(MATCH(J$1,INDIRECT("Table!A"&amp;$U59):INDIRECT("Table!" &amp; $X$171 &amp; $U59),0)),"",INDIRECT(CONCATENATE("Table!",ADDRESS($Q59,MATCH(J$1,INDIRECT("Table!A" &amp; $U59):INDIRECT("Table!" &amp; $X$171 &amp; $U59),0)))))</f>
        <v>132132.20000000001</v>
      </c>
      <c r="K59" s="33">
        <f ca="1">IF(ISERROR(MATCH(K$1,INDIRECT("Table!A"&amp;$U59):INDIRECT("Table!" &amp; $X$171 &amp; $U59),0)),"",INDIRECT(CONCATENATE("Table!",ADDRESS($Q59,MATCH(K$1,INDIRECT("Table!A" &amp; $U59):INDIRECT("Table!" &amp; $X$171 &amp; $U59),0)))))</f>
        <v>82726.3</v>
      </c>
      <c r="L59" s="33">
        <f ca="1">IF(ISERROR(MATCH(L$1,INDIRECT("Table!A"&amp;$U59):INDIRECT("Table!" &amp; $X$171 &amp; $U59),0)),"",INDIRECT(CONCATENATE("Table!",ADDRESS($Q59,MATCH(L$1,INDIRECT("Table!A" &amp; $U59):INDIRECT("Table!" &amp; $X$171 &amp; $U59),0)))))</f>
        <v>176482.7</v>
      </c>
      <c r="M59" s="33">
        <f ca="1">IF(ISERROR(MATCH(M$1,INDIRECT("Table!A"&amp;$U59):INDIRECT("Table!" &amp; $X$171 &amp; $U59),0)),"",INDIRECT(CONCATENATE("Table!",ADDRESS($Q59,MATCH(M$1,INDIRECT("Table!A" &amp; $U59):INDIRECT("Table!" &amp; $X$171 &amp; $U59),0)))))</f>
        <v>54921</v>
      </c>
      <c r="N59" s="233"/>
      <c r="O59" s="233"/>
      <c r="P59" s="233"/>
      <c r="Q59" s="31">
        <f>MATCH($A59,Table!$A:$A,0)+$S$14-1</f>
        <v>792</v>
      </c>
      <c r="R59" s="233"/>
      <c r="S59" s="233"/>
      <c r="T59" s="233"/>
      <c r="U59" s="31">
        <f>MATCH($A59,Table!$A:$A,0)+$W$2-1</f>
        <v>778</v>
      </c>
      <c r="V59" s="233"/>
      <c r="W59" s="233"/>
      <c r="X59" s="372" t="s">
        <v>209</v>
      </c>
    </row>
    <row r="60" spans="1:24" ht="19.5" customHeight="1">
      <c r="A60" s="5">
        <v>41128</v>
      </c>
      <c r="B60" s="33">
        <f ca="1">IF(ISERROR(MATCH(B$1,INDIRECT("Table!A"&amp;$U60):INDIRECT("Table!" &amp; $X$171 &amp; $U60),0)),"",INDIRECT(CONCATENATE("Table!",ADDRESS($Q60,MATCH(B$1,INDIRECT("Table!A" &amp; $U60):INDIRECT("Table!" &amp; $X$171 &amp; $U60),0)))))</f>
        <v>143392.20000000001</v>
      </c>
      <c r="C60" s="33">
        <f ca="1">IF(ISERROR(MATCH(C$1,INDIRECT("Table!A"&amp;$U60):INDIRECT("Table!" &amp; $X$171 &amp; $U60),0)),"",INDIRECT(CONCATENATE("Table!",ADDRESS($Q60,MATCH(C$1,INDIRECT("Table!A" &amp; $U60):INDIRECT("Table!" &amp; $X$171 &amp; $U60),0)))))</f>
        <v>150515.79999999999</v>
      </c>
      <c r="D60" s="33">
        <f ca="1">IF(ISERROR(MATCH(D$1,INDIRECT("Table!A"&amp;$U60):INDIRECT("Table!" &amp; $X$171 &amp; $U60),0)),"",INDIRECT(CONCATENATE("Table!",ADDRESS($Q60,MATCH(D$1,INDIRECT("Table!A" &amp; $U60):INDIRECT("Table!" &amp; $X$171 &amp; $U60),0)))))</f>
        <v>150515.79999999999</v>
      </c>
      <c r="E60" s="33">
        <f ca="1">IF(ISERROR(MATCH(E$1,INDIRECT("Table!A"&amp;$U60):INDIRECT("Table!" &amp; $X$171 &amp; $U60),0)),"",INDIRECT(CONCATENATE("Table!",ADDRESS($Q60,MATCH(E$1,INDIRECT("Table!A" &amp; $U60):INDIRECT("Table!" &amp; $X$171 &amp; $U60),0)))))</f>
        <v>181997.8</v>
      </c>
      <c r="F60" s="33">
        <f ca="1">IF(ISERROR(MATCH(F$1,INDIRECT("Table!A"&amp;$U60):INDIRECT("Table!" &amp; $X$171 &amp; $U60),0)),"",INDIRECT(CONCATENATE("Table!",ADDRESS($Q60,MATCH(F$1,INDIRECT("Table!A" &amp; $U60):INDIRECT("Table!" &amp; $X$171 &amp; $U60),0)))))</f>
        <v>165452.5</v>
      </c>
      <c r="G60" s="33">
        <f ca="1">IF(ISERROR(MATCH(G$1,INDIRECT("Table!A"&amp;$U60):INDIRECT("Table!" &amp; $X$171 &amp; $U60),0)),"",INDIRECT(CONCATENATE("Table!",ADDRESS($Q60,MATCH(G$1,INDIRECT("Table!A" &amp; $U60):INDIRECT("Table!" &amp; $X$171 &amp; $U60),0)))))</f>
        <v>110071.9</v>
      </c>
      <c r="H60" s="33">
        <f ca="1">IF(ISERROR(MATCH(H$1,INDIRECT("Table!A"&amp;$U60):INDIRECT("Table!" &amp; $X$171 &amp; $U60),0)),"",INDIRECT(CONCATENATE("Table!",ADDRESS($Q60,MATCH(H$1,INDIRECT("Table!A" &amp; $U60):INDIRECT("Table!" &amp; $X$171 &amp; $U60),0)))))</f>
        <v>121331.8</v>
      </c>
      <c r="I60" s="33">
        <f ca="1">IF(ISERROR(MATCH(I$1,INDIRECT("Table!A"&amp;$U60):INDIRECT("Table!" &amp; $X$171 &amp; $U60),0)),"",INDIRECT(CONCATENATE("Table!",ADDRESS($Q60,MATCH(I$1,INDIRECT("Table!A" &amp; $U60):INDIRECT("Table!" &amp; $X$171 &amp; $U60),0)))))</f>
        <v>170967.6</v>
      </c>
      <c r="J60" s="33">
        <f ca="1">IF(ISERROR(MATCH(J$1,INDIRECT("Table!A"&amp;$U60):INDIRECT("Table!" &amp; $X$171 &amp; $U60),0)),"",INDIRECT(CONCATENATE("Table!",ADDRESS($Q60,MATCH(J$1,INDIRECT("Table!A" &amp; $U60):INDIRECT("Table!" &amp; $X$171 &amp; $U60),0)))))</f>
        <v>132132.20000000001</v>
      </c>
      <c r="K60" s="33">
        <f ca="1">IF(ISERROR(MATCH(K$1,INDIRECT("Table!A"&amp;$U60):INDIRECT("Table!" &amp; $X$171 &amp; $U60),0)),"",INDIRECT(CONCATENATE("Table!",ADDRESS($Q60,MATCH(K$1,INDIRECT("Table!A" &amp; $U60):INDIRECT("Table!" &amp; $X$171 &amp; $U60),0)))))</f>
        <v>82726.3</v>
      </c>
      <c r="L60" s="33">
        <f ca="1">IF(ISERROR(MATCH(L$1,INDIRECT("Table!A"&amp;$U60):INDIRECT("Table!" &amp; $X$171 &amp; $U60),0)),"",INDIRECT(CONCATENATE("Table!",ADDRESS($Q60,MATCH(L$1,INDIRECT("Table!A" &amp; $U60):INDIRECT("Table!" &amp; $X$171 &amp; $U60),0)))))</f>
        <v>176482.7</v>
      </c>
      <c r="M60" s="33">
        <f ca="1">IF(ISERROR(MATCH(M$1,INDIRECT("Table!A"&amp;$U60):INDIRECT("Table!" &amp; $X$171 &amp; $U60),0)),"",INDIRECT(CONCATENATE("Table!",ADDRESS($Q60,MATCH(M$1,INDIRECT("Table!A" &amp; $U60):INDIRECT("Table!" &amp; $X$171 &amp; $U60),0)))))</f>
        <v>54921</v>
      </c>
      <c r="N60" s="233"/>
      <c r="O60" s="233"/>
      <c r="P60" s="233"/>
      <c r="Q60" s="31">
        <f>MATCH($A60,Table!$A:$A,0)+$S$14-1</f>
        <v>805</v>
      </c>
      <c r="R60" s="233"/>
      <c r="S60" s="233"/>
      <c r="T60" s="233"/>
      <c r="U60" s="31">
        <f>MATCH($A60,Table!$A:$A,0)+$W$2-1</f>
        <v>791</v>
      </c>
      <c r="V60" s="233"/>
      <c r="W60" s="233"/>
      <c r="X60" s="372" t="s">
        <v>209</v>
      </c>
    </row>
    <row r="61" spans="1:24" ht="19.5" customHeight="1">
      <c r="A61" s="5">
        <v>41124</v>
      </c>
      <c r="B61" s="33">
        <f ca="1">IF(ISERROR(MATCH(B$1,INDIRECT("Table!A"&amp;$U61):INDIRECT("Table!" &amp; $X$171 &amp; $U61),0)),"",INDIRECT(CONCATENATE("Table!",ADDRESS($Q61,MATCH(B$1,INDIRECT("Table!A" &amp; $U61):INDIRECT("Table!" &amp; $X$171 &amp; $U61),0)))))</f>
        <v>143392.20000000001</v>
      </c>
      <c r="C61" s="33">
        <f ca="1">IF(ISERROR(MATCH(C$1,INDIRECT("Table!A"&amp;$U61):INDIRECT("Table!" &amp; $X$171 &amp; $U61),0)),"",INDIRECT(CONCATENATE("Table!",ADDRESS($Q61,MATCH(C$1,INDIRECT("Table!A" &amp; $U61):INDIRECT("Table!" &amp; $X$171 &amp; $U61),0)))))</f>
        <v>150515.79999999999</v>
      </c>
      <c r="D61" s="33">
        <f ca="1">IF(ISERROR(MATCH(D$1,INDIRECT("Table!A"&amp;$U61):INDIRECT("Table!" &amp; $X$171 &amp; $U61),0)),"",INDIRECT(CONCATENATE("Table!",ADDRESS($Q61,MATCH(D$1,INDIRECT("Table!A" &amp; $U61):INDIRECT("Table!" &amp; $X$171 &amp; $U61),0)))))</f>
        <v>150515.79999999999</v>
      </c>
      <c r="E61" s="33">
        <f ca="1">IF(ISERROR(MATCH(E$1,INDIRECT("Table!A"&amp;$U61):INDIRECT("Table!" &amp; $X$171 &amp; $U61),0)),"",INDIRECT(CONCATENATE("Table!",ADDRESS($Q61,MATCH(E$1,INDIRECT("Table!A" &amp; $U61):INDIRECT("Table!" &amp; $X$171 &amp; $U61),0)))))</f>
        <v>181997.8</v>
      </c>
      <c r="F61" s="33">
        <f ca="1">IF(ISERROR(MATCH(F$1,INDIRECT("Table!A"&amp;$U61):INDIRECT("Table!" &amp; $X$171 &amp; $U61),0)),"",INDIRECT(CONCATENATE("Table!",ADDRESS($Q61,MATCH(F$1,INDIRECT("Table!A" &amp; $U61):INDIRECT("Table!" &amp; $X$171 &amp; $U61),0)))))</f>
        <v>165452.5</v>
      </c>
      <c r="G61" s="33">
        <f ca="1">IF(ISERROR(MATCH(G$1,INDIRECT("Table!A"&amp;$U61):INDIRECT("Table!" &amp; $X$171 &amp; $U61),0)),"",INDIRECT(CONCATENATE("Table!",ADDRESS($Q61,MATCH(G$1,INDIRECT("Table!A" &amp; $U61):INDIRECT("Table!" &amp; $X$171 &amp; $U61),0)))))</f>
        <v>110071.9</v>
      </c>
      <c r="H61" s="33">
        <f ca="1">IF(ISERROR(MATCH(H$1,INDIRECT("Table!A"&amp;$U61):INDIRECT("Table!" &amp; $X$171 &amp; $U61),0)),"",INDIRECT(CONCATENATE("Table!",ADDRESS($Q61,MATCH(H$1,INDIRECT("Table!A" &amp; $U61):INDIRECT("Table!" &amp; $X$171 &amp; $U61),0)))))</f>
        <v>121331.8</v>
      </c>
      <c r="I61" s="33">
        <f ca="1">IF(ISERROR(MATCH(I$1,INDIRECT("Table!A"&amp;$U61):INDIRECT("Table!" &amp; $X$171 &amp; $U61),0)),"",INDIRECT(CONCATENATE("Table!",ADDRESS($Q61,MATCH(I$1,INDIRECT("Table!A" &amp; $U61):INDIRECT("Table!" &amp; $X$171 &amp; $U61),0)))))</f>
        <v>170967.6</v>
      </c>
      <c r="J61" s="33">
        <f ca="1">IF(ISERROR(MATCH(J$1,INDIRECT("Table!A"&amp;$U61):INDIRECT("Table!" &amp; $X$171 &amp; $U61),0)),"",INDIRECT(CONCATENATE("Table!",ADDRESS($Q61,MATCH(J$1,INDIRECT("Table!A" &amp; $U61):INDIRECT("Table!" &amp; $X$171 &amp; $U61),0)))))</f>
        <v>132132.20000000001</v>
      </c>
      <c r="K61" s="33">
        <f ca="1">IF(ISERROR(MATCH(K$1,INDIRECT("Table!A"&amp;$U61):INDIRECT("Table!" &amp; $X$171 &amp; $U61),0)),"",INDIRECT(CONCATENATE("Table!",ADDRESS($Q61,MATCH(K$1,INDIRECT("Table!A" &amp; $U61):INDIRECT("Table!" &amp; $X$171 &amp; $U61),0)))))</f>
        <v>82726.3</v>
      </c>
      <c r="L61" s="33">
        <f ca="1">IF(ISERROR(MATCH(L$1,INDIRECT("Table!A"&amp;$U61):INDIRECT("Table!" &amp; $X$171 &amp; $U61),0)),"",INDIRECT(CONCATENATE("Table!",ADDRESS($Q61,MATCH(L$1,INDIRECT("Table!A" &amp; $U61):INDIRECT("Table!" &amp; $X$171 &amp; $U61),0)))))</f>
        <v>176482.7</v>
      </c>
      <c r="M61" s="33">
        <f ca="1">IF(ISERROR(MATCH(M$1,INDIRECT("Table!A"&amp;$U61):INDIRECT("Table!" &amp; $X$171 &amp; $U61),0)),"",INDIRECT(CONCATENATE("Table!",ADDRESS($Q61,MATCH(M$1,INDIRECT("Table!A" &amp; $U61):INDIRECT("Table!" &amp; $X$171 &amp; $U61),0)))))</f>
        <v>54921</v>
      </c>
      <c r="N61" s="232"/>
      <c r="O61" s="232"/>
      <c r="P61" s="232"/>
      <c r="Q61" s="31">
        <f>MATCH($A61,Table!$A:$A,0)+$S$14-1</f>
        <v>818</v>
      </c>
      <c r="R61" s="232"/>
      <c r="S61" s="232"/>
      <c r="T61" s="232"/>
      <c r="U61" s="31">
        <f>MATCH($A61,Table!$A:$A,0)+$W$2-1</f>
        <v>804</v>
      </c>
      <c r="V61" s="232"/>
      <c r="W61" s="232"/>
      <c r="X61" s="372" t="s">
        <v>209</v>
      </c>
    </row>
    <row r="62" spans="1:24" ht="19.5" customHeight="1">
      <c r="A62" s="5">
        <v>41123</v>
      </c>
      <c r="B62" s="33">
        <f ca="1">IF(ISERROR(MATCH(B$1,INDIRECT("Table!A"&amp;$U62):INDIRECT("Table!" &amp; $X$171 &amp; $U62),0)),"",INDIRECT(CONCATENATE("Table!",ADDRESS($Q62,MATCH(B$1,INDIRECT("Table!A" &amp; $U62):INDIRECT("Table!" &amp; $X$171 &amp; $U62),0)))))</f>
        <v>143392.20000000001</v>
      </c>
      <c r="C62" s="33">
        <f ca="1">IF(ISERROR(MATCH(C$1,INDIRECT("Table!A"&amp;$U62):INDIRECT("Table!" &amp; $X$171 &amp; $U62),0)),"",INDIRECT(CONCATENATE("Table!",ADDRESS($Q62,MATCH(C$1,INDIRECT("Table!A" &amp; $U62):INDIRECT("Table!" &amp; $X$171 &amp; $U62),0)))))</f>
        <v>150515.79999999999</v>
      </c>
      <c r="D62" s="33">
        <f ca="1">IF(ISERROR(MATCH(D$1,INDIRECT("Table!A"&amp;$U62):INDIRECT("Table!" &amp; $X$171 &amp; $U62),0)),"",INDIRECT(CONCATENATE("Table!",ADDRESS($Q62,MATCH(D$1,INDIRECT("Table!A" &amp; $U62):INDIRECT("Table!" &amp; $X$171 &amp; $U62),0)))))</f>
        <v>150515.79999999999</v>
      </c>
      <c r="E62" s="33">
        <f ca="1">IF(ISERROR(MATCH(E$1,INDIRECT("Table!A"&amp;$U62):INDIRECT("Table!" &amp; $X$171 &amp; $U62),0)),"",INDIRECT(CONCATENATE("Table!",ADDRESS($Q62,MATCH(E$1,INDIRECT("Table!A" &amp; $U62):INDIRECT("Table!" &amp; $X$171 &amp; $U62),0)))))</f>
        <v>181997.8</v>
      </c>
      <c r="F62" s="33">
        <f ca="1">IF(ISERROR(MATCH(F$1,INDIRECT("Table!A"&amp;$U62):INDIRECT("Table!" &amp; $X$171 &amp; $U62),0)),"",INDIRECT(CONCATENATE("Table!",ADDRESS($Q62,MATCH(F$1,INDIRECT("Table!A" &amp; $U62):INDIRECT("Table!" &amp; $X$171 &amp; $U62),0)))))</f>
        <v>121331.8</v>
      </c>
      <c r="G62" s="33">
        <f ca="1">IF(ISERROR(MATCH(G$1,INDIRECT("Table!A"&amp;$U62):INDIRECT("Table!" &amp; $X$171 &amp; $U62),0)),"",INDIRECT(CONCATENATE("Table!",ADDRESS($Q62,MATCH(G$1,INDIRECT("Table!A" &amp; $U62):INDIRECT("Table!" &amp; $X$171 &amp; $U62),0)))))</f>
        <v>110071.9</v>
      </c>
      <c r="H62" s="33">
        <f ca="1">IF(ISERROR(MATCH(H$1,INDIRECT("Table!A"&amp;$U62):INDIRECT("Table!" &amp; $X$171 &amp; $U62),0)),"",INDIRECT(CONCATENATE("Table!",ADDRESS($Q62,MATCH(H$1,INDIRECT("Table!A" &amp; $U62):INDIRECT("Table!" &amp; $X$171 &amp; $U62),0)))))</f>
        <v>121331.8</v>
      </c>
      <c r="I62" s="33">
        <f ca="1">IF(ISERROR(MATCH(I$1,INDIRECT("Table!A"&amp;$U62):INDIRECT("Table!" &amp; $X$171 &amp; $U62),0)),"",INDIRECT(CONCATENATE("Table!",ADDRESS($Q62,MATCH(I$1,INDIRECT("Table!A" &amp; $U62):INDIRECT("Table!" &amp; $X$171 &amp; $U62),0)))))</f>
        <v>170967.6</v>
      </c>
      <c r="J62" s="33">
        <f ca="1">IF(ISERROR(MATCH(J$1,INDIRECT("Table!A"&amp;$U62):INDIRECT("Table!" &amp; $X$171 &amp; $U62),0)),"",INDIRECT(CONCATENATE("Table!",ADDRESS($Q62,MATCH(J$1,INDIRECT("Table!A" &amp; $U62):INDIRECT("Table!" &amp; $X$171 &amp; $U62),0)))))</f>
        <v>132132.20000000001</v>
      </c>
      <c r="K62" s="33">
        <f ca="1">IF(ISERROR(MATCH(K$1,INDIRECT("Table!A"&amp;$U62):INDIRECT("Table!" &amp; $X$171 &amp; $U62),0)),"",INDIRECT(CONCATENATE("Table!",ADDRESS($Q62,MATCH(K$1,INDIRECT("Table!A" &amp; $U62):INDIRECT("Table!" &amp; $X$171 &amp; $U62),0)))))</f>
        <v>82726.3</v>
      </c>
      <c r="L62" s="33">
        <f ca="1">IF(ISERROR(MATCH(L$1,INDIRECT("Table!A"&amp;$U62):INDIRECT("Table!" &amp; $X$171 &amp; $U62),0)),"",INDIRECT(CONCATENATE("Table!",ADDRESS($Q62,MATCH(L$1,INDIRECT("Table!A" &amp; $U62):INDIRECT("Table!" &amp; $X$171 &amp; $U62),0)))))</f>
        <v>176482.7</v>
      </c>
      <c r="M62" s="33">
        <f ca="1">IF(ISERROR(MATCH(M$1,INDIRECT("Table!A"&amp;$U62):INDIRECT("Table!" &amp; $X$171 &amp; $U62),0)),"",INDIRECT(CONCATENATE("Table!",ADDRESS($Q62,MATCH(M$1,INDIRECT("Table!A" &amp; $U62):INDIRECT("Table!" &amp; $X$171 &amp; $U62),0)))))</f>
        <v>54921</v>
      </c>
      <c r="N62" s="231"/>
      <c r="O62" s="231"/>
      <c r="P62" s="231"/>
      <c r="Q62" s="31">
        <f>MATCH($A62,Table!$A:$A,0)+$S$14-1</f>
        <v>831</v>
      </c>
      <c r="R62" s="231"/>
      <c r="S62" s="231"/>
      <c r="T62" s="231"/>
      <c r="U62" s="31">
        <f>MATCH($A62,Table!$A:$A,0)+$W$2-1</f>
        <v>817</v>
      </c>
      <c r="V62" s="231"/>
      <c r="W62" s="231"/>
      <c r="X62" s="372" t="s">
        <v>209</v>
      </c>
    </row>
    <row r="63" spans="1:24" ht="19.5" customHeight="1">
      <c r="A63" s="5">
        <v>41120</v>
      </c>
      <c r="B63" s="33">
        <f ca="1">IF(ISERROR(MATCH(B$1,INDIRECT("Table!A"&amp;$U63):INDIRECT("Table!" &amp; $X$171 &amp; $U63),0)),"",INDIRECT(CONCATENATE("Table!",ADDRESS($Q63,MATCH(B$1,INDIRECT("Table!A" &amp; $U63):INDIRECT("Table!" &amp; $X$171 &amp; $U63),0)))))</f>
        <v>115816.8</v>
      </c>
      <c r="C63" s="33">
        <f ca="1">IF(ISERROR(MATCH(C$1,INDIRECT("Table!A"&amp;$U63):INDIRECT("Table!" &amp; $X$171 &amp; $U63),0)),"",INDIRECT(CONCATENATE("Table!",ADDRESS($Q63,MATCH(C$1,INDIRECT("Table!A" &amp; $U63):INDIRECT("Table!" &amp; $X$171 &amp; $U63),0)))))</f>
        <v>99041.7</v>
      </c>
      <c r="D63" s="33">
        <f ca="1">IF(ISERROR(MATCH(D$1,INDIRECT("Table!A"&amp;$U63):INDIRECT("Table!" &amp; $X$171 &amp; $U63),0)),"",INDIRECT(CONCATENATE("Table!",ADDRESS($Q63,MATCH(D$1,INDIRECT("Table!A" &amp; $U63):INDIRECT("Table!" &amp; $X$171 &amp; $U63),0)))))</f>
        <v>99041.7</v>
      </c>
      <c r="E63" s="33">
        <f ca="1">IF(ISERROR(MATCH(E$1,INDIRECT("Table!A"&amp;$U63):INDIRECT("Table!" &amp; $X$171 &amp; $U63),0)),"",INDIRECT(CONCATENATE("Table!",ADDRESS($Q63,MATCH(E$1,INDIRECT("Table!A" &amp; $U63):INDIRECT("Table!" &amp; $X$171 &amp; $U63),0)))))</f>
        <v>181997.8</v>
      </c>
      <c r="F63" s="33">
        <f ca="1">IF(ISERROR(MATCH(F$1,INDIRECT("Table!A"&amp;$U63):INDIRECT("Table!" &amp; $X$171 &amp; $U63),0)),"",INDIRECT(CONCATENATE("Table!",ADDRESS($Q63,MATCH(F$1,INDIRECT("Table!A" &amp; $U63):INDIRECT("Table!" &amp; $X$171 &amp; $U63),0)))))</f>
        <v>121331.8</v>
      </c>
      <c r="G63" s="33">
        <f ca="1">IF(ISERROR(MATCH(G$1,INDIRECT("Table!A"&amp;$U63):INDIRECT("Table!" &amp; $X$171 &amp; $U63),0)),"",INDIRECT(CONCATENATE("Table!",ADDRESS($Q63,MATCH(G$1,INDIRECT("Table!A" &amp; $U63):INDIRECT("Table!" &amp; $X$171 &amp; $U63),0)))))</f>
        <v>110071.9</v>
      </c>
      <c r="H63" s="33">
        <f ca="1">IF(ISERROR(MATCH(H$1,INDIRECT("Table!A"&amp;$U63):INDIRECT("Table!" &amp; $X$171 &amp; $U63),0)),"",INDIRECT(CONCATENATE("Table!",ADDRESS($Q63,MATCH(H$1,INDIRECT("Table!A" &amp; $U63):INDIRECT("Table!" &amp; $X$171 &amp; $U63),0)))))</f>
        <v>121331.8</v>
      </c>
      <c r="I63" s="33">
        <f ca="1">IF(ISERROR(MATCH(I$1,INDIRECT("Table!A"&amp;$U63):INDIRECT("Table!" &amp; $X$171 &amp; $U63),0)),"",INDIRECT(CONCATENATE("Table!",ADDRESS($Q63,MATCH(I$1,INDIRECT("Table!A" &amp; $U63):INDIRECT("Table!" &amp; $X$171 &amp; $U63),0)))))</f>
        <v>170967.6</v>
      </c>
      <c r="J63" s="33">
        <f ca="1">IF(ISERROR(MATCH(J$1,INDIRECT("Table!A"&amp;$U63):INDIRECT("Table!" &amp; $X$171 &amp; $U63),0)),"",INDIRECT(CONCATENATE("Table!",ADDRESS($Q63,MATCH(J$1,INDIRECT("Table!A" &amp; $U63):INDIRECT("Table!" &amp; $X$171 &amp; $U63),0)))))</f>
        <v>132132.20000000001</v>
      </c>
      <c r="K63" s="33">
        <f ca="1">IF(ISERROR(MATCH(K$1,INDIRECT("Table!A"&amp;$U63):INDIRECT("Table!" &amp; $X$171 &amp; $U63),0)),"",INDIRECT(CONCATENATE("Table!",ADDRESS($Q63,MATCH(K$1,INDIRECT("Table!A" &amp; $U63):INDIRECT("Table!" &amp; $X$171 &amp; $U63),0)))))</f>
        <v>60665.9</v>
      </c>
      <c r="L63" s="33">
        <f ca="1">IF(ISERROR(MATCH(L$1,INDIRECT("Table!A"&amp;$U63):INDIRECT("Table!" &amp; $X$171 &amp; $U63),0)),"",INDIRECT(CONCATENATE("Table!",ADDRESS($Q63,MATCH(L$1,INDIRECT("Table!A" &amp; $U63):INDIRECT("Table!" &amp; $X$171 &amp; $U63),0)))))</f>
        <v>176482.7</v>
      </c>
      <c r="M63" s="33">
        <f ca="1">IF(ISERROR(MATCH(M$1,INDIRECT("Table!A"&amp;$U63):INDIRECT("Table!" &amp; $X$171 &amp; $U63),0)),"",INDIRECT(CONCATENATE("Table!",ADDRESS($Q63,MATCH(M$1,INDIRECT("Table!A" &amp; $U63):INDIRECT("Table!" &amp; $X$171 &amp; $U63),0)))))</f>
        <v>54921</v>
      </c>
      <c r="N63" s="230"/>
      <c r="O63" s="230"/>
      <c r="P63" s="230"/>
      <c r="Q63" s="31">
        <f>MATCH($A63,Table!$A:$A,0)+$S$14-1</f>
        <v>844</v>
      </c>
      <c r="R63" s="230"/>
      <c r="S63" s="230"/>
      <c r="T63" s="230"/>
      <c r="U63" s="31">
        <f>MATCH($A63,Table!$A:$A,0)+$W$2-1</f>
        <v>830</v>
      </c>
      <c r="V63" s="230"/>
      <c r="W63" s="230"/>
      <c r="X63" s="372" t="s">
        <v>209</v>
      </c>
    </row>
    <row r="64" spans="1:24" ht="19.5" customHeight="1">
      <c r="A64" s="5">
        <v>41117</v>
      </c>
      <c r="B64" s="33">
        <f ca="1">IF(ISERROR(MATCH(B$1,INDIRECT("Table!A"&amp;$U64):INDIRECT("Table!" &amp; $X$171 &amp; $U64),0)),"",INDIRECT(CONCATENATE("Table!",ADDRESS($Q64,MATCH(B$1,INDIRECT("Table!A" &amp; $U64):INDIRECT("Table!" &amp; $X$171 &amp; $U64),0)))))</f>
        <v>115816.8</v>
      </c>
      <c r="C64" s="33">
        <f ca="1">IF(ISERROR(MATCH(C$1,INDIRECT("Table!A"&amp;$U64):INDIRECT("Table!" &amp; $X$171 &amp; $U64),0)),"",INDIRECT(CONCATENATE("Table!",ADDRESS($Q64,MATCH(C$1,INDIRECT("Table!A" &amp; $U64):INDIRECT("Table!" &amp; $X$171 &amp; $U64),0)))))</f>
        <v>99041.7</v>
      </c>
      <c r="D64" s="33">
        <f ca="1">IF(ISERROR(MATCH(D$1,INDIRECT("Table!A"&amp;$U64):INDIRECT("Table!" &amp; $X$171 &amp; $U64),0)),"",INDIRECT(CONCATENATE("Table!",ADDRESS($Q64,MATCH(D$1,INDIRECT("Table!A" &amp; $U64):INDIRECT("Table!" &amp; $X$171 &amp; $U64),0)))))</f>
        <v>99041.7</v>
      </c>
      <c r="E64" s="33">
        <f ca="1">IF(ISERROR(MATCH(E$1,INDIRECT("Table!A"&amp;$U64):INDIRECT("Table!" &amp; $X$171 &amp; $U64),0)),"",INDIRECT(CONCATENATE("Table!",ADDRESS($Q64,MATCH(E$1,INDIRECT("Table!A" &amp; $U64):INDIRECT("Table!" &amp; $X$171 &amp; $U64),0)))))</f>
        <v>181997.8</v>
      </c>
      <c r="F64" s="33">
        <f ca="1">IF(ISERROR(MATCH(F$1,INDIRECT("Table!A"&amp;$U64):INDIRECT("Table!" &amp; $X$171 &amp; $U64),0)),"",INDIRECT(CONCATENATE("Table!",ADDRESS($Q64,MATCH(F$1,INDIRECT("Table!A" &amp; $U64):INDIRECT("Table!" &amp; $X$171 &amp; $U64),0)))))</f>
        <v>121331.8</v>
      </c>
      <c r="G64" s="33">
        <f ca="1">IF(ISERROR(MATCH(G$1,INDIRECT("Table!A"&amp;$U64):INDIRECT("Table!" &amp; $X$171 &amp; $U64),0)),"",INDIRECT(CONCATENATE("Table!",ADDRESS($Q64,MATCH(G$1,INDIRECT("Table!A" &amp; $U64):INDIRECT("Table!" &amp; $X$171 &amp; $U64),0)))))</f>
        <v>110071.9</v>
      </c>
      <c r="H64" s="33">
        <f ca="1">IF(ISERROR(MATCH(H$1,INDIRECT("Table!A"&amp;$U64):INDIRECT("Table!" &amp; $X$171 &amp; $U64),0)),"",INDIRECT(CONCATENATE("Table!",ADDRESS($Q64,MATCH(H$1,INDIRECT("Table!A" &amp; $U64):INDIRECT("Table!" &amp; $X$171 &amp; $U64),0)))))</f>
        <v>121331.8</v>
      </c>
      <c r="I64" s="33">
        <f ca="1">IF(ISERROR(MATCH(I$1,INDIRECT("Table!A"&amp;$U64):INDIRECT("Table!" &amp; $X$171 &amp; $U64),0)),"",INDIRECT(CONCATENATE("Table!",ADDRESS($Q64,MATCH(I$1,INDIRECT("Table!A" &amp; $U64):INDIRECT("Table!" &amp; $X$171 &amp; $U64),0)))))</f>
        <v>170967.6</v>
      </c>
      <c r="J64" s="33">
        <f ca="1">IF(ISERROR(MATCH(J$1,INDIRECT("Table!A"&amp;$U64):INDIRECT("Table!" &amp; $X$171 &amp; $U64),0)),"",INDIRECT(CONCATENATE("Table!",ADDRESS($Q64,MATCH(J$1,INDIRECT("Table!A" &amp; $U64):INDIRECT("Table!" &amp; $X$171 &amp; $U64),0)))))</f>
        <v>132132.20000000001</v>
      </c>
      <c r="K64" s="33">
        <f ca="1">IF(ISERROR(MATCH(K$1,INDIRECT("Table!A"&amp;$U64):INDIRECT("Table!" &amp; $X$171 &amp; $U64),0)),"",INDIRECT(CONCATENATE("Table!",ADDRESS($Q64,MATCH(K$1,INDIRECT("Table!A" &amp; $U64):INDIRECT("Table!" &amp; $X$171 &amp; $U64),0)))))</f>
        <v>60665.9</v>
      </c>
      <c r="L64" s="33">
        <f ca="1">IF(ISERROR(MATCH(L$1,INDIRECT("Table!A"&amp;$U64):INDIRECT("Table!" &amp; $X$171 &amp; $U64),0)),"",INDIRECT(CONCATENATE("Table!",ADDRESS($Q64,MATCH(L$1,INDIRECT("Table!A" &amp; $U64):INDIRECT("Table!" &amp; $X$171 &amp; $U64),0)))))</f>
        <v>176482.7</v>
      </c>
      <c r="M64" s="33">
        <f ca="1">IF(ISERROR(MATCH(M$1,INDIRECT("Table!A"&amp;$U64):INDIRECT("Table!" &amp; $X$171 &amp; $U64),0)),"",INDIRECT(CONCATENATE("Table!",ADDRESS($Q64,MATCH(M$1,INDIRECT("Table!A" &amp; $U64):INDIRECT("Table!" &amp; $X$171 &amp; $U64),0)))))</f>
        <v>54921</v>
      </c>
      <c r="N64" s="229"/>
      <c r="O64" s="229"/>
      <c r="P64" s="229"/>
      <c r="Q64" s="31">
        <f>MATCH($A64,Table!$A:$A,0)+$S$14-1</f>
        <v>857</v>
      </c>
      <c r="R64" s="229"/>
      <c r="S64" s="229"/>
      <c r="T64" s="229"/>
      <c r="U64" s="31">
        <f>MATCH($A64,Table!$A:$A,0)+$W$2-1</f>
        <v>843</v>
      </c>
      <c r="V64" s="229"/>
      <c r="W64" s="229"/>
      <c r="X64" s="372" t="s">
        <v>209</v>
      </c>
    </row>
    <row r="65" spans="1:24" ht="19.5" customHeight="1">
      <c r="A65" s="5">
        <v>41115</v>
      </c>
      <c r="B65" s="33">
        <f ca="1">IF(ISERROR(MATCH(B$1,INDIRECT("Table!A"&amp;$U65):INDIRECT("Table!" &amp; $X$171 &amp; $U65),0)),"",INDIRECT(CONCATENATE("Table!",ADDRESS($Q65,MATCH(B$1,INDIRECT("Table!A" &amp; $U65):INDIRECT("Table!" &amp; $X$171 &amp; $U65),0)))))</f>
        <v>115816.8</v>
      </c>
      <c r="C65" s="33">
        <f ca="1">IF(ISERROR(MATCH(C$1,INDIRECT("Table!A"&amp;$U65):INDIRECT("Table!" &amp; $X$171 &amp; $U65),0)),"",INDIRECT(CONCATENATE("Table!",ADDRESS($Q65,MATCH(C$1,INDIRECT("Table!A" &amp; $U65):INDIRECT("Table!" &amp; $X$171 &amp; $U65),0)))))</f>
        <v>99041.7</v>
      </c>
      <c r="D65" s="33">
        <f ca="1">IF(ISERROR(MATCH(D$1,INDIRECT("Table!A"&amp;$U65):INDIRECT("Table!" &amp; $X$171 &amp; $U65),0)),"",INDIRECT(CONCATENATE("Table!",ADDRESS($Q65,MATCH(D$1,INDIRECT("Table!A" &amp; $U65):INDIRECT("Table!" &amp; $X$171 &amp; $U65),0)))))</f>
        <v>99041.7</v>
      </c>
      <c r="E65" s="33">
        <f ca="1">IF(ISERROR(MATCH(E$1,INDIRECT("Table!A"&amp;$U65):INDIRECT("Table!" &amp; $X$171 &amp; $U65),0)),"",INDIRECT(CONCATENATE("Table!",ADDRESS($Q65,MATCH(E$1,INDIRECT("Table!A" &amp; $U65):INDIRECT("Table!" &amp; $X$171 &amp; $U65),0)))))</f>
        <v>181997.8</v>
      </c>
      <c r="F65" s="33">
        <f ca="1">IF(ISERROR(MATCH(F$1,INDIRECT("Table!A"&amp;$U65):INDIRECT("Table!" &amp; $X$171 &amp; $U65),0)),"",INDIRECT(CONCATENATE("Table!",ADDRESS($Q65,MATCH(F$1,INDIRECT("Table!A" &amp; $U65):INDIRECT("Table!" &amp; $X$171 &amp; $U65),0)))))</f>
        <v>121331.8</v>
      </c>
      <c r="G65" s="33">
        <f ca="1">IF(ISERROR(MATCH(G$1,INDIRECT("Table!A"&amp;$U65):INDIRECT("Table!" &amp; $X$171 &amp; $U65),0)),"",INDIRECT(CONCATENATE("Table!",ADDRESS($Q65,MATCH(G$1,INDIRECT("Table!A" &amp; $U65):INDIRECT("Table!" &amp; $X$171 &amp; $U65),0)))))</f>
        <v>110071.9</v>
      </c>
      <c r="H65" s="33">
        <f ca="1">IF(ISERROR(MATCH(H$1,INDIRECT("Table!A"&amp;$U65):INDIRECT("Table!" &amp; $X$171 &amp; $U65),0)),"",INDIRECT(CONCATENATE("Table!",ADDRESS($Q65,MATCH(H$1,INDIRECT("Table!A" &amp; $U65):INDIRECT("Table!" &amp; $X$171 &amp; $U65),0)))))</f>
        <v>121331.8</v>
      </c>
      <c r="I65" s="33">
        <f ca="1">IF(ISERROR(MATCH(I$1,INDIRECT("Table!A"&amp;$U65):INDIRECT("Table!" &amp; $X$171 &amp; $U65),0)),"",INDIRECT(CONCATENATE("Table!",ADDRESS($Q65,MATCH(I$1,INDIRECT("Table!A" &amp; $U65):INDIRECT("Table!" &amp; $X$171 &amp; $U65),0)))))</f>
        <v>170967.6</v>
      </c>
      <c r="J65" s="33">
        <f ca="1">IF(ISERROR(MATCH(J$1,INDIRECT("Table!A"&amp;$U65):INDIRECT("Table!" &amp; $X$171 &amp; $U65),0)),"",INDIRECT(CONCATENATE("Table!",ADDRESS($Q65,MATCH(J$1,INDIRECT("Table!A" &amp; $U65):INDIRECT("Table!" &amp; $X$171 &amp; $U65),0)))))</f>
        <v>132132.20000000001</v>
      </c>
      <c r="K65" s="33">
        <f ca="1">IF(ISERROR(MATCH(K$1,INDIRECT("Table!A"&amp;$U65):INDIRECT("Table!" &amp; $X$171 &amp; $U65),0)),"",INDIRECT(CONCATENATE("Table!",ADDRESS($Q65,MATCH(K$1,INDIRECT("Table!A" &amp; $U65):INDIRECT("Table!" &amp; $X$171 &amp; $U65),0)))))</f>
        <v>60665.9</v>
      </c>
      <c r="L65" s="33">
        <f ca="1">IF(ISERROR(MATCH(L$1,INDIRECT("Table!A"&amp;$U65):INDIRECT("Table!" &amp; $X$171 &amp; $U65),0)),"",INDIRECT(CONCATENATE("Table!",ADDRESS($Q65,MATCH(L$1,INDIRECT("Table!A" &amp; $U65):INDIRECT("Table!" &amp; $X$171 &amp; $U65),0)))))</f>
        <v>176482.7</v>
      </c>
      <c r="M65" s="33">
        <f ca="1">IF(ISERROR(MATCH(M$1,INDIRECT("Table!A"&amp;$U65):INDIRECT("Table!" &amp; $X$171 &amp; $U65),0)),"",INDIRECT(CONCATENATE("Table!",ADDRESS($Q65,MATCH(M$1,INDIRECT("Table!A" &amp; $U65):INDIRECT("Table!" &amp; $X$171 &amp; $U65),0)))))</f>
        <v>54921</v>
      </c>
      <c r="N65" s="228"/>
      <c r="O65" s="228"/>
      <c r="P65" s="228"/>
      <c r="Q65" s="31">
        <f>MATCH($A65,Table!$A:$A,0)+$S$14-1</f>
        <v>870</v>
      </c>
      <c r="R65" s="228"/>
      <c r="S65" s="228"/>
      <c r="T65" s="228"/>
      <c r="U65" s="31">
        <f>MATCH($A65,Table!$A:$A,0)+$W$2-1</f>
        <v>856</v>
      </c>
      <c r="V65" s="228"/>
      <c r="W65" s="228"/>
      <c r="X65" s="372" t="s">
        <v>209</v>
      </c>
    </row>
    <row r="66" spans="1:24" ht="19.5" customHeight="1">
      <c r="A66" s="5">
        <v>41113</v>
      </c>
      <c r="B66" s="33">
        <f ca="1">IF(ISERROR(MATCH(B$1,INDIRECT("Table!A"&amp;$U66):INDIRECT("Table!" &amp; $X$171 &amp; $U66),0)),"",INDIRECT(CONCATENATE("Table!",ADDRESS($Q66,MATCH(B$1,INDIRECT("Table!A" &amp; $U66):INDIRECT("Table!" &amp; $X$171 &amp; $U66),0)))))</f>
        <v>115816.8</v>
      </c>
      <c r="C66" s="33">
        <f ca="1">IF(ISERROR(MATCH(C$1,INDIRECT("Table!A"&amp;$U66):INDIRECT("Table!" &amp; $X$171 &amp; $U66),0)),"",INDIRECT(CONCATENATE("Table!",ADDRESS($Q66,MATCH(C$1,INDIRECT("Table!A" &amp; $U66):INDIRECT("Table!" &amp; $X$171 &amp; $U66),0)))))</f>
        <v>99041.7</v>
      </c>
      <c r="D66" s="33">
        <f ca="1">IF(ISERROR(MATCH(D$1,INDIRECT("Table!A"&amp;$U66):INDIRECT("Table!" &amp; $X$171 &amp; $U66),0)),"",INDIRECT(CONCATENATE("Table!",ADDRESS($Q66,MATCH(D$1,INDIRECT("Table!A" &amp; $U66):INDIRECT("Table!" &amp; $X$171 &amp; $U66),0)))))</f>
        <v>99041.7</v>
      </c>
      <c r="E66" s="33">
        <f ca="1">IF(ISERROR(MATCH(E$1,INDIRECT("Table!A"&amp;$U66):INDIRECT("Table!" &amp; $X$171 &amp; $U66),0)),"",INDIRECT(CONCATENATE("Table!",ADDRESS($Q66,MATCH(E$1,INDIRECT("Table!A" &amp; $U66):INDIRECT("Table!" &amp; $X$171 &amp; $U66),0)))))</f>
        <v>181997.8</v>
      </c>
      <c r="F66" s="33">
        <f ca="1">IF(ISERROR(MATCH(F$1,INDIRECT("Table!A"&amp;$U66):INDIRECT("Table!" &amp; $X$171 &amp; $U66),0)),"",INDIRECT(CONCATENATE("Table!",ADDRESS($Q66,MATCH(F$1,INDIRECT("Table!A" &amp; $U66):INDIRECT("Table!" &amp; $X$171 &amp; $U66),0)))))</f>
        <v>121331.8</v>
      </c>
      <c r="G66" s="33">
        <f ca="1">IF(ISERROR(MATCH(G$1,INDIRECT("Table!A"&amp;$U66):INDIRECT("Table!" &amp; $X$171 &amp; $U66),0)),"",INDIRECT(CONCATENATE("Table!",ADDRESS($Q66,MATCH(G$1,INDIRECT("Table!A" &amp; $U66):INDIRECT("Table!" &amp; $X$171 &amp; $U66),0)))))</f>
        <v>110071.9</v>
      </c>
      <c r="H66" s="33">
        <f ca="1">IF(ISERROR(MATCH(H$1,INDIRECT("Table!A"&amp;$U66):INDIRECT("Table!" &amp; $X$171 &amp; $U66),0)),"",INDIRECT(CONCATENATE("Table!",ADDRESS($Q66,MATCH(H$1,INDIRECT("Table!A" &amp; $U66):INDIRECT("Table!" &amp; $X$171 &amp; $U66),0)))))</f>
        <v>121331.8</v>
      </c>
      <c r="I66" s="33">
        <f ca="1">IF(ISERROR(MATCH(I$1,INDIRECT("Table!A"&amp;$U66):INDIRECT("Table!" &amp; $X$171 &amp; $U66),0)),"",INDIRECT(CONCATENATE("Table!",ADDRESS($Q66,MATCH(I$1,INDIRECT("Table!A" &amp; $U66):INDIRECT("Table!" &amp; $X$171 &amp; $U66),0)))))</f>
        <v>170967.6</v>
      </c>
      <c r="J66" s="33">
        <f ca="1">IF(ISERROR(MATCH(J$1,INDIRECT("Table!A"&amp;$U66):INDIRECT("Table!" &amp; $X$171 &amp; $U66),0)),"",INDIRECT(CONCATENATE("Table!",ADDRESS($Q66,MATCH(J$1,INDIRECT("Table!A" &amp; $U66):INDIRECT("Table!" &amp; $X$171 &amp; $U66),0)))))</f>
        <v>132132.20000000001</v>
      </c>
      <c r="K66" s="33">
        <f ca="1">IF(ISERROR(MATCH(K$1,INDIRECT("Table!A"&amp;$U66):INDIRECT("Table!" &amp; $X$171 &amp; $U66),0)),"",INDIRECT(CONCATENATE("Table!",ADDRESS($Q66,MATCH(K$1,INDIRECT("Table!A" &amp; $U66):INDIRECT("Table!" &amp; $X$171 &amp; $U66),0)))))</f>
        <v>60665.9</v>
      </c>
      <c r="L66" s="33">
        <f ca="1">IF(ISERROR(MATCH(L$1,INDIRECT("Table!A"&amp;$U66):INDIRECT("Table!" &amp; $X$171 &amp; $U66),0)),"",INDIRECT(CONCATENATE("Table!",ADDRESS($Q66,MATCH(L$1,INDIRECT("Table!A" &amp; $U66):INDIRECT("Table!" &amp; $X$171 &amp; $U66),0)))))</f>
        <v>176482.7</v>
      </c>
      <c r="M66" s="33">
        <f ca="1">IF(ISERROR(MATCH(M$1,INDIRECT("Table!A"&amp;$U66):INDIRECT("Table!" &amp; $X$171 &amp; $U66),0)),"",INDIRECT(CONCATENATE("Table!",ADDRESS($Q66,MATCH(M$1,INDIRECT("Table!A" &amp; $U66):INDIRECT("Table!" &amp; $X$171 &amp; $U66),0)))))</f>
        <v>54921</v>
      </c>
      <c r="N66" s="228"/>
      <c r="O66" s="228"/>
      <c r="P66" s="228"/>
      <c r="Q66" s="31">
        <f>MATCH($A66,Table!$A:$A,0)+$S$14-1</f>
        <v>883</v>
      </c>
      <c r="R66" s="228"/>
      <c r="S66" s="228"/>
      <c r="T66" s="228"/>
      <c r="U66" s="31">
        <f>MATCH($A66,Table!$A:$A,0)+$W$2-1</f>
        <v>869</v>
      </c>
      <c r="V66" s="228"/>
      <c r="W66" s="228"/>
      <c r="X66" s="372" t="s">
        <v>209</v>
      </c>
    </row>
    <row r="67" spans="1:24" ht="19.5" customHeight="1">
      <c r="A67" s="5">
        <v>41110</v>
      </c>
      <c r="B67" s="33">
        <f ca="1">IF(ISERROR(MATCH(B$1,INDIRECT("Table!A"&amp;$U67):INDIRECT("Table!" &amp; $X$171 &amp; $U67),0)),"",INDIRECT(CONCATENATE("Table!",ADDRESS($Q67,MATCH(B$1,INDIRECT("Table!A" &amp; $U67):INDIRECT("Table!" &amp; $X$171 &amp; $U67),0)))))</f>
        <v>115816.8</v>
      </c>
      <c r="C67" s="33">
        <f ca="1">IF(ISERROR(MATCH(C$1,INDIRECT("Table!A"&amp;$U67):INDIRECT("Table!" &amp; $X$171 &amp; $U67),0)),"",INDIRECT(CONCATENATE("Table!",ADDRESS($Q67,MATCH(C$1,INDIRECT("Table!A" &amp; $U67):INDIRECT("Table!" &amp; $X$171 &amp; $U67),0)))))</f>
        <v>99041.7</v>
      </c>
      <c r="D67" s="33">
        <f ca="1">IF(ISERROR(MATCH(D$1,INDIRECT("Table!A"&amp;$U67):INDIRECT("Table!" &amp; $X$171 &amp; $U67),0)),"",INDIRECT(CONCATENATE("Table!",ADDRESS($Q67,MATCH(D$1,INDIRECT("Table!A" &amp; $U67):INDIRECT("Table!" &amp; $X$171 &amp; $U67),0)))))</f>
        <v>99041.7</v>
      </c>
      <c r="E67" s="33">
        <f ca="1">IF(ISERROR(MATCH(E$1,INDIRECT("Table!A"&amp;$U67):INDIRECT("Table!" &amp; $X$171 &amp; $U67),0)),"",INDIRECT(CONCATENATE("Table!",ADDRESS($Q67,MATCH(E$1,INDIRECT("Table!A" &amp; $U67):INDIRECT("Table!" &amp; $X$171 &amp; $U67),0)))))</f>
        <v>181997.8</v>
      </c>
      <c r="F67" s="33">
        <f ca="1">IF(ISERROR(MATCH(F$1,INDIRECT("Table!A"&amp;$U67):INDIRECT("Table!" &amp; $X$171 &amp; $U67),0)),"",INDIRECT(CONCATENATE("Table!",ADDRESS($Q67,MATCH(F$1,INDIRECT("Table!A" &amp; $U67):INDIRECT("Table!" &amp; $X$171 &amp; $U67),0)))))</f>
        <v>121331.8</v>
      </c>
      <c r="G67" s="33">
        <f ca="1">IF(ISERROR(MATCH(G$1,INDIRECT("Table!A"&amp;$U67):INDIRECT("Table!" &amp; $X$171 &amp; $U67),0)),"",INDIRECT(CONCATENATE("Table!",ADDRESS($Q67,MATCH(G$1,INDIRECT("Table!A" &amp; $U67):INDIRECT("Table!" &amp; $X$171 &amp; $U67),0)))))</f>
        <v>110071.9</v>
      </c>
      <c r="H67" s="33">
        <f ca="1">IF(ISERROR(MATCH(H$1,INDIRECT("Table!A"&amp;$U67):INDIRECT("Table!" &amp; $X$171 &amp; $U67),0)),"",INDIRECT(CONCATENATE("Table!",ADDRESS($Q67,MATCH(H$1,INDIRECT("Table!A" &amp; $U67):INDIRECT("Table!" &amp; $X$171 &amp; $U67),0)))))</f>
        <v>121331.8</v>
      </c>
      <c r="I67" s="33">
        <f ca="1">IF(ISERROR(MATCH(I$1,INDIRECT("Table!A"&amp;$U67):INDIRECT("Table!" &amp; $X$171 &amp; $U67),0)),"",INDIRECT(CONCATENATE("Table!",ADDRESS($Q67,MATCH(I$1,INDIRECT("Table!A" &amp; $U67):INDIRECT("Table!" &amp; $X$171 &amp; $U67),0)))))</f>
        <v>170967.6</v>
      </c>
      <c r="J67" s="33">
        <f ca="1">IF(ISERROR(MATCH(J$1,INDIRECT("Table!A"&amp;$U67):INDIRECT("Table!" &amp; $X$171 &amp; $U67),0)),"",INDIRECT(CONCATENATE("Table!",ADDRESS($Q67,MATCH(J$1,INDIRECT("Table!A" &amp; $U67):INDIRECT("Table!" &amp; $X$171 &amp; $U67),0)))))</f>
        <v>132132.20000000001</v>
      </c>
      <c r="K67" s="33">
        <f ca="1">IF(ISERROR(MATCH(K$1,INDIRECT("Table!A"&amp;$U67):INDIRECT("Table!" &amp; $X$171 &amp; $U67),0)),"",INDIRECT(CONCATENATE("Table!",ADDRESS($Q67,MATCH(K$1,INDIRECT("Table!A" &amp; $U67):INDIRECT("Table!" &amp; $X$171 &amp; $U67),0)))))</f>
        <v>60665.9</v>
      </c>
      <c r="L67" s="33">
        <f ca="1">IF(ISERROR(MATCH(L$1,INDIRECT("Table!A"&amp;$U67):INDIRECT("Table!" &amp; $X$171 &amp; $U67),0)),"",INDIRECT(CONCATENATE("Table!",ADDRESS($Q67,MATCH(L$1,INDIRECT("Table!A" &amp; $U67):INDIRECT("Table!" &amp; $X$171 &amp; $U67),0)))))</f>
        <v>176482.7</v>
      </c>
      <c r="M67" s="33">
        <f ca="1">IF(ISERROR(MATCH(M$1,INDIRECT("Table!A"&amp;$U67):INDIRECT("Table!" &amp; $X$171 &amp; $U67),0)),"",INDIRECT(CONCATENATE("Table!",ADDRESS($Q67,MATCH(M$1,INDIRECT("Table!A" &amp; $U67):INDIRECT("Table!" &amp; $X$171 &amp; $U67),0)))))</f>
        <v>54921</v>
      </c>
      <c r="N67" s="227"/>
      <c r="O67" s="227"/>
      <c r="P67" s="227"/>
      <c r="Q67" s="31">
        <f>MATCH($A67,Table!$A:$A,0)+$S$14-1</f>
        <v>896</v>
      </c>
      <c r="R67" s="227"/>
      <c r="S67" s="227"/>
      <c r="T67" s="227"/>
      <c r="U67" s="31">
        <f>MATCH($A67,Table!$A:$A,0)+$W$2-1</f>
        <v>882</v>
      </c>
      <c r="V67" s="227"/>
      <c r="W67" s="227"/>
      <c r="X67" s="372" t="s">
        <v>209</v>
      </c>
    </row>
    <row r="68" spans="1:24" ht="19.5" customHeight="1">
      <c r="A68" s="5">
        <v>41109</v>
      </c>
      <c r="B68" s="33">
        <f ca="1">IF(ISERROR(MATCH(B$1,INDIRECT("Table!A"&amp;$U68):INDIRECT("Table!" &amp; $X$171 &amp; $U68),0)),"",INDIRECT(CONCATENATE("Table!",ADDRESS($Q68,MATCH(B$1,INDIRECT("Table!A" &amp; $U68):INDIRECT("Table!" &amp; $X$171 &amp; $U68),0)))))</f>
        <v>115816.8</v>
      </c>
      <c r="C68" s="33">
        <f ca="1">IF(ISERROR(MATCH(C$1,INDIRECT("Table!A"&amp;$U68):INDIRECT("Table!" &amp; $X$171 &amp; $U68),0)),"",INDIRECT(CONCATENATE("Table!",ADDRESS($Q68,MATCH(C$1,INDIRECT("Table!A" &amp; $U68):INDIRECT("Table!" &amp; $X$171 &amp; $U68),0)))))</f>
        <v>99041.7</v>
      </c>
      <c r="D68" s="33">
        <f ca="1">IF(ISERROR(MATCH(D$1,INDIRECT("Table!A"&amp;$U68):INDIRECT("Table!" &amp; $X$171 &amp; $U68),0)),"",INDIRECT(CONCATENATE("Table!",ADDRESS($Q68,MATCH(D$1,INDIRECT("Table!A" &amp; $U68):INDIRECT("Table!" &amp; $X$171 &amp; $U68),0)))))</f>
        <v>99041.7</v>
      </c>
      <c r="E68" s="33">
        <f ca="1">IF(ISERROR(MATCH(E$1,INDIRECT("Table!A"&amp;$U68):INDIRECT("Table!" &amp; $X$171 &amp; $U68),0)),"",INDIRECT(CONCATENATE("Table!",ADDRESS($Q68,MATCH(E$1,INDIRECT("Table!A" &amp; $U68):INDIRECT("Table!" &amp; $X$171 &amp; $U68),0)))))</f>
        <v>181997.8</v>
      </c>
      <c r="F68" s="33">
        <f ca="1">IF(ISERROR(MATCH(F$1,INDIRECT("Table!A"&amp;$U68):INDIRECT("Table!" &amp; $X$171 &amp; $U68),0)),"",INDIRECT(CONCATENATE("Table!",ADDRESS($Q68,MATCH(F$1,INDIRECT("Table!A" &amp; $U68):INDIRECT("Table!" &amp; $X$171 &amp; $U68),0)))))</f>
        <v>121331.8</v>
      </c>
      <c r="G68" s="33">
        <f ca="1">IF(ISERROR(MATCH(G$1,INDIRECT("Table!A"&amp;$U68):INDIRECT("Table!" &amp; $X$171 &amp; $U68),0)),"",INDIRECT(CONCATENATE("Table!",ADDRESS($Q68,MATCH(G$1,INDIRECT("Table!A" &amp; $U68):INDIRECT("Table!" &amp; $X$171 &amp; $U68),0)))))</f>
        <v>110071.9</v>
      </c>
      <c r="H68" s="33">
        <f ca="1">IF(ISERROR(MATCH(H$1,INDIRECT("Table!A"&amp;$U68):INDIRECT("Table!" &amp; $X$171 &amp; $U68),0)),"",INDIRECT(CONCATENATE("Table!",ADDRESS($Q68,MATCH(H$1,INDIRECT("Table!A" &amp; $U68):INDIRECT("Table!" &amp; $X$171 &amp; $U68),0)))))</f>
        <v>121331.8</v>
      </c>
      <c r="I68" s="33">
        <f ca="1">IF(ISERROR(MATCH(I$1,INDIRECT("Table!A"&amp;$U68):INDIRECT("Table!" &amp; $X$171 &amp; $U68),0)),"",INDIRECT(CONCATENATE("Table!",ADDRESS($Q68,MATCH(I$1,INDIRECT("Table!A" &amp; $U68):INDIRECT("Table!" &amp; $X$171 &amp; $U68),0)))))</f>
        <v>170967.6</v>
      </c>
      <c r="J68" s="33">
        <f ca="1">IF(ISERROR(MATCH(J$1,INDIRECT("Table!A"&amp;$U68):INDIRECT("Table!" &amp; $X$171 &amp; $U68),0)),"",INDIRECT(CONCATENATE("Table!",ADDRESS($Q68,MATCH(J$1,INDIRECT("Table!A" &amp; $U68):INDIRECT("Table!" &amp; $X$171 &amp; $U68),0)))))</f>
        <v>132132.20000000001</v>
      </c>
      <c r="K68" s="33">
        <f ca="1">IF(ISERROR(MATCH(K$1,INDIRECT("Table!A"&amp;$U68):INDIRECT("Table!" &amp; $X$171 &amp; $U68),0)),"",INDIRECT(CONCATENATE("Table!",ADDRESS($Q68,MATCH(K$1,INDIRECT("Table!A" &amp; $U68):INDIRECT("Table!" &amp; $X$171 &amp; $U68),0)))))</f>
        <v>60665.9</v>
      </c>
      <c r="L68" s="33">
        <f ca="1">IF(ISERROR(MATCH(L$1,INDIRECT("Table!A"&amp;$U68):INDIRECT("Table!" &amp; $X$171 &amp; $U68),0)),"",INDIRECT(CONCATENATE("Table!",ADDRESS($Q68,MATCH(L$1,INDIRECT("Table!A" &amp; $U68):INDIRECT("Table!" &amp; $X$171 &amp; $U68),0)))))</f>
        <v>176482.7</v>
      </c>
      <c r="M68" s="33">
        <f ca="1">IF(ISERROR(MATCH(M$1,INDIRECT("Table!A"&amp;$U68):INDIRECT("Table!" &amp; $X$171 &amp; $U68),0)),"",INDIRECT(CONCATENATE("Table!",ADDRESS($Q68,MATCH(M$1,INDIRECT("Table!A" &amp; $U68):INDIRECT("Table!" &amp; $X$171 &amp; $U68),0)))))</f>
        <v>54921</v>
      </c>
      <c r="N68" s="226"/>
      <c r="O68" s="226"/>
      <c r="P68" s="226"/>
      <c r="Q68" s="31">
        <f>MATCH($A68,Table!$A:$A,0)+$S$14-1</f>
        <v>909</v>
      </c>
      <c r="R68" s="226"/>
      <c r="S68" s="226"/>
      <c r="T68" s="226"/>
      <c r="U68" s="31">
        <f>MATCH($A68,Table!$A:$A,0)+$W$2-1</f>
        <v>895</v>
      </c>
      <c r="V68" s="226"/>
      <c r="W68" s="226"/>
      <c r="X68" s="372" t="s">
        <v>209</v>
      </c>
    </row>
    <row r="69" spans="1:24" ht="19.5" customHeight="1">
      <c r="A69" s="5">
        <v>41108</v>
      </c>
      <c r="B69" s="33">
        <f ca="1">IF(ISERROR(MATCH(B$1,INDIRECT("Table!A"&amp;$U69):INDIRECT("Table!" &amp; $X$171 &amp; $U69),0)),"",INDIRECT(CONCATENATE("Table!",ADDRESS($Q69,MATCH(B$1,INDIRECT("Table!A" &amp; $U69):INDIRECT("Table!" &amp; $X$171 &amp; $U69),0)))))</f>
        <v>115816.8</v>
      </c>
      <c r="C69" s="33">
        <f ca="1">IF(ISERROR(MATCH(C$1,INDIRECT("Table!A"&amp;$U69):INDIRECT("Table!" &amp; $X$171 &amp; $U69),0)),"",INDIRECT(CONCATENATE("Table!",ADDRESS($Q69,MATCH(C$1,INDIRECT("Table!A" &amp; $U69):INDIRECT("Table!" &amp; $X$171 &amp; $U69),0)))))</f>
        <v>99041.7</v>
      </c>
      <c r="D69" s="33">
        <f ca="1">IF(ISERROR(MATCH(D$1,INDIRECT("Table!A"&amp;$U69):INDIRECT("Table!" &amp; $X$171 &amp; $U69),0)),"",INDIRECT(CONCATENATE("Table!",ADDRESS($Q69,MATCH(D$1,INDIRECT("Table!A" &amp; $U69):INDIRECT("Table!" &amp; $X$171 &amp; $U69),0)))))</f>
        <v>99041.7</v>
      </c>
      <c r="E69" s="33">
        <f ca="1">IF(ISERROR(MATCH(E$1,INDIRECT("Table!A"&amp;$U69):INDIRECT("Table!" &amp; $X$171 &amp; $U69),0)),"",INDIRECT(CONCATENATE("Table!",ADDRESS($Q69,MATCH(E$1,INDIRECT("Table!A" &amp; $U69):INDIRECT("Table!" &amp; $X$171 &amp; $U69),0)))))</f>
        <v>181997.8</v>
      </c>
      <c r="F69" s="33">
        <f ca="1">IF(ISERROR(MATCH(F$1,INDIRECT("Table!A"&amp;$U69):INDIRECT("Table!" &amp; $X$171 &amp; $U69),0)),"",INDIRECT(CONCATENATE("Table!",ADDRESS($Q69,MATCH(F$1,INDIRECT("Table!A" &amp; $U69):INDIRECT("Table!" &amp; $X$171 &amp; $U69),0)))))</f>
        <v>121331.8</v>
      </c>
      <c r="G69" s="33">
        <f ca="1">IF(ISERROR(MATCH(G$1,INDIRECT("Table!A"&amp;$U69):INDIRECT("Table!" &amp; $X$171 &amp; $U69),0)),"",INDIRECT(CONCATENATE("Table!",ADDRESS($Q69,MATCH(G$1,INDIRECT("Table!A" &amp; $U69):INDIRECT("Table!" &amp; $X$171 &amp; $U69),0)))))</f>
        <v>110071.9</v>
      </c>
      <c r="H69" s="33">
        <f ca="1">IF(ISERROR(MATCH(H$1,INDIRECT("Table!A"&amp;$U69):INDIRECT("Table!" &amp; $X$171 &amp; $U69),0)),"",INDIRECT(CONCATENATE("Table!",ADDRESS($Q69,MATCH(H$1,INDIRECT("Table!A" &amp; $U69):INDIRECT("Table!" &amp; $X$171 &amp; $U69),0)))))</f>
        <v>121331.8</v>
      </c>
      <c r="I69" s="33">
        <f ca="1">IF(ISERROR(MATCH(I$1,INDIRECT("Table!A"&amp;$U69):INDIRECT("Table!" &amp; $X$171 &amp; $U69),0)),"",INDIRECT(CONCATENATE("Table!",ADDRESS($Q69,MATCH(I$1,INDIRECT("Table!A" &amp; $U69):INDIRECT("Table!" &amp; $X$171 &amp; $U69),0)))))</f>
        <v>170967.6</v>
      </c>
      <c r="J69" s="33">
        <f ca="1">IF(ISERROR(MATCH(J$1,INDIRECT("Table!A"&amp;$U69):INDIRECT("Table!" &amp; $X$171 &amp; $U69),0)),"",INDIRECT(CONCATENATE("Table!",ADDRESS($Q69,MATCH(J$1,INDIRECT("Table!A" &amp; $U69):INDIRECT("Table!" &amp; $X$171 &amp; $U69),0)))))</f>
        <v>132132.20000000001</v>
      </c>
      <c r="K69" s="33">
        <f ca="1">IF(ISERROR(MATCH(K$1,INDIRECT("Table!A"&amp;$U69):INDIRECT("Table!" &amp; $X$171 &amp; $U69),0)),"",INDIRECT(CONCATENATE("Table!",ADDRESS($Q69,MATCH(K$1,INDIRECT("Table!A" &amp; $U69):INDIRECT("Table!" &amp; $X$171 &amp; $U69),0)))))</f>
        <v>60665.9</v>
      </c>
      <c r="L69" s="33">
        <f ca="1">IF(ISERROR(MATCH(L$1,INDIRECT("Table!A"&amp;$U69):INDIRECT("Table!" &amp; $X$171 &amp; $U69),0)),"",INDIRECT(CONCATENATE("Table!",ADDRESS($Q69,MATCH(L$1,INDIRECT("Table!A" &amp; $U69):INDIRECT("Table!" &amp; $X$171 &amp; $U69),0)))))</f>
        <v>176482.7</v>
      </c>
      <c r="M69" s="33">
        <f ca="1">IF(ISERROR(MATCH(M$1,INDIRECT("Table!A"&amp;$U69):INDIRECT("Table!" &amp; $X$171 &amp; $U69),0)),"",INDIRECT(CONCATENATE("Table!",ADDRESS($Q69,MATCH(M$1,INDIRECT("Table!A" &amp; $U69):INDIRECT("Table!" &amp; $X$171 &amp; $U69),0)))))</f>
        <v>54921</v>
      </c>
      <c r="N69" s="226"/>
      <c r="O69" s="226"/>
      <c r="P69" s="226"/>
      <c r="Q69" s="31">
        <f>MATCH($A69,Table!$A:$A,0)+$S$14-1</f>
        <v>922</v>
      </c>
      <c r="R69" s="226"/>
      <c r="S69" s="226"/>
      <c r="T69" s="226"/>
      <c r="U69" s="31">
        <f>MATCH($A69,Table!$A:$A,0)+$W$2-1</f>
        <v>908</v>
      </c>
      <c r="V69" s="226"/>
      <c r="W69" s="226"/>
      <c r="X69" s="372" t="s">
        <v>209</v>
      </c>
    </row>
    <row r="70" spans="1:24" ht="18" customHeight="1">
      <c r="A70" s="5">
        <v>41106</v>
      </c>
      <c r="B70" s="33">
        <f ca="1">IF(ISERROR(MATCH(B$1,INDIRECT("Table!A"&amp;$U70):INDIRECT("Table!" &amp; $X$171 &amp; $U70),0)),"",INDIRECT(CONCATENATE("Table!",ADDRESS($Q70,MATCH(B$1,INDIRECT("Table!A" &amp; $U70):INDIRECT("Table!" &amp; $X$171 &amp; $U70),0)))))</f>
        <v>115816.8</v>
      </c>
      <c r="C70" s="33">
        <f ca="1">IF(ISERROR(MATCH(C$1,INDIRECT("Table!A"&amp;$U70):INDIRECT("Table!" &amp; $X$171 &amp; $U70),0)),"",INDIRECT(CONCATENATE("Table!",ADDRESS($Q70,MATCH(C$1,INDIRECT("Table!A" &amp; $U70):INDIRECT("Table!" &amp; $X$171 &amp; $U70),0)))))</f>
        <v>99041.7</v>
      </c>
      <c r="D70" s="33">
        <f ca="1">IF(ISERROR(MATCH(D$1,INDIRECT("Table!A"&amp;$U70):INDIRECT("Table!" &amp; $X$171 &amp; $U70),0)),"",INDIRECT(CONCATENATE("Table!",ADDRESS($Q70,MATCH(D$1,INDIRECT("Table!A" &amp; $U70):INDIRECT("Table!" &amp; $X$171 &amp; $U70),0)))))</f>
        <v>99041.7</v>
      </c>
      <c r="E70" s="33">
        <f ca="1">IF(ISERROR(MATCH(E$1,INDIRECT("Table!A"&amp;$U70):INDIRECT("Table!" &amp; $X$171 &amp; $U70),0)),"",INDIRECT(CONCATENATE("Table!",ADDRESS($Q70,MATCH(E$1,INDIRECT("Table!A" &amp; $U70):INDIRECT("Table!" &amp; $X$171 &amp; $U70),0)))))</f>
        <v>181997.8</v>
      </c>
      <c r="F70" s="33">
        <f ca="1">IF(ISERROR(MATCH(F$1,INDIRECT("Table!A"&amp;$U70):INDIRECT("Table!" &amp; $X$171 &amp; $U70),0)),"",INDIRECT(CONCATENATE("Table!",ADDRESS($Q70,MATCH(F$1,INDIRECT("Table!A" &amp; $U70):INDIRECT("Table!" &amp; $X$171 &amp; $U70),0)))))</f>
        <v>121331.8</v>
      </c>
      <c r="G70" s="33">
        <f ca="1">IF(ISERROR(MATCH(G$1,INDIRECT("Table!A"&amp;$U70):INDIRECT("Table!" &amp; $X$171 &amp; $U70),0)),"",INDIRECT(CONCATENATE("Table!",ADDRESS($Q70,MATCH(G$1,INDIRECT("Table!A" &amp; $U70):INDIRECT("Table!" &amp; $X$171 &amp; $U70),0)))))</f>
        <v>110071.9</v>
      </c>
      <c r="H70" s="33">
        <f ca="1">IF(ISERROR(MATCH(H$1,INDIRECT("Table!A"&amp;$U70):INDIRECT("Table!" &amp; $X$171 &amp; $U70),0)),"",INDIRECT(CONCATENATE("Table!",ADDRESS($Q70,MATCH(H$1,INDIRECT("Table!A" &amp; $U70):INDIRECT("Table!" &amp; $X$171 &amp; $U70),0)))))</f>
        <v>121331.8</v>
      </c>
      <c r="I70" s="33">
        <f ca="1">IF(ISERROR(MATCH(I$1,INDIRECT("Table!A"&amp;$U70):INDIRECT("Table!" &amp; $X$171 &amp; $U70),0)),"",INDIRECT(CONCATENATE("Table!",ADDRESS($Q70,MATCH(I$1,INDIRECT("Table!A" &amp; $U70):INDIRECT("Table!" &amp; $X$171 &amp; $U70),0)))))</f>
        <v>170967.6</v>
      </c>
      <c r="J70" s="33">
        <f ca="1">IF(ISERROR(MATCH(J$1,INDIRECT("Table!A"&amp;$U70):INDIRECT("Table!" &amp; $X$171 &amp; $U70),0)),"",INDIRECT(CONCATENATE("Table!",ADDRESS($Q70,MATCH(J$1,INDIRECT("Table!A" &amp; $U70):INDIRECT("Table!" &amp; $X$171 &amp; $U70),0)))))</f>
        <v>132132.20000000001</v>
      </c>
      <c r="K70" s="33">
        <f ca="1">IF(ISERROR(MATCH(K$1,INDIRECT("Table!A"&amp;$U70):INDIRECT("Table!" &amp; $X$171 &amp; $U70),0)),"",INDIRECT(CONCATENATE("Table!",ADDRESS($Q70,MATCH(K$1,INDIRECT("Table!A" &amp; $U70):INDIRECT("Table!" &amp; $X$171 &amp; $U70),0)))))</f>
        <v>60665.9</v>
      </c>
      <c r="L70" s="33">
        <f ca="1">IF(ISERROR(MATCH(L$1,INDIRECT("Table!A"&amp;$U70):INDIRECT("Table!" &amp; $X$171 &amp; $U70),0)),"",INDIRECT(CONCATENATE("Table!",ADDRESS($Q70,MATCH(L$1,INDIRECT("Table!A" &amp; $U70):INDIRECT("Table!" &amp; $X$171 &amp; $U70),0)))))</f>
        <v>176482.7</v>
      </c>
      <c r="M70" s="33">
        <f ca="1">IF(ISERROR(MATCH(M$1,INDIRECT("Table!A"&amp;$U70):INDIRECT("Table!" &amp; $X$171 &amp; $U70),0)),"",INDIRECT(CONCATENATE("Table!",ADDRESS($Q70,MATCH(M$1,INDIRECT("Table!A" &amp; $U70):INDIRECT("Table!" &amp; $X$171 &amp; $U70),0)))))</f>
        <v>54921</v>
      </c>
      <c r="N70" s="220"/>
      <c r="O70" s="220"/>
      <c r="P70" s="220"/>
      <c r="Q70" s="31">
        <f>MATCH($A70,Table!$A:$A,0)+$S$14-1</f>
        <v>935</v>
      </c>
      <c r="R70" s="220"/>
      <c r="S70" s="220"/>
      <c r="T70" s="220"/>
      <c r="U70" s="31">
        <f>MATCH($A70,Table!$A:$A,0)+$W$2-1</f>
        <v>921</v>
      </c>
      <c r="V70" s="220"/>
      <c r="W70" s="220"/>
      <c r="X70" s="372" t="s">
        <v>209</v>
      </c>
    </row>
    <row r="71" spans="1:24" ht="18" customHeight="1">
      <c r="A71" s="5">
        <v>41103</v>
      </c>
      <c r="B71" s="33">
        <f ca="1">IF(ISERROR(MATCH(B$1,INDIRECT("Table!A"&amp;$U71):INDIRECT("Table!" &amp; $X$171 &amp; $U71),0)),"",INDIRECT(CONCATENATE("Table!",ADDRESS($Q71,MATCH(B$1,INDIRECT("Table!A" &amp; $U71):INDIRECT("Table!" &amp; $X$171 &amp; $U71),0)))))</f>
        <v>115816.8</v>
      </c>
      <c r="C71" s="33">
        <f ca="1">IF(ISERROR(MATCH(C$1,INDIRECT("Table!A"&amp;$U71):INDIRECT("Table!" &amp; $X$171 &amp; $U71),0)),"",INDIRECT(CONCATENATE("Table!",ADDRESS($Q71,MATCH(C$1,INDIRECT("Table!A" &amp; $U71):INDIRECT("Table!" &amp; $X$171 &amp; $U71),0)))))</f>
        <v>99041.7</v>
      </c>
      <c r="D71" s="33">
        <f ca="1">IF(ISERROR(MATCH(D$1,INDIRECT("Table!A"&amp;$U71):INDIRECT("Table!" &amp; $X$171 &amp; $U71),0)),"",INDIRECT(CONCATENATE("Table!",ADDRESS($Q71,MATCH(D$1,INDIRECT("Table!A" &amp; $U71):INDIRECT("Table!" &amp; $X$171 &amp; $U71),0)))))</f>
        <v>99041.7</v>
      </c>
      <c r="E71" s="33">
        <f ca="1">IF(ISERROR(MATCH(E$1,INDIRECT("Table!A"&amp;$U71):INDIRECT("Table!" &amp; $X$171 &amp; $U71),0)),"",INDIRECT(CONCATENATE("Table!",ADDRESS($Q71,MATCH(E$1,INDIRECT("Table!A" &amp; $U71):INDIRECT("Table!" &amp; $X$171 &amp; $U71),0)))))</f>
        <v>181997.8</v>
      </c>
      <c r="F71" s="33">
        <f ca="1">IF(ISERROR(MATCH(F$1,INDIRECT("Table!A"&amp;$U71):INDIRECT("Table!" &amp; $X$171 &amp; $U71),0)),"",INDIRECT(CONCATENATE("Table!",ADDRESS($Q71,MATCH(F$1,INDIRECT("Table!A" &amp; $U71):INDIRECT("Table!" &amp; $X$171 &amp; $U71),0)))))</f>
        <v>121331.8</v>
      </c>
      <c r="G71" s="33">
        <f ca="1">IF(ISERROR(MATCH(G$1,INDIRECT("Table!A"&amp;$U71):INDIRECT("Table!" &amp; $X$171 &amp; $U71),0)),"",INDIRECT(CONCATENATE("Table!",ADDRESS($Q71,MATCH(G$1,INDIRECT("Table!A" &amp; $U71):INDIRECT("Table!" &amp; $X$171 &amp; $U71),0)))))</f>
        <v>110071.9</v>
      </c>
      <c r="H71" s="33">
        <f ca="1">IF(ISERROR(MATCH(H$1,INDIRECT("Table!A"&amp;$U71):INDIRECT("Table!" &amp; $X$171 &amp; $U71),0)),"",INDIRECT(CONCATENATE("Table!",ADDRESS($Q71,MATCH(H$1,INDIRECT("Table!A" &amp; $U71):INDIRECT("Table!" &amp; $X$171 &amp; $U71),0)))))</f>
        <v>121331.8</v>
      </c>
      <c r="I71" s="33">
        <f ca="1">IF(ISERROR(MATCH(I$1,INDIRECT("Table!A"&amp;$U71):INDIRECT("Table!" &amp; $X$171 &amp; $U71),0)),"",INDIRECT(CONCATENATE("Table!",ADDRESS($Q71,MATCH(I$1,INDIRECT("Table!A" &amp; $U71):INDIRECT("Table!" &amp; $X$171 &amp; $U71),0)))))</f>
        <v>170967.6</v>
      </c>
      <c r="J71" s="33">
        <f ca="1">IF(ISERROR(MATCH(J$1,INDIRECT("Table!A"&amp;$U71):INDIRECT("Table!" &amp; $X$171 &amp; $U71),0)),"",INDIRECT(CONCATENATE("Table!",ADDRESS($Q71,MATCH(J$1,INDIRECT("Table!A" &amp; $U71):INDIRECT("Table!" &amp; $X$171 &amp; $U71),0)))))</f>
        <v>132132.20000000001</v>
      </c>
      <c r="K71" s="33">
        <f ca="1">IF(ISERROR(MATCH(K$1,INDIRECT("Table!A"&amp;$U71):INDIRECT("Table!" &amp; $X$171 &amp; $U71),0)),"",INDIRECT(CONCATENATE("Table!",ADDRESS($Q71,MATCH(K$1,INDIRECT("Table!A" &amp; $U71):INDIRECT("Table!" &amp; $X$171 &amp; $U71),0)))))</f>
        <v>60665.9</v>
      </c>
      <c r="L71" s="33">
        <f ca="1">IF(ISERROR(MATCH(L$1,INDIRECT("Table!A"&amp;$U71):INDIRECT("Table!" &amp; $X$171 &amp; $U71),0)),"",INDIRECT(CONCATENATE("Table!",ADDRESS($Q71,MATCH(L$1,INDIRECT("Table!A" &amp; $U71):INDIRECT("Table!" &amp; $X$171 &amp; $U71),0)))))</f>
        <v>176482.7</v>
      </c>
      <c r="M71" s="33">
        <f ca="1">IF(ISERROR(MATCH(M$1,INDIRECT("Table!A"&amp;$U71):INDIRECT("Table!" &amp; $X$171 &amp; $U71),0)),"",INDIRECT(CONCATENATE("Table!",ADDRESS($Q71,MATCH(M$1,INDIRECT("Table!A" &amp; $U71):INDIRECT("Table!" &amp; $X$171 &amp; $U71),0)))))</f>
        <v>54921</v>
      </c>
      <c r="N71" s="219"/>
      <c r="O71" s="219"/>
      <c r="P71" s="219"/>
      <c r="Q71" s="31">
        <f>MATCH($A71,Table!$A:$A,0)+$S$14-1</f>
        <v>948</v>
      </c>
      <c r="R71" s="219"/>
      <c r="S71" s="219"/>
      <c r="T71" s="219"/>
      <c r="U71" s="31">
        <f>MATCH($A71,Table!$A:$A,0)+$W$2-1</f>
        <v>934</v>
      </c>
      <c r="V71" s="219"/>
      <c r="W71" s="219"/>
      <c r="X71" s="372" t="s">
        <v>209</v>
      </c>
    </row>
    <row r="72" spans="1:24" ht="18" customHeight="1">
      <c r="A72" s="5">
        <v>41102</v>
      </c>
      <c r="B72" s="33">
        <f ca="1">IF(ISERROR(MATCH(B$1,INDIRECT("Table!A"&amp;$U72):INDIRECT("Table!" &amp; $X$171 &amp; $U72),0)),"",INDIRECT(CONCATENATE("Table!",ADDRESS($Q72,MATCH(B$1,INDIRECT("Table!A" &amp; $U72):INDIRECT("Table!" &amp; $X$171 &amp; $U72),0)))))</f>
        <v>115816.8</v>
      </c>
      <c r="C72" s="33">
        <f ca="1">IF(ISERROR(MATCH(C$1,INDIRECT("Table!A"&amp;$U72):INDIRECT("Table!" &amp; $X$171 &amp; $U72),0)),"",INDIRECT(CONCATENATE("Table!",ADDRESS($Q72,MATCH(C$1,INDIRECT("Table!A" &amp; $U72):INDIRECT("Table!" &amp; $X$171 &amp; $U72),0)))))</f>
        <v>99041.7</v>
      </c>
      <c r="D72" s="33">
        <f ca="1">IF(ISERROR(MATCH(D$1,INDIRECT("Table!A"&amp;$U72):INDIRECT("Table!" &amp; $X$171 &amp; $U72),0)),"",INDIRECT(CONCATENATE("Table!",ADDRESS($Q72,MATCH(D$1,INDIRECT("Table!A" &amp; $U72):INDIRECT("Table!" &amp; $X$171 &amp; $U72),0)))))</f>
        <v>99041.7</v>
      </c>
      <c r="E72" s="33">
        <f ca="1">IF(ISERROR(MATCH(E$1,INDIRECT("Table!A"&amp;$U72):INDIRECT("Table!" &amp; $X$171 &amp; $U72),0)),"",INDIRECT(CONCATENATE("Table!",ADDRESS($Q72,MATCH(E$1,INDIRECT("Table!A" &amp; $U72):INDIRECT("Table!" &amp; $X$171 &amp; $U72),0)))))</f>
        <v>181997.8</v>
      </c>
      <c r="F72" s="33">
        <f ca="1">IF(ISERROR(MATCH(F$1,INDIRECT("Table!A"&amp;$U72):INDIRECT("Table!" &amp; $X$171 &amp; $U72),0)),"",INDIRECT(CONCATENATE("Table!",ADDRESS($Q72,MATCH(F$1,INDIRECT("Table!A" &amp; $U72):INDIRECT("Table!" &amp; $X$171 &amp; $U72),0)))))</f>
        <v>121331.8</v>
      </c>
      <c r="G72" s="33">
        <f ca="1">IF(ISERROR(MATCH(G$1,INDIRECT("Table!A"&amp;$U72):INDIRECT("Table!" &amp; $X$171 &amp; $U72),0)),"",INDIRECT(CONCATENATE("Table!",ADDRESS($Q72,MATCH(G$1,INDIRECT("Table!A" &amp; $U72):INDIRECT("Table!" &amp; $X$171 &amp; $U72),0)))))</f>
        <v>110071.9</v>
      </c>
      <c r="H72" s="33">
        <f ca="1">IF(ISERROR(MATCH(H$1,INDIRECT("Table!A"&amp;$U72):INDIRECT("Table!" &amp; $X$171 &amp; $U72),0)),"",INDIRECT(CONCATENATE("Table!",ADDRESS($Q72,MATCH(H$1,INDIRECT("Table!A" &amp; $U72):INDIRECT("Table!" &amp; $X$171 &amp; $U72),0)))))</f>
        <v>121331.8</v>
      </c>
      <c r="I72" s="33">
        <f ca="1">IF(ISERROR(MATCH(I$1,INDIRECT("Table!A"&amp;$U72):INDIRECT("Table!" &amp; $X$171 &amp; $U72),0)),"",INDIRECT(CONCATENATE("Table!",ADDRESS($Q72,MATCH(I$1,INDIRECT("Table!A" &amp; $U72):INDIRECT("Table!" &amp; $X$171 &amp; $U72),0)))))</f>
        <v>170967.6</v>
      </c>
      <c r="J72" s="33">
        <f ca="1">IF(ISERROR(MATCH(J$1,INDIRECT("Table!A"&amp;$U72):INDIRECT("Table!" &amp; $X$171 &amp; $U72),0)),"",INDIRECT(CONCATENATE("Table!",ADDRESS($Q72,MATCH(J$1,INDIRECT("Table!A" &amp; $U72):INDIRECT("Table!" &amp; $X$171 &amp; $U72),0)))))</f>
        <v>132132.20000000001</v>
      </c>
      <c r="K72" s="33">
        <f ca="1">IF(ISERROR(MATCH(K$1,INDIRECT("Table!A"&amp;$U72):INDIRECT("Table!" &amp; $X$171 &amp; $U72),0)),"",INDIRECT(CONCATENATE("Table!",ADDRESS($Q72,MATCH(K$1,INDIRECT("Table!A" &amp; $U72):INDIRECT("Table!" &amp; $X$171 &amp; $U72),0)))))</f>
        <v>60665.9</v>
      </c>
      <c r="L72" s="33">
        <f ca="1">IF(ISERROR(MATCH(L$1,INDIRECT("Table!A"&amp;$U72):INDIRECT("Table!" &amp; $X$171 &amp; $U72),0)),"",INDIRECT(CONCATENATE("Table!",ADDRESS($Q72,MATCH(L$1,INDIRECT("Table!A" &amp; $U72):INDIRECT("Table!" &amp; $X$171 &amp; $U72),0)))))</f>
        <v>176482.7</v>
      </c>
      <c r="M72" s="33">
        <f ca="1">IF(ISERROR(MATCH(M$1,INDIRECT("Table!A"&amp;$U72):INDIRECT("Table!" &amp; $X$171 &amp; $U72),0)),"",INDIRECT(CONCATENATE("Table!",ADDRESS($Q72,MATCH(M$1,INDIRECT("Table!A" &amp; $U72):INDIRECT("Table!" &amp; $X$171 &amp; $U72),0)))))</f>
        <v>54921</v>
      </c>
      <c r="N72" s="218"/>
      <c r="O72" s="218"/>
      <c r="P72" s="218"/>
      <c r="Q72" s="31">
        <f>MATCH($A72,Table!$A:$A,0)+$S$14-1</f>
        <v>961</v>
      </c>
      <c r="R72" s="218"/>
      <c r="S72" s="218"/>
      <c r="T72" s="218"/>
      <c r="U72" s="31">
        <f>MATCH($A72,Table!$A:$A,0)+$W$2-1</f>
        <v>947</v>
      </c>
      <c r="V72" s="218"/>
      <c r="W72" s="218"/>
      <c r="X72" s="372" t="s">
        <v>209</v>
      </c>
    </row>
    <row r="73" spans="1:24" ht="18" customHeight="1">
      <c r="A73" s="5">
        <v>41101</v>
      </c>
      <c r="B73" s="33">
        <f ca="1">IF(ISERROR(MATCH(B$1,INDIRECT("Table!A"&amp;$U73):INDIRECT("Table!" &amp; $X$171 &amp; $U73),0)),"",INDIRECT(CONCATENATE("Table!",ADDRESS($Q73,MATCH(B$1,INDIRECT("Table!A" &amp; $U73):INDIRECT("Table!" &amp; $X$171 &amp; $U73),0)))))</f>
        <v>115816.8</v>
      </c>
      <c r="C73" s="33">
        <f ca="1">IF(ISERROR(MATCH(C$1,INDIRECT("Table!A"&amp;$U73):INDIRECT("Table!" &amp; $X$171 &amp; $U73),0)),"",INDIRECT(CONCATENATE("Table!",ADDRESS($Q73,MATCH(C$1,INDIRECT("Table!A" &amp; $U73):INDIRECT("Table!" &amp; $X$171 &amp; $U73),0)))))</f>
        <v>99041.7</v>
      </c>
      <c r="D73" s="33">
        <f ca="1">IF(ISERROR(MATCH(D$1,INDIRECT("Table!A"&amp;$U73):INDIRECT("Table!" &amp; $X$171 &amp; $U73),0)),"",INDIRECT(CONCATENATE("Table!",ADDRESS($Q73,MATCH(D$1,INDIRECT("Table!A" &amp; $U73):INDIRECT("Table!" &amp; $X$171 &amp; $U73),0)))))</f>
        <v>99041.7</v>
      </c>
      <c r="E73" s="33">
        <f ca="1">IF(ISERROR(MATCH(E$1,INDIRECT("Table!A"&amp;$U73):INDIRECT("Table!" &amp; $X$171 &amp; $U73),0)),"",INDIRECT(CONCATENATE("Table!",ADDRESS($Q73,MATCH(E$1,INDIRECT("Table!A" &amp; $U73):INDIRECT("Table!" &amp; $X$171 &amp; $U73),0)))))</f>
        <v>181997.8</v>
      </c>
      <c r="F73" s="33">
        <f ca="1">IF(ISERROR(MATCH(F$1,INDIRECT("Table!A"&amp;$U73):INDIRECT("Table!" &amp; $X$171 &amp; $U73),0)),"",INDIRECT(CONCATENATE("Table!",ADDRESS($Q73,MATCH(F$1,INDIRECT("Table!A" &amp; $U73):INDIRECT("Table!" &amp; $X$171 &amp; $U73),0)))))</f>
        <v>121331.8</v>
      </c>
      <c r="G73" s="33">
        <f ca="1">IF(ISERROR(MATCH(G$1,INDIRECT("Table!A"&amp;$U73):INDIRECT("Table!" &amp; $X$171 &amp; $U73),0)),"",INDIRECT(CONCATENATE("Table!",ADDRESS($Q73,MATCH(G$1,INDIRECT("Table!A" &amp; $U73):INDIRECT("Table!" &amp; $X$171 &amp; $U73),0)))))</f>
        <v>110071.9</v>
      </c>
      <c r="H73" s="33">
        <f ca="1">IF(ISERROR(MATCH(H$1,INDIRECT("Table!A"&amp;$U73):INDIRECT("Table!" &amp; $X$171 &amp; $U73),0)),"",INDIRECT(CONCATENATE("Table!",ADDRESS($Q73,MATCH(H$1,INDIRECT("Table!A" &amp; $U73):INDIRECT("Table!" &amp; $X$171 &amp; $U73),0)))))</f>
        <v>121331.8</v>
      </c>
      <c r="I73" s="33">
        <f ca="1">IF(ISERROR(MATCH(I$1,INDIRECT("Table!A"&amp;$U73):INDIRECT("Table!" &amp; $X$171 &amp; $U73),0)),"",INDIRECT(CONCATENATE("Table!",ADDRESS($Q73,MATCH(I$1,INDIRECT("Table!A" &amp; $U73):INDIRECT("Table!" &amp; $X$171 &amp; $U73),0)))))</f>
        <v>170967.6</v>
      </c>
      <c r="J73" s="33">
        <f ca="1">IF(ISERROR(MATCH(J$1,INDIRECT("Table!A"&amp;$U73):INDIRECT("Table!" &amp; $X$171 &amp; $U73),0)),"",INDIRECT(CONCATENATE("Table!",ADDRESS($Q73,MATCH(J$1,INDIRECT("Table!A" &amp; $U73):INDIRECT("Table!" &amp; $X$171 &amp; $U73),0)))))</f>
        <v>132132.20000000001</v>
      </c>
      <c r="K73" s="33">
        <f ca="1">IF(ISERROR(MATCH(K$1,INDIRECT("Table!A"&amp;$U73):INDIRECT("Table!" &amp; $X$171 &amp; $U73),0)),"",INDIRECT(CONCATENATE("Table!",ADDRESS($Q73,MATCH(K$1,INDIRECT("Table!A" &amp; $U73):INDIRECT("Table!" &amp; $X$171 &amp; $U73),0)))))</f>
        <v>60665.9</v>
      </c>
      <c r="L73" s="33">
        <f ca="1">IF(ISERROR(MATCH(L$1,INDIRECT("Table!A"&amp;$U73):INDIRECT("Table!" &amp; $X$171 &amp; $U73),0)),"",INDIRECT(CONCATENATE("Table!",ADDRESS($Q73,MATCH(L$1,INDIRECT("Table!A" &amp; $U73):INDIRECT("Table!" &amp; $X$171 &amp; $U73),0)))))</f>
        <v>176482.7</v>
      </c>
      <c r="M73" s="33">
        <f ca="1">IF(ISERROR(MATCH(M$1,INDIRECT("Table!A"&amp;$U73):INDIRECT("Table!" &amp; $X$171 &amp; $U73),0)),"",INDIRECT(CONCATENATE("Table!",ADDRESS($Q73,MATCH(M$1,INDIRECT("Table!A" &amp; $U73):INDIRECT("Table!" &amp; $X$171 &amp; $U73),0)))))</f>
        <v>54921</v>
      </c>
      <c r="N73" s="217"/>
      <c r="O73" s="217"/>
      <c r="P73" s="217"/>
      <c r="Q73" s="31">
        <f>MATCH($A73,Table!$A:$A,0)+$S$14-1</f>
        <v>974</v>
      </c>
      <c r="R73" s="217"/>
      <c r="S73" s="217"/>
      <c r="T73" s="217"/>
      <c r="U73" s="31">
        <f>MATCH($A73,Table!$A:$A,0)+$W$2-1</f>
        <v>960</v>
      </c>
      <c r="V73" s="217"/>
      <c r="W73" s="217"/>
      <c r="X73" s="372" t="s">
        <v>209</v>
      </c>
    </row>
    <row r="74" spans="1:24" ht="18" customHeight="1">
      <c r="A74" s="5">
        <v>41099</v>
      </c>
      <c r="B74" s="33">
        <f ca="1">IF(ISERROR(MATCH(B$1,INDIRECT("Table!A"&amp;$U74):INDIRECT("Table!" &amp; $X$171 &amp; $U74),0)),"",INDIRECT(CONCATENATE("Table!",ADDRESS($Q74,MATCH(B$1,INDIRECT("Table!A" &amp; $U74):INDIRECT("Table!" &amp; $X$171 &amp; $U74),0)))))</f>
        <v>115816.8</v>
      </c>
      <c r="C74" s="33">
        <f ca="1">IF(ISERROR(MATCH(C$1,INDIRECT("Table!A"&amp;$U74):INDIRECT("Table!" &amp; $X$171 &amp; $U74),0)),"",INDIRECT(CONCATENATE("Table!",ADDRESS($Q74,MATCH(C$1,INDIRECT("Table!A" &amp; $U74):INDIRECT("Table!" &amp; $X$171 &amp; $U74),0)))))</f>
        <v>99041.7</v>
      </c>
      <c r="D74" s="33">
        <f ca="1">IF(ISERROR(MATCH(D$1,INDIRECT("Table!A"&amp;$U74):INDIRECT("Table!" &amp; $X$171 &amp; $U74),0)),"",INDIRECT(CONCATENATE("Table!",ADDRESS($Q74,MATCH(D$1,INDIRECT("Table!A" &amp; $U74):INDIRECT("Table!" &amp; $X$171 &amp; $U74),0)))))</f>
        <v>99041.7</v>
      </c>
      <c r="E74" s="33">
        <f ca="1">IF(ISERROR(MATCH(E$1,INDIRECT("Table!A"&amp;$U74):INDIRECT("Table!" &amp; $X$171 &amp; $U74),0)),"",INDIRECT(CONCATENATE("Table!",ADDRESS($Q74,MATCH(E$1,INDIRECT("Table!A" &amp; $U74):INDIRECT("Table!" &amp; $X$171 &amp; $U74),0)))))</f>
        <v>181997.8</v>
      </c>
      <c r="F74" s="33">
        <f ca="1">IF(ISERROR(MATCH(F$1,INDIRECT("Table!A"&amp;$U74):INDIRECT("Table!" &amp; $X$171 &amp; $U74),0)),"",INDIRECT(CONCATENATE("Table!",ADDRESS($Q74,MATCH(F$1,INDIRECT("Table!A" &amp; $U74):INDIRECT("Table!" &amp; $X$171 &amp; $U74),0)))))</f>
        <v>121331.8</v>
      </c>
      <c r="G74" s="33">
        <f ca="1">IF(ISERROR(MATCH(G$1,INDIRECT("Table!A"&amp;$U74):INDIRECT("Table!" &amp; $X$171 &amp; $U74),0)),"",INDIRECT(CONCATENATE("Table!",ADDRESS($Q74,MATCH(G$1,INDIRECT("Table!A" &amp; $U74):INDIRECT("Table!" &amp; $X$171 &amp; $U74),0)))))</f>
        <v>110071.9</v>
      </c>
      <c r="H74" s="33">
        <f ca="1">IF(ISERROR(MATCH(H$1,INDIRECT("Table!A"&amp;$U74):INDIRECT("Table!" &amp; $X$171 &amp; $U74),0)),"",INDIRECT(CONCATENATE("Table!",ADDRESS($Q74,MATCH(H$1,INDIRECT("Table!A" &amp; $U74):INDIRECT("Table!" &amp; $X$171 &amp; $U74),0)))))</f>
        <v>121331.8</v>
      </c>
      <c r="I74" s="33">
        <f ca="1">IF(ISERROR(MATCH(I$1,INDIRECT("Table!A"&amp;$U74):INDIRECT("Table!" &amp; $X$171 &amp; $U74),0)),"",INDIRECT(CONCATENATE("Table!",ADDRESS($Q74,MATCH(I$1,INDIRECT("Table!A" &amp; $U74):INDIRECT("Table!" &amp; $X$171 &amp; $U74),0)))))</f>
        <v>170967.6</v>
      </c>
      <c r="J74" s="33">
        <f ca="1">IF(ISERROR(MATCH(J$1,INDIRECT("Table!A"&amp;$U74):INDIRECT("Table!" &amp; $X$171 &amp; $U74),0)),"",INDIRECT(CONCATENATE("Table!",ADDRESS($Q74,MATCH(J$1,INDIRECT("Table!A" &amp; $U74):INDIRECT("Table!" &amp; $X$171 &amp; $U74),0)))))</f>
        <v>132132.20000000001</v>
      </c>
      <c r="K74" s="33">
        <f ca="1">IF(ISERROR(MATCH(K$1,INDIRECT("Table!A"&amp;$U74):INDIRECT("Table!" &amp; $X$171 &amp; $U74),0)),"",INDIRECT(CONCATENATE("Table!",ADDRESS($Q74,MATCH(K$1,INDIRECT("Table!A" &amp; $U74):INDIRECT("Table!" &amp; $X$171 &amp; $U74),0)))))</f>
        <v>60665.9</v>
      </c>
      <c r="L74" s="33">
        <f ca="1">IF(ISERROR(MATCH(L$1,INDIRECT("Table!A"&amp;$U74):INDIRECT("Table!" &amp; $X$171 &amp; $U74),0)),"",INDIRECT(CONCATENATE("Table!",ADDRESS($Q74,MATCH(L$1,INDIRECT("Table!A" &amp; $U74):INDIRECT("Table!" &amp; $X$171 &amp; $U74),0)))))</f>
        <v>176482.7</v>
      </c>
      <c r="M74" s="33">
        <f ca="1">IF(ISERROR(MATCH(M$1,INDIRECT("Table!A"&amp;$U74):INDIRECT("Table!" &amp; $X$171 &amp; $U74),0)),"",INDIRECT(CONCATENATE("Table!",ADDRESS($Q74,MATCH(M$1,INDIRECT("Table!A" &amp; $U74):INDIRECT("Table!" &amp; $X$171 &amp; $U74),0)))))</f>
        <v>54921</v>
      </c>
      <c r="N74" s="216"/>
      <c r="O74" s="216"/>
      <c r="P74" s="216"/>
      <c r="Q74" s="31">
        <f>MATCH($A74,Table!$A:$A,0)+$S$14-1</f>
        <v>987</v>
      </c>
      <c r="R74" s="216"/>
      <c r="S74" s="216"/>
      <c r="T74" s="216"/>
      <c r="U74" s="31">
        <f>MATCH($A74,Table!$A:$A,0)+$W$2-1</f>
        <v>973</v>
      </c>
      <c r="V74" s="216"/>
      <c r="W74" s="216"/>
      <c r="X74" s="372" t="s">
        <v>209</v>
      </c>
    </row>
    <row r="75" spans="1:24" ht="18" customHeight="1">
      <c r="A75" s="5">
        <v>41095</v>
      </c>
      <c r="B75" s="33">
        <f ca="1">IF(ISERROR(MATCH(B$1,INDIRECT("Table!A"&amp;$U75):INDIRECT("Table!" &amp; $X$171 &amp; $U75),0)),"",INDIRECT(CONCATENATE("Table!",ADDRESS($Q75,MATCH(B$1,INDIRECT("Table!A" &amp; $U75):INDIRECT("Table!" &amp; $X$171 &amp; $U75),0)))))</f>
        <v>115816.8</v>
      </c>
      <c r="C75" s="33">
        <f ca="1">IF(ISERROR(MATCH(C$1,INDIRECT("Table!A"&amp;$U75):INDIRECT("Table!" &amp; $X$171 &amp; $U75),0)),"",INDIRECT(CONCATENATE("Table!",ADDRESS($Q75,MATCH(C$1,INDIRECT("Table!A" &amp; $U75):INDIRECT("Table!" &amp; $X$171 &amp; $U75),0)))))</f>
        <v>99041.7</v>
      </c>
      <c r="D75" s="33">
        <f ca="1">IF(ISERROR(MATCH(D$1,INDIRECT("Table!A"&amp;$U75):INDIRECT("Table!" &amp; $X$171 &amp; $U75),0)),"",INDIRECT(CONCATENATE("Table!",ADDRESS($Q75,MATCH(D$1,INDIRECT("Table!A" &amp; $U75):INDIRECT("Table!" &amp; $X$171 &amp; $U75),0)))))</f>
        <v>99041.7</v>
      </c>
      <c r="E75" s="33">
        <f ca="1">IF(ISERROR(MATCH(E$1,INDIRECT("Table!A"&amp;$U75):INDIRECT("Table!" &amp; $X$171 &amp; $U75),0)),"",INDIRECT(CONCATENATE("Table!",ADDRESS($Q75,MATCH(E$1,INDIRECT("Table!A" &amp; $U75):INDIRECT("Table!" &amp; $X$171 &amp; $U75),0)))))</f>
        <v>181997.8</v>
      </c>
      <c r="F75" s="33">
        <f ca="1">IF(ISERROR(MATCH(F$1,INDIRECT("Table!A"&amp;$U75):INDIRECT("Table!" &amp; $X$171 &amp; $U75),0)),"",INDIRECT(CONCATENATE("Table!",ADDRESS($Q75,MATCH(F$1,INDIRECT("Table!A" &amp; $U75):INDIRECT("Table!" &amp; $X$171 &amp; $U75),0)))))</f>
        <v>121331.8</v>
      </c>
      <c r="G75" s="33">
        <f ca="1">IF(ISERROR(MATCH(G$1,INDIRECT("Table!A"&amp;$U75):INDIRECT("Table!" &amp; $X$171 &amp; $U75),0)),"",INDIRECT(CONCATENATE("Table!",ADDRESS($Q75,MATCH(G$1,INDIRECT("Table!A" &amp; $U75):INDIRECT("Table!" &amp; $X$171 &amp; $U75),0)))))</f>
        <v>110071.9</v>
      </c>
      <c r="H75" s="33">
        <f ca="1">IF(ISERROR(MATCH(H$1,INDIRECT("Table!A"&amp;$U75):INDIRECT("Table!" &amp; $X$171 &amp; $U75),0)),"",INDIRECT(CONCATENATE("Table!",ADDRESS($Q75,MATCH(H$1,INDIRECT("Table!A" &amp; $U75):INDIRECT("Table!" &amp; $X$171 &amp; $U75),0)))))</f>
        <v>121331.8</v>
      </c>
      <c r="I75" s="33">
        <f ca="1">IF(ISERROR(MATCH(I$1,INDIRECT("Table!A"&amp;$U75):INDIRECT("Table!" &amp; $X$171 &amp; $U75),0)),"",INDIRECT(CONCATENATE("Table!",ADDRESS($Q75,MATCH(I$1,INDIRECT("Table!A" &amp; $U75):INDIRECT("Table!" &amp; $X$171 &amp; $U75),0)))))</f>
        <v>170967.6</v>
      </c>
      <c r="J75" s="33">
        <f ca="1">IF(ISERROR(MATCH(J$1,INDIRECT("Table!A"&amp;$U75):INDIRECT("Table!" &amp; $X$171 &amp; $U75),0)),"",INDIRECT(CONCATENATE("Table!",ADDRESS($Q75,MATCH(J$1,INDIRECT("Table!A" &amp; $U75):INDIRECT("Table!" &amp; $X$171 &amp; $U75),0)))))</f>
        <v>132132.20000000001</v>
      </c>
      <c r="K75" s="33">
        <f ca="1">IF(ISERROR(MATCH(K$1,INDIRECT("Table!A"&amp;$U75):INDIRECT("Table!" &amp; $X$171 &amp; $U75),0)),"",INDIRECT(CONCATENATE("Table!",ADDRESS($Q75,MATCH(K$1,INDIRECT("Table!A" &amp; $U75):INDIRECT("Table!" &amp; $X$171 &amp; $U75),0)))))</f>
        <v>60665.9</v>
      </c>
      <c r="L75" s="33">
        <f ca="1">IF(ISERROR(MATCH(L$1,INDIRECT("Table!A"&amp;$U75):INDIRECT("Table!" &amp; $X$171 &amp; $U75),0)),"",INDIRECT(CONCATENATE("Table!",ADDRESS($Q75,MATCH(L$1,INDIRECT("Table!A" &amp; $U75):INDIRECT("Table!" &amp; $X$171 &amp; $U75),0)))))</f>
        <v>176482.7</v>
      </c>
      <c r="M75" s="33">
        <f ca="1">IF(ISERROR(MATCH(M$1,INDIRECT("Table!A"&amp;$U75):INDIRECT("Table!" &amp; $X$171 &amp; $U75),0)),"",INDIRECT(CONCATENATE("Table!",ADDRESS($Q75,MATCH(M$1,INDIRECT("Table!A" &amp; $U75):INDIRECT("Table!" &amp; $X$171 &amp; $U75),0)))))</f>
        <v>54921</v>
      </c>
      <c r="N75" s="213"/>
      <c r="O75" s="213"/>
      <c r="P75" s="213"/>
      <c r="Q75" s="31">
        <f>MATCH($A75,Table!$A:$A,0)+$S$14-1</f>
        <v>1000</v>
      </c>
      <c r="R75" s="213"/>
      <c r="S75" s="213"/>
      <c r="T75" s="213"/>
      <c r="U75" s="31">
        <f>MATCH($A75,Table!$A:$A,0)+$W$2-1</f>
        <v>986</v>
      </c>
      <c r="V75" s="213"/>
      <c r="W75" s="213"/>
      <c r="X75" s="372" t="s">
        <v>209</v>
      </c>
    </row>
    <row r="76" spans="1:24" ht="18" customHeight="1">
      <c r="A76" s="5">
        <v>41094</v>
      </c>
      <c r="B76" s="33">
        <f ca="1">IF(ISERROR(MATCH(B$1,INDIRECT("Table!A"&amp;$U76):INDIRECT("Table!" &amp; $X$171 &amp; $U76),0)),"",INDIRECT(CONCATENATE("Table!",ADDRESS($Q76,MATCH(B$1,INDIRECT("Table!A" &amp; $U76):INDIRECT("Table!" &amp; $X$171 &amp; $U76),0)))))</f>
        <v>115816.8</v>
      </c>
      <c r="C76" s="33">
        <f ca="1">IF(ISERROR(MATCH(C$1,INDIRECT("Table!A"&amp;$U76):INDIRECT("Table!" &amp; $X$171 &amp; $U76),0)),"",INDIRECT(CONCATENATE("Table!",ADDRESS($Q76,MATCH(C$1,INDIRECT("Table!A" &amp; $U76):INDIRECT("Table!" &amp; $X$171 &amp; $U76),0)))))</f>
        <v>99041.7</v>
      </c>
      <c r="D76" s="33">
        <f ca="1">IF(ISERROR(MATCH(D$1,INDIRECT("Table!A"&amp;$U76):INDIRECT("Table!" &amp; $X$171 &amp; $U76),0)),"",INDIRECT(CONCATENATE("Table!",ADDRESS($Q76,MATCH(D$1,INDIRECT("Table!A" &amp; $U76):INDIRECT("Table!" &amp; $X$171 &amp; $U76),0)))))</f>
        <v>99041.7</v>
      </c>
      <c r="E76" s="33">
        <f ca="1">IF(ISERROR(MATCH(E$1,INDIRECT("Table!A"&amp;$U76):INDIRECT("Table!" &amp; $X$171 &amp; $U76),0)),"",INDIRECT(CONCATENATE("Table!",ADDRESS($Q76,MATCH(E$1,INDIRECT("Table!A" &amp; $U76):INDIRECT("Table!" &amp; $X$171 &amp; $U76),0)))))</f>
        <v>181997.8</v>
      </c>
      <c r="F76" s="33">
        <f ca="1">IF(ISERROR(MATCH(F$1,INDIRECT("Table!A"&amp;$U76):INDIRECT("Table!" &amp; $X$171 &amp; $U76),0)),"",INDIRECT(CONCATENATE("Table!",ADDRESS($Q76,MATCH(F$1,INDIRECT("Table!A" &amp; $U76):INDIRECT("Table!" &amp; $X$171 &amp; $U76),0)))))</f>
        <v>121331.8</v>
      </c>
      <c r="G76" s="33">
        <f ca="1">IF(ISERROR(MATCH(G$1,INDIRECT("Table!A"&amp;$U76):INDIRECT("Table!" &amp; $X$171 &amp; $U76),0)),"",INDIRECT(CONCATENATE("Table!",ADDRESS($Q76,MATCH(G$1,INDIRECT("Table!A" &amp; $U76):INDIRECT("Table!" &amp; $X$171 &amp; $U76),0)))))</f>
        <v>110071.9</v>
      </c>
      <c r="H76" s="33">
        <f ca="1">IF(ISERROR(MATCH(H$1,INDIRECT("Table!A"&amp;$U76):INDIRECT("Table!" &amp; $X$171 &amp; $U76),0)),"",INDIRECT(CONCATENATE("Table!",ADDRESS($Q76,MATCH(H$1,INDIRECT("Table!A" &amp; $U76):INDIRECT("Table!" &amp; $X$171 &amp; $U76),0)))))</f>
        <v>121331.8</v>
      </c>
      <c r="I76" s="33">
        <f ca="1">IF(ISERROR(MATCH(I$1,INDIRECT("Table!A"&amp;$U76):INDIRECT("Table!" &amp; $X$171 &amp; $U76),0)),"",INDIRECT(CONCATENATE("Table!",ADDRESS($Q76,MATCH(I$1,INDIRECT("Table!A" &amp; $U76):INDIRECT("Table!" &amp; $X$171 &amp; $U76),0)))))</f>
        <v>170967.6</v>
      </c>
      <c r="J76" s="33">
        <f ca="1">IF(ISERROR(MATCH(J$1,INDIRECT("Table!A"&amp;$U76):INDIRECT("Table!" &amp; $X$171 &amp; $U76),0)),"",INDIRECT(CONCATENATE("Table!",ADDRESS($Q76,MATCH(J$1,INDIRECT("Table!A" &amp; $U76):INDIRECT("Table!" &amp; $X$171 &amp; $U76),0)))))</f>
        <v>132132.20000000001</v>
      </c>
      <c r="K76" s="33">
        <f ca="1">IF(ISERROR(MATCH(K$1,INDIRECT("Table!A"&amp;$U76):INDIRECT("Table!" &amp; $X$171 &amp; $U76),0)),"",INDIRECT(CONCATENATE("Table!",ADDRESS($Q76,MATCH(K$1,INDIRECT("Table!A" &amp; $U76):INDIRECT("Table!" &amp; $X$171 &amp; $U76),0)))))</f>
        <v>60665.9</v>
      </c>
      <c r="L76" s="33">
        <f ca="1">IF(ISERROR(MATCH(L$1,INDIRECT("Table!A"&amp;$U76):INDIRECT("Table!" &amp; $X$171 &amp; $U76),0)),"",INDIRECT(CONCATENATE("Table!",ADDRESS($Q76,MATCH(L$1,INDIRECT("Table!A" &amp; $U76):INDIRECT("Table!" &amp; $X$171 &amp; $U76),0)))))</f>
        <v>176482.7</v>
      </c>
      <c r="M76" s="33">
        <f ca="1">IF(ISERROR(MATCH(M$1,INDIRECT("Table!A"&amp;$U76):INDIRECT("Table!" &amp; $X$171 &amp; $U76),0)),"",INDIRECT(CONCATENATE("Table!",ADDRESS($Q76,MATCH(M$1,INDIRECT("Table!A" &amp; $U76):INDIRECT("Table!" &amp; $X$171 &amp; $U76),0)))))</f>
        <v>54921</v>
      </c>
      <c r="N76" s="214"/>
      <c r="O76" s="214"/>
      <c r="P76" s="214"/>
      <c r="Q76" s="31">
        <f>MATCH($A76,Table!$A:$A,0)+$S$14-1</f>
        <v>1013</v>
      </c>
      <c r="R76" s="214"/>
      <c r="S76" s="214"/>
      <c r="T76" s="214"/>
      <c r="U76" s="31">
        <f>MATCH($A76,Table!$A:$A,0)+$W$2-1</f>
        <v>999</v>
      </c>
      <c r="V76" s="214"/>
      <c r="W76" s="214"/>
      <c r="X76" s="372" t="s">
        <v>209</v>
      </c>
    </row>
    <row r="77" spans="1:24" ht="18" customHeight="1">
      <c r="A77" s="5">
        <v>41093</v>
      </c>
      <c r="B77" s="33">
        <f ca="1">IF(ISERROR(MATCH(B$1,INDIRECT("Table!A"&amp;$U77):INDIRECT("Table!" &amp; $X$171 &amp; $U77),0)),"",INDIRECT(CONCATENATE("Table!",ADDRESS($Q77,MATCH(B$1,INDIRECT("Table!A" &amp; $U77):INDIRECT("Table!" &amp; $X$171 &amp; $U77),0)))))</f>
        <v>115816.8</v>
      </c>
      <c r="C77" s="33">
        <f ca="1">IF(ISERROR(MATCH(C$1,INDIRECT("Table!A"&amp;$U77):INDIRECT("Table!" &amp; $X$171 &amp; $U77),0)),"",INDIRECT(CONCATENATE("Table!",ADDRESS($Q77,MATCH(C$1,INDIRECT("Table!A" &amp; $U77):INDIRECT("Table!" &amp; $X$171 &amp; $U77),0)))))</f>
        <v>99041.7</v>
      </c>
      <c r="D77" s="33">
        <f ca="1">IF(ISERROR(MATCH(D$1,INDIRECT("Table!A"&amp;$U77):INDIRECT("Table!" &amp; $X$171 &amp; $U77),0)),"",INDIRECT(CONCATENATE("Table!",ADDRESS($Q77,MATCH(D$1,INDIRECT("Table!A" &amp; $U77):INDIRECT("Table!" &amp; $X$171 &amp; $U77),0)))))</f>
        <v>99041.7</v>
      </c>
      <c r="E77" s="33">
        <f ca="1">IF(ISERROR(MATCH(E$1,INDIRECT("Table!A"&amp;$U77):INDIRECT("Table!" &amp; $X$171 &amp; $U77),0)),"",INDIRECT(CONCATENATE("Table!",ADDRESS($Q77,MATCH(E$1,INDIRECT("Table!A" &amp; $U77):INDIRECT("Table!" &amp; $X$171 &amp; $U77),0)))))</f>
        <v>181997.8</v>
      </c>
      <c r="F77" s="33">
        <f ca="1">IF(ISERROR(MATCH(F$1,INDIRECT("Table!A"&amp;$U77):INDIRECT("Table!" &amp; $X$171 &amp; $U77),0)),"",INDIRECT(CONCATENATE("Table!",ADDRESS($Q77,MATCH(F$1,INDIRECT("Table!A" &amp; $U77):INDIRECT("Table!" &amp; $X$171 &amp; $U77),0)))))</f>
        <v>121331.8</v>
      </c>
      <c r="G77" s="33">
        <f ca="1">IF(ISERROR(MATCH(G$1,INDIRECT("Table!A"&amp;$U77):INDIRECT("Table!" &amp; $X$171 &amp; $U77),0)),"",INDIRECT(CONCATENATE("Table!",ADDRESS($Q77,MATCH(G$1,INDIRECT("Table!A" &amp; $U77):INDIRECT("Table!" &amp; $X$171 &amp; $U77),0)))))</f>
        <v>110071.9</v>
      </c>
      <c r="H77" s="33">
        <f ca="1">IF(ISERROR(MATCH(H$1,INDIRECT("Table!A"&amp;$U77):INDIRECT("Table!" &amp; $X$171 &amp; $U77),0)),"",INDIRECT(CONCATENATE("Table!",ADDRESS($Q77,MATCH(H$1,INDIRECT("Table!A" &amp; $U77):INDIRECT("Table!" &amp; $X$171 &amp; $U77),0)))))</f>
        <v>121331.8</v>
      </c>
      <c r="I77" s="33">
        <f ca="1">IF(ISERROR(MATCH(I$1,INDIRECT("Table!A"&amp;$U77):INDIRECT("Table!" &amp; $X$171 &amp; $U77),0)),"",INDIRECT(CONCATENATE("Table!",ADDRESS($Q77,MATCH(I$1,INDIRECT("Table!A" &amp; $U77):INDIRECT("Table!" &amp; $X$171 &amp; $U77),0)))))</f>
        <v>170967.6</v>
      </c>
      <c r="J77" s="33">
        <f ca="1">IF(ISERROR(MATCH(J$1,INDIRECT("Table!A"&amp;$U77):INDIRECT("Table!" &amp; $X$171 &amp; $U77),0)),"",INDIRECT(CONCATENATE("Table!",ADDRESS($Q77,MATCH(J$1,INDIRECT("Table!A" &amp; $U77):INDIRECT("Table!" &amp; $X$171 &amp; $U77),0)))))</f>
        <v>132132.20000000001</v>
      </c>
      <c r="K77" s="33">
        <f ca="1">IF(ISERROR(MATCH(K$1,INDIRECT("Table!A"&amp;$U77):INDIRECT("Table!" &amp; $X$171 &amp; $U77),0)),"",INDIRECT(CONCATENATE("Table!",ADDRESS($Q77,MATCH(K$1,INDIRECT("Table!A" &amp; $U77):INDIRECT("Table!" &amp; $X$171 &amp; $U77),0)))))</f>
        <v>60665.9</v>
      </c>
      <c r="L77" s="33">
        <f ca="1">IF(ISERROR(MATCH(L$1,INDIRECT("Table!A"&amp;$U77):INDIRECT("Table!" &amp; $X$171 &amp; $U77),0)),"",INDIRECT(CONCATENATE("Table!",ADDRESS($Q77,MATCH(L$1,INDIRECT("Table!A" &amp; $U77):INDIRECT("Table!" &amp; $X$171 &amp; $U77),0)))))</f>
        <v>176482.7</v>
      </c>
      <c r="M77" s="33">
        <f ca="1">IF(ISERROR(MATCH(M$1,INDIRECT("Table!A"&amp;$U77):INDIRECT("Table!" &amp; $X$171 &amp; $U77),0)),"",INDIRECT(CONCATENATE("Table!",ADDRESS($Q77,MATCH(M$1,INDIRECT("Table!A" &amp; $U77):INDIRECT("Table!" &amp; $X$171 &amp; $U77),0)))))</f>
        <v>54921</v>
      </c>
      <c r="N77" s="212"/>
      <c r="O77" s="212"/>
      <c r="P77" s="212"/>
      <c r="Q77" s="31">
        <f>MATCH($A77,Table!$A:$A,0)+$S$14-1</f>
        <v>1026</v>
      </c>
      <c r="R77" s="212"/>
      <c r="S77" s="212"/>
      <c r="T77" s="212"/>
      <c r="U77" s="31">
        <f>MATCH($A77,Table!$A:$A,0)+$W$2-1</f>
        <v>1012</v>
      </c>
      <c r="V77" s="212"/>
      <c r="W77" s="212"/>
      <c r="X77" s="372" t="s">
        <v>209</v>
      </c>
    </row>
    <row r="78" spans="1:24" ht="18" customHeight="1">
      <c r="A78" s="5">
        <v>41092</v>
      </c>
      <c r="B78" s="33">
        <f ca="1">IF(ISERROR(MATCH(B$1,INDIRECT("Table!A"&amp;$U78):INDIRECT("Table!" &amp; $X$171 &amp; $U78),0)),"",INDIRECT(CONCATENATE("Table!",ADDRESS($Q78,MATCH(B$1,INDIRECT("Table!A" &amp; $U78):INDIRECT("Table!" &amp; $X$171 &amp; $U78),0)))))</f>
        <v>115816.8</v>
      </c>
      <c r="C78" s="33">
        <f ca="1">IF(ISERROR(MATCH(C$1,INDIRECT("Table!A"&amp;$U78):INDIRECT("Table!" &amp; $X$171 &amp; $U78),0)),"",INDIRECT(CONCATENATE("Table!",ADDRESS($Q78,MATCH(C$1,INDIRECT("Table!A" &amp; $U78):INDIRECT("Table!" &amp; $X$171 &amp; $U78),0)))))</f>
        <v>99041.7</v>
      </c>
      <c r="D78" s="33">
        <f ca="1">IF(ISERROR(MATCH(D$1,INDIRECT("Table!A"&amp;$U78):INDIRECT("Table!" &amp; $X$171 &amp; $U78),0)),"",INDIRECT(CONCATENATE("Table!",ADDRESS($Q78,MATCH(D$1,INDIRECT("Table!A" &amp; $U78):INDIRECT("Table!" &amp; $X$171 &amp; $U78),0)))))</f>
        <v>99041.7</v>
      </c>
      <c r="E78" s="33">
        <f ca="1">IF(ISERROR(MATCH(E$1,INDIRECT("Table!A"&amp;$U78):INDIRECT("Table!" &amp; $X$171 &amp; $U78),0)),"",INDIRECT(CONCATENATE("Table!",ADDRESS($Q78,MATCH(E$1,INDIRECT("Table!A" &amp; $U78):INDIRECT("Table!" &amp; $X$171 &amp; $U78),0)))))</f>
        <v>181997.8</v>
      </c>
      <c r="F78" s="33">
        <f ca="1">IF(ISERROR(MATCH(F$1,INDIRECT("Table!A"&amp;$U78):INDIRECT("Table!" &amp; $X$171 &amp; $U78),0)),"",INDIRECT(CONCATENATE("Table!",ADDRESS($Q78,MATCH(F$1,INDIRECT("Table!A" &amp; $U78):INDIRECT("Table!" &amp; $X$171 &amp; $U78),0)))))</f>
        <v>121331.8</v>
      </c>
      <c r="G78" s="33">
        <f ca="1">IF(ISERROR(MATCH(G$1,INDIRECT("Table!A"&amp;$U78):INDIRECT("Table!" &amp; $X$171 &amp; $U78),0)),"",INDIRECT(CONCATENATE("Table!",ADDRESS($Q78,MATCH(G$1,INDIRECT("Table!A" &amp; $U78):INDIRECT("Table!" &amp; $X$171 &amp; $U78),0)))))</f>
        <v>110071.9</v>
      </c>
      <c r="H78" s="33">
        <f ca="1">IF(ISERROR(MATCH(H$1,INDIRECT("Table!A"&amp;$U78):INDIRECT("Table!" &amp; $X$171 &amp; $U78),0)),"",INDIRECT(CONCATENATE("Table!",ADDRESS($Q78,MATCH(H$1,INDIRECT("Table!A" &amp; $U78):INDIRECT("Table!" &amp; $X$171 &amp; $U78),0)))))</f>
        <v>121331.8</v>
      </c>
      <c r="I78" s="33">
        <f ca="1">IF(ISERROR(MATCH(I$1,INDIRECT("Table!A"&amp;$U78):INDIRECT("Table!" &amp; $X$171 &amp; $U78),0)),"",INDIRECT(CONCATENATE("Table!",ADDRESS($Q78,MATCH(I$1,INDIRECT("Table!A" &amp; $U78):INDIRECT("Table!" &amp; $X$171 &amp; $U78),0)))))</f>
        <v>170967.6</v>
      </c>
      <c r="J78" s="33">
        <f ca="1">IF(ISERROR(MATCH(J$1,INDIRECT("Table!A"&amp;$U78):INDIRECT("Table!" &amp; $X$171 &amp; $U78),0)),"",INDIRECT(CONCATENATE("Table!",ADDRESS($Q78,MATCH(J$1,INDIRECT("Table!A" &amp; $U78):INDIRECT("Table!" &amp; $X$171 &amp; $U78),0)))))</f>
        <v>132132.20000000001</v>
      </c>
      <c r="K78" s="33">
        <f ca="1">IF(ISERROR(MATCH(K$1,INDIRECT("Table!A"&amp;$U78):INDIRECT("Table!" &amp; $X$171 &amp; $U78),0)),"",INDIRECT(CONCATENATE("Table!",ADDRESS($Q78,MATCH(K$1,INDIRECT("Table!A" &amp; $U78):INDIRECT("Table!" &amp; $X$171 &amp; $U78),0)))))</f>
        <v>60665.9</v>
      </c>
      <c r="L78" s="33">
        <f ca="1">IF(ISERROR(MATCH(L$1,INDIRECT("Table!A"&amp;$U78):INDIRECT("Table!" &amp; $X$171 &amp; $U78),0)),"",INDIRECT(CONCATENATE("Table!",ADDRESS($Q78,MATCH(L$1,INDIRECT("Table!A" &amp; $U78):INDIRECT("Table!" &amp; $X$171 &amp; $U78),0)))))</f>
        <v>176482.7</v>
      </c>
      <c r="M78" s="33">
        <f ca="1">IF(ISERROR(MATCH(M$1,INDIRECT("Table!A"&amp;$U78):INDIRECT("Table!" &amp; $X$171 &amp; $U78),0)),"",INDIRECT(CONCATENATE("Table!",ADDRESS($Q78,MATCH(M$1,INDIRECT("Table!A" &amp; $U78):INDIRECT("Table!" &amp; $X$171 &amp; $U78),0)))))</f>
        <v>54921</v>
      </c>
      <c r="N78" s="173"/>
      <c r="O78" s="173"/>
      <c r="P78" s="173"/>
      <c r="Q78" s="31">
        <f>MATCH($A78,Table!$A:$A,0)+$S$14-1</f>
        <v>1039</v>
      </c>
      <c r="R78" s="173"/>
      <c r="S78" s="173"/>
      <c r="T78" s="173"/>
      <c r="U78" s="31">
        <f>MATCH($A78,Table!$A:$A,0)+$W$2-1</f>
        <v>1025</v>
      </c>
      <c r="V78" s="173"/>
      <c r="W78" s="173"/>
      <c r="X78" s="372" t="s">
        <v>209</v>
      </c>
    </row>
    <row r="79" spans="1:24" ht="18" customHeight="1">
      <c r="A79" s="5">
        <v>41087</v>
      </c>
      <c r="B79" s="33">
        <f ca="1">IF(ISERROR(MATCH(B$1,INDIRECT("Table!A"&amp;$U79):INDIRECT("Table!" &amp; $X$171 &amp; $U79),0)),"",INDIRECT(CONCATENATE("Table!",ADDRESS($Q79,MATCH(B$1,INDIRECT("Table!A" &amp; $U79):INDIRECT("Table!" &amp; $X$171 &amp; $U79),0)))))</f>
        <v>115816.8</v>
      </c>
      <c r="C79" s="33">
        <f ca="1">IF(ISERROR(MATCH(C$1,INDIRECT("Table!A"&amp;$U79):INDIRECT("Table!" &amp; $X$171 &amp; $U79),0)),"",INDIRECT(CONCATENATE("Table!",ADDRESS($Q79,MATCH(C$1,INDIRECT("Table!A" &amp; $U79):INDIRECT("Table!" &amp; $X$171 &amp; $U79),0)))))</f>
        <v>99041.7</v>
      </c>
      <c r="D79" s="33">
        <f ca="1">IF(ISERROR(MATCH(D$1,INDIRECT("Table!A"&amp;$U79):INDIRECT("Table!" &amp; $X$171 &amp; $U79),0)),"",INDIRECT(CONCATENATE("Table!",ADDRESS($Q79,MATCH(D$1,INDIRECT("Table!A" &amp; $U79):INDIRECT("Table!" &amp; $X$171 &amp; $U79),0)))))</f>
        <v>99041.7</v>
      </c>
      <c r="E79" s="33">
        <f ca="1">IF(ISERROR(MATCH(E$1,INDIRECT("Table!A"&amp;$U79):INDIRECT("Table!" &amp; $X$171 &amp; $U79),0)),"",INDIRECT(CONCATENATE("Table!",ADDRESS($Q79,MATCH(E$1,INDIRECT("Table!A" &amp; $U79):INDIRECT("Table!" &amp; $X$171 &amp; $U79),0)))))</f>
        <v>181997.8</v>
      </c>
      <c r="F79" s="33">
        <f ca="1">IF(ISERROR(MATCH(F$1,INDIRECT("Table!A"&amp;$U79):INDIRECT("Table!" &amp; $X$171 &amp; $U79),0)),"",INDIRECT(CONCATENATE("Table!",ADDRESS($Q79,MATCH(F$1,INDIRECT("Table!A" &amp; $U79):INDIRECT("Table!" &amp; $X$171 &amp; $U79),0)))))</f>
        <v>121331.8</v>
      </c>
      <c r="G79" s="33">
        <f ca="1">IF(ISERROR(MATCH(G$1,INDIRECT("Table!A"&amp;$U79):INDIRECT("Table!" &amp; $X$171 &amp; $U79),0)),"",INDIRECT(CONCATENATE("Table!",ADDRESS($Q79,MATCH(G$1,INDIRECT("Table!A" &amp; $U79):INDIRECT("Table!" &amp; $X$171 &amp; $U79),0)))))</f>
        <v>110071.9</v>
      </c>
      <c r="H79" s="33">
        <f ca="1">IF(ISERROR(MATCH(H$1,INDIRECT("Table!A"&amp;$U79):INDIRECT("Table!" &amp; $X$171 &amp; $U79),0)),"",INDIRECT(CONCATENATE("Table!",ADDRESS($Q79,MATCH(H$1,INDIRECT("Table!A" &amp; $U79):INDIRECT("Table!" &amp; $X$171 &amp; $U79),0)))))</f>
        <v>121331.8</v>
      </c>
      <c r="I79" s="33">
        <f ca="1">IF(ISERROR(MATCH(I$1,INDIRECT("Table!A"&amp;$U79):INDIRECT("Table!" &amp; $X$171 &amp; $U79),0)),"",INDIRECT(CONCATENATE("Table!",ADDRESS($Q79,MATCH(I$1,INDIRECT("Table!A" &amp; $U79):INDIRECT("Table!" &amp; $X$171 &amp; $U79),0)))))</f>
        <v>170967.6</v>
      </c>
      <c r="J79" s="33">
        <f ca="1">IF(ISERROR(MATCH(J$1,INDIRECT("Table!A"&amp;$U79):INDIRECT("Table!" &amp; $X$171 &amp; $U79),0)),"",INDIRECT(CONCATENATE("Table!",ADDRESS($Q79,MATCH(J$1,INDIRECT("Table!A" &amp; $U79):INDIRECT("Table!" &amp; $X$171 &amp; $U79),0)))))</f>
        <v>132132.20000000001</v>
      </c>
      <c r="K79" s="33">
        <f ca="1">IF(ISERROR(MATCH(K$1,INDIRECT("Table!A"&amp;$U79):INDIRECT("Table!" &amp; $X$171 &amp; $U79),0)),"",INDIRECT(CONCATENATE("Table!",ADDRESS($Q79,MATCH(K$1,INDIRECT("Table!A" &amp; $U79):INDIRECT("Table!" &amp; $X$171 &amp; $U79),0)))))</f>
        <v>60665.9</v>
      </c>
      <c r="L79" s="33">
        <f ca="1">IF(ISERROR(MATCH(L$1,INDIRECT("Table!A"&amp;$U79):INDIRECT("Table!" &amp; $X$171 &amp; $U79),0)),"",INDIRECT(CONCATENATE("Table!",ADDRESS($Q79,MATCH(L$1,INDIRECT("Table!A" &amp; $U79):INDIRECT("Table!" &amp; $X$171 &amp; $U79),0)))))</f>
        <v>176482.7</v>
      </c>
      <c r="M79" s="33">
        <f ca="1">IF(ISERROR(MATCH(M$1,INDIRECT("Table!A"&amp;$U79):INDIRECT("Table!" &amp; $X$171 &amp; $U79),0)),"",INDIRECT(CONCATENATE("Table!",ADDRESS($Q79,MATCH(M$1,INDIRECT("Table!A" &amp; $U79):INDIRECT("Table!" &amp; $X$171 &amp; $U79),0)))))</f>
        <v>54921</v>
      </c>
      <c r="N79" s="211"/>
      <c r="O79" s="211"/>
      <c r="P79" s="211"/>
      <c r="Q79" s="31">
        <f>MATCH($A79,Table!$A:$A,0)+$S$14-1</f>
        <v>1052</v>
      </c>
      <c r="R79" s="211"/>
      <c r="S79" s="211"/>
      <c r="T79" s="211"/>
      <c r="U79" s="31">
        <f>MATCH($A79,Table!$A:$A,0)+$W$2-1</f>
        <v>1038</v>
      </c>
      <c r="V79" s="211"/>
      <c r="W79" s="211"/>
      <c r="X79" s="372" t="s">
        <v>209</v>
      </c>
    </row>
    <row r="80" spans="1:24" ht="18" customHeight="1">
      <c r="A80" s="5">
        <v>41086</v>
      </c>
      <c r="B80" s="33">
        <f ca="1">IF(ISERROR(MATCH(B$1,INDIRECT("Table!A"&amp;$U80):INDIRECT("Table!" &amp; $X$171 &amp; $U80),0)),"",INDIRECT(CONCATENATE("Table!",ADDRESS($Q80,MATCH(B$1,INDIRECT("Table!A" &amp; $U80):INDIRECT("Table!" &amp; $X$171 &amp; $U80),0)))))</f>
        <v>115816.8</v>
      </c>
      <c r="C80" s="33">
        <f ca="1">IF(ISERROR(MATCH(C$1,INDIRECT("Table!A"&amp;$U80):INDIRECT("Table!" &amp; $X$171 &amp; $U80),0)),"",INDIRECT(CONCATENATE("Table!",ADDRESS($Q80,MATCH(C$1,INDIRECT("Table!A" &amp; $U80):INDIRECT("Table!" &amp; $X$171 &amp; $U80),0)))))</f>
        <v>99041.7</v>
      </c>
      <c r="D80" s="33">
        <f ca="1">IF(ISERROR(MATCH(D$1,INDIRECT("Table!A"&amp;$U80):INDIRECT("Table!" &amp; $X$171 &amp; $U80),0)),"",INDIRECT(CONCATENATE("Table!",ADDRESS($Q80,MATCH(D$1,INDIRECT("Table!A" &amp; $U80):INDIRECT("Table!" &amp; $X$171 &amp; $U80),0)))))</f>
        <v>99041.7</v>
      </c>
      <c r="E80" s="33">
        <f ca="1">IF(ISERROR(MATCH(E$1,INDIRECT("Table!A"&amp;$U80):INDIRECT("Table!" &amp; $X$171 &amp; $U80),0)),"",INDIRECT(CONCATENATE("Table!",ADDRESS($Q80,MATCH(E$1,INDIRECT("Table!A" &amp; $U80):INDIRECT("Table!" &amp; $X$171 &amp; $U80),0)))))</f>
        <v>181997.8</v>
      </c>
      <c r="F80" s="33">
        <f ca="1">IF(ISERROR(MATCH(F$1,INDIRECT("Table!A"&amp;$U80):INDIRECT("Table!" &amp; $X$171 &amp; $U80),0)),"",INDIRECT(CONCATENATE("Table!",ADDRESS($Q80,MATCH(F$1,INDIRECT("Table!A" &amp; $U80):INDIRECT("Table!" &amp; $X$171 &amp; $U80),0)))))</f>
        <v>121331.8</v>
      </c>
      <c r="G80" s="33">
        <f ca="1">IF(ISERROR(MATCH(G$1,INDIRECT("Table!A"&amp;$U80):INDIRECT("Table!" &amp; $X$171 &amp; $U80),0)),"",INDIRECT(CONCATENATE("Table!",ADDRESS($Q80,MATCH(G$1,INDIRECT("Table!A" &amp; $U80):INDIRECT("Table!" &amp; $X$171 &amp; $U80),0)))))</f>
        <v>110071.9</v>
      </c>
      <c r="H80" s="33">
        <f ca="1">IF(ISERROR(MATCH(H$1,INDIRECT("Table!A"&amp;$U80):INDIRECT("Table!" &amp; $X$171 &amp; $U80),0)),"",INDIRECT(CONCATENATE("Table!",ADDRESS($Q80,MATCH(H$1,INDIRECT("Table!A" &amp; $U80):INDIRECT("Table!" &amp; $X$171 &amp; $U80),0)))))</f>
        <v>121331.8</v>
      </c>
      <c r="I80" s="33">
        <f ca="1">IF(ISERROR(MATCH(I$1,INDIRECT("Table!A"&amp;$U80):INDIRECT("Table!" &amp; $X$171 &amp; $U80),0)),"",INDIRECT(CONCATENATE("Table!",ADDRESS($Q80,MATCH(I$1,INDIRECT("Table!A" &amp; $U80):INDIRECT("Table!" &amp; $X$171 &amp; $U80),0)))))</f>
        <v>170967.6</v>
      </c>
      <c r="J80" s="33">
        <f ca="1">IF(ISERROR(MATCH(J$1,INDIRECT("Table!A"&amp;$U80):INDIRECT("Table!" &amp; $X$171 &amp; $U80),0)),"",INDIRECT(CONCATENATE("Table!",ADDRESS($Q80,MATCH(J$1,INDIRECT("Table!A" &amp; $U80):INDIRECT("Table!" &amp; $X$171 &amp; $U80),0)))))</f>
        <v>132132.20000000001</v>
      </c>
      <c r="K80" s="33">
        <f ca="1">IF(ISERROR(MATCH(K$1,INDIRECT("Table!A"&amp;$U80):INDIRECT("Table!" &amp; $X$171 &amp; $U80),0)),"",INDIRECT(CONCATENATE("Table!",ADDRESS($Q80,MATCH(K$1,INDIRECT("Table!A" &amp; $U80):INDIRECT("Table!" &amp; $X$171 &amp; $U80),0)))))</f>
        <v>60665.9</v>
      </c>
      <c r="L80" s="33">
        <f ca="1">IF(ISERROR(MATCH(L$1,INDIRECT("Table!A"&amp;$U80):INDIRECT("Table!" &amp; $X$171 &amp; $U80),0)),"",INDIRECT(CONCATENATE("Table!",ADDRESS($Q80,MATCH(L$1,INDIRECT("Table!A" &amp; $U80):INDIRECT("Table!" &amp; $X$171 &amp; $U80),0)))))</f>
        <v>176482.7</v>
      </c>
      <c r="M80" s="33">
        <f ca="1">IF(ISERROR(MATCH(M$1,INDIRECT("Table!A"&amp;$U80):INDIRECT("Table!" &amp; $X$171 &amp; $U80),0)),"",INDIRECT(CONCATENATE("Table!",ADDRESS($Q80,MATCH(M$1,INDIRECT("Table!A" &amp; $U80):INDIRECT("Table!" &amp; $X$171 &amp; $U80),0)))))</f>
        <v>54921</v>
      </c>
      <c r="N80" s="210"/>
      <c r="O80" s="210"/>
      <c r="P80" s="210"/>
      <c r="Q80" s="31">
        <f>MATCH($A80,Table!$A:$A,0)+$S$14-1</f>
        <v>1065</v>
      </c>
      <c r="R80" s="210"/>
      <c r="S80" s="210"/>
      <c r="T80" s="210"/>
      <c r="U80" s="31">
        <f>MATCH($A80,Table!$A:$A,0)+$W$2-1</f>
        <v>1051</v>
      </c>
      <c r="V80" s="210"/>
      <c r="W80" s="210"/>
      <c r="X80" s="372" t="s">
        <v>209</v>
      </c>
    </row>
    <row r="81" spans="1:24" ht="18" customHeight="1">
      <c r="A81" s="5">
        <v>41085</v>
      </c>
      <c r="B81" s="33">
        <f ca="1">IF(ISERROR(MATCH(B$1,INDIRECT("Table!A"&amp;$U81):INDIRECT("Table!" &amp; $X$171 &amp; $U81),0)),"",INDIRECT(CONCATENATE("Table!",ADDRESS($Q81,MATCH(B$1,INDIRECT("Table!A" &amp; $U81):INDIRECT("Table!" &amp; $X$171 &amp; $U81),0)))))</f>
        <v>115816.8</v>
      </c>
      <c r="C81" s="33">
        <f ca="1">IF(ISERROR(MATCH(C$1,INDIRECT("Table!A"&amp;$U81):INDIRECT("Table!" &amp; $X$171 &amp; $U81),0)),"",INDIRECT(CONCATENATE("Table!",ADDRESS($Q81,MATCH(C$1,INDIRECT("Table!A" &amp; $U81):INDIRECT("Table!" &amp; $X$171 &amp; $U81),0)))))</f>
        <v>99041.7</v>
      </c>
      <c r="D81" s="33">
        <f ca="1">IF(ISERROR(MATCH(D$1,INDIRECT("Table!A"&amp;$U81):INDIRECT("Table!" &amp; $X$171 &amp; $U81),0)),"",INDIRECT(CONCATENATE("Table!",ADDRESS($Q81,MATCH(D$1,INDIRECT("Table!A" &amp; $U81):INDIRECT("Table!" &amp; $X$171 &amp; $U81),0)))))</f>
        <v>99041.7</v>
      </c>
      <c r="E81" s="33">
        <f ca="1">IF(ISERROR(MATCH(E$1,INDIRECT("Table!A"&amp;$U81):INDIRECT("Table!" &amp; $X$171 &amp; $U81),0)),"",INDIRECT(CONCATENATE("Table!",ADDRESS($Q81,MATCH(E$1,INDIRECT("Table!A" &amp; $U81):INDIRECT("Table!" &amp; $X$171 &amp; $U81),0)))))</f>
        <v>181997.8</v>
      </c>
      <c r="F81" s="33">
        <f ca="1">IF(ISERROR(MATCH(F$1,INDIRECT("Table!A"&amp;$U81):INDIRECT("Table!" &amp; $X$171 &amp; $U81),0)),"",INDIRECT(CONCATENATE("Table!",ADDRESS($Q81,MATCH(F$1,INDIRECT("Table!A" &amp; $U81):INDIRECT("Table!" &amp; $X$171 &amp; $U81),0)))))</f>
        <v>121331.8</v>
      </c>
      <c r="G81" s="33">
        <f ca="1">IF(ISERROR(MATCH(G$1,INDIRECT("Table!A"&amp;$U81):INDIRECT("Table!" &amp; $X$171 &amp; $U81),0)),"",INDIRECT(CONCATENATE("Table!",ADDRESS($Q81,MATCH(G$1,INDIRECT("Table!A" &amp; $U81):INDIRECT("Table!" &amp; $X$171 &amp; $U81),0)))))</f>
        <v>110071.9</v>
      </c>
      <c r="H81" s="33">
        <f ca="1">IF(ISERROR(MATCH(H$1,INDIRECT("Table!A"&amp;$U81):INDIRECT("Table!" &amp; $X$171 &amp; $U81),0)),"",INDIRECT(CONCATENATE("Table!",ADDRESS($Q81,MATCH(H$1,INDIRECT("Table!A" &amp; $U81):INDIRECT("Table!" &amp; $X$171 &amp; $U81),0)))))</f>
        <v>121331.8</v>
      </c>
      <c r="I81" s="33">
        <f ca="1">IF(ISERROR(MATCH(I$1,INDIRECT("Table!A"&amp;$U81):INDIRECT("Table!" &amp; $X$171 &amp; $U81),0)),"",INDIRECT(CONCATENATE("Table!",ADDRESS($Q81,MATCH(I$1,INDIRECT("Table!A" &amp; $U81):INDIRECT("Table!" &amp; $X$171 &amp; $U81),0)))))</f>
        <v>170967.6</v>
      </c>
      <c r="J81" s="33">
        <f ca="1">IF(ISERROR(MATCH(J$1,INDIRECT("Table!A"&amp;$U81):INDIRECT("Table!" &amp; $X$171 &amp; $U81),0)),"",INDIRECT(CONCATENATE("Table!",ADDRESS($Q81,MATCH(J$1,INDIRECT("Table!A" &amp; $U81):INDIRECT("Table!" &amp; $X$171 &amp; $U81),0)))))</f>
        <v>132132.20000000001</v>
      </c>
      <c r="K81" s="33">
        <f ca="1">IF(ISERROR(MATCH(K$1,INDIRECT("Table!A"&amp;$U81):INDIRECT("Table!" &amp; $X$171 &amp; $U81),0)),"",INDIRECT(CONCATENATE("Table!",ADDRESS($Q81,MATCH(K$1,INDIRECT("Table!A" &amp; $U81):INDIRECT("Table!" &amp; $X$171 &amp; $U81),0)))))</f>
        <v>60665.9</v>
      </c>
      <c r="L81" s="33">
        <f ca="1">IF(ISERROR(MATCH(L$1,INDIRECT("Table!A"&amp;$U81):INDIRECT("Table!" &amp; $X$171 &amp; $U81),0)),"",INDIRECT(CONCATENATE("Table!",ADDRESS($Q81,MATCH(L$1,INDIRECT("Table!A" &amp; $U81):INDIRECT("Table!" &amp; $X$171 &amp; $U81),0)))))</f>
        <v>176482.7</v>
      </c>
      <c r="M81" s="33">
        <f ca="1">IF(ISERROR(MATCH(M$1,INDIRECT("Table!A"&amp;$U81):INDIRECT("Table!" &amp; $X$171 &amp; $U81),0)),"",INDIRECT(CONCATENATE("Table!",ADDRESS($Q81,MATCH(M$1,INDIRECT("Table!A" &amp; $U81):INDIRECT("Table!" &amp; $X$171 &amp; $U81),0)))))</f>
        <v>54921</v>
      </c>
      <c r="N81" s="209"/>
      <c r="O81" s="209"/>
      <c r="P81" s="209"/>
      <c r="Q81" s="31">
        <f>MATCH($A81,Table!$A:$A,0)+$S$14-1</f>
        <v>1078</v>
      </c>
      <c r="R81" s="209"/>
      <c r="S81" s="209"/>
      <c r="T81" s="209"/>
      <c r="U81" s="31">
        <f>MATCH($A81,Table!$A:$A,0)+$W$2-1</f>
        <v>1064</v>
      </c>
      <c r="V81" s="209"/>
      <c r="W81" s="209"/>
      <c r="X81" s="372" t="s">
        <v>209</v>
      </c>
    </row>
    <row r="82" spans="1:24" ht="18" customHeight="1">
      <c r="A82" s="5">
        <v>41081</v>
      </c>
      <c r="B82" s="33">
        <f ca="1">IF(ISERROR(MATCH(B$1,INDIRECT("Table!A"&amp;$U82):INDIRECT("Table!" &amp; $X$171 &amp; $U82),0)),"",INDIRECT(CONCATENATE("Table!",ADDRESS($Q82,MATCH(B$1,INDIRECT("Table!A" &amp; $U82):INDIRECT("Table!" &amp; $X$171 &amp; $U82),0)))))</f>
        <v>115816.8</v>
      </c>
      <c r="C82" s="33">
        <f ca="1">IF(ISERROR(MATCH(C$1,INDIRECT("Table!A"&amp;$U82):INDIRECT("Table!" &amp; $X$171 &amp; $U82),0)),"",INDIRECT(CONCATENATE("Table!",ADDRESS($Q82,MATCH(C$1,INDIRECT("Table!A" &amp; $U82):INDIRECT("Table!" &amp; $X$171 &amp; $U82),0)))))</f>
        <v>99041.7</v>
      </c>
      <c r="D82" s="33">
        <f ca="1">IF(ISERROR(MATCH(D$1,INDIRECT("Table!A"&amp;$U82):INDIRECT("Table!" &amp; $X$171 &amp; $U82),0)),"",INDIRECT(CONCATENATE("Table!",ADDRESS($Q82,MATCH(D$1,INDIRECT("Table!A" &amp; $U82):INDIRECT("Table!" &amp; $X$171 &amp; $U82),0)))))</f>
        <v>99041.7</v>
      </c>
      <c r="E82" s="33">
        <f ca="1">IF(ISERROR(MATCH(E$1,INDIRECT("Table!A"&amp;$U82):INDIRECT("Table!" &amp; $X$171 &amp; $U82),0)),"",INDIRECT(CONCATENATE("Table!",ADDRESS($Q82,MATCH(E$1,INDIRECT("Table!A" &amp; $U82):INDIRECT("Table!" &amp; $X$171 &amp; $U82),0)))))</f>
        <v>181997.8</v>
      </c>
      <c r="F82" s="33">
        <f ca="1">IF(ISERROR(MATCH(F$1,INDIRECT("Table!A"&amp;$U82):INDIRECT("Table!" &amp; $X$171 &amp; $U82),0)),"",INDIRECT(CONCATENATE("Table!",ADDRESS($Q82,MATCH(F$1,INDIRECT("Table!A" &amp; $U82):INDIRECT("Table!" &amp; $X$171 &amp; $U82),0)))))</f>
        <v>121331.8</v>
      </c>
      <c r="G82" s="33">
        <f ca="1">IF(ISERROR(MATCH(G$1,INDIRECT("Table!A"&amp;$U82):INDIRECT("Table!" &amp; $X$171 &amp; $U82),0)),"",INDIRECT(CONCATENATE("Table!",ADDRESS($Q82,MATCH(G$1,INDIRECT("Table!A" &amp; $U82):INDIRECT("Table!" &amp; $X$171 &amp; $U82),0)))))</f>
        <v>110071.9</v>
      </c>
      <c r="H82" s="33">
        <f ca="1">IF(ISERROR(MATCH(H$1,INDIRECT("Table!A"&amp;$U82):INDIRECT("Table!" &amp; $X$171 &amp; $U82),0)),"",INDIRECT(CONCATENATE("Table!",ADDRESS($Q82,MATCH(H$1,INDIRECT("Table!A" &amp; $U82):INDIRECT("Table!" &amp; $X$171 &amp; $U82),0)))))</f>
        <v>121331.8</v>
      </c>
      <c r="I82" s="33">
        <f ca="1">IF(ISERROR(MATCH(I$1,INDIRECT("Table!A"&amp;$U82):INDIRECT("Table!" &amp; $X$171 &amp; $U82),0)),"",INDIRECT(CONCATENATE("Table!",ADDRESS($Q82,MATCH(I$1,INDIRECT("Table!A" &amp; $U82):INDIRECT("Table!" &amp; $X$171 &amp; $U82),0)))))</f>
        <v>170967.6</v>
      </c>
      <c r="J82" s="33">
        <f ca="1">IF(ISERROR(MATCH(J$1,INDIRECT("Table!A"&amp;$U82):INDIRECT("Table!" &amp; $X$171 &amp; $U82),0)),"",INDIRECT(CONCATENATE("Table!",ADDRESS($Q82,MATCH(J$1,INDIRECT("Table!A" &amp; $U82):INDIRECT("Table!" &amp; $X$171 &amp; $U82),0)))))</f>
        <v>132132.20000000001</v>
      </c>
      <c r="K82" s="33">
        <f ca="1">IF(ISERROR(MATCH(K$1,INDIRECT("Table!A"&amp;$U82):INDIRECT("Table!" &amp; $X$171 &amp; $U82),0)),"",INDIRECT(CONCATENATE("Table!",ADDRESS($Q82,MATCH(K$1,INDIRECT("Table!A" &amp; $U82):INDIRECT("Table!" &amp; $X$171 &amp; $U82),0)))))</f>
        <v>60665.9</v>
      </c>
      <c r="L82" s="33">
        <f ca="1">IF(ISERROR(MATCH(L$1,INDIRECT("Table!A"&amp;$U82):INDIRECT("Table!" &amp; $X$171 &amp; $U82),0)),"",INDIRECT(CONCATENATE("Table!",ADDRESS($Q82,MATCH(L$1,INDIRECT("Table!A" &amp; $U82):INDIRECT("Table!" &amp; $X$171 &amp; $U82),0)))))</f>
        <v>176482.7</v>
      </c>
      <c r="M82" s="33">
        <f ca="1">IF(ISERROR(MATCH(M$1,INDIRECT("Table!A"&amp;$U82):INDIRECT("Table!" &amp; $X$171 &amp; $U82),0)),"",INDIRECT(CONCATENATE("Table!",ADDRESS($Q82,MATCH(M$1,INDIRECT("Table!A" &amp; $U82):INDIRECT("Table!" &amp; $X$171 &amp; $U82),0)))))</f>
        <v>54921</v>
      </c>
      <c r="N82" s="208"/>
      <c r="O82" s="208"/>
      <c r="P82" s="208"/>
      <c r="Q82" s="31">
        <f>MATCH($A82,Table!$A:$A,0)+$S$14-1</f>
        <v>1091</v>
      </c>
      <c r="R82" s="208"/>
      <c r="S82" s="208"/>
      <c r="T82" s="208"/>
      <c r="U82" s="31">
        <f>MATCH($A82,Table!$A:$A,0)+$W$2-1</f>
        <v>1077</v>
      </c>
      <c r="V82" s="208"/>
      <c r="W82" s="208"/>
      <c r="X82" s="372" t="s">
        <v>209</v>
      </c>
    </row>
    <row r="83" spans="1:24" ht="18" customHeight="1">
      <c r="A83" s="5">
        <v>41080</v>
      </c>
      <c r="B83" s="33">
        <f ca="1">IF(ISERROR(MATCH(B$1,INDIRECT("Table!A"&amp;$U83):INDIRECT("Table!" &amp; $X$171 &amp; $U83),0)),"",INDIRECT(CONCATENATE("Table!",ADDRESS($Q83,MATCH(B$1,INDIRECT("Table!A" &amp; $U83):INDIRECT("Table!" &amp; $X$171 &amp; $U83),0)))))</f>
        <v>115816.8</v>
      </c>
      <c r="C83" s="33">
        <f ca="1">IF(ISERROR(MATCH(C$1,INDIRECT("Table!A"&amp;$U83):INDIRECT("Table!" &amp; $X$171 &amp; $U83),0)),"",INDIRECT(CONCATENATE("Table!",ADDRESS($Q83,MATCH(C$1,INDIRECT("Table!A" &amp; $U83):INDIRECT("Table!" &amp; $X$171 &amp; $U83),0)))))</f>
        <v>99041.7</v>
      </c>
      <c r="D83" s="33">
        <f ca="1">IF(ISERROR(MATCH(D$1,INDIRECT("Table!A"&amp;$U83):INDIRECT("Table!" &amp; $X$171 &amp; $U83),0)),"",INDIRECT(CONCATENATE("Table!",ADDRESS($Q83,MATCH(D$1,INDIRECT("Table!A" &amp; $U83):INDIRECT("Table!" &amp; $X$171 &amp; $U83),0)))))</f>
        <v>99041.7</v>
      </c>
      <c r="E83" s="33">
        <f ca="1">IF(ISERROR(MATCH(E$1,INDIRECT("Table!A"&amp;$U83):INDIRECT("Table!" &amp; $X$171 &amp; $U83),0)),"",INDIRECT(CONCATENATE("Table!",ADDRESS($Q83,MATCH(E$1,INDIRECT("Table!A" &amp; $U83):INDIRECT("Table!" &amp; $X$171 &amp; $U83),0)))))</f>
        <v>181997.8</v>
      </c>
      <c r="F83" s="33">
        <f ca="1">IF(ISERROR(MATCH(F$1,INDIRECT("Table!A"&amp;$U83):INDIRECT("Table!" &amp; $X$171 &amp; $U83),0)),"",INDIRECT(CONCATENATE("Table!",ADDRESS($Q83,MATCH(F$1,INDIRECT("Table!A" &amp; $U83):INDIRECT("Table!" &amp; $X$171 &amp; $U83),0)))))</f>
        <v>121331.8</v>
      </c>
      <c r="G83" s="33">
        <f ca="1">IF(ISERROR(MATCH(G$1,INDIRECT("Table!A"&amp;$U83):INDIRECT("Table!" &amp; $X$171 &amp; $U83),0)),"",INDIRECT(CONCATENATE("Table!",ADDRESS($Q83,MATCH(G$1,INDIRECT("Table!A" &amp; $U83):INDIRECT("Table!" &amp; $X$171 &amp; $U83),0)))))</f>
        <v>110071.9</v>
      </c>
      <c r="H83" s="33">
        <f ca="1">IF(ISERROR(MATCH(H$1,INDIRECT("Table!A"&amp;$U83):INDIRECT("Table!" &amp; $X$171 &amp; $U83),0)),"",INDIRECT(CONCATENATE("Table!",ADDRESS($Q83,MATCH(H$1,INDIRECT("Table!A" &amp; $U83):INDIRECT("Table!" &amp; $X$171 &amp; $U83),0)))))</f>
        <v>121331.8</v>
      </c>
      <c r="I83" s="33">
        <f ca="1">IF(ISERROR(MATCH(I$1,INDIRECT("Table!A"&amp;$U83):INDIRECT("Table!" &amp; $X$171 &amp; $U83),0)),"",INDIRECT(CONCATENATE("Table!",ADDRESS($Q83,MATCH(I$1,INDIRECT("Table!A" &amp; $U83):INDIRECT("Table!" &amp; $X$171 &amp; $U83),0)))))</f>
        <v>170967.6</v>
      </c>
      <c r="J83" s="33">
        <f ca="1">IF(ISERROR(MATCH(J$1,INDIRECT("Table!A"&amp;$U83):INDIRECT("Table!" &amp; $X$171 &amp; $U83),0)),"",INDIRECT(CONCATENATE("Table!",ADDRESS($Q83,MATCH(J$1,INDIRECT("Table!A" &amp; $U83):INDIRECT("Table!" &amp; $X$171 &amp; $U83),0)))))</f>
        <v>132132.20000000001</v>
      </c>
      <c r="K83" s="33">
        <f ca="1">IF(ISERROR(MATCH(K$1,INDIRECT("Table!A"&amp;$U83):INDIRECT("Table!" &amp; $X$171 &amp; $U83),0)),"",INDIRECT(CONCATENATE("Table!",ADDRESS($Q83,MATCH(K$1,INDIRECT("Table!A" &amp; $U83):INDIRECT("Table!" &amp; $X$171 &amp; $U83),0)))))</f>
        <v>60665.9</v>
      </c>
      <c r="L83" s="33">
        <f ca="1">IF(ISERROR(MATCH(L$1,INDIRECT("Table!A"&amp;$U83):INDIRECT("Table!" &amp; $X$171 &amp; $U83),0)),"",INDIRECT(CONCATENATE("Table!",ADDRESS($Q83,MATCH(L$1,INDIRECT("Table!A" &amp; $U83):INDIRECT("Table!" &amp; $X$171 &amp; $U83),0)))))</f>
        <v>176482.7</v>
      </c>
      <c r="M83" s="33">
        <f ca="1">IF(ISERROR(MATCH(M$1,INDIRECT("Table!A"&amp;$U83):INDIRECT("Table!" &amp; $X$171 &amp; $U83),0)),"",INDIRECT(CONCATENATE("Table!",ADDRESS($Q83,MATCH(M$1,INDIRECT("Table!A" &amp; $U83):INDIRECT("Table!" &amp; $X$171 &amp; $U83),0)))))</f>
        <v>54921</v>
      </c>
      <c r="N83" s="207"/>
      <c r="O83" s="207"/>
      <c r="P83" s="207"/>
      <c r="Q83" s="31">
        <f>MATCH($A83,Table!$A:$A,0)+$S$14-1</f>
        <v>1104</v>
      </c>
      <c r="R83" s="207"/>
      <c r="S83" s="207"/>
      <c r="T83" s="207"/>
      <c r="U83" s="31">
        <f>MATCH($A83,Table!$A:$A,0)+$W$2-1</f>
        <v>1090</v>
      </c>
      <c r="V83" s="207"/>
      <c r="W83" s="207"/>
      <c r="X83" s="372" t="s">
        <v>209</v>
      </c>
    </row>
    <row r="84" spans="1:24" ht="18" customHeight="1">
      <c r="A84" s="5">
        <v>41078</v>
      </c>
      <c r="B84" s="33">
        <f ca="1">IF(ISERROR(MATCH(B$1,INDIRECT("Table!A"&amp;$U84):INDIRECT("Table!" &amp; $X$171 &amp; $U84),0)),"",INDIRECT(CONCATENATE("Table!",ADDRESS($Q84,MATCH(B$1,INDIRECT("Table!A" &amp; $U84):INDIRECT("Table!" &amp; $X$171 &amp; $U84),0)))))</f>
        <v>115816.8</v>
      </c>
      <c r="C84" s="33">
        <f ca="1">IF(ISERROR(MATCH(C$1,INDIRECT("Table!A"&amp;$U84):INDIRECT("Table!" &amp; $X$171 &amp; $U84),0)),"",INDIRECT(CONCATENATE("Table!",ADDRESS($Q84,MATCH(C$1,INDIRECT("Table!A" &amp; $U84):INDIRECT("Table!" &amp; $X$171 &amp; $U84),0)))))</f>
        <v>99041.7</v>
      </c>
      <c r="D84" s="33">
        <f ca="1">IF(ISERROR(MATCH(D$1,INDIRECT("Table!A"&amp;$U84):INDIRECT("Table!" &amp; $X$171 &amp; $U84),0)),"",INDIRECT(CONCATENATE("Table!",ADDRESS($Q84,MATCH(D$1,INDIRECT("Table!A" &amp; $U84):INDIRECT("Table!" &amp; $X$171 &amp; $U84),0)))))</f>
        <v>99041.7</v>
      </c>
      <c r="E84" s="33">
        <f ca="1">IF(ISERROR(MATCH(E$1,INDIRECT("Table!A"&amp;$U84):INDIRECT("Table!" &amp; $X$171 &amp; $U84),0)),"",INDIRECT(CONCATENATE("Table!",ADDRESS($Q84,MATCH(E$1,INDIRECT("Table!A" &amp; $U84):INDIRECT("Table!" &amp; $X$171 &amp; $U84),0)))))</f>
        <v>181997.8</v>
      </c>
      <c r="F84" s="33">
        <f ca="1">IF(ISERROR(MATCH(F$1,INDIRECT("Table!A"&amp;$U84):INDIRECT("Table!" &amp; $X$171 &amp; $U84),0)),"",INDIRECT(CONCATENATE("Table!",ADDRESS($Q84,MATCH(F$1,INDIRECT("Table!A" &amp; $U84):INDIRECT("Table!" &amp; $X$171 &amp; $U84),0)))))</f>
        <v>121331.8</v>
      </c>
      <c r="G84" s="33">
        <f ca="1">IF(ISERROR(MATCH(G$1,INDIRECT("Table!A"&amp;$U84):INDIRECT("Table!" &amp; $X$171 &amp; $U84),0)),"",INDIRECT(CONCATENATE("Table!",ADDRESS($Q84,MATCH(G$1,INDIRECT("Table!A" &amp; $U84):INDIRECT("Table!" &amp; $X$171 &amp; $U84),0)))))</f>
        <v>110071.9</v>
      </c>
      <c r="H84" s="33">
        <f ca="1">IF(ISERROR(MATCH(H$1,INDIRECT("Table!A"&amp;$U84):INDIRECT("Table!" &amp; $X$171 &amp; $U84),0)),"",INDIRECT(CONCATENATE("Table!",ADDRESS($Q84,MATCH(H$1,INDIRECT("Table!A" &amp; $U84):INDIRECT("Table!" &amp; $X$171 &amp; $U84),0)))))</f>
        <v>121331.8</v>
      </c>
      <c r="I84" s="33">
        <f ca="1">IF(ISERROR(MATCH(I$1,INDIRECT("Table!A"&amp;$U84):INDIRECT("Table!" &amp; $X$171 &amp; $U84),0)),"",INDIRECT(CONCATENATE("Table!",ADDRESS($Q84,MATCH(I$1,INDIRECT("Table!A" &amp; $U84):INDIRECT("Table!" &amp; $X$171 &amp; $U84),0)))))</f>
        <v>170967.6</v>
      </c>
      <c r="J84" s="33">
        <f ca="1">IF(ISERROR(MATCH(J$1,INDIRECT("Table!A"&amp;$U84):INDIRECT("Table!" &amp; $X$171 &amp; $U84),0)),"",INDIRECT(CONCATENATE("Table!",ADDRESS($Q84,MATCH(J$1,INDIRECT("Table!A" &amp; $U84):INDIRECT("Table!" &amp; $X$171 &amp; $U84),0)))))</f>
        <v>132132.20000000001</v>
      </c>
      <c r="K84" s="33">
        <f ca="1">IF(ISERROR(MATCH(K$1,INDIRECT("Table!A"&amp;$U84):INDIRECT("Table!" &amp; $X$171 &amp; $U84),0)),"",INDIRECT(CONCATENATE("Table!",ADDRESS($Q84,MATCH(K$1,INDIRECT("Table!A" &amp; $U84):INDIRECT("Table!" &amp; $X$171 &amp; $U84),0)))))</f>
        <v>60665.9</v>
      </c>
      <c r="L84" s="33">
        <f ca="1">IF(ISERROR(MATCH(L$1,INDIRECT("Table!A"&amp;$U84):INDIRECT("Table!" &amp; $X$171 &amp; $U84),0)),"",INDIRECT(CONCATENATE("Table!",ADDRESS($Q84,MATCH(L$1,INDIRECT("Table!A" &amp; $U84):INDIRECT("Table!" &amp; $X$171 &amp; $U84),0)))))</f>
        <v>176482.7</v>
      </c>
      <c r="M84" s="33">
        <f ca="1">IF(ISERROR(MATCH(M$1,INDIRECT("Table!A"&amp;$U84):INDIRECT("Table!" &amp; $X$171 &amp; $U84),0)),"",INDIRECT(CONCATENATE("Table!",ADDRESS($Q84,MATCH(M$1,INDIRECT("Table!A" &amp; $U84):INDIRECT("Table!" &amp; $X$171 &amp; $U84),0)))))</f>
        <v>54921</v>
      </c>
      <c r="N84" s="206"/>
      <c r="O84" s="206"/>
      <c r="P84" s="206"/>
      <c r="Q84" s="31">
        <f>MATCH($A84,Table!$A:$A,0)+$S$14-1</f>
        <v>1117</v>
      </c>
      <c r="R84" s="206"/>
      <c r="S84" s="206"/>
      <c r="T84" s="206"/>
      <c r="U84" s="31">
        <f>MATCH($A84,Table!$A:$A,0)+$W$2-1</f>
        <v>1103</v>
      </c>
      <c r="V84" s="206"/>
      <c r="W84" s="206"/>
      <c r="X84" s="372" t="s">
        <v>209</v>
      </c>
    </row>
    <row r="85" spans="1:24" ht="18" customHeight="1">
      <c r="A85" s="5">
        <v>41075</v>
      </c>
      <c r="B85" s="33">
        <f ca="1">IF(ISERROR(MATCH(B$1,INDIRECT("Table!A"&amp;$U85):INDIRECT("Table!" &amp; $X$171 &amp; $U85),0)),"",INDIRECT(CONCATENATE("Table!",ADDRESS($Q85,MATCH(B$1,INDIRECT("Table!A" &amp; $U85):INDIRECT("Table!" &amp; $X$171 &amp; $U85),0)))))</f>
        <v>115816.8</v>
      </c>
      <c r="C85" s="33">
        <f ca="1">IF(ISERROR(MATCH(C$1,INDIRECT("Table!A"&amp;$U85):INDIRECT("Table!" &amp; $X$171 &amp; $U85),0)),"",INDIRECT(CONCATENATE("Table!",ADDRESS($Q85,MATCH(C$1,INDIRECT("Table!A" &amp; $U85):INDIRECT("Table!" &amp; $X$171 &amp; $U85),0)))))</f>
        <v>99041.7</v>
      </c>
      <c r="D85" s="33">
        <f ca="1">IF(ISERROR(MATCH(D$1,INDIRECT("Table!A"&amp;$U85):INDIRECT("Table!" &amp; $X$171 &amp; $U85),0)),"",INDIRECT(CONCATENATE("Table!",ADDRESS($Q85,MATCH(D$1,INDIRECT("Table!A" &amp; $U85):INDIRECT("Table!" &amp; $X$171 &amp; $U85),0)))))</f>
        <v>99041.7</v>
      </c>
      <c r="E85" s="33">
        <f ca="1">IF(ISERROR(MATCH(E$1,INDIRECT("Table!A"&amp;$U85):INDIRECT("Table!" &amp; $X$171 &amp; $U85),0)),"",INDIRECT(CONCATENATE("Table!",ADDRESS($Q85,MATCH(E$1,INDIRECT("Table!A" &amp; $U85):INDIRECT("Table!" &amp; $X$171 &amp; $U85),0)))))</f>
        <v>181997.8</v>
      </c>
      <c r="F85" s="33">
        <f ca="1">IF(ISERROR(MATCH(F$1,INDIRECT("Table!A"&amp;$U85):INDIRECT("Table!" &amp; $X$171 &amp; $U85),0)),"",INDIRECT(CONCATENATE("Table!",ADDRESS($Q85,MATCH(F$1,INDIRECT("Table!A" &amp; $U85):INDIRECT("Table!" &amp; $X$171 &amp; $U85),0)))))</f>
        <v>121331.8</v>
      </c>
      <c r="G85" s="33">
        <f ca="1">IF(ISERROR(MATCH(G$1,INDIRECT("Table!A"&amp;$U85):INDIRECT("Table!" &amp; $X$171 &amp; $U85),0)),"",INDIRECT(CONCATENATE("Table!",ADDRESS($Q85,MATCH(G$1,INDIRECT("Table!A" &amp; $U85):INDIRECT("Table!" &amp; $X$171 &amp; $U85),0)))))</f>
        <v>110071.9</v>
      </c>
      <c r="H85" s="33">
        <f ca="1">IF(ISERROR(MATCH(H$1,INDIRECT("Table!A"&amp;$U85):INDIRECT("Table!" &amp; $X$171 &amp; $U85),0)),"",INDIRECT(CONCATENATE("Table!",ADDRESS($Q85,MATCH(H$1,INDIRECT("Table!A" &amp; $U85):INDIRECT("Table!" &amp; $X$171 &amp; $U85),0)))))</f>
        <v>121331.8</v>
      </c>
      <c r="I85" s="33">
        <f ca="1">IF(ISERROR(MATCH(I$1,INDIRECT("Table!A"&amp;$U85):INDIRECT("Table!" &amp; $X$171 &amp; $U85),0)),"",INDIRECT(CONCATENATE("Table!",ADDRESS($Q85,MATCH(I$1,INDIRECT("Table!A" &amp; $U85):INDIRECT("Table!" &amp; $X$171 &amp; $U85),0)))))</f>
        <v>170967.6</v>
      </c>
      <c r="J85" s="33">
        <f ca="1">IF(ISERROR(MATCH(J$1,INDIRECT("Table!A"&amp;$U85):INDIRECT("Table!" &amp; $X$171 &amp; $U85),0)),"",INDIRECT(CONCATENATE("Table!",ADDRESS($Q85,MATCH(J$1,INDIRECT("Table!A" &amp; $U85):INDIRECT("Table!" &amp; $X$171 &amp; $U85),0)))))</f>
        <v>132132.20000000001</v>
      </c>
      <c r="K85" s="33">
        <f ca="1">IF(ISERROR(MATCH(K$1,INDIRECT("Table!A"&amp;$U85):INDIRECT("Table!" &amp; $X$171 &amp; $U85),0)),"",INDIRECT(CONCATENATE("Table!",ADDRESS($Q85,MATCH(K$1,INDIRECT("Table!A" &amp; $U85):INDIRECT("Table!" &amp; $X$171 &amp; $U85),0)))))</f>
        <v>60665.9</v>
      </c>
      <c r="L85" s="33">
        <f ca="1">IF(ISERROR(MATCH(L$1,INDIRECT("Table!A"&amp;$U85):INDIRECT("Table!" &amp; $X$171 &amp; $U85),0)),"",INDIRECT(CONCATENATE("Table!",ADDRESS($Q85,MATCH(L$1,INDIRECT("Table!A" &amp; $U85):INDIRECT("Table!" &amp; $X$171 &amp; $U85),0)))))</f>
        <v>176482.7</v>
      </c>
      <c r="M85" s="33">
        <f ca="1">IF(ISERROR(MATCH(M$1,INDIRECT("Table!A"&amp;$U85):INDIRECT("Table!" &amp; $X$171 &amp; $U85),0)),"",INDIRECT(CONCATENATE("Table!",ADDRESS($Q85,MATCH(M$1,INDIRECT("Table!A" &amp; $U85):INDIRECT("Table!" &amp; $X$171 &amp; $U85),0)))))</f>
        <v>54921</v>
      </c>
      <c r="N85" s="205"/>
      <c r="O85" s="205"/>
      <c r="P85" s="205"/>
      <c r="Q85" s="31">
        <f>MATCH($A85,Table!$A:$A,0)+$S$14-1</f>
        <v>1130</v>
      </c>
      <c r="R85" s="205"/>
      <c r="S85" s="205"/>
      <c r="T85" s="205"/>
      <c r="U85" s="31">
        <f>MATCH($A85,Table!$A:$A,0)+$W$2-1</f>
        <v>1116</v>
      </c>
      <c r="V85" s="205"/>
      <c r="W85" s="205"/>
      <c r="X85" s="372" t="s">
        <v>209</v>
      </c>
    </row>
    <row r="86" spans="1:24" ht="18" customHeight="1">
      <c r="A86" s="5">
        <v>41074</v>
      </c>
      <c r="B86" s="33">
        <f ca="1">IF(ISERROR(MATCH(B$1,INDIRECT("Table!A"&amp;$U86):INDIRECT("Table!" &amp; $X$171 &amp; $U86),0)),"",INDIRECT(CONCATENATE("Table!",ADDRESS($Q86,MATCH(B$1,INDIRECT("Table!A" &amp; $U86):INDIRECT("Table!" &amp; $X$171 &amp; $U86),0)))))</f>
        <v>115816.8</v>
      </c>
      <c r="C86" s="33">
        <f ca="1">IF(ISERROR(MATCH(C$1,INDIRECT("Table!A"&amp;$U86):INDIRECT("Table!" &amp; $X$171 &amp; $U86),0)),"",INDIRECT(CONCATENATE("Table!",ADDRESS($Q86,MATCH(C$1,INDIRECT("Table!A" &amp; $U86):INDIRECT("Table!" &amp; $X$171 &amp; $U86),0)))))</f>
        <v>99041.7</v>
      </c>
      <c r="D86" s="33">
        <f ca="1">IF(ISERROR(MATCH(D$1,INDIRECT("Table!A"&amp;$U86):INDIRECT("Table!" &amp; $X$171 &amp; $U86),0)),"",INDIRECT(CONCATENATE("Table!",ADDRESS($Q86,MATCH(D$1,INDIRECT("Table!A" &amp; $U86):INDIRECT("Table!" &amp; $X$171 &amp; $U86),0)))))</f>
        <v>99041.7</v>
      </c>
      <c r="E86" s="33">
        <f ca="1">IF(ISERROR(MATCH(E$1,INDIRECT("Table!A"&amp;$U86):INDIRECT("Table!" &amp; $X$171 &amp; $U86),0)),"",INDIRECT(CONCATENATE("Table!",ADDRESS($Q86,MATCH(E$1,INDIRECT("Table!A" &amp; $U86):INDIRECT("Table!" &amp; $X$171 &amp; $U86),0)))))</f>
        <v>181997.8</v>
      </c>
      <c r="F86" s="33">
        <f ca="1">IF(ISERROR(MATCH(F$1,INDIRECT("Table!A"&amp;$U86):INDIRECT("Table!" &amp; $X$171 &amp; $U86),0)),"",INDIRECT(CONCATENATE("Table!",ADDRESS($Q86,MATCH(F$1,INDIRECT("Table!A" &amp; $U86):INDIRECT("Table!" &amp; $X$171 &amp; $U86),0)))))</f>
        <v>121331.8</v>
      </c>
      <c r="G86" s="33">
        <f ca="1">IF(ISERROR(MATCH(G$1,INDIRECT("Table!A"&amp;$U86):INDIRECT("Table!" &amp; $X$171 &amp; $U86),0)),"",INDIRECT(CONCATENATE("Table!",ADDRESS($Q86,MATCH(G$1,INDIRECT("Table!A" &amp; $U86):INDIRECT("Table!" &amp; $X$171 &amp; $U86),0)))))</f>
        <v>110071.9</v>
      </c>
      <c r="H86" s="33">
        <f ca="1">IF(ISERROR(MATCH(H$1,INDIRECT("Table!A"&amp;$U86):INDIRECT("Table!" &amp; $X$171 &amp; $U86),0)),"",INDIRECT(CONCATENATE("Table!",ADDRESS($Q86,MATCH(H$1,INDIRECT("Table!A" &amp; $U86):INDIRECT("Table!" &amp; $X$171 &amp; $U86),0)))))</f>
        <v>121331.8</v>
      </c>
      <c r="I86" s="33">
        <f ca="1">IF(ISERROR(MATCH(I$1,INDIRECT("Table!A"&amp;$U86):INDIRECT("Table!" &amp; $X$171 &amp; $U86),0)),"",INDIRECT(CONCATENATE("Table!",ADDRESS($Q86,MATCH(I$1,INDIRECT("Table!A" &amp; $U86):INDIRECT("Table!" &amp; $X$171 &amp; $U86),0)))))</f>
        <v>170967.6</v>
      </c>
      <c r="J86" s="33">
        <f ca="1">IF(ISERROR(MATCH(J$1,INDIRECT("Table!A"&amp;$U86):INDIRECT("Table!" &amp; $X$171 &amp; $U86),0)),"",INDIRECT(CONCATENATE("Table!",ADDRESS($Q86,MATCH(J$1,INDIRECT("Table!A" &amp; $U86):INDIRECT("Table!" &amp; $X$171 &amp; $U86),0)))))</f>
        <v>132132.20000000001</v>
      </c>
      <c r="K86" s="33">
        <f ca="1">IF(ISERROR(MATCH(K$1,INDIRECT("Table!A"&amp;$U86):INDIRECT("Table!" &amp; $X$171 &amp; $U86),0)),"",INDIRECT(CONCATENATE("Table!",ADDRESS($Q86,MATCH(K$1,INDIRECT("Table!A" &amp; $U86):INDIRECT("Table!" &amp; $X$171 &amp; $U86),0)))))</f>
        <v>60665.9</v>
      </c>
      <c r="L86" s="33">
        <f ca="1">IF(ISERROR(MATCH(L$1,INDIRECT("Table!A"&amp;$U86):INDIRECT("Table!" &amp; $X$171 &amp; $U86),0)),"",INDIRECT(CONCATENATE("Table!",ADDRESS($Q86,MATCH(L$1,INDIRECT("Table!A" &amp; $U86):INDIRECT("Table!" &amp; $X$171 &amp; $U86),0)))))</f>
        <v>176482.7</v>
      </c>
      <c r="M86" s="33">
        <f ca="1">IF(ISERROR(MATCH(M$1,INDIRECT("Table!A"&amp;$U86):INDIRECT("Table!" &amp; $X$171 &amp; $U86),0)),"",INDIRECT(CONCATENATE("Table!",ADDRESS($Q86,MATCH(M$1,INDIRECT("Table!A" &amp; $U86):INDIRECT("Table!" &amp; $X$171 &amp; $U86),0)))))</f>
        <v>54921</v>
      </c>
      <c r="N86" s="204"/>
      <c r="O86" s="204"/>
      <c r="P86" s="204"/>
      <c r="Q86" s="31">
        <f>MATCH($A86,Table!$A:$A,0)+$S$14-1</f>
        <v>1143</v>
      </c>
      <c r="R86" s="204"/>
      <c r="S86" s="204"/>
      <c r="T86" s="204"/>
      <c r="U86" s="31">
        <f>MATCH($A86,Table!$A:$A,0)+$W$2-1</f>
        <v>1129</v>
      </c>
      <c r="V86" s="204"/>
      <c r="W86" s="204"/>
      <c r="X86" s="372" t="s">
        <v>209</v>
      </c>
    </row>
    <row r="87" spans="1:24" ht="18" customHeight="1">
      <c r="A87" s="5">
        <v>41071</v>
      </c>
      <c r="B87" s="33">
        <f ca="1">IF(ISERROR(MATCH(B$1,INDIRECT("Table!A"&amp;$U87):INDIRECT("Table!" &amp; $X$171 &amp; $U87),0)),"",INDIRECT(CONCATENATE("Table!",ADDRESS($Q87,MATCH(B$1,INDIRECT("Table!A" &amp; $U87):INDIRECT("Table!" &amp; $X$171 &amp; $U87),0)))))</f>
        <v>115816.8</v>
      </c>
      <c r="C87" s="33">
        <f ca="1">IF(ISERROR(MATCH(C$1,INDIRECT("Table!A"&amp;$U87):INDIRECT("Table!" &amp; $X$171 &amp; $U87),0)),"",INDIRECT(CONCATENATE("Table!",ADDRESS($Q87,MATCH(C$1,INDIRECT("Table!A" &amp; $U87):INDIRECT("Table!" &amp; $X$171 &amp; $U87),0)))))</f>
        <v>99041.7</v>
      </c>
      <c r="D87" s="33">
        <f ca="1">IF(ISERROR(MATCH(D$1,INDIRECT("Table!A"&amp;$U87):INDIRECT("Table!" &amp; $X$171 &amp; $U87),0)),"",INDIRECT(CONCATENATE("Table!",ADDRESS($Q87,MATCH(D$1,INDIRECT("Table!A" &amp; $U87):INDIRECT("Table!" &amp; $X$171 &amp; $U87),0)))))</f>
        <v>99041.7</v>
      </c>
      <c r="E87" s="33">
        <f ca="1">IF(ISERROR(MATCH(E$1,INDIRECT("Table!A"&amp;$U87):INDIRECT("Table!" &amp; $X$171 &amp; $U87),0)),"",INDIRECT(CONCATENATE("Table!",ADDRESS($Q87,MATCH(E$1,INDIRECT("Table!A" &amp; $U87):INDIRECT("Table!" &amp; $X$171 &amp; $U87),0)))))</f>
        <v>181997.8</v>
      </c>
      <c r="F87" s="33">
        <f ca="1">IF(ISERROR(MATCH(F$1,INDIRECT("Table!A"&amp;$U87):INDIRECT("Table!" &amp; $X$171 &amp; $U87),0)),"",INDIRECT(CONCATENATE("Table!",ADDRESS($Q87,MATCH(F$1,INDIRECT("Table!A" &amp; $U87):INDIRECT("Table!" &amp; $X$171 &amp; $U87),0)))))</f>
        <v>121331.8</v>
      </c>
      <c r="G87" s="33">
        <f ca="1">IF(ISERROR(MATCH(G$1,INDIRECT("Table!A"&amp;$U87):INDIRECT("Table!" &amp; $X$171 &amp; $U87),0)),"",INDIRECT(CONCATENATE("Table!",ADDRESS($Q87,MATCH(G$1,INDIRECT("Table!A" &amp; $U87):INDIRECT("Table!" &amp; $X$171 &amp; $U87),0)))))</f>
        <v>110071.9</v>
      </c>
      <c r="H87" s="33">
        <f ca="1">IF(ISERROR(MATCH(H$1,INDIRECT("Table!A"&amp;$U87):INDIRECT("Table!" &amp; $X$171 &amp; $U87),0)),"",INDIRECT(CONCATENATE("Table!",ADDRESS($Q87,MATCH(H$1,INDIRECT("Table!A" &amp; $U87):INDIRECT("Table!" &amp; $X$171 &amp; $U87),0)))))</f>
        <v>121331.8</v>
      </c>
      <c r="I87" s="33">
        <f ca="1">IF(ISERROR(MATCH(I$1,INDIRECT("Table!A"&amp;$U87):INDIRECT("Table!" &amp; $X$171 &amp; $U87),0)),"",INDIRECT(CONCATENATE("Table!",ADDRESS($Q87,MATCH(I$1,INDIRECT("Table!A" &amp; $U87):INDIRECT("Table!" &amp; $X$171 &amp; $U87),0)))))</f>
        <v>170967.6</v>
      </c>
      <c r="J87" s="33">
        <f ca="1">IF(ISERROR(MATCH(J$1,INDIRECT("Table!A"&amp;$U87):INDIRECT("Table!" &amp; $X$171 &amp; $U87),0)),"",INDIRECT(CONCATENATE("Table!",ADDRESS($Q87,MATCH(J$1,INDIRECT("Table!A" &amp; $U87):INDIRECT("Table!" &amp; $X$171 &amp; $U87),0)))))</f>
        <v>132132.20000000001</v>
      </c>
      <c r="K87" s="33">
        <f ca="1">IF(ISERROR(MATCH(K$1,INDIRECT("Table!A"&amp;$U87):INDIRECT("Table!" &amp; $X$171 &amp; $U87),0)),"",INDIRECT(CONCATENATE("Table!",ADDRESS($Q87,MATCH(K$1,INDIRECT("Table!A" &amp; $U87):INDIRECT("Table!" &amp; $X$171 &amp; $U87),0)))))</f>
        <v>60665.9</v>
      </c>
      <c r="L87" s="33">
        <f ca="1">IF(ISERROR(MATCH(L$1,INDIRECT("Table!A"&amp;$U87):INDIRECT("Table!" &amp; $X$171 &amp; $U87),0)),"",INDIRECT(CONCATENATE("Table!",ADDRESS($Q87,MATCH(L$1,INDIRECT("Table!A" &amp; $U87):INDIRECT("Table!" &amp; $X$171 &amp; $U87),0)))))</f>
        <v>176482.7</v>
      </c>
      <c r="M87" s="33">
        <f ca="1">IF(ISERROR(MATCH(M$1,INDIRECT("Table!A"&amp;$U87):INDIRECT("Table!" &amp; $X$171 &amp; $U87),0)),"",INDIRECT(CONCATENATE("Table!",ADDRESS($Q87,MATCH(M$1,INDIRECT("Table!A" &amp; $U87):INDIRECT("Table!" &amp; $X$171 &amp; $U87),0)))))</f>
        <v>54921</v>
      </c>
      <c r="N87" s="203"/>
      <c r="O87" s="203"/>
      <c r="P87" s="203"/>
      <c r="Q87" s="31">
        <f>MATCH($A87,Table!$A:$A,0)+$S$14-1</f>
        <v>1156</v>
      </c>
      <c r="R87" s="203"/>
      <c r="S87" s="203"/>
      <c r="T87" s="203"/>
      <c r="U87" s="31">
        <f>MATCH($A87,Table!$A:$A,0)+$W$2-1</f>
        <v>1142</v>
      </c>
      <c r="V87" s="203"/>
      <c r="W87" s="203"/>
      <c r="X87" s="372" t="s">
        <v>209</v>
      </c>
    </row>
    <row r="88" spans="1:24" ht="18" customHeight="1">
      <c r="A88" s="5">
        <v>41068</v>
      </c>
      <c r="B88" s="33">
        <f ca="1">IF(ISERROR(MATCH(B$1,INDIRECT("Table!A"&amp;$U88):INDIRECT("Table!" &amp; $X$171 &amp; $U88),0)),"",INDIRECT(CONCATENATE("Table!",ADDRESS($Q88,MATCH(B$1,INDIRECT("Table!A" &amp; $U88):INDIRECT("Table!" &amp; $X$171 &amp; $U88),0)))))</f>
        <v>115816.8</v>
      </c>
      <c r="C88" s="33">
        <f ca="1">IF(ISERROR(MATCH(C$1,INDIRECT("Table!A"&amp;$U88):INDIRECT("Table!" &amp; $X$171 &amp; $U88),0)),"",INDIRECT(CONCATENATE("Table!",ADDRESS($Q88,MATCH(C$1,INDIRECT("Table!A" &amp; $U88):INDIRECT("Table!" &amp; $X$171 &amp; $U88),0)))))</f>
        <v>99041.7</v>
      </c>
      <c r="D88" s="33">
        <f ca="1">IF(ISERROR(MATCH(D$1,INDIRECT("Table!A"&amp;$U88):INDIRECT("Table!" &amp; $X$171 &amp; $U88),0)),"",INDIRECT(CONCATENATE("Table!",ADDRESS($Q88,MATCH(D$1,INDIRECT("Table!A" &amp; $U88):INDIRECT("Table!" &amp; $X$171 &amp; $U88),0)))))</f>
        <v>99041.7</v>
      </c>
      <c r="E88" s="33">
        <f ca="1">IF(ISERROR(MATCH(E$1,INDIRECT("Table!A"&amp;$U88):INDIRECT("Table!" &amp; $X$171 &amp; $U88),0)),"",INDIRECT(CONCATENATE("Table!",ADDRESS($Q88,MATCH(E$1,INDIRECT("Table!A" &amp; $U88):INDIRECT("Table!" &amp; $X$171 &amp; $U88),0)))))</f>
        <v>181997.8</v>
      </c>
      <c r="F88" s="33">
        <f ca="1">IF(ISERROR(MATCH(F$1,INDIRECT("Table!A"&amp;$U88):INDIRECT("Table!" &amp; $X$171 &amp; $U88),0)),"",INDIRECT(CONCATENATE("Table!",ADDRESS($Q88,MATCH(F$1,INDIRECT("Table!A" &amp; $U88):INDIRECT("Table!" &amp; $X$171 &amp; $U88),0)))))</f>
        <v>121331.8</v>
      </c>
      <c r="G88" s="33">
        <f ca="1">IF(ISERROR(MATCH(G$1,INDIRECT("Table!A"&amp;$U88):INDIRECT("Table!" &amp; $X$171 &amp; $U88),0)),"",INDIRECT(CONCATENATE("Table!",ADDRESS($Q88,MATCH(G$1,INDIRECT("Table!A" &amp; $U88):INDIRECT("Table!" &amp; $X$171 &amp; $U88),0)))))</f>
        <v>110071.9</v>
      </c>
      <c r="H88" s="33">
        <f ca="1">IF(ISERROR(MATCH(H$1,INDIRECT("Table!A"&amp;$U88):INDIRECT("Table!" &amp; $X$171 &amp; $U88),0)),"",INDIRECT(CONCATENATE("Table!",ADDRESS($Q88,MATCH(H$1,INDIRECT("Table!A" &amp; $U88):INDIRECT("Table!" &amp; $X$171 &amp; $U88),0)))))</f>
        <v>121331.8</v>
      </c>
      <c r="I88" s="33">
        <f ca="1">IF(ISERROR(MATCH(I$1,INDIRECT("Table!A"&amp;$U88):INDIRECT("Table!" &amp; $X$171 &amp; $U88),0)),"",INDIRECT(CONCATENATE("Table!",ADDRESS($Q88,MATCH(I$1,INDIRECT("Table!A" &amp; $U88):INDIRECT("Table!" &amp; $X$171 &amp; $U88),0)))))</f>
        <v>170967.6</v>
      </c>
      <c r="J88" s="33">
        <f ca="1">IF(ISERROR(MATCH(J$1,INDIRECT("Table!A"&amp;$U88):INDIRECT("Table!" &amp; $X$171 &amp; $U88),0)),"",INDIRECT(CONCATENATE("Table!",ADDRESS($Q88,MATCH(J$1,INDIRECT("Table!A" &amp; $U88):INDIRECT("Table!" &amp; $X$171 &amp; $U88),0)))))</f>
        <v>132132.20000000001</v>
      </c>
      <c r="K88" s="33">
        <f ca="1">IF(ISERROR(MATCH(K$1,INDIRECT("Table!A"&amp;$U88):INDIRECT("Table!" &amp; $X$171 &amp; $U88),0)),"",INDIRECT(CONCATENATE("Table!",ADDRESS($Q88,MATCH(K$1,INDIRECT("Table!A" &amp; $U88):INDIRECT("Table!" &amp; $X$171 &amp; $U88),0)))))</f>
        <v>60665.9</v>
      </c>
      <c r="L88" s="33">
        <f ca="1">IF(ISERROR(MATCH(L$1,INDIRECT("Table!A"&amp;$U88):INDIRECT("Table!" &amp; $X$171 &amp; $U88),0)),"",INDIRECT(CONCATENATE("Table!",ADDRESS($Q88,MATCH(L$1,INDIRECT("Table!A" &amp; $U88):INDIRECT("Table!" &amp; $X$171 &amp; $U88),0)))))</f>
        <v>176482.7</v>
      </c>
      <c r="M88" s="33">
        <f ca="1">IF(ISERROR(MATCH(M$1,INDIRECT("Table!A"&amp;$U88):INDIRECT("Table!" &amp; $X$171 &amp; $U88),0)),"",INDIRECT(CONCATENATE("Table!",ADDRESS($Q88,MATCH(M$1,INDIRECT("Table!A" &amp; $U88):INDIRECT("Table!" &amp; $X$171 &amp; $U88),0)))))</f>
        <v>54921</v>
      </c>
      <c r="N88" s="202"/>
      <c r="O88" s="202"/>
      <c r="P88" s="202"/>
      <c r="Q88" s="31">
        <f>MATCH($A88,Table!$A:$A,0)+$S$14-1</f>
        <v>1169</v>
      </c>
      <c r="R88" s="202"/>
      <c r="S88" s="202"/>
      <c r="T88" s="202"/>
      <c r="U88" s="31">
        <f>MATCH($A88,Table!$A:$A,0)+$W$2-1</f>
        <v>1155</v>
      </c>
      <c r="V88" s="202"/>
      <c r="W88" s="202"/>
      <c r="X88" s="372" t="s">
        <v>209</v>
      </c>
    </row>
    <row r="89" spans="1:24" ht="18" customHeight="1">
      <c r="A89" s="5">
        <v>41067</v>
      </c>
      <c r="B89" s="33">
        <f ca="1">IF(ISERROR(MATCH(B$1,INDIRECT("Table!A"&amp;$U89):INDIRECT("Table!" &amp; $X$171 &amp; $U89),0)),"",INDIRECT(CONCATENATE("Table!",ADDRESS($Q89,MATCH(B$1,INDIRECT("Table!A" &amp; $U89):INDIRECT("Table!" &amp; $X$171 &amp; $U89),0)))))</f>
        <v>115816.8</v>
      </c>
      <c r="C89" s="33">
        <f ca="1">IF(ISERROR(MATCH(C$1,INDIRECT("Table!A"&amp;$U89):INDIRECT("Table!" &amp; $X$171 &amp; $U89),0)),"",INDIRECT(CONCATENATE("Table!",ADDRESS($Q89,MATCH(C$1,INDIRECT("Table!A" &amp; $U89):INDIRECT("Table!" &amp; $X$171 &amp; $U89),0)))))</f>
        <v>99041.7</v>
      </c>
      <c r="D89" s="33">
        <f ca="1">IF(ISERROR(MATCH(D$1,INDIRECT("Table!A"&amp;$U89):INDIRECT("Table!" &amp; $X$171 &amp; $U89),0)),"",INDIRECT(CONCATENATE("Table!",ADDRESS($Q89,MATCH(D$1,INDIRECT("Table!A" &amp; $U89):INDIRECT("Table!" &amp; $X$171 &amp; $U89),0)))))</f>
        <v>99041.7</v>
      </c>
      <c r="E89" s="33">
        <f ca="1">IF(ISERROR(MATCH(E$1,INDIRECT("Table!A"&amp;$U89):INDIRECT("Table!" &amp; $X$171 &amp; $U89),0)),"",INDIRECT(CONCATENATE("Table!",ADDRESS($Q89,MATCH(E$1,INDIRECT("Table!A" &amp; $U89):INDIRECT("Table!" &amp; $X$171 &amp; $U89),0)))))</f>
        <v>181997.8</v>
      </c>
      <c r="F89" s="33">
        <f ca="1">IF(ISERROR(MATCH(F$1,INDIRECT("Table!A"&amp;$U89):INDIRECT("Table!" &amp; $X$171 &amp; $U89),0)),"",INDIRECT(CONCATENATE("Table!",ADDRESS($Q89,MATCH(F$1,INDIRECT("Table!A" &amp; $U89):INDIRECT("Table!" &amp; $X$171 &amp; $U89),0)))))</f>
        <v>121331.8</v>
      </c>
      <c r="G89" s="33">
        <f ca="1">IF(ISERROR(MATCH(G$1,INDIRECT("Table!A"&amp;$U89):INDIRECT("Table!" &amp; $X$171 &amp; $U89),0)),"",INDIRECT(CONCATENATE("Table!",ADDRESS($Q89,MATCH(G$1,INDIRECT("Table!A" &amp; $U89):INDIRECT("Table!" &amp; $X$171 &amp; $U89),0)))))</f>
        <v>110071.9</v>
      </c>
      <c r="H89" s="33">
        <f ca="1">IF(ISERROR(MATCH(H$1,INDIRECT("Table!A"&amp;$U89):INDIRECT("Table!" &amp; $X$171 &amp; $U89),0)),"",INDIRECT(CONCATENATE("Table!",ADDRESS($Q89,MATCH(H$1,INDIRECT("Table!A" &amp; $U89):INDIRECT("Table!" &amp; $X$171 &amp; $U89),0)))))</f>
        <v>121331.8</v>
      </c>
      <c r="I89" s="33">
        <f ca="1">IF(ISERROR(MATCH(I$1,INDIRECT("Table!A"&amp;$U89):INDIRECT("Table!" &amp; $X$171 &amp; $U89),0)),"",INDIRECT(CONCATENATE("Table!",ADDRESS($Q89,MATCH(I$1,INDIRECT("Table!A" &amp; $U89):INDIRECT("Table!" &amp; $X$171 &amp; $U89),0)))))</f>
        <v>170967.6</v>
      </c>
      <c r="J89" s="33">
        <f ca="1">IF(ISERROR(MATCH(J$1,INDIRECT("Table!A"&amp;$U89):INDIRECT("Table!" &amp; $X$171 &amp; $U89),0)),"",INDIRECT(CONCATENATE("Table!",ADDRESS($Q89,MATCH(J$1,INDIRECT("Table!A" &amp; $U89):INDIRECT("Table!" &amp; $X$171 &amp; $U89),0)))))</f>
        <v>132132.20000000001</v>
      </c>
      <c r="K89" s="33">
        <f ca="1">IF(ISERROR(MATCH(K$1,INDIRECT("Table!A"&amp;$U89):INDIRECT("Table!" &amp; $X$171 &amp; $U89),0)),"",INDIRECT(CONCATENATE("Table!",ADDRESS($Q89,MATCH(K$1,INDIRECT("Table!A" &amp; $U89):INDIRECT("Table!" &amp; $X$171 &amp; $U89),0)))))</f>
        <v>60665.9</v>
      </c>
      <c r="L89" s="33">
        <f ca="1">IF(ISERROR(MATCH(L$1,INDIRECT("Table!A"&amp;$U89):INDIRECT("Table!" &amp; $X$171 &amp; $U89),0)),"",INDIRECT(CONCATENATE("Table!",ADDRESS($Q89,MATCH(L$1,INDIRECT("Table!A" &amp; $U89):INDIRECT("Table!" &amp; $X$171 &amp; $U89),0)))))</f>
        <v>176482.7</v>
      </c>
      <c r="M89" s="33">
        <f ca="1">IF(ISERROR(MATCH(M$1,INDIRECT("Table!A"&amp;$U89):INDIRECT("Table!" &amp; $X$171 &amp; $U89),0)),"",INDIRECT(CONCATENATE("Table!",ADDRESS($Q89,MATCH(M$1,INDIRECT("Table!A" &amp; $U89):INDIRECT("Table!" &amp; $X$171 &amp; $U89),0)))))</f>
        <v>54921</v>
      </c>
      <c r="N89" s="201"/>
      <c r="O89" s="201"/>
      <c r="P89" s="201"/>
      <c r="Q89" s="31">
        <f>MATCH($A89,Table!$A:$A,0)+$S$14-1</f>
        <v>1182</v>
      </c>
      <c r="R89" s="201"/>
      <c r="S89" s="201"/>
      <c r="T89" s="201"/>
      <c r="U89" s="31">
        <f>MATCH($A89,Table!$A:$A,0)+$W$2-1</f>
        <v>1168</v>
      </c>
      <c r="V89" s="201"/>
      <c r="W89" s="201"/>
      <c r="X89" s="372" t="s">
        <v>209</v>
      </c>
    </row>
    <row r="90" spans="1:24" ht="18" customHeight="1">
      <c r="A90" s="5">
        <v>41066</v>
      </c>
      <c r="B90" s="33">
        <f ca="1">IF(ISERROR(MATCH(B$1,INDIRECT("Table!A"&amp;$U90):INDIRECT("Table!" &amp; $X$171 &amp; $U90),0)),"",INDIRECT(CONCATENATE("Table!",ADDRESS($Q90,MATCH(B$1,INDIRECT("Table!A" &amp; $U90):INDIRECT("Table!" &amp; $X$171 &amp; $U90),0)))))</f>
        <v>115816.8</v>
      </c>
      <c r="C90" s="33">
        <f ca="1">IF(ISERROR(MATCH(C$1,INDIRECT("Table!A"&amp;$U90):INDIRECT("Table!" &amp; $X$171 &amp; $U90),0)),"",INDIRECT(CONCATENATE("Table!",ADDRESS($Q90,MATCH(C$1,INDIRECT("Table!A" &amp; $U90):INDIRECT("Table!" &amp; $X$171 &amp; $U90),0)))))</f>
        <v>99041.7</v>
      </c>
      <c r="D90" s="33">
        <f ca="1">IF(ISERROR(MATCH(D$1,INDIRECT("Table!A"&amp;$U90):INDIRECT("Table!" &amp; $X$171 &amp; $U90),0)),"",INDIRECT(CONCATENATE("Table!",ADDRESS($Q90,MATCH(D$1,INDIRECT("Table!A" &amp; $U90):INDIRECT("Table!" &amp; $X$171 &amp; $U90),0)))))</f>
        <v>99041.7</v>
      </c>
      <c r="E90" s="33">
        <f ca="1">IF(ISERROR(MATCH(E$1,INDIRECT("Table!A"&amp;$U90):INDIRECT("Table!" &amp; $X$171 &amp; $U90),0)),"",INDIRECT(CONCATENATE("Table!",ADDRESS($Q90,MATCH(E$1,INDIRECT("Table!A" &amp; $U90):INDIRECT("Table!" &amp; $X$171 &amp; $U90),0)))))</f>
        <v>181997.8</v>
      </c>
      <c r="F90" s="33">
        <f ca="1">IF(ISERROR(MATCH(F$1,INDIRECT("Table!A"&amp;$U90):INDIRECT("Table!" &amp; $X$171 &amp; $U90),0)),"",INDIRECT(CONCATENATE("Table!",ADDRESS($Q90,MATCH(F$1,INDIRECT("Table!A" &amp; $U90):INDIRECT("Table!" &amp; $X$171 &amp; $U90),0)))))</f>
        <v>121331.8</v>
      </c>
      <c r="G90" s="33">
        <f ca="1">IF(ISERROR(MATCH(G$1,INDIRECT("Table!A"&amp;$U90):INDIRECT("Table!" &amp; $X$171 &amp; $U90),0)),"",INDIRECT(CONCATENATE("Table!",ADDRESS($Q90,MATCH(G$1,INDIRECT("Table!A" &amp; $U90):INDIRECT("Table!" &amp; $X$171 &amp; $U90),0)))))</f>
        <v>110071.9</v>
      </c>
      <c r="H90" s="33">
        <f ca="1">IF(ISERROR(MATCH(H$1,INDIRECT("Table!A"&amp;$U90):INDIRECT("Table!" &amp; $X$171 &amp; $U90),0)),"",INDIRECT(CONCATENATE("Table!",ADDRESS($Q90,MATCH(H$1,INDIRECT("Table!A" &amp; $U90):INDIRECT("Table!" &amp; $X$171 &amp; $U90),0)))))</f>
        <v>121331.8</v>
      </c>
      <c r="I90" s="33">
        <f ca="1">IF(ISERROR(MATCH(I$1,INDIRECT("Table!A"&amp;$U90):INDIRECT("Table!" &amp; $X$171 &amp; $U90),0)),"",INDIRECT(CONCATENATE("Table!",ADDRESS($Q90,MATCH(I$1,INDIRECT("Table!A" &amp; $U90):INDIRECT("Table!" &amp; $X$171 &amp; $U90),0)))))</f>
        <v>170967.6</v>
      </c>
      <c r="J90" s="33">
        <f ca="1">IF(ISERROR(MATCH(J$1,INDIRECT("Table!A"&amp;$U90):INDIRECT("Table!" &amp; $X$171 &amp; $U90),0)),"",INDIRECT(CONCATENATE("Table!",ADDRESS($Q90,MATCH(J$1,INDIRECT("Table!A" &amp; $U90):INDIRECT("Table!" &amp; $X$171 &amp; $U90),0)))))</f>
        <v>132132.20000000001</v>
      </c>
      <c r="K90" s="33">
        <f ca="1">IF(ISERROR(MATCH(K$1,INDIRECT("Table!A"&amp;$U90):INDIRECT("Table!" &amp; $X$171 &amp; $U90),0)),"",INDIRECT(CONCATENATE("Table!",ADDRESS($Q90,MATCH(K$1,INDIRECT("Table!A" &amp; $U90):INDIRECT("Table!" &amp; $X$171 &amp; $U90),0)))))</f>
        <v>60665.9</v>
      </c>
      <c r="L90" s="33">
        <f ca="1">IF(ISERROR(MATCH(L$1,INDIRECT("Table!A"&amp;$U90):INDIRECT("Table!" &amp; $X$171 &amp; $U90),0)),"",INDIRECT(CONCATENATE("Table!",ADDRESS($Q90,MATCH(L$1,INDIRECT("Table!A" &amp; $U90):INDIRECT("Table!" &amp; $X$171 &amp; $U90),0)))))</f>
        <v>176482.7</v>
      </c>
      <c r="M90" s="33">
        <f ca="1">IF(ISERROR(MATCH(M$1,INDIRECT("Table!A"&amp;$U90):INDIRECT("Table!" &amp; $X$171 &amp; $U90),0)),"",INDIRECT(CONCATENATE("Table!",ADDRESS($Q90,MATCH(M$1,INDIRECT("Table!A" &amp; $U90):INDIRECT("Table!" &amp; $X$171 &amp; $U90),0)))))</f>
        <v>54921</v>
      </c>
      <c r="N90" s="200"/>
      <c r="O90" s="200"/>
      <c r="P90" s="200"/>
      <c r="Q90" s="31">
        <f>MATCH($A90,Table!$A:$A,0)+$S$14-1</f>
        <v>1195</v>
      </c>
      <c r="R90" s="200"/>
      <c r="S90" s="200"/>
      <c r="T90" s="200"/>
      <c r="U90" s="31">
        <f>MATCH($A90,Table!$A:$A,0)+$W$2-1</f>
        <v>1181</v>
      </c>
      <c r="V90" s="200"/>
      <c r="W90" s="200"/>
      <c r="X90" s="372" t="s">
        <v>209</v>
      </c>
    </row>
    <row r="91" spans="1:24" ht="18" customHeight="1">
      <c r="A91" s="5">
        <v>41059</v>
      </c>
      <c r="B91" s="33">
        <f ca="1">IF(ISERROR(MATCH(B$1,INDIRECT("Table!A"&amp;$U91):INDIRECT("Table!" &amp; $X$171 &amp; $U91),0)),"",INDIRECT(CONCATENATE("Table!",ADDRESS($Q91,MATCH(B$1,INDIRECT("Table!A" &amp; $U91):INDIRECT("Table!" &amp; $X$171 &amp; $U91),0)))))</f>
        <v>115816.8</v>
      </c>
      <c r="C91" s="33">
        <f ca="1">IF(ISERROR(MATCH(C$1,INDIRECT("Table!A"&amp;$U91):INDIRECT("Table!" &amp; $X$171 &amp; $U91),0)),"",INDIRECT(CONCATENATE("Table!",ADDRESS($Q91,MATCH(C$1,INDIRECT("Table!A" &amp; $U91):INDIRECT("Table!" &amp; $X$171 &amp; $U91),0)))))</f>
        <v>99041.7</v>
      </c>
      <c r="D91" s="33">
        <f ca="1">IF(ISERROR(MATCH(D$1,INDIRECT("Table!A"&amp;$U91):INDIRECT("Table!" &amp; $X$171 &amp; $U91),0)),"",INDIRECT(CONCATENATE("Table!",ADDRESS($Q91,MATCH(D$1,INDIRECT("Table!A" &amp; $U91):INDIRECT("Table!" &amp; $X$171 &amp; $U91),0)))))</f>
        <v>99041.7</v>
      </c>
      <c r="E91" s="33">
        <f ca="1">IF(ISERROR(MATCH(E$1,INDIRECT("Table!A"&amp;$U91):INDIRECT("Table!" &amp; $X$171 &amp; $U91),0)),"",INDIRECT(CONCATENATE("Table!",ADDRESS($Q91,MATCH(E$1,INDIRECT("Table!A" &amp; $U91):INDIRECT("Table!" &amp; $X$171 &amp; $U91),0)))))</f>
        <v>181997.8</v>
      </c>
      <c r="F91" s="33">
        <f ca="1">IF(ISERROR(MATCH(F$1,INDIRECT("Table!A"&amp;$U91):INDIRECT("Table!" &amp; $X$171 &amp; $U91),0)),"",INDIRECT(CONCATENATE("Table!",ADDRESS($Q91,MATCH(F$1,INDIRECT("Table!A" &amp; $U91):INDIRECT("Table!" &amp; $X$171 &amp; $U91),0)))))</f>
        <v>121331.8</v>
      </c>
      <c r="G91" s="33">
        <f ca="1">IF(ISERROR(MATCH(G$1,INDIRECT("Table!A"&amp;$U91):INDIRECT("Table!" &amp; $X$171 &amp; $U91),0)),"",INDIRECT(CONCATENATE("Table!",ADDRESS($Q91,MATCH(G$1,INDIRECT("Table!A" &amp; $U91):INDIRECT("Table!" &amp; $X$171 &amp; $U91),0)))))</f>
        <v>110071.9</v>
      </c>
      <c r="H91" s="33">
        <f ca="1">IF(ISERROR(MATCH(H$1,INDIRECT("Table!A"&amp;$U91):INDIRECT("Table!" &amp; $X$171 &amp; $U91),0)),"",INDIRECT(CONCATENATE("Table!",ADDRESS($Q91,MATCH(H$1,INDIRECT("Table!A" &amp; $U91):INDIRECT("Table!" &amp; $X$171 &amp; $U91),0)))))</f>
        <v>121331.8</v>
      </c>
      <c r="I91" s="33">
        <f ca="1">IF(ISERROR(MATCH(I$1,INDIRECT("Table!A"&amp;$U91):INDIRECT("Table!" &amp; $X$171 &amp; $U91),0)),"",INDIRECT(CONCATENATE("Table!",ADDRESS($Q91,MATCH(I$1,INDIRECT("Table!A" &amp; $U91):INDIRECT("Table!" &amp; $X$171 &amp; $U91),0)))))</f>
        <v>170967.6</v>
      </c>
      <c r="J91" s="33">
        <f ca="1">IF(ISERROR(MATCH(J$1,INDIRECT("Table!A"&amp;$U91):INDIRECT("Table!" &amp; $X$171 &amp; $U91),0)),"",INDIRECT(CONCATENATE("Table!",ADDRESS($Q91,MATCH(J$1,INDIRECT("Table!A" &amp; $U91):INDIRECT("Table!" &amp; $X$171 &amp; $U91),0)))))</f>
        <v>132132.20000000001</v>
      </c>
      <c r="K91" s="33">
        <f ca="1">IF(ISERROR(MATCH(K$1,INDIRECT("Table!A"&amp;$U91):INDIRECT("Table!" &amp; $X$171 &amp; $U91),0)),"",INDIRECT(CONCATENATE("Table!",ADDRESS($Q91,MATCH(K$1,INDIRECT("Table!A" &amp; $U91):INDIRECT("Table!" &amp; $X$171 &amp; $U91),0)))))</f>
        <v>60665.9</v>
      </c>
      <c r="L91" s="33">
        <f ca="1">IF(ISERROR(MATCH(L$1,INDIRECT("Table!A"&amp;$U91):INDIRECT("Table!" &amp; $X$171 &amp; $U91),0)),"",INDIRECT(CONCATENATE("Table!",ADDRESS($Q91,MATCH(L$1,INDIRECT("Table!A" &amp; $U91):INDIRECT("Table!" &amp; $X$171 &amp; $U91),0)))))</f>
        <v>176482.7</v>
      </c>
      <c r="M91" s="33">
        <f ca="1">IF(ISERROR(MATCH(M$1,INDIRECT("Table!A"&amp;$U91):INDIRECT("Table!" &amp; $X$171 &amp; $U91),0)),"",INDIRECT(CONCATENATE("Table!",ADDRESS($Q91,MATCH(M$1,INDIRECT("Table!A" &amp; $U91):INDIRECT("Table!" &amp; $X$171 &amp; $U91),0)))))</f>
        <v>54921</v>
      </c>
      <c r="N91" s="200"/>
      <c r="O91" s="200"/>
      <c r="P91" s="200"/>
      <c r="Q91" s="31">
        <f>MATCH($A91,Table!$A:$A,0)+$S$14-1</f>
        <v>1208</v>
      </c>
      <c r="R91" s="200"/>
      <c r="S91" s="200"/>
      <c r="T91" s="200"/>
      <c r="U91" s="31">
        <f>MATCH($A91,Table!$A:$A,0)+$W$2-1</f>
        <v>1194</v>
      </c>
      <c r="V91" s="200"/>
      <c r="W91" s="200"/>
      <c r="X91" s="372" t="s">
        <v>209</v>
      </c>
    </row>
    <row r="92" spans="1:24" ht="18" customHeight="1">
      <c r="A92" s="5">
        <v>41058</v>
      </c>
      <c r="B92" s="33">
        <f ca="1">IF(ISERROR(MATCH(B$1,INDIRECT("Table!A"&amp;$U92):INDIRECT("Table!" &amp; $X$171 &amp; $U92),0)),"",INDIRECT(CONCATENATE("Table!",ADDRESS($Q92,MATCH(B$1,INDIRECT("Table!A" &amp; $U92):INDIRECT("Table!" &amp; $X$171 &amp; $U92),0)))))</f>
        <v>115816.8</v>
      </c>
      <c r="C92" s="33">
        <f ca="1">IF(ISERROR(MATCH(C$1,INDIRECT("Table!A"&amp;$U92):INDIRECT("Table!" &amp; $X$171 &amp; $U92),0)),"",INDIRECT(CONCATENATE("Table!",ADDRESS($Q92,MATCH(C$1,INDIRECT("Table!A" &amp; $U92):INDIRECT("Table!" &amp; $X$171 &amp; $U92),0)))))</f>
        <v>99041.7</v>
      </c>
      <c r="D92" s="33">
        <f ca="1">IF(ISERROR(MATCH(D$1,INDIRECT("Table!A"&amp;$U92):INDIRECT("Table!" &amp; $X$171 &amp; $U92),0)),"",INDIRECT(CONCATENATE("Table!",ADDRESS($Q92,MATCH(D$1,INDIRECT("Table!A" &amp; $U92):INDIRECT("Table!" &amp; $X$171 &amp; $U92),0)))))</f>
        <v>99041.7</v>
      </c>
      <c r="E92" s="33">
        <f ca="1">IF(ISERROR(MATCH(E$1,INDIRECT("Table!A"&amp;$U92):INDIRECT("Table!" &amp; $X$171 &amp; $U92),0)),"",INDIRECT(CONCATENATE("Table!",ADDRESS($Q92,MATCH(E$1,INDIRECT("Table!A" &amp; $U92):INDIRECT("Table!" &amp; $X$171 &amp; $U92),0)))))</f>
        <v>181997.8</v>
      </c>
      <c r="F92" s="33">
        <f ca="1">IF(ISERROR(MATCH(F$1,INDIRECT("Table!A"&amp;$U92):INDIRECT("Table!" &amp; $X$171 &amp; $U92),0)),"",INDIRECT(CONCATENATE("Table!",ADDRESS($Q92,MATCH(F$1,INDIRECT("Table!A" &amp; $U92):INDIRECT("Table!" &amp; $X$171 &amp; $U92),0)))))</f>
        <v>121331.8</v>
      </c>
      <c r="G92" s="33">
        <f ca="1">IF(ISERROR(MATCH(G$1,INDIRECT("Table!A"&amp;$U92):INDIRECT("Table!" &amp; $X$171 &amp; $U92),0)),"",INDIRECT(CONCATENATE("Table!",ADDRESS($Q92,MATCH(G$1,INDIRECT("Table!A" &amp; $U92):INDIRECT("Table!" &amp; $X$171 &amp; $U92),0)))))</f>
        <v>110071.9</v>
      </c>
      <c r="H92" s="33">
        <f ca="1">IF(ISERROR(MATCH(H$1,INDIRECT("Table!A"&amp;$U92):INDIRECT("Table!" &amp; $X$171 &amp; $U92),0)),"",INDIRECT(CONCATENATE("Table!",ADDRESS($Q92,MATCH(H$1,INDIRECT("Table!A" &amp; $U92):INDIRECT("Table!" &amp; $X$171 &amp; $U92),0)))))</f>
        <v>121331.8</v>
      </c>
      <c r="I92" s="33">
        <f ca="1">IF(ISERROR(MATCH(I$1,INDIRECT("Table!A"&amp;$U92):INDIRECT("Table!" &amp; $X$171 &amp; $U92),0)),"",INDIRECT(CONCATENATE("Table!",ADDRESS($Q92,MATCH(I$1,INDIRECT("Table!A" &amp; $U92):INDIRECT("Table!" &amp; $X$171 &amp; $U92),0)))))</f>
        <v>170967.6</v>
      </c>
      <c r="J92" s="33">
        <f ca="1">IF(ISERROR(MATCH(J$1,INDIRECT("Table!A"&amp;$U92):INDIRECT("Table!" &amp; $X$171 &amp; $U92),0)),"",INDIRECT(CONCATENATE("Table!",ADDRESS($Q92,MATCH(J$1,INDIRECT("Table!A" &amp; $U92):INDIRECT("Table!" &amp; $X$171 &amp; $U92),0)))))</f>
        <v>132132.20000000001</v>
      </c>
      <c r="K92" s="33">
        <f ca="1">IF(ISERROR(MATCH(K$1,INDIRECT("Table!A"&amp;$U92):INDIRECT("Table!" &amp; $X$171 &amp; $U92),0)),"",INDIRECT(CONCATENATE("Table!",ADDRESS($Q92,MATCH(K$1,INDIRECT("Table!A" &amp; $U92):INDIRECT("Table!" &amp; $X$171 &amp; $U92),0)))))</f>
        <v>60665.9</v>
      </c>
      <c r="L92" s="33">
        <f ca="1">IF(ISERROR(MATCH(L$1,INDIRECT("Table!A"&amp;$U92):INDIRECT("Table!" &amp; $X$171 &amp; $U92),0)),"",INDIRECT(CONCATENATE("Table!",ADDRESS($Q92,MATCH(L$1,INDIRECT("Table!A" &amp; $U92):INDIRECT("Table!" &amp; $X$171 &amp; $U92),0)))))</f>
        <v>176482.7</v>
      </c>
      <c r="M92" s="33">
        <f ca="1">IF(ISERROR(MATCH(M$1,INDIRECT("Table!A"&amp;$U92):INDIRECT("Table!" &amp; $X$171 &amp; $U92),0)),"",INDIRECT(CONCATENATE("Table!",ADDRESS($Q92,MATCH(M$1,INDIRECT("Table!A" &amp; $U92):INDIRECT("Table!" &amp; $X$171 &amp; $U92),0)))))</f>
        <v>54921</v>
      </c>
      <c r="N92" s="199"/>
      <c r="O92" s="199"/>
      <c r="P92" s="199"/>
      <c r="Q92" s="31">
        <f>MATCH($A92,Table!$A:$A,0)+$S$14-1</f>
        <v>1221</v>
      </c>
      <c r="R92" s="199"/>
      <c r="S92" s="199"/>
      <c r="T92" s="199"/>
      <c r="U92" s="31">
        <f>MATCH($A92,Table!$A:$A,0)+$W$2-1</f>
        <v>1207</v>
      </c>
      <c r="V92" s="199"/>
      <c r="W92" s="199"/>
      <c r="X92" s="372" t="s">
        <v>209</v>
      </c>
    </row>
    <row r="93" spans="1:24" ht="18" customHeight="1">
      <c r="A93" s="5">
        <v>41057</v>
      </c>
      <c r="B93" s="33">
        <f ca="1">IF(ISERROR(MATCH(B$1,INDIRECT("Table!A"&amp;$U93):INDIRECT("Table!" &amp; $X$171 &amp; $U93),0)),"",INDIRECT(CONCATENATE("Table!",ADDRESS($Q93,MATCH(B$1,INDIRECT("Table!A" &amp; $U93):INDIRECT("Table!" &amp; $X$171 &amp; $U93),0)))))</f>
        <v>115816.8</v>
      </c>
      <c r="C93" s="33">
        <f ca="1">IF(ISERROR(MATCH(C$1,INDIRECT("Table!A"&amp;$U93):INDIRECT("Table!" &amp; $X$171 &amp; $U93),0)),"",INDIRECT(CONCATENATE("Table!",ADDRESS($Q93,MATCH(C$1,INDIRECT("Table!A" &amp; $U93):INDIRECT("Table!" &amp; $X$171 &amp; $U93),0)))))</f>
        <v>99041.7</v>
      </c>
      <c r="D93" s="33">
        <f ca="1">IF(ISERROR(MATCH(D$1,INDIRECT("Table!A"&amp;$U93):INDIRECT("Table!" &amp; $X$171 &amp; $U93),0)),"",INDIRECT(CONCATENATE("Table!",ADDRESS($Q93,MATCH(D$1,INDIRECT("Table!A" &amp; $U93):INDIRECT("Table!" &amp; $X$171 &amp; $U93),0)))))</f>
        <v>99041.7</v>
      </c>
      <c r="E93" s="33">
        <f ca="1">IF(ISERROR(MATCH(E$1,INDIRECT("Table!A"&amp;$U93):INDIRECT("Table!" &amp; $X$171 &amp; $U93),0)),"",INDIRECT(CONCATENATE("Table!",ADDRESS($Q93,MATCH(E$1,INDIRECT("Table!A" &amp; $U93):INDIRECT("Table!" &amp; $X$171 &amp; $U93),0)))))</f>
        <v>181997.8</v>
      </c>
      <c r="F93" s="33">
        <f ca="1">IF(ISERROR(MATCH(F$1,INDIRECT("Table!A"&amp;$U93):INDIRECT("Table!" &amp; $X$171 &amp; $U93),0)),"",INDIRECT(CONCATENATE("Table!",ADDRESS($Q93,MATCH(F$1,INDIRECT("Table!A" &amp; $U93):INDIRECT("Table!" &amp; $X$171 &amp; $U93),0)))))</f>
        <v>121331.8</v>
      </c>
      <c r="G93" s="33">
        <f ca="1">IF(ISERROR(MATCH(G$1,INDIRECT("Table!A"&amp;$U93):INDIRECT("Table!" &amp; $X$171 &amp; $U93),0)),"",INDIRECT(CONCATENATE("Table!",ADDRESS($Q93,MATCH(G$1,INDIRECT("Table!A" &amp; $U93):INDIRECT("Table!" &amp; $X$171 &amp; $U93),0)))))</f>
        <v>110071.9</v>
      </c>
      <c r="H93" s="33">
        <f ca="1">IF(ISERROR(MATCH(H$1,INDIRECT("Table!A"&amp;$U93):INDIRECT("Table!" &amp; $X$171 &amp; $U93),0)),"",INDIRECT(CONCATENATE("Table!",ADDRESS($Q93,MATCH(H$1,INDIRECT("Table!A" &amp; $U93):INDIRECT("Table!" &amp; $X$171 &amp; $U93),0)))))</f>
        <v>121331.8</v>
      </c>
      <c r="I93" s="33">
        <f ca="1">IF(ISERROR(MATCH(I$1,INDIRECT("Table!A"&amp;$U93):INDIRECT("Table!" &amp; $X$171 &amp; $U93),0)),"",INDIRECT(CONCATENATE("Table!",ADDRESS($Q93,MATCH(I$1,INDIRECT("Table!A" &amp; $U93):INDIRECT("Table!" &amp; $X$171 &amp; $U93),0)))))</f>
        <v>170967.6</v>
      </c>
      <c r="J93" s="33">
        <f ca="1">IF(ISERROR(MATCH(J$1,INDIRECT("Table!A"&amp;$U93):INDIRECT("Table!" &amp; $X$171 &amp; $U93),0)),"",INDIRECT(CONCATENATE("Table!",ADDRESS($Q93,MATCH(J$1,INDIRECT("Table!A" &amp; $U93):INDIRECT("Table!" &amp; $X$171 &amp; $U93),0)))))</f>
        <v>132132.20000000001</v>
      </c>
      <c r="K93" s="33">
        <f ca="1">IF(ISERROR(MATCH(K$1,INDIRECT("Table!A"&amp;$U93):INDIRECT("Table!" &amp; $X$171 &amp; $U93),0)),"",INDIRECT(CONCATENATE("Table!",ADDRESS($Q93,MATCH(K$1,INDIRECT("Table!A" &amp; $U93):INDIRECT("Table!" &amp; $X$171 &amp; $U93),0)))))</f>
        <v>60665.9</v>
      </c>
      <c r="L93" s="33">
        <f ca="1">IF(ISERROR(MATCH(L$1,INDIRECT("Table!A"&amp;$U93):INDIRECT("Table!" &amp; $X$171 &amp; $U93),0)),"",INDIRECT(CONCATENATE("Table!",ADDRESS($Q93,MATCH(L$1,INDIRECT("Table!A" &amp; $U93):INDIRECT("Table!" &amp; $X$171 &amp; $U93),0)))))</f>
        <v>176482.7</v>
      </c>
      <c r="M93" s="33">
        <f ca="1">IF(ISERROR(MATCH(M$1,INDIRECT("Table!A"&amp;$U93):INDIRECT("Table!" &amp; $X$171 &amp; $U93),0)),"",INDIRECT(CONCATENATE("Table!",ADDRESS($Q93,MATCH(M$1,INDIRECT("Table!A" &amp; $U93):INDIRECT("Table!" &amp; $X$171 &amp; $U93),0)))))</f>
        <v>54921</v>
      </c>
      <c r="N93" s="198"/>
      <c r="O93" s="198"/>
      <c r="P93" s="198"/>
      <c r="Q93" s="31">
        <f>MATCH($A93,Table!$A:$A,0)+$S$14-1</f>
        <v>1234</v>
      </c>
      <c r="R93" s="198"/>
      <c r="S93" s="198"/>
      <c r="T93" s="198"/>
      <c r="U93" s="31">
        <f>MATCH($A93,Table!$A:$A,0)+$W$2-1</f>
        <v>1220</v>
      </c>
      <c r="V93" s="198"/>
      <c r="W93" s="198"/>
      <c r="X93" s="372" t="s">
        <v>209</v>
      </c>
    </row>
    <row r="94" spans="1:24" ht="18" customHeight="1">
      <c r="A94" s="5">
        <v>41054</v>
      </c>
      <c r="B94" s="33">
        <f ca="1">IF(ISERROR(MATCH(B$1,INDIRECT("Table!A"&amp;$U94):INDIRECT("Table!" &amp; $X$171 &amp; $U94),0)),"",INDIRECT(CONCATENATE("Table!",ADDRESS($Q94,MATCH(B$1,INDIRECT("Table!A" &amp; $U94):INDIRECT("Table!" &amp; $X$171 &amp; $U94),0)))))</f>
        <v>115816.8</v>
      </c>
      <c r="C94" s="33">
        <f ca="1">IF(ISERROR(MATCH(C$1,INDIRECT("Table!A"&amp;$U94):INDIRECT("Table!" &amp; $X$171 &amp; $U94),0)),"",INDIRECT(CONCATENATE("Table!",ADDRESS($Q94,MATCH(C$1,INDIRECT("Table!A" &amp; $U94):INDIRECT("Table!" &amp; $X$171 &amp; $U94),0)))))</f>
        <v>99041.7</v>
      </c>
      <c r="D94" s="33">
        <f ca="1">IF(ISERROR(MATCH(D$1,INDIRECT("Table!A"&amp;$U94):INDIRECT("Table!" &amp; $X$171 &amp; $U94),0)),"",INDIRECT(CONCATENATE("Table!",ADDRESS($Q94,MATCH(D$1,INDIRECT("Table!A" &amp; $U94):INDIRECT("Table!" &amp; $X$171 &amp; $U94),0)))))</f>
        <v>99041.7</v>
      </c>
      <c r="E94" s="33">
        <f ca="1">IF(ISERROR(MATCH(E$1,INDIRECT("Table!A"&amp;$U94):INDIRECT("Table!" &amp; $X$171 &amp; $U94),0)),"",INDIRECT(CONCATENATE("Table!",ADDRESS($Q94,MATCH(E$1,INDIRECT("Table!A" &amp; $U94):INDIRECT("Table!" &amp; $X$171 &amp; $U94),0)))))</f>
        <v>181997.8</v>
      </c>
      <c r="F94" s="33">
        <f ca="1">IF(ISERROR(MATCH(F$1,INDIRECT("Table!A"&amp;$U94):INDIRECT("Table!" &amp; $X$171 &amp; $U94),0)),"",INDIRECT(CONCATENATE("Table!",ADDRESS($Q94,MATCH(F$1,INDIRECT("Table!A" &amp; $U94):INDIRECT("Table!" &amp; $X$171 &amp; $U94),0)))))</f>
        <v>121331.8</v>
      </c>
      <c r="G94" s="33">
        <f ca="1">IF(ISERROR(MATCH(G$1,INDIRECT("Table!A"&amp;$U94):INDIRECT("Table!" &amp; $X$171 &amp; $U94),0)),"",INDIRECT(CONCATENATE("Table!",ADDRESS($Q94,MATCH(G$1,INDIRECT("Table!A" &amp; $U94):INDIRECT("Table!" &amp; $X$171 &amp; $U94),0)))))</f>
        <v>110071.9</v>
      </c>
      <c r="H94" s="33">
        <f ca="1">IF(ISERROR(MATCH(H$1,INDIRECT("Table!A"&amp;$U94):INDIRECT("Table!" &amp; $X$171 &amp; $U94),0)),"",INDIRECT(CONCATENATE("Table!",ADDRESS($Q94,MATCH(H$1,INDIRECT("Table!A" &amp; $U94):INDIRECT("Table!" &amp; $X$171 &amp; $U94),0)))))</f>
        <v>121331.8</v>
      </c>
      <c r="I94" s="33">
        <f ca="1">IF(ISERROR(MATCH(I$1,INDIRECT("Table!A"&amp;$U94):INDIRECT("Table!" &amp; $X$171 &amp; $U94),0)),"",INDIRECT(CONCATENATE("Table!",ADDRESS($Q94,MATCH(I$1,INDIRECT("Table!A" &amp; $U94):INDIRECT("Table!" &amp; $X$171 &amp; $U94),0)))))</f>
        <v>170967.6</v>
      </c>
      <c r="J94" s="33">
        <f ca="1">IF(ISERROR(MATCH(J$1,INDIRECT("Table!A"&amp;$U94):INDIRECT("Table!" &amp; $X$171 &amp; $U94),0)),"",INDIRECT(CONCATENATE("Table!",ADDRESS($Q94,MATCH(J$1,INDIRECT("Table!A" &amp; $U94):INDIRECT("Table!" &amp; $X$171 &amp; $U94),0)))))</f>
        <v>132132.20000000001</v>
      </c>
      <c r="K94" s="33">
        <f ca="1">IF(ISERROR(MATCH(K$1,INDIRECT("Table!A"&amp;$U94):INDIRECT("Table!" &amp; $X$171 &amp; $U94),0)),"",INDIRECT(CONCATENATE("Table!",ADDRESS($Q94,MATCH(K$1,INDIRECT("Table!A" &amp; $U94):INDIRECT("Table!" &amp; $X$171 &amp; $U94),0)))))</f>
        <v>60665.9</v>
      </c>
      <c r="L94" s="33">
        <f ca="1">IF(ISERROR(MATCH(L$1,INDIRECT("Table!A"&amp;$U94):INDIRECT("Table!" &amp; $X$171 &amp; $U94),0)),"",INDIRECT(CONCATENATE("Table!",ADDRESS($Q94,MATCH(L$1,INDIRECT("Table!A" &amp; $U94):INDIRECT("Table!" &amp; $X$171 &amp; $U94),0)))))</f>
        <v>176482.7</v>
      </c>
      <c r="M94" s="33">
        <f ca="1">IF(ISERROR(MATCH(M$1,INDIRECT("Table!A"&amp;$U94):INDIRECT("Table!" &amp; $X$171 &amp; $U94),0)),"",INDIRECT(CONCATENATE("Table!",ADDRESS($Q94,MATCH(M$1,INDIRECT("Table!A" &amp; $U94):INDIRECT("Table!" &amp; $X$171 &amp; $U94),0)))))</f>
        <v>54921</v>
      </c>
      <c r="N94" s="197"/>
      <c r="O94" s="197"/>
      <c r="P94" s="197"/>
      <c r="Q94" s="31">
        <f>MATCH($A94,Table!$A:$A,0)+$S$14-1</f>
        <v>1247</v>
      </c>
      <c r="R94" s="197"/>
      <c r="S94" s="197"/>
      <c r="T94" s="197"/>
      <c r="U94" s="31">
        <f>MATCH($A94,Table!$A:$A,0)+$W$2-1</f>
        <v>1233</v>
      </c>
      <c r="V94" s="197"/>
      <c r="W94" s="197"/>
      <c r="X94" s="372" t="s">
        <v>209</v>
      </c>
    </row>
    <row r="95" spans="1:24" ht="18" customHeight="1">
      <c r="A95" s="5">
        <v>41053</v>
      </c>
      <c r="B95" s="33">
        <f ca="1">IF(ISERROR(MATCH(B$1,INDIRECT("Table!A"&amp;$U95):INDIRECT("Table!" &amp; $X$171 &amp; $U95),0)),"",INDIRECT(CONCATENATE("Table!",ADDRESS($Q95,MATCH(B$1,INDIRECT("Table!A" &amp; $U95):INDIRECT("Table!" &amp; $X$171 &amp; $U95),0)))))</f>
        <v>115816.8</v>
      </c>
      <c r="C95" s="33">
        <f ca="1">IF(ISERROR(MATCH(C$1,INDIRECT("Table!A"&amp;$U95):INDIRECT("Table!" &amp; $X$171 &amp; $U95),0)),"",INDIRECT(CONCATENATE("Table!",ADDRESS($Q95,MATCH(C$1,INDIRECT("Table!A" &amp; $U95):INDIRECT("Table!" &amp; $X$171 &amp; $U95),0)))))</f>
        <v>99041.7</v>
      </c>
      <c r="D95" s="33">
        <f ca="1">IF(ISERROR(MATCH(D$1,INDIRECT("Table!A"&amp;$U95):INDIRECT("Table!" &amp; $X$171 &amp; $U95),0)),"",INDIRECT(CONCATENATE("Table!",ADDRESS($Q95,MATCH(D$1,INDIRECT("Table!A" &amp; $U95):INDIRECT("Table!" &amp; $X$171 &amp; $U95),0)))))</f>
        <v>99041.7</v>
      </c>
      <c r="E95" s="33">
        <f ca="1">IF(ISERROR(MATCH(E$1,INDIRECT("Table!A"&amp;$U95):INDIRECT("Table!" &amp; $X$171 &amp; $U95),0)),"",INDIRECT(CONCATENATE("Table!",ADDRESS($Q95,MATCH(E$1,INDIRECT("Table!A" &amp; $U95):INDIRECT("Table!" &amp; $X$171 &amp; $U95),0)))))</f>
        <v>181997.8</v>
      </c>
      <c r="F95" s="33">
        <f ca="1">IF(ISERROR(MATCH(F$1,INDIRECT("Table!A"&amp;$U95):INDIRECT("Table!" &amp; $X$171 &amp; $U95),0)),"",INDIRECT(CONCATENATE("Table!",ADDRESS($Q95,MATCH(F$1,INDIRECT("Table!A" &amp; $U95):INDIRECT("Table!" &amp; $X$171 &amp; $U95),0)))))</f>
        <v>121331.8</v>
      </c>
      <c r="G95" s="33">
        <f ca="1">IF(ISERROR(MATCH(G$1,INDIRECT("Table!A"&amp;$U95):INDIRECT("Table!" &amp; $X$171 &amp; $U95),0)),"",INDIRECT(CONCATENATE("Table!",ADDRESS($Q95,MATCH(G$1,INDIRECT("Table!A" &amp; $U95):INDIRECT("Table!" &amp; $X$171 &amp; $U95),0)))))</f>
        <v>110071.9</v>
      </c>
      <c r="H95" s="33">
        <f ca="1">IF(ISERROR(MATCH(H$1,INDIRECT("Table!A"&amp;$U95):INDIRECT("Table!" &amp; $X$171 &amp; $U95),0)),"",INDIRECT(CONCATENATE("Table!",ADDRESS($Q95,MATCH(H$1,INDIRECT("Table!A" &amp; $U95):INDIRECT("Table!" &amp; $X$171 &amp; $U95),0)))))</f>
        <v>121331.8</v>
      </c>
      <c r="I95" s="33">
        <f ca="1">IF(ISERROR(MATCH(I$1,INDIRECT("Table!A"&amp;$U95):INDIRECT("Table!" &amp; $X$171 &amp; $U95),0)),"",INDIRECT(CONCATENATE("Table!",ADDRESS($Q95,MATCH(I$1,INDIRECT("Table!A" &amp; $U95):INDIRECT("Table!" &amp; $X$171 &amp; $U95),0)))))</f>
        <v>170967.6</v>
      </c>
      <c r="J95" s="33">
        <f ca="1">IF(ISERROR(MATCH(J$1,INDIRECT("Table!A"&amp;$U95):INDIRECT("Table!" &amp; $X$171 &amp; $U95),0)),"",INDIRECT(CONCATENATE("Table!",ADDRESS($Q95,MATCH(J$1,INDIRECT("Table!A" &amp; $U95):INDIRECT("Table!" &amp; $X$171 &amp; $U95),0)))))</f>
        <v>132132.20000000001</v>
      </c>
      <c r="K95" s="33">
        <f ca="1">IF(ISERROR(MATCH(K$1,INDIRECT("Table!A"&amp;$U95):INDIRECT("Table!" &amp; $X$171 &amp; $U95),0)),"",INDIRECT(CONCATENATE("Table!",ADDRESS($Q95,MATCH(K$1,INDIRECT("Table!A" &amp; $U95):INDIRECT("Table!" &amp; $X$171 &amp; $U95),0)))))</f>
        <v>60665.9</v>
      </c>
      <c r="L95" s="33">
        <f ca="1">IF(ISERROR(MATCH(L$1,INDIRECT("Table!A"&amp;$U95):INDIRECT("Table!" &amp; $X$171 &amp; $U95),0)),"",INDIRECT(CONCATENATE("Table!",ADDRESS($Q95,MATCH(L$1,INDIRECT("Table!A" &amp; $U95):INDIRECT("Table!" &amp; $X$171 &amp; $U95),0)))))</f>
        <v>176482.7</v>
      </c>
      <c r="M95" s="33">
        <f ca="1">IF(ISERROR(MATCH(M$1,INDIRECT("Table!A"&amp;$U95):INDIRECT("Table!" &amp; $X$171 &amp; $U95),0)),"",INDIRECT(CONCATENATE("Table!",ADDRESS($Q95,MATCH(M$1,INDIRECT("Table!A" &amp; $U95):INDIRECT("Table!" &amp; $X$171 &amp; $U95),0)))))</f>
        <v>54921</v>
      </c>
      <c r="N95" s="196"/>
      <c r="O95" s="196"/>
      <c r="P95" s="196"/>
      <c r="Q95" s="31">
        <f>MATCH($A95,Table!$A:$A,0)+$S$14-1</f>
        <v>1260</v>
      </c>
      <c r="R95" s="196"/>
      <c r="S95" s="196"/>
      <c r="T95" s="196"/>
      <c r="U95" s="31">
        <f>MATCH($A95,Table!$A:$A,0)+$W$2-1</f>
        <v>1246</v>
      </c>
      <c r="V95" s="196"/>
      <c r="W95" s="196"/>
      <c r="X95" s="372" t="s">
        <v>209</v>
      </c>
    </row>
    <row r="96" spans="1:24" ht="18" customHeight="1">
      <c r="A96" s="5">
        <v>41051</v>
      </c>
      <c r="B96" s="33">
        <f ca="1">IF(ISERROR(MATCH(B$1,INDIRECT("Table!A"&amp;$U96):INDIRECT("Table!" &amp; $X$171 &amp; $U96),0)),"",INDIRECT(CONCATENATE("Table!",ADDRESS($Q96,MATCH(B$1,INDIRECT("Table!A" &amp; $U96):INDIRECT("Table!" &amp; $X$171 &amp; $U96),0)))))</f>
        <v>115816.8</v>
      </c>
      <c r="C96" s="33">
        <f ca="1">IF(ISERROR(MATCH(C$1,INDIRECT("Table!A"&amp;$U96):INDIRECT("Table!" &amp; $X$171 &amp; $U96),0)),"",INDIRECT(CONCATENATE("Table!",ADDRESS($Q96,MATCH(C$1,INDIRECT("Table!A" &amp; $U96):INDIRECT("Table!" &amp; $X$171 &amp; $U96),0)))))</f>
        <v>99041.7</v>
      </c>
      <c r="D96" s="33">
        <f ca="1">IF(ISERROR(MATCH(D$1,INDIRECT("Table!A"&amp;$U96):INDIRECT("Table!" &amp; $X$171 &amp; $U96),0)),"",INDIRECT(CONCATENATE("Table!",ADDRESS($Q96,MATCH(D$1,INDIRECT("Table!A" &amp; $U96):INDIRECT("Table!" &amp; $X$171 &amp; $U96),0)))))</f>
        <v>99041.7</v>
      </c>
      <c r="E96" s="33">
        <f ca="1">IF(ISERROR(MATCH(E$1,INDIRECT("Table!A"&amp;$U96):INDIRECT("Table!" &amp; $X$171 &amp; $U96),0)),"",INDIRECT(CONCATENATE("Table!",ADDRESS($Q96,MATCH(E$1,INDIRECT("Table!A" &amp; $U96):INDIRECT("Table!" &amp; $X$171 &amp; $U96),0)))))</f>
        <v>181997.8</v>
      </c>
      <c r="F96" s="33">
        <f ca="1">IF(ISERROR(MATCH(F$1,INDIRECT("Table!A"&amp;$U96):INDIRECT("Table!" &amp; $X$171 &amp; $U96),0)),"",INDIRECT(CONCATENATE("Table!",ADDRESS($Q96,MATCH(F$1,INDIRECT("Table!A" &amp; $U96):INDIRECT("Table!" &amp; $X$171 &amp; $U96),0)))))</f>
        <v>121331.8</v>
      </c>
      <c r="G96" s="33">
        <f ca="1">IF(ISERROR(MATCH(G$1,INDIRECT("Table!A"&amp;$U96):INDIRECT("Table!" &amp; $X$171 &amp; $U96),0)),"",INDIRECT(CONCATENATE("Table!",ADDRESS($Q96,MATCH(G$1,INDIRECT("Table!A" &amp; $U96):INDIRECT("Table!" &amp; $X$171 &amp; $U96),0)))))</f>
        <v>110071.9</v>
      </c>
      <c r="H96" s="33">
        <f ca="1">IF(ISERROR(MATCH(H$1,INDIRECT("Table!A"&amp;$U96):INDIRECT("Table!" &amp; $X$171 &amp; $U96),0)),"",INDIRECT(CONCATENATE("Table!",ADDRESS($Q96,MATCH(H$1,INDIRECT("Table!A" &amp; $U96):INDIRECT("Table!" &amp; $X$171 &amp; $U96),0)))))</f>
        <v>121331.8</v>
      </c>
      <c r="I96" s="33">
        <f ca="1">IF(ISERROR(MATCH(I$1,INDIRECT("Table!A"&amp;$U96):INDIRECT("Table!" &amp; $X$171 &amp; $U96),0)),"",INDIRECT(CONCATENATE("Table!",ADDRESS($Q96,MATCH(I$1,INDIRECT("Table!A" &amp; $U96):INDIRECT("Table!" &amp; $X$171 &amp; $U96),0)))))</f>
        <v>170967.6</v>
      </c>
      <c r="J96" s="33">
        <f ca="1">IF(ISERROR(MATCH(J$1,INDIRECT("Table!A"&amp;$U96):INDIRECT("Table!" &amp; $X$171 &amp; $U96),0)),"",INDIRECT(CONCATENATE("Table!",ADDRESS($Q96,MATCH(J$1,INDIRECT("Table!A" &amp; $U96):INDIRECT("Table!" &amp; $X$171 &amp; $U96),0)))))</f>
        <v>132132.20000000001</v>
      </c>
      <c r="K96" s="33">
        <f ca="1">IF(ISERROR(MATCH(K$1,INDIRECT("Table!A"&amp;$U96):INDIRECT("Table!" &amp; $X$171 &amp; $U96),0)),"",INDIRECT(CONCATENATE("Table!",ADDRESS($Q96,MATCH(K$1,INDIRECT("Table!A" &amp; $U96):INDIRECT("Table!" &amp; $X$171 &amp; $U96),0)))))</f>
        <v>60665.9</v>
      </c>
      <c r="L96" s="33">
        <f ca="1">IF(ISERROR(MATCH(L$1,INDIRECT("Table!A"&amp;$U96):INDIRECT("Table!" &amp; $X$171 &amp; $U96),0)),"",INDIRECT(CONCATENATE("Table!",ADDRESS($Q96,MATCH(L$1,INDIRECT("Table!A" &amp; $U96):INDIRECT("Table!" &amp; $X$171 &amp; $U96),0)))))</f>
        <v>176482.7</v>
      </c>
      <c r="M96" s="33">
        <f ca="1">IF(ISERROR(MATCH(M$1,INDIRECT("Table!A"&amp;$U96):INDIRECT("Table!" &amp; $X$171 &amp; $U96),0)),"",INDIRECT(CONCATENATE("Table!",ADDRESS($Q96,MATCH(M$1,INDIRECT("Table!A" &amp; $U96):INDIRECT("Table!" &amp; $X$171 &amp; $U96),0)))))</f>
        <v>54921</v>
      </c>
      <c r="N96" s="195"/>
      <c r="O96" s="195"/>
      <c r="P96" s="195"/>
      <c r="Q96" s="31">
        <f>MATCH($A96,Table!$A:$A,0)+$S$14-1</f>
        <v>1273</v>
      </c>
      <c r="R96" s="195"/>
      <c r="S96" s="195"/>
      <c r="T96" s="195"/>
      <c r="U96" s="31">
        <f>MATCH($A96,Table!$A:$A,0)+$W$2-1</f>
        <v>1259</v>
      </c>
      <c r="V96" s="195"/>
      <c r="W96" s="195"/>
      <c r="X96" s="372" t="s">
        <v>209</v>
      </c>
    </row>
    <row r="97" spans="1:24" ht="18" customHeight="1">
      <c r="A97" s="5">
        <v>41050</v>
      </c>
      <c r="B97" s="33">
        <f ca="1">IF(ISERROR(MATCH(B$1,INDIRECT("Table!A"&amp;$U97):INDIRECT("Table!" &amp; $X$171 &amp; $U97),0)),"",INDIRECT(CONCATENATE("Table!",ADDRESS($Q97,MATCH(B$1,INDIRECT("Table!A" &amp; $U97):INDIRECT("Table!" &amp; $X$171 &amp; $U97),0)))))</f>
        <v>115816.8</v>
      </c>
      <c r="C97" s="33">
        <f ca="1">IF(ISERROR(MATCH(C$1,INDIRECT("Table!A"&amp;$U97):INDIRECT("Table!" &amp; $X$171 &amp; $U97),0)),"",INDIRECT(CONCATENATE("Table!",ADDRESS($Q97,MATCH(C$1,INDIRECT("Table!A" &amp; $U97):INDIRECT("Table!" &amp; $X$171 &amp; $U97),0)))))</f>
        <v>99041.7</v>
      </c>
      <c r="D97" s="33">
        <f ca="1">IF(ISERROR(MATCH(D$1,INDIRECT("Table!A"&amp;$U97):INDIRECT("Table!" &amp; $X$171 &amp; $U97),0)),"",INDIRECT(CONCATENATE("Table!",ADDRESS($Q97,MATCH(D$1,INDIRECT("Table!A" &amp; $U97):INDIRECT("Table!" &amp; $X$171 &amp; $U97),0)))))</f>
        <v>99041.7</v>
      </c>
      <c r="E97" s="33">
        <f ca="1">IF(ISERROR(MATCH(E$1,INDIRECT("Table!A"&amp;$U97):INDIRECT("Table!" &amp; $X$171 &amp; $U97),0)),"",INDIRECT(CONCATENATE("Table!",ADDRESS($Q97,MATCH(E$1,INDIRECT("Table!A" &amp; $U97):INDIRECT("Table!" &amp; $X$171 &amp; $U97),0)))))</f>
        <v>181997.8</v>
      </c>
      <c r="F97" s="33">
        <f ca="1">IF(ISERROR(MATCH(F$1,INDIRECT("Table!A"&amp;$U97):INDIRECT("Table!" &amp; $X$171 &amp; $U97),0)),"",INDIRECT(CONCATENATE("Table!",ADDRESS($Q97,MATCH(F$1,INDIRECT("Table!A" &amp; $U97):INDIRECT("Table!" &amp; $X$171 &amp; $U97),0)))))</f>
        <v>121331.8</v>
      </c>
      <c r="G97" s="33">
        <f ca="1">IF(ISERROR(MATCH(G$1,INDIRECT("Table!A"&amp;$U97):INDIRECT("Table!" &amp; $X$171 &amp; $U97),0)),"",INDIRECT(CONCATENATE("Table!",ADDRESS($Q97,MATCH(G$1,INDIRECT("Table!A" &amp; $U97):INDIRECT("Table!" &amp; $X$171 &amp; $U97),0)))))</f>
        <v>110071.9</v>
      </c>
      <c r="H97" s="33">
        <f ca="1">IF(ISERROR(MATCH(H$1,INDIRECT("Table!A"&amp;$U97):INDIRECT("Table!" &amp; $X$171 &amp; $U97),0)),"",INDIRECT(CONCATENATE("Table!",ADDRESS($Q97,MATCH(H$1,INDIRECT("Table!A" &amp; $U97):INDIRECT("Table!" &amp; $X$171 &amp; $U97),0)))))</f>
        <v>121331.8</v>
      </c>
      <c r="I97" s="33">
        <f ca="1">IF(ISERROR(MATCH(I$1,INDIRECT("Table!A"&amp;$U97):INDIRECT("Table!" &amp; $X$171 &amp; $U97),0)),"",INDIRECT(CONCATENATE("Table!",ADDRESS($Q97,MATCH(I$1,INDIRECT("Table!A" &amp; $U97):INDIRECT("Table!" &amp; $X$171 &amp; $U97),0)))))</f>
        <v>170967.6</v>
      </c>
      <c r="J97" s="33">
        <f ca="1">IF(ISERROR(MATCH(J$1,INDIRECT("Table!A"&amp;$U97):INDIRECT("Table!" &amp; $X$171 &amp; $U97),0)),"",INDIRECT(CONCATENATE("Table!",ADDRESS($Q97,MATCH(J$1,INDIRECT("Table!A" &amp; $U97):INDIRECT("Table!" &amp; $X$171 &amp; $U97),0)))))</f>
        <v>132132.20000000001</v>
      </c>
      <c r="K97" s="33">
        <f ca="1">IF(ISERROR(MATCH(K$1,INDIRECT("Table!A"&amp;$U97):INDIRECT("Table!" &amp; $X$171 &amp; $U97),0)),"",INDIRECT(CONCATENATE("Table!",ADDRESS($Q97,MATCH(K$1,INDIRECT("Table!A" &amp; $U97):INDIRECT("Table!" &amp; $X$171 &amp; $U97),0)))))</f>
        <v>60665.9</v>
      </c>
      <c r="L97" s="33">
        <f ca="1">IF(ISERROR(MATCH(L$1,INDIRECT("Table!A"&amp;$U97):INDIRECT("Table!" &amp; $X$171 &amp; $U97),0)),"",INDIRECT(CONCATENATE("Table!",ADDRESS($Q97,MATCH(L$1,INDIRECT("Table!A" &amp; $U97):INDIRECT("Table!" &amp; $X$171 &amp; $U97),0)))))</f>
        <v>176482.7</v>
      </c>
      <c r="M97" s="33">
        <f ca="1">IF(ISERROR(MATCH(M$1,INDIRECT("Table!A"&amp;$U97):INDIRECT("Table!" &amp; $X$171 &amp; $U97),0)),"",INDIRECT(CONCATENATE("Table!",ADDRESS($Q97,MATCH(M$1,INDIRECT("Table!A" &amp; $U97):INDIRECT("Table!" &amp; $X$171 &amp; $U97),0)))))</f>
        <v>54921</v>
      </c>
      <c r="N97" s="194"/>
      <c r="O97" s="194"/>
      <c r="P97" s="194"/>
      <c r="Q97" s="31">
        <f>MATCH($A97,Table!$A:$A,0)+$S$14-1</f>
        <v>1286</v>
      </c>
      <c r="R97" s="194"/>
      <c r="S97" s="194"/>
      <c r="T97" s="194"/>
      <c r="U97" s="31">
        <f>MATCH($A97,Table!$A:$A,0)+$W$2-1</f>
        <v>1272</v>
      </c>
      <c r="V97" s="194"/>
      <c r="W97" s="194"/>
      <c r="X97" s="372" t="s">
        <v>209</v>
      </c>
    </row>
    <row r="98" spans="1:24" ht="18" customHeight="1">
      <c r="A98" s="5">
        <v>41047</v>
      </c>
      <c r="B98" s="33">
        <v>1.3041579459974721</v>
      </c>
      <c r="C98" s="33">
        <v>0.83840241029788465</v>
      </c>
      <c r="D98" s="33">
        <v>0.83193745664704866</v>
      </c>
      <c r="E98" s="33">
        <v>1.5429972230433557</v>
      </c>
      <c r="F98" s="33">
        <v>0.44134596206435578</v>
      </c>
      <c r="G98" s="33">
        <v>1.5479627407176584</v>
      </c>
      <c r="H98" s="33">
        <v>0.39412833239101375</v>
      </c>
      <c r="I98" s="33">
        <v>1.5489168707989118</v>
      </c>
      <c r="J98" s="33">
        <v>0.54478166563487174</v>
      </c>
      <c r="K98" s="33">
        <v>1.0304553299299937</v>
      </c>
      <c r="L98" s="33">
        <v>0.46382619939518149</v>
      </c>
      <c r="M98" s="33">
        <v>0.48106917208353822</v>
      </c>
      <c r="N98" s="192"/>
      <c r="O98" s="192"/>
      <c r="P98" s="192"/>
      <c r="Q98" s="31">
        <f>MATCH($A98,Table!$A:$A,0)+$S$14-1</f>
        <v>1299</v>
      </c>
      <c r="R98" s="192"/>
      <c r="S98" s="192"/>
      <c r="T98" s="192"/>
      <c r="U98" s="31">
        <v>16</v>
      </c>
      <c r="V98" s="192"/>
      <c r="W98" s="192"/>
      <c r="X98" s="372" t="s">
        <v>209</v>
      </c>
    </row>
    <row r="99" spans="1:24" ht="18" customHeight="1">
      <c r="A99" s="5">
        <v>41045</v>
      </c>
      <c r="B99" s="33">
        <f ca="1">IF(ISERROR(MATCH(B$1,INDIRECT("Table!A"&amp;$U99):INDIRECT("Table!" &amp; $X$171 &amp; $U99),0)),"",INDIRECT(CONCATENATE("Table!",ADDRESS($Q99,MATCH(B$1,INDIRECT("Table!A" &amp; $U99):INDIRECT("Table!" &amp; $X$171 &amp; $U99),0)))))</f>
        <v>115816.8</v>
      </c>
      <c r="C99" s="33">
        <f ca="1">IF(ISERROR(MATCH(C$1,INDIRECT("Table!A"&amp;$U99):INDIRECT("Table!" &amp; $X$171 &amp; $U99),0)),"",INDIRECT(CONCATENATE("Table!",ADDRESS($Q99,MATCH(C$1,INDIRECT("Table!A" &amp; $U99):INDIRECT("Table!" &amp; $X$171 &amp; $U99),0)))))</f>
        <v>99041.7</v>
      </c>
      <c r="D99" s="33">
        <f ca="1">IF(ISERROR(MATCH(D$1,INDIRECT("Table!A"&amp;$U99):INDIRECT("Table!" &amp; $X$171 &amp; $U99),0)),"",INDIRECT(CONCATENATE("Table!",ADDRESS($Q99,MATCH(D$1,INDIRECT("Table!A" &amp; $U99):INDIRECT("Table!" &amp; $X$171 &amp; $U99),0)))))</f>
        <v>99041.7</v>
      </c>
      <c r="E99" s="33">
        <f ca="1">IF(ISERROR(MATCH(E$1,INDIRECT("Table!A"&amp;$U99):INDIRECT("Table!" &amp; $X$171 &amp; $U99),0)),"",INDIRECT(CONCATENATE("Table!",ADDRESS($Q99,MATCH(E$1,INDIRECT("Table!A" &amp; $U99):INDIRECT("Table!" &amp; $X$171 &amp; $U99),0)))))</f>
        <v>181997.8</v>
      </c>
      <c r="F99" s="33">
        <f ca="1">IF(ISERROR(MATCH(F$1,INDIRECT("Table!A"&amp;$U99):INDIRECT("Table!" &amp; $X$171 &amp; $U99),0)),"",INDIRECT(CONCATENATE("Table!",ADDRESS($Q99,MATCH(F$1,INDIRECT("Table!A" &amp; $U99):INDIRECT("Table!" &amp; $X$171 &amp; $U99),0)))))</f>
        <v>121331.8</v>
      </c>
      <c r="G99" s="33">
        <f ca="1">IF(ISERROR(MATCH(G$1,INDIRECT("Table!A"&amp;$U99):INDIRECT("Table!" &amp; $X$171 &amp; $U99),0)),"",INDIRECT(CONCATENATE("Table!",ADDRESS($Q99,MATCH(G$1,INDIRECT("Table!A" &amp; $U99):INDIRECT("Table!" &amp; $X$171 &amp; $U99),0)))))</f>
        <v>110071.9</v>
      </c>
      <c r="H99" s="33">
        <f ca="1">IF(ISERROR(MATCH(H$1,INDIRECT("Table!A"&amp;$U99):INDIRECT("Table!" &amp; $X$171 &amp; $U99),0)),"",INDIRECT(CONCATENATE("Table!",ADDRESS($Q99,MATCH(H$1,INDIRECT("Table!A" &amp; $U99):INDIRECT("Table!" &amp; $X$171 &amp; $U99),0)))))</f>
        <v>121331.8</v>
      </c>
      <c r="I99" s="33">
        <f ca="1">IF(ISERROR(MATCH(I$1,INDIRECT("Table!A"&amp;$U99):INDIRECT("Table!" &amp; $X$171 &amp; $U99),0)),"",INDIRECT(CONCATENATE("Table!",ADDRESS($Q99,MATCH(I$1,INDIRECT("Table!A" &amp; $U99):INDIRECT("Table!" &amp; $X$171 &amp; $U99),0)))))</f>
        <v>170967.6</v>
      </c>
      <c r="J99" s="33">
        <f ca="1">IF(ISERROR(MATCH(J$1,INDIRECT("Table!A"&amp;$U99):INDIRECT("Table!" &amp; $X$171 &amp; $U99),0)),"",INDIRECT(CONCATENATE("Table!",ADDRESS($Q99,MATCH(J$1,INDIRECT("Table!A" &amp; $U99):INDIRECT("Table!" &amp; $X$171 &amp; $U99),0)))))</f>
        <v>132132.20000000001</v>
      </c>
      <c r="K99" s="33">
        <f ca="1">IF(ISERROR(MATCH(K$1,INDIRECT("Table!A"&amp;$U99):INDIRECT("Table!" &amp; $X$171 &amp; $U99),0)),"",INDIRECT(CONCATENATE("Table!",ADDRESS($Q99,MATCH(K$1,INDIRECT("Table!A" &amp; $U99):INDIRECT("Table!" &amp; $X$171 &amp; $U99),0)))))</f>
        <v>60665.9</v>
      </c>
      <c r="L99" s="33">
        <f ca="1">IF(ISERROR(MATCH(L$1,INDIRECT("Table!A"&amp;$U99):INDIRECT("Table!" &amp; $X$171 &amp; $U99),0)),"",INDIRECT(CONCATENATE("Table!",ADDRESS($Q99,MATCH(L$1,INDIRECT("Table!A" &amp; $U99):INDIRECT("Table!" &amp; $X$171 &amp; $U99),0)))))</f>
        <v>176482.7</v>
      </c>
      <c r="M99" s="33">
        <f ca="1">IF(ISERROR(MATCH(M$1,INDIRECT("Table!A"&amp;$U99):INDIRECT("Table!" &amp; $X$171 &amp; $U99),0)),"",INDIRECT(CONCATENATE("Table!",ADDRESS($Q99,MATCH(M$1,INDIRECT("Table!A" &amp; $U99):INDIRECT("Table!" &amp; $X$171 &amp; $U99),0)))))</f>
        <v>54921</v>
      </c>
      <c r="N99" s="191"/>
      <c r="O99" s="191"/>
      <c r="P99" s="191"/>
      <c r="Q99" s="31">
        <f>MATCH($A99,Table!$A:$A,0)+$S$14-1</f>
        <v>1325</v>
      </c>
      <c r="R99" s="191"/>
      <c r="S99" s="191"/>
      <c r="T99" s="191"/>
      <c r="U99" s="31">
        <f>MATCH($A99,Table!$A:$A,0)+$W$2-1</f>
        <v>1311</v>
      </c>
      <c r="V99" s="191"/>
      <c r="W99" s="191"/>
      <c r="X99" s="372" t="s">
        <v>209</v>
      </c>
    </row>
    <row r="100" spans="1:24" ht="18" customHeight="1">
      <c r="A100" s="5">
        <v>41044</v>
      </c>
      <c r="B100" s="33">
        <f ca="1">IF(ISERROR(MATCH(B$1,INDIRECT("Table!A"&amp;$U100):INDIRECT("Table!" &amp; $X$171 &amp; $U100),0)),"",INDIRECT(CONCATENATE("Table!",ADDRESS($Q100,MATCH(B$1,INDIRECT("Table!A" &amp; $U100):INDIRECT("Table!" &amp; $X$171 &amp; $U100),0)))))</f>
        <v>115816.8</v>
      </c>
      <c r="C100" s="33">
        <f ca="1">IF(ISERROR(MATCH(C$1,INDIRECT("Table!A"&amp;$U100):INDIRECT("Table!" &amp; $X$171 &amp; $U100),0)),"",INDIRECT(CONCATENATE("Table!",ADDRESS($Q100,MATCH(C$1,INDIRECT("Table!A" &amp; $U100):INDIRECT("Table!" &amp; $X$171 &amp; $U100),0)))))</f>
        <v>99041.7</v>
      </c>
      <c r="D100" s="33">
        <f ca="1">IF(ISERROR(MATCH(D$1,INDIRECT("Table!A"&amp;$U100):INDIRECT("Table!" &amp; $X$171 &amp; $U100),0)),"",INDIRECT(CONCATENATE("Table!",ADDRESS($Q100,MATCH(D$1,INDIRECT("Table!A" &amp; $U100):INDIRECT("Table!" &amp; $X$171 &amp; $U100),0)))))</f>
        <v>99041.7</v>
      </c>
      <c r="E100" s="33">
        <f ca="1">IF(ISERROR(MATCH(E$1,INDIRECT("Table!A"&amp;$U100):INDIRECT("Table!" &amp; $X$171 &amp; $U100),0)),"",INDIRECT(CONCATENATE("Table!",ADDRESS($Q100,MATCH(E$1,INDIRECT("Table!A" &amp; $U100):INDIRECT("Table!" &amp; $X$171 &amp; $U100),0)))))</f>
        <v>181997.8</v>
      </c>
      <c r="F100" s="33">
        <f ca="1">IF(ISERROR(MATCH(F$1,INDIRECT("Table!A"&amp;$U100):INDIRECT("Table!" &amp; $X$171 &amp; $U100),0)),"",INDIRECT(CONCATENATE("Table!",ADDRESS($Q100,MATCH(F$1,INDIRECT("Table!A" &amp; $U100):INDIRECT("Table!" &amp; $X$171 &amp; $U100),0)))))</f>
        <v>121331.8</v>
      </c>
      <c r="G100" s="33">
        <f ca="1">IF(ISERROR(MATCH(G$1,INDIRECT("Table!A"&amp;$U100):INDIRECT("Table!" &amp; $X$171 &amp; $U100),0)),"",INDIRECT(CONCATENATE("Table!",ADDRESS($Q100,MATCH(G$1,INDIRECT("Table!A" &amp; $U100):INDIRECT("Table!" &amp; $X$171 &amp; $U100),0)))))</f>
        <v>110071.9</v>
      </c>
      <c r="H100" s="33">
        <f ca="1">IF(ISERROR(MATCH(H$1,INDIRECT("Table!A"&amp;$U100):INDIRECT("Table!" &amp; $X$171 &amp; $U100),0)),"",INDIRECT(CONCATENATE("Table!",ADDRESS($Q100,MATCH(H$1,INDIRECT("Table!A" &amp; $U100):INDIRECT("Table!" &amp; $X$171 &amp; $U100),0)))))</f>
        <v>121331.8</v>
      </c>
      <c r="I100" s="33">
        <f ca="1">IF(ISERROR(MATCH(I$1,INDIRECT("Table!A"&amp;$U100):INDIRECT("Table!" &amp; $X$171 &amp; $U100),0)),"",INDIRECT(CONCATENATE("Table!",ADDRESS($Q100,MATCH(I$1,INDIRECT("Table!A" &amp; $U100):INDIRECT("Table!" &amp; $X$171 &amp; $U100),0)))))</f>
        <v>170967.6</v>
      </c>
      <c r="J100" s="33">
        <f ca="1">IF(ISERROR(MATCH(J$1,INDIRECT("Table!A"&amp;$U100):INDIRECT("Table!" &amp; $X$171 &amp; $U100),0)),"",INDIRECT(CONCATENATE("Table!",ADDRESS($Q100,MATCH(J$1,INDIRECT("Table!A" &amp; $U100):INDIRECT("Table!" &amp; $X$171 &amp; $U100),0)))))</f>
        <v>132132.20000000001</v>
      </c>
      <c r="K100" s="33">
        <f ca="1">IF(ISERROR(MATCH(K$1,INDIRECT("Table!A"&amp;$U100):INDIRECT("Table!" &amp; $X$171 &amp; $U100),0)),"",INDIRECT(CONCATENATE("Table!",ADDRESS($Q100,MATCH(K$1,INDIRECT("Table!A" &amp; $U100):INDIRECT("Table!" &amp; $X$171 &amp; $U100),0)))))</f>
        <v>60665.9</v>
      </c>
      <c r="L100" s="33">
        <f ca="1">IF(ISERROR(MATCH(L$1,INDIRECT("Table!A"&amp;$U100):INDIRECT("Table!" &amp; $X$171 &amp; $U100),0)),"",INDIRECT(CONCATENATE("Table!",ADDRESS($Q100,MATCH(L$1,INDIRECT("Table!A" &amp; $U100):INDIRECT("Table!" &amp; $X$171 &amp; $U100),0)))))</f>
        <v>176482.7</v>
      </c>
      <c r="M100" s="33">
        <f ca="1">IF(ISERROR(MATCH(M$1,INDIRECT("Table!A"&amp;$U100):INDIRECT("Table!" &amp; $X$171 &amp; $U100),0)),"",INDIRECT(CONCATENATE("Table!",ADDRESS($Q100,MATCH(M$1,INDIRECT("Table!A" &amp; $U100):INDIRECT("Table!" &amp; $X$171 &amp; $U100),0)))))</f>
        <v>54921</v>
      </c>
      <c r="N100" s="190"/>
      <c r="O100" s="190"/>
      <c r="P100" s="190"/>
      <c r="Q100" s="31">
        <f>MATCH($A100,Table!$A:$A,0)+$S$14-1</f>
        <v>1338</v>
      </c>
      <c r="R100" s="190"/>
      <c r="S100" s="190"/>
      <c r="T100" s="190"/>
      <c r="U100" s="31">
        <f>MATCH($A100,Table!$A:$A,0)+$W$2-1</f>
        <v>1324</v>
      </c>
      <c r="V100" s="190"/>
      <c r="W100" s="190"/>
      <c r="X100" s="372" t="s">
        <v>209</v>
      </c>
    </row>
    <row r="101" spans="1:24" ht="18" customHeight="1">
      <c r="A101" s="5">
        <v>41043</v>
      </c>
      <c r="B101" s="33">
        <f ca="1">IF(ISERROR(MATCH(B$1,INDIRECT("Table!A"&amp;$U101):INDIRECT("Table!" &amp; $X$171 &amp; $U101),0)),"",INDIRECT(CONCATENATE("Table!",ADDRESS($Q101,MATCH(B$1,INDIRECT("Table!A" &amp; $U101):INDIRECT("Table!" &amp; $X$171 &amp; $U101),0)))))</f>
        <v>115816.8</v>
      </c>
      <c r="C101" s="33">
        <f ca="1">IF(ISERROR(MATCH(C$1,INDIRECT("Table!A"&amp;$U101):INDIRECT("Table!" &amp; $X$171 &amp; $U101),0)),"",INDIRECT(CONCATENATE("Table!",ADDRESS($Q101,MATCH(C$1,INDIRECT("Table!A" &amp; $U101):INDIRECT("Table!" &amp; $X$171 &amp; $U101),0)))))</f>
        <v>99041.7</v>
      </c>
      <c r="D101" s="33">
        <f ca="1">IF(ISERROR(MATCH(D$1,INDIRECT("Table!A"&amp;$U101):INDIRECT("Table!" &amp; $X$171 &amp; $U101),0)),"",INDIRECT(CONCATENATE("Table!",ADDRESS($Q101,MATCH(D$1,INDIRECT("Table!A" &amp; $U101):INDIRECT("Table!" &amp; $X$171 &amp; $U101),0)))))</f>
        <v>99041.7</v>
      </c>
      <c r="E101" s="33">
        <f ca="1">IF(ISERROR(MATCH(E$1,INDIRECT("Table!A"&amp;$U101):INDIRECT("Table!" &amp; $X$171 &amp; $U101),0)),"",INDIRECT(CONCATENATE("Table!",ADDRESS($Q101,MATCH(E$1,INDIRECT("Table!A" &amp; $U101):INDIRECT("Table!" &amp; $X$171 &amp; $U101),0)))))</f>
        <v>181997.8</v>
      </c>
      <c r="F101" s="33">
        <f ca="1">IF(ISERROR(MATCH(F$1,INDIRECT("Table!A"&amp;$U101):INDIRECT("Table!" &amp; $X$171 &amp; $U101),0)),"",INDIRECT(CONCATENATE("Table!",ADDRESS($Q101,MATCH(F$1,INDIRECT("Table!A" &amp; $U101):INDIRECT("Table!" &amp; $X$171 &amp; $U101),0)))))</f>
        <v>121331.8</v>
      </c>
      <c r="G101" s="33">
        <f ca="1">IF(ISERROR(MATCH(G$1,INDIRECT("Table!A"&amp;$U101):INDIRECT("Table!" &amp; $X$171 &amp; $U101),0)),"",INDIRECT(CONCATENATE("Table!",ADDRESS($Q101,MATCH(G$1,INDIRECT("Table!A" &amp; $U101):INDIRECT("Table!" &amp; $X$171 &amp; $U101),0)))))</f>
        <v>110071.9</v>
      </c>
      <c r="H101" s="33">
        <f ca="1">IF(ISERROR(MATCH(H$1,INDIRECT("Table!A"&amp;$U101):INDIRECT("Table!" &amp; $X$171 &amp; $U101),0)),"",INDIRECT(CONCATENATE("Table!",ADDRESS($Q101,MATCH(H$1,INDIRECT("Table!A" &amp; $U101):INDIRECT("Table!" &amp; $X$171 &amp; $U101),0)))))</f>
        <v>121331.8</v>
      </c>
      <c r="I101" s="33">
        <f ca="1">IF(ISERROR(MATCH(I$1,INDIRECT("Table!A"&amp;$U101):INDIRECT("Table!" &amp; $X$171 &amp; $U101),0)),"",INDIRECT(CONCATENATE("Table!",ADDRESS($Q101,MATCH(I$1,INDIRECT("Table!A" &amp; $U101):INDIRECT("Table!" &amp; $X$171 &amp; $U101),0)))))</f>
        <v>170967.6</v>
      </c>
      <c r="J101" s="33">
        <f ca="1">IF(ISERROR(MATCH(J$1,INDIRECT("Table!A"&amp;$U101):INDIRECT("Table!" &amp; $X$171 &amp; $U101),0)),"",INDIRECT(CONCATENATE("Table!",ADDRESS($Q101,MATCH(J$1,INDIRECT("Table!A" &amp; $U101):INDIRECT("Table!" &amp; $X$171 &amp; $U101),0)))))</f>
        <v>132132.20000000001</v>
      </c>
      <c r="K101" s="33">
        <f ca="1">IF(ISERROR(MATCH(K$1,INDIRECT("Table!A"&amp;$U101):INDIRECT("Table!" &amp; $X$171 &amp; $U101),0)),"",INDIRECT(CONCATENATE("Table!",ADDRESS($Q101,MATCH(K$1,INDIRECT("Table!A" &amp; $U101):INDIRECT("Table!" &amp; $X$171 &amp; $U101),0)))))</f>
        <v>60665.9</v>
      </c>
      <c r="L101" s="33">
        <f ca="1">IF(ISERROR(MATCH(L$1,INDIRECT("Table!A"&amp;$U101):INDIRECT("Table!" &amp; $X$171 &amp; $U101),0)),"",INDIRECT(CONCATENATE("Table!",ADDRESS($Q101,MATCH(L$1,INDIRECT("Table!A" &amp; $U101):INDIRECT("Table!" &amp; $X$171 &amp; $U101),0)))))</f>
        <v>176482.7</v>
      </c>
      <c r="M101" s="33">
        <f ca="1">IF(ISERROR(MATCH(M$1,INDIRECT("Table!A"&amp;$U101):INDIRECT("Table!" &amp; $X$171 &amp; $U101),0)),"",INDIRECT(CONCATENATE("Table!",ADDRESS($Q101,MATCH(M$1,INDIRECT("Table!A" &amp; $U101):INDIRECT("Table!" &amp; $X$171 &amp; $U101),0)))))</f>
        <v>54921</v>
      </c>
      <c r="N101" s="189"/>
      <c r="O101" s="189"/>
      <c r="P101" s="189"/>
      <c r="Q101" s="31">
        <f>MATCH($A101,Table!$A:$A,0)+$S$14-1</f>
        <v>1351</v>
      </c>
      <c r="R101" s="189"/>
      <c r="S101" s="189"/>
      <c r="T101" s="189"/>
      <c r="U101" s="31">
        <f>MATCH($A101,Table!$A:$A,0)+$W$2-1</f>
        <v>1337</v>
      </c>
      <c r="V101" s="189"/>
      <c r="W101" s="189"/>
      <c r="X101" s="372" t="s">
        <v>209</v>
      </c>
    </row>
    <row r="102" spans="1:24" ht="18" customHeight="1">
      <c r="A102" s="5">
        <v>41040</v>
      </c>
      <c r="B102" s="33">
        <f ca="1">IF(ISERROR(MATCH(B$1,INDIRECT("Table!A"&amp;$U102):INDIRECT("Table!" &amp; $X$171 &amp; $U102),0)),"",INDIRECT(CONCATENATE("Table!",ADDRESS($Q102,MATCH(B$1,INDIRECT("Table!A" &amp; $U102):INDIRECT("Table!" &amp; $X$171 &amp; $U102),0)))))</f>
        <v>115816.8</v>
      </c>
      <c r="C102" s="33">
        <f ca="1">IF(ISERROR(MATCH(C$1,INDIRECT("Table!A"&amp;$U102):INDIRECT("Table!" &amp; $X$171 &amp; $U102),0)),"",INDIRECT(CONCATENATE("Table!",ADDRESS($Q102,MATCH(C$1,INDIRECT("Table!A" &amp; $U102):INDIRECT("Table!" &amp; $X$171 &amp; $U102),0)))))</f>
        <v>99041.7</v>
      </c>
      <c r="D102" s="33">
        <f ca="1">IF(ISERROR(MATCH(D$1,INDIRECT("Table!A"&amp;$U102):INDIRECT("Table!" &amp; $X$171 &amp; $U102),0)),"",INDIRECT(CONCATENATE("Table!",ADDRESS($Q102,MATCH(D$1,INDIRECT("Table!A" &amp; $U102):INDIRECT("Table!" &amp; $X$171 &amp; $U102),0)))))</f>
        <v>99041.7</v>
      </c>
      <c r="E102" s="33">
        <f ca="1">IF(ISERROR(MATCH(E$1,INDIRECT("Table!A"&amp;$U102):INDIRECT("Table!" &amp; $X$171 &amp; $U102),0)),"",INDIRECT(CONCATENATE("Table!",ADDRESS($Q102,MATCH(E$1,INDIRECT("Table!A" &amp; $U102):INDIRECT("Table!" &amp; $X$171 &amp; $U102),0)))))</f>
        <v>181997.8</v>
      </c>
      <c r="F102" s="33">
        <f ca="1">IF(ISERROR(MATCH(F$1,INDIRECT("Table!A"&amp;$U102):INDIRECT("Table!" &amp; $X$171 &amp; $U102),0)),"",INDIRECT(CONCATENATE("Table!",ADDRESS($Q102,MATCH(F$1,INDIRECT("Table!A" &amp; $U102):INDIRECT("Table!" &amp; $X$171 &amp; $U102),0)))))</f>
        <v>121331.8</v>
      </c>
      <c r="G102" s="33">
        <f ca="1">IF(ISERROR(MATCH(G$1,INDIRECT("Table!A"&amp;$U102):INDIRECT("Table!" &amp; $X$171 &amp; $U102),0)),"",INDIRECT(CONCATENATE("Table!",ADDRESS($Q102,MATCH(G$1,INDIRECT("Table!A" &amp; $U102):INDIRECT("Table!" &amp; $X$171 &amp; $U102),0)))))</f>
        <v>110071.9</v>
      </c>
      <c r="H102" s="33">
        <f ca="1">IF(ISERROR(MATCH(H$1,INDIRECT("Table!A"&amp;$U102):INDIRECT("Table!" &amp; $X$171 &amp; $U102),0)),"",INDIRECT(CONCATENATE("Table!",ADDRESS($Q102,MATCH(H$1,INDIRECT("Table!A" &amp; $U102):INDIRECT("Table!" &amp; $X$171 &amp; $U102),0)))))</f>
        <v>121331.8</v>
      </c>
      <c r="I102" s="33">
        <f ca="1">IF(ISERROR(MATCH(I$1,INDIRECT("Table!A"&amp;$U102):INDIRECT("Table!" &amp; $X$171 &amp; $U102),0)),"",INDIRECT(CONCATENATE("Table!",ADDRESS($Q102,MATCH(I$1,INDIRECT("Table!A" &amp; $U102):INDIRECT("Table!" &amp; $X$171 &amp; $U102),0)))))</f>
        <v>170967.6</v>
      </c>
      <c r="J102" s="33">
        <f ca="1">IF(ISERROR(MATCH(J$1,INDIRECT("Table!A"&amp;$U102):INDIRECT("Table!" &amp; $X$171 &amp; $U102),0)),"",INDIRECT(CONCATENATE("Table!",ADDRESS($Q102,MATCH(J$1,INDIRECT("Table!A" &amp; $U102):INDIRECT("Table!" &amp; $X$171 &amp; $U102),0)))))</f>
        <v>132132.20000000001</v>
      </c>
      <c r="K102" s="33">
        <f ca="1">IF(ISERROR(MATCH(K$1,INDIRECT("Table!A"&amp;$U102):INDIRECT("Table!" &amp; $X$171 &amp; $U102),0)),"",INDIRECT(CONCATENATE("Table!",ADDRESS($Q102,MATCH(K$1,INDIRECT("Table!A" &amp; $U102):INDIRECT("Table!" &amp; $X$171 &amp; $U102),0)))))</f>
        <v>60665.9</v>
      </c>
      <c r="L102" s="33">
        <f ca="1">IF(ISERROR(MATCH(L$1,INDIRECT("Table!A"&amp;$U102):INDIRECT("Table!" &amp; $X$171 &amp; $U102),0)),"",INDIRECT(CONCATENATE("Table!",ADDRESS($Q102,MATCH(L$1,INDIRECT("Table!A" &amp; $U102):INDIRECT("Table!" &amp; $X$171 &amp; $U102),0)))))</f>
        <v>176482.7</v>
      </c>
      <c r="M102" s="33">
        <f ca="1">IF(ISERROR(MATCH(M$1,INDIRECT("Table!A"&amp;$U102):INDIRECT("Table!" &amp; $X$171 &amp; $U102),0)),"",INDIRECT(CONCATENATE("Table!",ADDRESS($Q102,MATCH(M$1,INDIRECT("Table!A" &amp; $U102):INDIRECT("Table!" &amp; $X$171 &amp; $U102),0)))))</f>
        <v>54921</v>
      </c>
      <c r="N102" s="188"/>
      <c r="O102" s="188"/>
      <c r="P102" s="188"/>
      <c r="Q102" s="31">
        <f>MATCH($A102,Table!$A:$A,0)+$S$14-1</f>
        <v>1364</v>
      </c>
      <c r="R102" s="188"/>
      <c r="S102" s="188"/>
      <c r="T102" s="188"/>
      <c r="U102" s="31">
        <f>MATCH($A102,Table!$A:$A,0)+$W$2-1</f>
        <v>1350</v>
      </c>
      <c r="V102" s="188"/>
      <c r="W102" s="188"/>
      <c r="X102" s="372" t="s">
        <v>209</v>
      </c>
    </row>
    <row r="103" spans="1:24" ht="18" customHeight="1">
      <c r="A103" s="5">
        <v>41039</v>
      </c>
      <c r="B103" s="33">
        <f ca="1">IF(ISERROR(MATCH(B$1,INDIRECT("Table!A"&amp;$U103):INDIRECT("Table!" &amp; $X$171 &amp; $U103),0)),"",INDIRECT(CONCATENATE("Table!",ADDRESS($Q103,MATCH(B$1,INDIRECT("Table!A" &amp; $U103):INDIRECT("Table!" &amp; $X$171 &amp; $U103),0)))))</f>
        <v>115816.8</v>
      </c>
      <c r="C103" s="33">
        <f ca="1">IF(ISERROR(MATCH(C$1,INDIRECT("Table!A"&amp;$U103):INDIRECT("Table!" &amp; $X$171 &amp; $U103),0)),"",INDIRECT(CONCATENATE("Table!",ADDRESS($Q103,MATCH(C$1,INDIRECT("Table!A" &amp; $U103):INDIRECT("Table!" &amp; $X$171 &amp; $U103),0)))))</f>
        <v>99041.7</v>
      </c>
      <c r="D103" s="33">
        <f ca="1">IF(ISERROR(MATCH(D$1,INDIRECT("Table!A"&amp;$U103):INDIRECT("Table!" &amp; $X$171 &amp; $U103),0)),"",INDIRECT(CONCATENATE("Table!",ADDRESS($Q103,MATCH(D$1,INDIRECT("Table!A" &amp; $U103):INDIRECT("Table!" &amp; $X$171 &amp; $U103),0)))))</f>
        <v>99041.7</v>
      </c>
      <c r="E103" s="33">
        <f ca="1">IF(ISERROR(MATCH(E$1,INDIRECT("Table!A"&amp;$U103):INDIRECT("Table!" &amp; $X$171 &amp; $U103),0)),"",INDIRECT(CONCATENATE("Table!",ADDRESS($Q103,MATCH(E$1,INDIRECT("Table!A" &amp; $U103):INDIRECT("Table!" &amp; $X$171 &amp; $U103),0)))))</f>
        <v>181997.8</v>
      </c>
      <c r="F103" s="33">
        <f ca="1">IF(ISERROR(MATCH(F$1,INDIRECT("Table!A"&amp;$U103):INDIRECT("Table!" &amp; $X$171 &amp; $U103),0)),"",INDIRECT(CONCATENATE("Table!",ADDRESS($Q103,MATCH(F$1,INDIRECT("Table!A" &amp; $U103):INDIRECT("Table!" &amp; $X$171 &amp; $U103),0)))))</f>
        <v>121331.8</v>
      </c>
      <c r="G103" s="33">
        <f ca="1">IF(ISERROR(MATCH(G$1,INDIRECT("Table!A"&amp;$U103):INDIRECT("Table!" &amp; $X$171 &amp; $U103),0)),"",INDIRECT(CONCATENATE("Table!",ADDRESS($Q103,MATCH(G$1,INDIRECT("Table!A" &amp; $U103):INDIRECT("Table!" &amp; $X$171 &amp; $U103),0)))))</f>
        <v>110071.9</v>
      </c>
      <c r="H103" s="33">
        <f ca="1">IF(ISERROR(MATCH(H$1,INDIRECT("Table!A"&amp;$U103):INDIRECT("Table!" &amp; $X$171 &amp; $U103),0)),"",INDIRECT(CONCATENATE("Table!",ADDRESS($Q103,MATCH(H$1,INDIRECT("Table!A" &amp; $U103):INDIRECT("Table!" &amp; $X$171 &amp; $U103),0)))))</f>
        <v>121331.8</v>
      </c>
      <c r="I103" s="33">
        <f ca="1">IF(ISERROR(MATCH(I$1,INDIRECT("Table!A"&amp;$U103):INDIRECT("Table!" &amp; $X$171 &amp; $U103),0)),"",INDIRECT(CONCATENATE("Table!",ADDRESS($Q103,MATCH(I$1,INDIRECT("Table!A" &amp; $U103):INDIRECT("Table!" &amp; $X$171 &amp; $U103),0)))))</f>
        <v>170967.6</v>
      </c>
      <c r="J103" s="33">
        <f ca="1">IF(ISERROR(MATCH(J$1,INDIRECT("Table!A"&amp;$U103):INDIRECT("Table!" &amp; $X$171 &amp; $U103),0)),"",INDIRECT(CONCATENATE("Table!",ADDRESS($Q103,MATCH(J$1,INDIRECT("Table!A" &amp; $U103):INDIRECT("Table!" &amp; $X$171 &amp; $U103),0)))))</f>
        <v>132132.20000000001</v>
      </c>
      <c r="K103" s="33">
        <f ca="1">IF(ISERROR(MATCH(K$1,INDIRECT("Table!A"&amp;$U103):INDIRECT("Table!" &amp; $X$171 &amp; $U103),0)),"",INDIRECT(CONCATENATE("Table!",ADDRESS($Q103,MATCH(K$1,INDIRECT("Table!A" &amp; $U103):INDIRECT("Table!" &amp; $X$171 &amp; $U103),0)))))</f>
        <v>60665.9</v>
      </c>
      <c r="L103" s="33">
        <f ca="1">IF(ISERROR(MATCH(L$1,INDIRECT("Table!A"&amp;$U103):INDIRECT("Table!" &amp; $X$171 &amp; $U103),0)),"",INDIRECT(CONCATENATE("Table!",ADDRESS($Q103,MATCH(L$1,INDIRECT("Table!A" &amp; $U103):INDIRECT("Table!" &amp; $X$171 &amp; $U103),0)))))</f>
        <v>176482.7</v>
      </c>
      <c r="M103" s="33">
        <f ca="1">IF(ISERROR(MATCH(M$1,INDIRECT("Table!A"&amp;$U103):INDIRECT("Table!" &amp; $X$171 &amp; $U103),0)),"",INDIRECT(CONCATENATE("Table!",ADDRESS($Q103,MATCH(M$1,INDIRECT("Table!A" &amp; $U103):INDIRECT("Table!" &amp; $X$171 &amp; $U103),0)))))</f>
        <v>54921</v>
      </c>
      <c r="N103" s="187"/>
      <c r="O103" s="187"/>
      <c r="P103" s="187"/>
      <c r="Q103" s="31">
        <f>MATCH($A103,Table!$A:$A,0)+$S$14-1</f>
        <v>1377</v>
      </c>
      <c r="R103" s="187"/>
      <c r="S103" s="187"/>
      <c r="T103" s="187"/>
      <c r="U103" s="31">
        <f>MATCH($A103,Table!$A:$A,0)+$W$2-1</f>
        <v>1363</v>
      </c>
      <c r="V103" s="187"/>
      <c r="W103" s="187"/>
      <c r="X103" s="372" t="s">
        <v>209</v>
      </c>
    </row>
    <row r="104" spans="1:24" ht="18" customHeight="1">
      <c r="A104" s="5">
        <v>41038</v>
      </c>
      <c r="B104" s="33">
        <f ca="1">IF(ISERROR(MATCH(B$1,INDIRECT("Table!A"&amp;$U104):INDIRECT("Table!" &amp; $X$171 &amp; $U104),0)),"",INDIRECT(CONCATENATE("Table!",ADDRESS($Q104,MATCH(B$1,INDIRECT("Table!A" &amp; $U104):INDIRECT("Table!" &amp; $X$171 &amp; $U104),0)))))</f>
        <v>115816.8</v>
      </c>
      <c r="C104" s="33">
        <f ca="1">IF(ISERROR(MATCH(C$1,INDIRECT("Table!A"&amp;$U104):INDIRECT("Table!" &amp; $X$171 &amp; $U104),0)),"",INDIRECT(CONCATENATE("Table!",ADDRESS($Q104,MATCH(C$1,INDIRECT("Table!A" &amp; $U104):INDIRECT("Table!" &amp; $X$171 &amp; $U104),0)))))</f>
        <v>99041.7</v>
      </c>
      <c r="D104" s="33">
        <f ca="1">IF(ISERROR(MATCH(D$1,INDIRECT("Table!A"&amp;$U104):INDIRECT("Table!" &amp; $X$171 &amp; $U104),0)),"",INDIRECT(CONCATENATE("Table!",ADDRESS($Q104,MATCH(D$1,INDIRECT("Table!A" &amp; $U104):INDIRECT("Table!" &amp; $X$171 &amp; $U104),0)))))</f>
        <v>99041.7</v>
      </c>
      <c r="E104" s="33">
        <f ca="1">IF(ISERROR(MATCH(E$1,INDIRECT("Table!A"&amp;$U104):INDIRECT("Table!" &amp; $X$171 &amp; $U104),0)),"",INDIRECT(CONCATENATE("Table!",ADDRESS($Q104,MATCH(E$1,INDIRECT("Table!A" &amp; $U104):INDIRECT("Table!" &amp; $X$171 &amp; $U104),0)))))</f>
        <v>181997.8</v>
      </c>
      <c r="F104" s="33">
        <f ca="1">IF(ISERROR(MATCH(F$1,INDIRECT("Table!A"&amp;$U104):INDIRECT("Table!" &amp; $X$171 &amp; $U104),0)),"",INDIRECT(CONCATENATE("Table!",ADDRESS($Q104,MATCH(F$1,INDIRECT("Table!A" &amp; $U104):INDIRECT("Table!" &amp; $X$171 &amp; $U104),0)))))</f>
        <v>121331.8</v>
      </c>
      <c r="G104" s="33">
        <f ca="1">IF(ISERROR(MATCH(G$1,INDIRECT("Table!A"&amp;$U104):INDIRECT("Table!" &amp; $X$171 &amp; $U104),0)),"",INDIRECT(CONCATENATE("Table!",ADDRESS($Q104,MATCH(G$1,INDIRECT("Table!A" &amp; $U104):INDIRECT("Table!" &amp; $X$171 &amp; $U104),0)))))</f>
        <v>110071.9</v>
      </c>
      <c r="H104" s="33">
        <f ca="1">IF(ISERROR(MATCH(H$1,INDIRECT("Table!A"&amp;$U104):INDIRECT("Table!" &amp; $X$171 &amp; $U104),0)),"",INDIRECT(CONCATENATE("Table!",ADDRESS($Q104,MATCH(H$1,INDIRECT("Table!A" &amp; $U104):INDIRECT("Table!" &amp; $X$171 &amp; $U104),0)))))</f>
        <v>121331.8</v>
      </c>
      <c r="I104" s="33">
        <f ca="1">IF(ISERROR(MATCH(I$1,INDIRECT("Table!A"&amp;$U104):INDIRECT("Table!" &amp; $X$171 &amp; $U104),0)),"",INDIRECT(CONCATENATE("Table!",ADDRESS($Q104,MATCH(I$1,INDIRECT("Table!A" &amp; $U104):INDIRECT("Table!" &amp; $X$171 &amp; $U104),0)))))</f>
        <v>170967.6</v>
      </c>
      <c r="J104" s="33">
        <f ca="1">IF(ISERROR(MATCH(J$1,INDIRECT("Table!A"&amp;$U104):INDIRECT("Table!" &amp; $X$171 &amp; $U104),0)),"",INDIRECT(CONCATENATE("Table!",ADDRESS($Q104,MATCH(J$1,INDIRECT("Table!A" &amp; $U104):INDIRECT("Table!" &amp; $X$171 &amp; $U104),0)))))</f>
        <v>132132.20000000001</v>
      </c>
      <c r="K104" s="33">
        <f ca="1">IF(ISERROR(MATCH(K$1,INDIRECT("Table!A"&amp;$U104):INDIRECT("Table!" &amp; $X$171 &amp; $U104),0)),"",INDIRECT(CONCATENATE("Table!",ADDRESS($Q104,MATCH(K$1,INDIRECT("Table!A" &amp; $U104):INDIRECT("Table!" &amp; $X$171 &amp; $U104),0)))))</f>
        <v>60665.9</v>
      </c>
      <c r="L104" s="33">
        <f ca="1">IF(ISERROR(MATCH(L$1,INDIRECT("Table!A"&amp;$U104):INDIRECT("Table!" &amp; $X$171 &amp; $U104),0)),"",INDIRECT(CONCATENATE("Table!",ADDRESS($Q104,MATCH(L$1,INDIRECT("Table!A" &amp; $U104):INDIRECT("Table!" &amp; $X$171 &amp; $U104),0)))))</f>
        <v>176482.7</v>
      </c>
      <c r="M104" s="33">
        <f ca="1">IF(ISERROR(MATCH(M$1,INDIRECT("Table!A"&amp;$U104):INDIRECT("Table!" &amp; $X$171 &amp; $U104),0)),"",INDIRECT(CONCATENATE("Table!",ADDRESS($Q104,MATCH(M$1,INDIRECT("Table!A" &amp; $U104):INDIRECT("Table!" &amp; $X$171 &amp; $U104),0)))))</f>
        <v>54921</v>
      </c>
      <c r="N104" s="186"/>
      <c r="O104" s="186"/>
      <c r="P104" s="186"/>
      <c r="Q104" s="31">
        <f>MATCH($A104,Table!$A:$A,0)+$S$14-1</f>
        <v>1390</v>
      </c>
      <c r="R104" s="186"/>
      <c r="S104" s="186"/>
      <c r="T104" s="186"/>
      <c r="U104" s="31">
        <f>MATCH($A104,Table!$A:$A,0)+$W$2-1</f>
        <v>1376</v>
      </c>
      <c r="V104" s="186"/>
      <c r="W104" s="186"/>
      <c r="X104" s="372" t="s">
        <v>209</v>
      </c>
    </row>
    <row r="105" spans="1:24" ht="18" customHeight="1">
      <c r="A105" s="5">
        <v>41037</v>
      </c>
      <c r="B105" s="33">
        <f ca="1">IF(ISERROR(MATCH(B$1,INDIRECT("Table!A"&amp;$U105):INDIRECT("Table!" &amp; $X$171 &amp; $U105),0)),"",INDIRECT(CONCATENATE("Table!",ADDRESS($Q105,MATCH(B$1,INDIRECT("Table!A" &amp; $U105):INDIRECT("Table!" &amp; $X$171 &amp; $U105),0)))))</f>
        <v>115816.8</v>
      </c>
      <c r="C105" s="33">
        <f ca="1">IF(ISERROR(MATCH(C$1,INDIRECT("Table!A"&amp;$U105):INDIRECT("Table!" &amp; $X$171 &amp; $U105),0)),"",INDIRECT(CONCATENATE("Table!",ADDRESS($Q105,MATCH(C$1,INDIRECT("Table!A" &amp; $U105):INDIRECT("Table!" &amp; $X$171 &amp; $U105),0)))))</f>
        <v>99041.7</v>
      </c>
      <c r="D105" s="33">
        <f ca="1">IF(ISERROR(MATCH(D$1,INDIRECT("Table!A"&amp;$U105):INDIRECT("Table!" &amp; $X$171 &amp; $U105),0)),"",INDIRECT(CONCATENATE("Table!",ADDRESS($Q105,MATCH(D$1,INDIRECT("Table!A" &amp; $U105):INDIRECT("Table!" &amp; $X$171 &amp; $U105),0)))))</f>
        <v>99041.7</v>
      </c>
      <c r="E105" s="33">
        <f ca="1">IF(ISERROR(MATCH(E$1,INDIRECT("Table!A"&amp;$U105):INDIRECT("Table!" &amp; $X$171 &amp; $U105),0)),"",INDIRECT(CONCATENATE("Table!",ADDRESS($Q105,MATCH(E$1,INDIRECT("Table!A" &amp; $U105):INDIRECT("Table!" &amp; $X$171 &amp; $U105),0)))))</f>
        <v>181997.8</v>
      </c>
      <c r="F105" s="33">
        <f ca="1">IF(ISERROR(MATCH(F$1,INDIRECT("Table!A"&amp;$U105):INDIRECT("Table!" &amp; $X$171 &amp; $U105),0)),"",INDIRECT(CONCATENATE("Table!",ADDRESS($Q105,MATCH(F$1,INDIRECT("Table!A" &amp; $U105):INDIRECT("Table!" &amp; $X$171 &amp; $U105),0)))))</f>
        <v>121331.8</v>
      </c>
      <c r="G105" s="33">
        <f ca="1">IF(ISERROR(MATCH(G$1,INDIRECT("Table!A"&amp;$U105):INDIRECT("Table!" &amp; $X$171 &amp; $U105),0)),"",INDIRECT(CONCATENATE("Table!",ADDRESS($Q105,MATCH(G$1,INDIRECT("Table!A" &amp; $U105):INDIRECT("Table!" &amp; $X$171 &amp; $U105),0)))))</f>
        <v>110071.9</v>
      </c>
      <c r="H105" s="33">
        <f ca="1">IF(ISERROR(MATCH(H$1,INDIRECT("Table!A"&amp;$U105):INDIRECT("Table!" &amp; $X$171 &amp; $U105),0)),"",INDIRECT(CONCATENATE("Table!",ADDRESS($Q105,MATCH(H$1,INDIRECT("Table!A" &amp; $U105):INDIRECT("Table!" &amp; $X$171 &amp; $U105),0)))))</f>
        <v>121331.8</v>
      </c>
      <c r="I105" s="33">
        <f ca="1">IF(ISERROR(MATCH(I$1,INDIRECT("Table!A"&amp;$U105):INDIRECT("Table!" &amp; $X$171 &amp; $U105),0)),"",INDIRECT(CONCATENATE("Table!",ADDRESS($Q105,MATCH(I$1,INDIRECT("Table!A" &amp; $U105):INDIRECT("Table!" &amp; $X$171 &amp; $U105),0)))))</f>
        <v>170967.6</v>
      </c>
      <c r="J105" s="33">
        <f ca="1">IF(ISERROR(MATCH(J$1,INDIRECT("Table!A"&amp;$U105):INDIRECT("Table!" &amp; $X$171 &amp; $U105),0)),"",INDIRECT(CONCATENATE("Table!",ADDRESS($Q105,MATCH(J$1,INDIRECT("Table!A" &amp; $U105):INDIRECT("Table!" &amp; $X$171 &amp; $U105),0)))))</f>
        <v>132132.20000000001</v>
      </c>
      <c r="K105" s="33">
        <f ca="1">IF(ISERROR(MATCH(K$1,INDIRECT("Table!A"&amp;$U105):INDIRECT("Table!" &amp; $X$171 &amp; $U105),0)),"",INDIRECT(CONCATENATE("Table!",ADDRESS($Q105,MATCH(K$1,INDIRECT("Table!A" &amp; $U105):INDIRECT("Table!" &amp; $X$171 &amp; $U105),0)))))</f>
        <v>60665.9</v>
      </c>
      <c r="L105" s="33">
        <f ca="1">IF(ISERROR(MATCH(L$1,INDIRECT("Table!A"&amp;$U105):INDIRECT("Table!" &amp; $X$171 &amp; $U105),0)),"",INDIRECT(CONCATENATE("Table!",ADDRESS($Q105,MATCH(L$1,INDIRECT("Table!A" &amp; $U105):INDIRECT("Table!" &amp; $X$171 &amp; $U105),0)))))</f>
        <v>176482.7</v>
      </c>
      <c r="M105" s="33">
        <f ca="1">IF(ISERROR(MATCH(M$1,INDIRECT("Table!A"&amp;$U105):INDIRECT("Table!" &amp; $X$171 &amp; $U105),0)),"",INDIRECT(CONCATENATE("Table!",ADDRESS($Q105,MATCH(M$1,INDIRECT("Table!A" &amp; $U105):INDIRECT("Table!" &amp; $X$171 &amp; $U105),0)))))</f>
        <v>54921</v>
      </c>
      <c r="N105" s="185"/>
      <c r="O105" s="185"/>
      <c r="P105" s="185"/>
      <c r="Q105" s="31">
        <f>MATCH($A105,Table!$A:$A,0)+$S$14-1</f>
        <v>1403</v>
      </c>
      <c r="R105" s="185"/>
      <c r="S105" s="185"/>
      <c r="T105" s="185"/>
      <c r="U105" s="31">
        <f>MATCH($A105,Table!$A:$A,0)+$W$2-1</f>
        <v>1389</v>
      </c>
      <c r="V105" s="185"/>
      <c r="W105" s="185"/>
      <c r="X105" s="372" t="s">
        <v>209</v>
      </c>
    </row>
    <row r="106" spans="1:24" ht="18" customHeight="1">
      <c r="A106" s="5">
        <v>41033</v>
      </c>
      <c r="B106" s="33">
        <f ca="1">IF(ISERROR(MATCH(B$1,INDIRECT("Table!A"&amp;$U106):INDIRECT("Table!" &amp; $X$171 &amp; $U106),0)),"",INDIRECT(CONCATENATE("Table!",ADDRESS($Q106,MATCH(B$1,INDIRECT("Table!A" &amp; $U106):INDIRECT("Table!" &amp; $X$171 &amp; $U106),0)))))</f>
        <v>115816.8</v>
      </c>
      <c r="C106" s="33">
        <f ca="1">IF(ISERROR(MATCH(C$1,INDIRECT("Table!A"&amp;$U106):INDIRECT("Table!" &amp; $X$171 &amp; $U106),0)),"",INDIRECT(CONCATENATE("Table!",ADDRESS($Q106,MATCH(C$1,INDIRECT("Table!A" &amp; $U106):INDIRECT("Table!" &amp; $X$171 &amp; $U106),0)))))</f>
        <v>99041.7</v>
      </c>
      <c r="D106" s="33">
        <f ca="1">IF(ISERROR(MATCH(D$1,INDIRECT("Table!A"&amp;$U106):INDIRECT("Table!" &amp; $X$171 &amp; $U106),0)),"",INDIRECT(CONCATENATE("Table!",ADDRESS($Q106,MATCH(D$1,INDIRECT("Table!A" &amp; $U106):INDIRECT("Table!" &amp; $X$171 &amp; $U106),0)))))</f>
        <v>99041.7</v>
      </c>
      <c r="E106" s="33">
        <f ca="1">IF(ISERROR(MATCH(E$1,INDIRECT("Table!A"&amp;$U106):INDIRECT("Table!" &amp; $X$171 &amp; $U106),0)),"",INDIRECT(CONCATENATE("Table!",ADDRESS($Q106,MATCH(E$1,INDIRECT("Table!A" &amp; $U106):INDIRECT("Table!" &amp; $X$171 &amp; $U106),0)))))</f>
        <v>181997.8</v>
      </c>
      <c r="F106" s="33">
        <f ca="1">IF(ISERROR(MATCH(F$1,INDIRECT("Table!A"&amp;$U106):INDIRECT("Table!" &amp; $X$171 &amp; $U106),0)),"",INDIRECT(CONCATENATE("Table!",ADDRESS($Q106,MATCH(F$1,INDIRECT("Table!A" &amp; $U106):INDIRECT("Table!" &amp; $X$171 &amp; $U106),0)))))</f>
        <v>121331.8</v>
      </c>
      <c r="G106" s="33">
        <f ca="1">IF(ISERROR(MATCH(G$1,INDIRECT("Table!A"&amp;$U106):INDIRECT("Table!" &amp; $X$171 &amp; $U106),0)),"",INDIRECT(CONCATENATE("Table!",ADDRESS($Q106,MATCH(G$1,INDIRECT("Table!A" &amp; $U106):INDIRECT("Table!" &amp; $X$171 &amp; $U106),0)))))</f>
        <v>110071.9</v>
      </c>
      <c r="H106" s="33">
        <f ca="1">IF(ISERROR(MATCH(H$1,INDIRECT("Table!A"&amp;$U106):INDIRECT("Table!" &amp; $X$171 &amp; $U106),0)),"",INDIRECT(CONCATENATE("Table!",ADDRESS($Q106,MATCH(H$1,INDIRECT("Table!A" &amp; $U106):INDIRECT("Table!" &amp; $X$171 &amp; $U106),0)))))</f>
        <v>121331.8</v>
      </c>
      <c r="I106" s="33">
        <f ca="1">IF(ISERROR(MATCH(I$1,INDIRECT("Table!A"&amp;$U106):INDIRECT("Table!" &amp; $X$171 &amp; $U106),0)),"",INDIRECT(CONCATENATE("Table!",ADDRESS($Q106,MATCH(I$1,INDIRECT("Table!A" &amp; $U106):INDIRECT("Table!" &amp; $X$171 &amp; $U106),0)))))</f>
        <v>170967.6</v>
      </c>
      <c r="J106" s="33">
        <f ca="1">IF(ISERROR(MATCH(J$1,INDIRECT("Table!A"&amp;$U106):INDIRECT("Table!" &amp; $X$171 &amp; $U106),0)),"",INDIRECT(CONCATENATE("Table!",ADDRESS($Q106,MATCH(J$1,INDIRECT("Table!A" &amp; $U106):INDIRECT("Table!" &amp; $X$171 &amp; $U106),0)))))</f>
        <v>132132.20000000001</v>
      </c>
      <c r="K106" s="33">
        <f ca="1">IF(ISERROR(MATCH(K$1,INDIRECT("Table!A"&amp;$U106):INDIRECT("Table!" &amp; $X$171 &amp; $U106),0)),"",INDIRECT(CONCATENATE("Table!",ADDRESS($Q106,MATCH(K$1,INDIRECT("Table!A" &amp; $U106):INDIRECT("Table!" &amp; $X$171 &amp; $U106),0)))))</f>
        <v>60665.9</v>
      </c>
      <c r="L106" s="33">
        <f ca="1">IF(ISERROR(MATCH(L$1,INDIRECT("Table!A"&amp;$U106):INDIRECT("Table!" &amp; $X$171 &amp; $U106),0)),"",INDIRECT(CONCATENATE("Table!",ADDRESS($Q106,MATCH(L$1,INDIRECT("Table!A" &amp; $U106):INDIRECT("Table!" &amp; $X$171 &amp; $U106),0)))))</f>
        <v>176482.7</v>
      </c>
      <c r="M106" s="33">
        <f ca="1">IF(ISERROR(MATCH(M$1,INDIRECT("Table!A"&amp;$U106):INDIRECT("Table!" &amp; $X$171 &amp; $U106),0)),"",INDIRECT(CONCATENATE("Table!",ADDRESS($Q106,MATCH(M$1,INDIRECT("Table!A" &amp; $U106):INDIRECT("Table!" &amp; $X$171 &amp; $U106),0)))))</f>
        <v>54921</v>
      </c>
      <c r="N106" s="184"/>
      <c r="O106" s="184"/>
      <c r="P106" s="184"/>
      <c r="Q106" s="31">
        <f>MATCH($A106,Table!$A:$A,0)+$S$14-1</f>
        <v>1416</v>
      </c>
      <c r="R106" s="184"/>
      <c r="S106" s="184"/>
      <c r="T106" s="184"/>
      <c r="U106" s="31">
        <f>MATCH($A106,Table!$A:$A,0)+$W$2-1</f>
        <v>1402</v>
      </c>
      <c r="V106" s="184"/>
      <c r="W106" s="184"/>
      <c r="X106" s="372" t="s">
        <v>209</v>
      </c>
    </row>
    <row r="107" spans="1:24" ht="18" customHeight="1">
      <c r="A107" s="5">
        <v>41031</v>
      </c>
      <c r="B107" s="33">
        <f ca="1">IF(ISERROR(MATCH(B$1,INDIRECT("Table!A"&amp;$U107):INDIRECT("Table!" &amp; $X$171 &amp; $U107),0)),"",INDIRECT(CONCATENATE("Table!",ADDRESS($Q107,MATCH(B$1,INDIRECT("Table!A" &amp; $U107):INDIRECT("Table!" &amp; $X$171 &amp; $U107),0)))))</f>
        <v>115816.8</v>
      </c>
      <c r="C107" s="33">
        <f ca="1">IF(ISERROR(MATCH(C$1,INDIRECT("Table!A"&amp;$U107):INDIRECT("Table!" &amp; $X$171 &amp; $U107),0)),"",INDIRECT(CONCATENATE("Table!",ADDRESS($Q107,MATCH(C$1,INDIRECT("Table!A" &amp; $U107):INDIRECT("Table!" &amp; $X$171 &amp; $U107),0)))))</f>
        <v>99041.7</v>
      </c>
      <c r="D107" s="33">
        <f ca="1">IF(ISERROR(MATCH(D$1,INDIRECT("Table!A"&amp;$U107):INDIRECT("Table!" &amp; $X$171 &amp; $U107),0)),"",INDIRECT(CONCATENATE("Table!",ADDRESS($Q107,MATCH(D$1,INDIRECT("Table!A" &amp; $U107):INDIRECT("Table!" &amp; $X$171 &amp; $U107),0)))))</f>
        <v>99041.7</v>
      </c>
      <c r="E107" s="33">
        <f ca="1">IF(ISERROR(MATCH(E$1,INDIRECT("Table!A"&amp;$U107):INDIRECT("Table!" &amp; $X$171 &amp; $U107),0)),"",INDIRECT(CONCATENATE("Table!",ADDRESS($Q107,MATCH(E$1,INDIRECT("Table!A" &amp; $U107):INDIRECT("Table!" &amp; $X$171 &amp; $U107),0)))))</f>
        <v>181997.8</v>
      </c>
      <c r="F107" s="33">
        <f ca="1">IF(ISERROR(MATCH(F$1,INDIRECT("Table!A"&amp;$U107):INDIRECT("Table!" &amp; $X$171 &amp; $U107),0)),"",INDIRECT(CONCATENATE("Table!",ADDRESS($Q107,MATCH(F$1,INDIRECT("Table!A" &amp; $U107):INDIRECT("Table!" &amp; $X$171 &amp; $U107),0)))))</f>
        <v>121331.8</v>
      </c>
      <c r="G107" s="33">
        <f ca="1">IF(ISERROR(MATCH(G$1,INDIRECT("Table!A"&amp;$U107):INDIRECT("Table!" &amp; $X$171 &amp; $U107),0)),"",INDIRECT(CONCATENATE("Table!",ADDRESS($Q107,MATCH(G$1,INDIRECT("Table!A" &amp; $U107):INDIRECT("Table!" &amp; $X$171 &amp; $U107),0)))))</f>
        <v>110071.9</v>
      </c>
      <c r="H107" s="33">
        <f ca="1">IF(ISERROR(MATCH(H$1,INDIRECT("Table!A"&amp;$U107):INDIRECT("Table!" &amp; $X$171 &amp; $U107),0)),"",INDIRECT(CONCATENATE("Table!",ADDRESS($Q107,MATCH(H$1,INDIRECT("Table!A" &amp; $U107):INDIRECT("Table!" &amp; $X$171 &amp; $U107),0)))))</f>
        <v>121331.8</v>
      </c>
      <c r="I107" s="33">
        <f ca="1">IF(ISERROR(MATCH(I$1,INDIRECT("Table!A"&amp;$U107):INDIRECT("Table!" &amp; $X$171 &amp; $U107),0)),"",INDIRECT(CONCATENATE("Table!",ADDRESS($Q107,MATCH(I$1,INDIRECT("Table!A" &amp; $U107):INDIRECT("Table!" &amp; $X$171 &amp; $U107),0)))))</f>
        <v>170967.6</v>
      </c>
      <c r="J107" s="33">
        <f ca="1">IF(ISERROR(MATCH(J$1,INDIRECT("Table!A"&amp;$U107):INDIRECT("Table!" &amp; $X$171 &amp; $U107),0)),"",INDIRECT(CONCATENATE("Table!",ADDRESS($Q107,MATCH(J$1,INDIRECT("Table!A" &amp; $U107):INDIRECT("Table!" &amp; $X$171 &amp; $U107),0)))))</f>
        <v>132132.20000000001</v>
      </c>
      <c r="K107" s="33">
        <f ca="1">IF(ISERROR(MATCH(K$1,INDIRECT("Table!A"&amp;$U107):INDIRECT("Table!" &amp; $X$171 &amp; $U107),0)),"",INDIRECT(CONCATENATE("Table!",ADDRESS($Q107,MATCH(K$1,INDIRECT("Table!A" &amp; $U107):INDIRECT("Table!" &amp; $X$171 &amp; $U107),0)))))</f>
        <v>60665.9</v>
      </c>
      <c r="L107" s="33">
        <f ca="1">IF(ISERROR(MATCH(L$1,INDIRECT("Table!A"&amp;$U107):INDIRECT("Table!" &amp; $X$171 &amp; $U107),0)),"",INDIRECT(CONCATENATE("Table!",ADDRESS($Q107,MATCH(L$1,INDIRECT("Table!A" &amp; $U107):INDIRECT("Table!" &amp; $X$171 &amp; $U107),0)))))</f>
        <v>176482.7</v>
      </c>
      <c r="M107" s="33">
        <f ca="1">IF(ISERROR(MATCH(M$1,INDIRECT("Table!A"&amp;$U107):INDIRECT("Table!" &amp; $X$171 &amp; $U107),0)),"",INDIRECT(CONCATENATE("Table!",ADDRESS($Q107,MATCH(M$1,INDIRECT("Table!A" &amp; $U107):INDIRECT("Table!" &amp; $X$171 &amp; $U107),0)))))</f>
        <v>54921</v>
      </c>
      <c r="N107" s="183"/>
      <c r="O107" s="183"/>
      <c r="P107" s="183"/>
      <c r="Q107" s="31">
        <f>MATCH($A107,Table!$A:$A,0)+$S$14-1</f>
        <v>1429</v>
      </c>
      <c r="R107" s="183"/>
      <c r="S107" s="183"/>
      <c r="T107" s="183"/>
      <c r="U107" s="31">
        <f>MATCH($A107,Table!$A:$A,0)+$W$2-1</f>
        <v>1415</v>
      </c>
      <c r="V107" s="183"/>
      <c r="W107" s="183"/>
      <c r="X107" s="372" t="s">
        <v>209</v>
      </c>
    </row>
    <row r="108" spans="1:24" ht="18" customHeight="1">
      <c r="A108" s="5">
        <v>41030</v>
      </c>
      <c r="B108" s="33">
        <f ca="1">IF(ISERROR(MATCH(B$1,INDIRECT("Table!A"&amp;$U108):INDIRECT("Table!" &amp; $X$171 &amp; $U108),0)),"",INDIRECT(CONCATENATE("Table!",ADDRESS($Q108,MATCH(B$1,INDIRECT("Table!A" &amp; $U108):INDIRECT("Table!" &amp; $X$171 &amp; $U108),0)))))</f>
        <v>115816.8</v>
      </c>
      <c r="C108" s="33">
        <f ca="1">IF(ISERROR(MATCH(C$1,INDIRECT("Table!A"&amp;$U108):INDIRECT("Table!" &amp; $X$171 &amp; $U108),0)),"",INDIRECT(CONCATENATE("Table!",ADDRESS($Q108,MATCH(C$1,INDIRECT("Table!A" &amp; $U108):INDIRECT("Table!" &amp; $X$171 &amp; $U108),0)))))</f>
        <v>99041.7</v>
      </c>
      <c r="D108" s="33">
        <f ca="1">IF(ISERROR(MATCH(D$1,INDIRECT("Table!A"&amp;$U108):INDIRECT("Table!" &amp; $X$171 &amp; $U108),0)),"",INDIRECT(CONCATENATE("Table!",ADDRESS($Q108,MATCH(D$1,INDIRECT("Table!A" &amp; $U108):INDIRECT("Table!" &amp; $X$171 &amp; $U108),0)))))</f>
        <v>99041.7</v>
      </c>
      <c r="E108" s="33">
        <f ca="1">IF(ISERROR(MATCH(E$1,INDIRECT("Table!A"&amp;$U108):INDIRECT("Table!" &amp; $X$171 &amp; $U108),0)),"",INDIRECT(CONCATENATE("Table!",ADDRESS($Q108,MATCH(E$1,INDIRECT("Table!A" &amp; $U108):INDIRECT("Table!" &amp; $X$171 &amp; $U108),0)))))</f>
        <v>181997.8</v>
      </c>
      <c r="F108" s="33">
        <f ca="1">IF(ISERROR(MATCH(F$1,INDIRECT("Table!A"&amp;$U108):INDIRECT("Table!" &amp; $X$171 &amp; $U108),0)),"",INDIRECT(CONCATENATE("Table!",ADDRESS($Q108,MATCH(F$1,INDIRECT("Table!A" &amp; $U108):INDIRECT("Table!" &amp; $X$171 &amp; $U108),0)))))</f>
        <v>121331.8</v>
      </c>
      <c r="G108" s="33">
        <f ca="1">IF(ISERROR(MATCH(G$1,INDIRECT("Table!A"&amp;$U108):INDIRECT("Table!" &amp; $X$171 &amp; $U108),0)),"",INDIRECT(CONCATENATE("Table!",ADDRESS($Q108,MATCH(G$1,INDIRECT("Table!A" &amp; $U108):INDIRECT("Table!" &amp; $X$171 &amp; $U108),0)))))</f>
        <v>110071.9</v>
      </c>
      <c r="H108" s="33">
        <f ca="1">IF(ISERROR(MATCH(H$1,INDIRECT("Table!A"&amp;$U108):INDIRECT("Table!" &amp; $X$171 &amp; $U108),0)),"",INDIRECT(CONCATENATE("Table!",ADDRESS($Q108,MATCH(H$1,INDIRECT("Table!A" &amp; $U108):INDIRECT("Table!" &amp; $X$171 &amp; $U108),0)))))</f>
        <v>121331.8</v>
      </c>
      <c r="I108" s="33">
        <f ca="1">IF(ISERROR(MATCH(I$1,INDIRECT("Table!A"&amp;$U108):INDIRECT("Table!" &amp; $X$171 &amp; $U108),0)),"",INDIRECT(CONCATENATE("Table!",ADDRESS($Q108,MATCH(I$1,INDIRECT("Table!A" &amp; $U108):INDIRECT("Table!" &amp; $X$171 &amp; $U108),0)))))</f>
        <v>170967.6</v>
      </c>
      <c r="J108" s="33">
        <f ca="1">IF(ISERROR(MATCH(J$1,INDIRECT("Table!A"&amp;$U108):INDIRECT("Table!" &amp; $X$171 &amp; $U108),0)),"",INDIRECT(CONCATENATE("Table!",ADDRESS($Q108,MATCH(J$1,INDIRECT("Table!A" &amp; $U108):INDIRECT("Table!" &amp; $X$171 &amp; $U108),0)))))</f>
        <v>132132.20000000001</v>
      </c>
      <c r="K108" s="33">
        <f ca="1">IF(ISERROR(MATCH(K$1,INDIRECT("Table!A"&amp;$U108):INDIRECT("Table!" &amp; $X$171 &amp; $U108),0)),"",INDIRECT(CONCATENATE("Table!",ADDRESS($Q108,MATCH(K$1,INDIRECT("Table!A" &amp; $U108):INDIRECT("Table!" &amp; $X$171 &amp; $U108),0)))))</f>
        <v>60665.9</v>
      </c>
      <c r="L108" s="33">
        <f ca="1">IF(ISERROR(MATCH(L$1,INDIRECT("Table!A"&amp;$U108):INDIRECT("Table!" &amp; $X$171 &amp; $U108),0)),"",INDIRECT(CONCATENATE("Table!",ADDRESS($Q108,MATCH(L$1,INDIRECT("Table!A" &amp; $U108):INDIRECT("Table!" &amp; $X$171 &amp; $U108),0)))))</f>
        <v>176482.7</v>
      </c>
      <c r="M108" s="33">
        <f ca="1">IF(ISERROR(MATCH(M$1,INDIRECT("Table!A"&amp;$U108):INDIRECT("Table!" &amp; $X$171 &amp; $U108),0)),"",INDIRECT(CONCATENATE("Table!",ADDRESS($Q108,MATCH(M$1,INDIRECT("Table!A" &amp; $U108):INDIRECT("Table!" &amp; $X$171 &amp; $U108),0)))))</f>
        <v>54921</v>
      </c>
      <c r="N108" s="182"/>
      <c r="O108" s="182"/>
      <c r="P108" s="182"/>
      <c r="Q108" s="31">
        <f>MATCH($A108,Table!$A:$A,0)+$S$14-1</f>
        <v>1442</v>
      </c>
      <c r="R108" s="182"/>
      <c r="S108" s="182"/>
      <c r="T108" s="182"/>
      <c r="U108" s="31">
        <f>MATCH($A108,Table!$A:$A,0)+$W$2-1</f>
        <v>1428</v>
      </c>
      <c r="V108" s="182"/>
      <c r="W108" s="182"/>
      <c r="X108" s="372" t="s">
        <v>209</v>
      </c>
    </row>
    <row r="109" spans="1:24" ht="18" customHeight="1">
      <c r="A109" s="5">
        <v>41026</v>
      </c>
      <c r="B109" s="33">
        <f ca="1">IF(ISERROR(MATCH(B$1,INDIRECT("Table!A"&amp;$U109):INDIRECT("Table!" &amp; $X$171 &amp; $U109),0)),"",INDIRECT(CONCATENATE("Table!",ADDRESS($Q109,MATCH(B$1,INDIRECT("Table!A" &amp; $U109):INDIRECT("Table!" &amp; $X$171 &amp; $U109),0)))))</f>
        <v>115816.8</v>
      </c>
      <c r="C109" s="33">
        <f ca="1">IF(ISERROR(MATCH(C$1,INDIRECT("Table!A"&amp;$U109):INDIRECT("Table!" &amp; $X$171 &amp; $U109),0)),"",INDIRECT(CONCATENATE("Table!",ADDRESS($Q109,MATCH(C$1,INDIRECT("Table!A" &amp; $U109):INDIRECT("Table!" &amp; $X$171 &amp; $U109),0)))))</f>
        <v>99041.7</v>
      </c>
      <c r="D109" s="33">
        <f ca="1">IF(ISERROR(MATCH(D$1,INDIRECT("Table!A"&amp;$U109):INDIRECT("Table!" &amp; $X$171 &amp; $U109),0)),"",INDIRECT(CONCATENATE("Table!",ADDRESS($Q109,MATCH(D$1,INDIRECT("Table!A" &amp; $U109):INDIRECT("Table!" &amp; $X$171 &amp; $U109),0)))))</f>
        <v>99041.7</v>
      </c>
      <c r="E109" s="33">
        <f ca="1">IF(ISERROR(MATCH(E$1,INDIRECT("Table!A"&amp;$U109):INDIRECT("Table!" &amp; $X$171 &amp; $U109),0)),"",INDIRECT(CONCATENATE("Table!",ADDRESS($Q109,MATCH(E$1,INDIRECT("Table!A" &amp; $U109):INDIRECT("Table!" &amp; $X$171 &amp; $U109),0)))))</f>
        <v>181997.8</v>
      </c>
      <c r="F109" s="33">
        <f ca="1">IF(ISERROR(MATCH(F$1,INDIRECT("Table!A"&amp;$U109):INDIRECT("Table!" &amp; $X$171 &amp; $U109),0)),"",INDIRECT(CONCATENATE("Table!",ADDRESS($Q109,MATCH(F$1,INDIRECT("Table!A" &amp; $U109):INDIRECT("Table!" &amp; $X$171 &amp; $U109),0)))))</f>
        <v>121331.8</v>
      </c>
      <c r="G109" s="33">
        <f ca="1">IF(ISERROR(MATCH(G$1,INDIRECT("Table!A"&amp;$U109):INDIRECT("Table!" &amp; $X$171 &amp; $U109),0)),"",INDIRECT(CONCATENATE("Table!",ADDRESS($Q109,MATCH(G$1,INDIRECT("Table!A" &amp; $U109):INDIRECT("Table!" &amp; $X$171 &amp; $U109),0)))))</f>
        <v>110071.9</v>
      </c>
      <c r="H109" s="33">
        <f ca="1">IF(ISERROR(MATCH(H$1,INDIRECT("Table!A"&amp;$U109):INDIRECT("Table!" &amp; $X$171 &amp; $U109),0)),"",INDIRECT(CONCATENATE("Table!",ADDRESS($Q109,MATCH(H$1,INDIRECT("Table!A" &amp; $U109):INDIRECT("Table!" &amp; $X$171 &amp; $U109),0)))))</f>
        <v>121331.8</v>
      </c>
      <c r="I109" s="33">
        <f ca="1">IF(ISERROR(MATCH(I$1,INDIRECT("Table!A"&amp;$U109):INDIRECT("Table!" &amp; $X$171 &amp; $U109),0)),"",INDIRECT(CONCATENATE("Table!",ADDRESS($Q109,MATCH(I$1,INDIRECT("Table!A" &amp; $U109):INDIRECT("Table!" &amp; $X$171 &amp; $U109),0)))))</f>
        <v>170967.6</v>
      </c>
      <c r="J109" s="33">
        <f ca="1">IF(ISERROR(MATCH(J$1,INDIRECT("Table!A"&amp;$U109):INDIRECT("Table!" &amp; $X$171 &amp; $U109),0)),"",INDIRECT(CONCATENATE("Table!",ADDRESS($Q109,MATCH(J$1,INDIRECT("Table!A" &amp; $U109):INDIRECT("Table!" &amp; $X$171 &amp; $U109),0)))))</f>
        <v>132132.20000000001</v>
      </c>
      <c r="K109" s="33">
        <f ca="1">IF(ISERROR(MATCH(K$1,INDIRECT("Table!A"&amp;$U109):INDIRECT("Table!" &amp; $X$171 &amp; $U109),0)),"",INDIRECT(CONCATENATE("Table!",ADDRESS($Q109,MATCH(K$1,INDIRECT("Table!A" &amp; $U109):INDIRECT("Table!" &amp; $X$171 &amp; $U109),0)))))</f>
        <v>60665.9</v>
      </c>
      <c r="L109" s="33">
        <f ca="1">IF(ISERROR(MATCH(L$1,INDIRECT("Table!A"&amp;$U109):INDIRECT("Table!" &amp; $X$171 &amp; $U109),0)),"",INDIRECT(CONCATENATE("Table!",ADDRESS($Q109,MATCH(L$1,INDIRECT("Table!A" &amp; $U109):INDIRECT("Table!" &amp; $X$171 &amp; $U109),0)))))</f>
        <v>176482.7</v>
      </c>
      <c r="M109" s="33">
        <f ca="1">IF(ISERROR(MATCH(M$1,INDIRECT("Table!A"&amp;$U109):INDIRECT("Table!" &amp; $X$171 &amp; $U109),0)),"",INDIRECT(CONCATENATE("Table!",ADDRESS($Q109,MATCH(M$1,INDIRECT("Table!A" &amp; $U109):INDIRECT("Table!" &amp; $X$171 &amp; $U109),0)))))</f>
        <v>54921</v>
      </c>
      <c r="N109" s="181"/>
      <c r="O109" s="181"/>
      <c r="P109" s="181"/>
      <c r="Q109" s="31">
        <f>MATCH($A109,Table!$A:$A,0)+$S$14-1</f>
        <v>1455</v>
      </c>
      <c r="R109" s="181"/>
      <c r="S109" s="181"/>
      <c r="T109" s="181"/>
      <c r="U109" s="31">
        <f>MATCH($A109,Table!$A:$A,0)+$W$2-1</f>
        <v>1441</v>
      </c>
      <c r="V109" s="181"/>
      <c r="W109" s="181"/>
      <c r="X109" s="372" t="s">
        <v>209</v>
      </c>
    </row>
    <row r="110" spans="1:24" ht="18" customHeight="1">
      <c r="A110" s="5">
        <v>41024</v>
      </c>
      <c r="B110" s="33">
        <f ca="1">IF(ISERROR(MATCH(B$1,INDIRECT("Table!A"&amp;$U110):INDIRECT("Table!" &amp; $X$171 &amp; $U110),0)),"",INDIRECT(CONCATENATE("Table!",ADDRESS($Q110,MATCH(B$1,INDIRECT("Table!A" &amp; $U110):INDIRECT("Table!" &amp; $X$171 &amp; $U110),0)))))</f>
        <v>115816.8</v>
      </c>
      <c r="C110" s="33">
        <f ca="1">IF(ISERROR(MATCH(C$1,INDIRECT("Table!A"&amp;$U110):INDIRECT("Table!" &amp; $X$171 &amp; $U110),0)),"",INDIRECT(CONCATENATE("Table!",ADDRESS($Q110,MATCH(C$1,INDIRECT("Table!A" &amp; $U110):INDIRECT("Table!" &amp; $X$171 &amp; $U110),0)))))</f>
        <v>99041.7</v>
      </c>
      <c r="D110" s="33">
        <f ca="1">IF(ISERROR(MATCH(D$1,INDIRECT("Table!A"&amp;$U110):INDIRECT("Table!" &amp; $X$171 &amp; $U110),0)),"",INDIRECT(CONCATENATE("Table!",ADDRESS($Q110,MATCH(D$1,INDIRECT("Table!A" &amp; $U110):INDIRECT("Table!" &amp; $X$171 &amp; $U110),0)))))</f>
        <v>99041.7</v>
      </c>
      <c r="E110" s="33">
        <f ca="1">IF(ISERROR(MATCH(E$1,INDIRECT("Table!A"&amp;$U110):INDIRECT("Table!" &amp; $X$171 &amp; $U110),0)),"",INDIRECT(CONCATENATE("Table!",ADDRESS($Q110,MATCH(E$1,INDIRECT("Table!A" &amp; $U110):INDIRECT("Table!" &amp; $X$171 &amp; $U110),0)))))</f>
        <v>181997.8</v>
      </c>
      <c r="F110" s="33">
        <f ca="1">IF(ISERROR(MATCH(F$1,INDIRECT("Table!A"&amp;$U110):INDIRECT("Table!" &amp; $X$171 &amp; $U110),0)),"",INDIRECT(CONCATENATE("Table!",ADDRESS($Q110,MATCH(F$1,INDIRECT("Table!A" &amp; $U110):INDIRECT("Table!" &amp; $X$171 &amp; $U110),0)))))</f>
        <v>121331.8</v>
      </c>
      <c r="G110" s="33">
        <f ca="1">IF(ISERROR(MATCH(G$1,INDIRECT("Table!A"&amp;$U110):INDIRECT("Table!" &amp; $X$171 &amp; $U110),0)),"",INDIRECT(CONCATENATE("Table!",ADDRESS($Q110,MATCH(G$1,INDIRECT("Table!A" &amp; $U110):INDIRECT("Table!" &amp; $X$171 &amp; $U110),0)))))</f>
        <v>110071.9</v>
      </c>
      <c r="H110" s="33">
        <f ca="1">IF(ISERROR(MATCH(H$1,INDIRECT("Table!A"&amp;$U110):INDIRECT("Table!" &amp; $X$171 &amp; $U110),0)),"",INDIRECT(CONCATENATE("Table!",ADDRESS($Q110,MATCH(H$1,INDIRECT("Table!A" &amp; $U110):INDIRECT("Table!" &amp; $X$171 &amp; $U110),0)))))</f>
        <v>121331.8</v>
      </c>
      <c r="I110" s="33">
        <f ca="1">IF(ISERROR(MATCH(I$1,INDIRECT("Table!A"&amp;$U110):INDIRECT("Table!" &amp; $X$171 &amp; $U110),0)),"",INDIRECT(CONCATENATE("Table!",ADDRESS($Q110,MATCH(I$1,INDIRECT("Table!A" &amp; $U110):INDIRECT("Table!" &amp; $X$171 &amp; $U110),0)))))</f>
        <v>170967.6</v>
      </c>
      <c r="J110" s="33">
        <f ca="1">IF(ISERROR(MATCH(J$1,INDIRECT("Table!A"&amp;$U110):INDIRECT("Table!" &amp; $X$171 &amp; $U110),0)),"",INDIRECT(CONCATENATE("Table!",ADDRESS($Q110,MATCH(J$1,INDIRECT("Table!A" &amp; $U110):INDIRECT("Table!" &amp; $X$171 &amp; $U110),0)))))</f>
        <v>132132.20000000001</v>
      </c>
      <c r="K110" s="33">
        <f ca="1">IF(ISERROR(MATCH(K$1,INDIRECT("Table!A"&amp;$U110):INDIRECT("Table!" &amp; $X$171 &amp; $U110),0)),"",INDIRECT(CONCATENATE("Table!",ADDRESS($Q110,MATCH(K$1,INDIRECT("Table!A" &amp; $U110):INDIRECT("Table!" &amp; $X$171 &amp; $U110),0)))))</f>
        <v>60665.9</v>
      </c>
      <c r="L110" s="33">
        <f ca="1">IF(ISERROR(MATCH(L$1,INDIRECT("Table!A"&amp;$U110):INDIRECT("Table!" &amp; $X$171 &amp; $U110),0)),"",INDIRECT(CONCATENATE("Table!",ADDRESS($Q110,MATCH(L$1,INDIRECT("Table!A" &amp; $U110):INDIRECT("Table!" &amp; $X$171 &amp; $U110),0)))))</f>
        <v>176482.7</v>
      </c>
      <c r="M110" s="33">
        <f ca="1">IF(ISERROR(MATCH(M$1,INDIRECT("Table!A"&amp;$U110):INDIRECT("Table!" &amp; $X$171 &amp; $U110),0)),"",INDIRECT(CONCATENATE("Table!",ADDRESS($Q110,MATCH(M$1,INDIRECT("Table!A" &amp; $U110):INDIRECT("Table!" &amp; $X$171 &amp; $U110),0)))))</f>
        <v>54921</v>
      </c>
      <c r="N110" s="180"/>
      <c r="O110" s="180"/>
      <c r="P110" s="180"/>
      <c r="Q110" s="31">
        <f>MATCH($A110,Table!$A:$A,0)+$S$14-1</f>
        <v>1468</v>
      </c>
      <c r="R110" s="180"/>
      <c r="S110" s="180"/>
      <c r="T110" s="180"/>
      <c r="U110" s="31">
        <f>MATCH($A110,Table!$A:$A,0)+$W$2-1</f>
        <v>1454</v>
      </c>
      <c r="V110" s="180"/>
      <c r="W110" s="180"/>
      <c r="X110" s="372" t="s">
        <v>209</v>
      </c>
    </row>
    <row r="111" spans="1:24" ht="18" customHeight="1">
      <c r="A111" s="5">
        <v>41023</v>
      </c>
      <c r="B111" s="33">
        <f ca="1">IF(ISERROR(MATCH(B$1,INDIRECT("Table!A"&amp;$U111):INDIRECT("Table!" &amp; $X$171 &amp; $U111),0)),"",INDIRECT(CONCATENATE("Table!",ADDRESS($Q111,MATCH(B$1,INDIRECT("Table!A" &amp; $U111):INDIRECT("Table!" &amp; $X$171 &amp; $U111),0)))))</f>
        <v>115816.8</v>
      </c>
      <c r="C111" s="33">
        <f ca="1">IF(ISERROR(MATCH(C$1,INDIRECT("Table!A"&amp;$U111):INDIRECT("Table!" &amp; $X$171 &amp; $U111),0)),"",INDIRECT(CONCATENATE("Table!",ADDRESS($Q111,MATCH(C$1,INDIRECT("Table!A" &amp; $U111):INDIRECT("Table!" &amp; $X$171 &amp; $U111),0)))))</f>
        <v>99041.7</v>
      </c>
      <c r="D111" s="33">
        <f ca="1">IF(ISERROR(MATCH(D$1,INDIRECT("Table!A"&amp;$U111):INDIRECT("Table!" &amp; $X$171 &amp; $U111),0)),"",INDIRECT(CONCATENATE("Table!",ADDRESS($Q111,MATCH(D$1,INDIRECT("Table!A" &amp; $U111):INDIRECT("Table!" &amp; $X$171 &amp; $U111),0)))))</f>
        <v>99041.7</v>
      </c>
      <c r="E111" s="33">
        <f ca="1">IF(ISERROR(MATCH(E$1,INDIRECT("Table!A"&amp;$U111):INDIRECT("Table!" &amp; $X$171 &amp; $U111),0)),"",INDIRECT(CONCATENATE("Table!",ADDRESS($Q111,MATCH(E$1,INDIRECT("Table!A" &amp; $U111):INDIRECT("Table!" &amp; $X$171 &amp; $U111),0)))))</f>
        <v>181997.8</v>
      </c>
      <c r="F111" s="33">
        <f ca="1">IF(ISERROR(MATCH(F$1,INDIRECT("Table!A"&amp;$U111):INDIRECT("Table!" &amp; $X$171 &amp; $U111),0)),"",INDIRECT(CONCATENATE("Table!",ADDRESS($Q111,MATCH(F$1,INDIRECT("Table!A" &amp; $U111):INDIRECT("Table!" &amp; $X$171 &amp; $U111),0)))))</f>
        <v>121331.8</v>
      </c>
      <c r="G111" s="33">
        <f ca="1">IF(ISERROR(MATCH(G$1,INDIRECT("Table!A"&amp;$U111):INDIRECT("Table!" &amp; $X$171 &amp; $U111),0)),"",INDIRECT(CONCATENATE("Table!",ADDRESS($Q111,MATCH(G$1,INDIRECT("Table!A" &amp; $U111):INDIRECT("Table!" &amp; $X$171 &amp; $U111),0)))))</f>
        <v>110071.9</v>
      </c>
      <c r="H111" s="33">
        <f ca="1">IF(ISERROR(MATCH(H$1,INDIRECT("Table!A"&amp;$U111):INDIRECT("Table!" &amp; $X$171 &amp; $U111),0)),"",INDIRECT(CONCATENATE("Table!",ADDRESS($Q111,MATCH(H$1,INDIRECT("Table!A" &amp; $U111):INDIRECT("Table!" &amp; $X$171 &amp; $U111),0)))))</f>
        <v>121331.8</v>
      </c>
      <c r="I111" s="33">
        <f ca="1">IF(ISERROR(MATCH(I$1,INDIRECT("Table!A"&amp;$U111):INDIRECT("Table!" &amp; $X$171 &amp; $U111),0)),"",INDIRECT(CONCATENATE("Table!",ADDRESS($Q111,MATCH(I$1,INDIRECT("Table!A" &amp; $U111):INDIRECT("Table!" &amp; $X$171 &amp; $U111),0)))))</f>
        <v>170967.6</v>
      </c>
      <c r="J111" s="33">
        <f ca="1">IF(ISERROR(MATCH(J$1,INDIRECT("Table!A"&amp;$U111):INDIRECT("Table!" &amp; $X$171 &amp; $U111),0)),"",INDIRECT(CONCATENATE("Table!",ADDRESS($Q111,MATCH(J$1,INDIRECT("Table!A" &amp; $U111):INDIRECT("Table!" &amp; $X$171 &amp; $U111),0)))))</f>
        <v>132132.20000000001</v>
      </c>
      <c r="K111" s="33">
        <f ca="1">IF(ISERROR(MATCH(K$1,INDIRECT("Table!A"&amp;$U111):INDIRECT("Table!" &amp; $X$171 &amp; $U111),0)),"",INDIRECT(CONCATENATE("Table!",ADDRESS($Q111,MATCH(K$1,INDIRECT("Table!A" &amp; $U111):INDIRECT("Table!" &amp; $X$171 &amp; $U111),0)))))</f>
        <v>60665.9</v>
      </c>
      <c r="L111" s="33">
        <f ca="1">IF(ISERROR(MATCH(L$1,INDIRECT("Table!A"&amp;$U111):INDIRECT("Table!" &amp; $X$171 &amp; $U111),0)),"",INDIRECT(CONCATENATE("Table!",ADDRESS($Q111,MATCH(L$1,INDIRECT("Table!A" &amp; $U111):INDIRECT("Table!" &amp; $X$171 &amp; $U111),0)))))</f>
        <v>176482.7</v>
      </c>
      <c r="M111" s="33">
        <f ca="1">IF(ISERROR(MATCH(M$1,INDIRECT("Table!A"&amp;$U111):INDIRECT("Table!" &amp; $X$171 &amp; $U111),0)),"",INDIRECT(CONCATENATE("Table!",ADDRESS($Q111,MATCH(M$1,INDIRECT("Table!A" &amp; $U111):INDIRECT("Table!" &amp; $X$171 &amp; $U111),0)))))</f>
        <v>54921</v>
      </c>
      <c r="N111" s="179"/>
      <c r="O111" s="179"/>
      <c r="P111" s="179"/>
      <c r="Q111" s="31">
        <f>MATCH($A111,Table!$A:$A,0)+$S$14-1</f>
        <v>1481</v>
      </c>
      <c r="R111" s="179"/>
      <c r="S111" s="179"/>
      <c r="T111" s="179"/>
      <c r="U111" s="31">
        <f>MATCH($A111,Table!$A:$A,0)+$W$2-1</f>
        <v>1467</v>
      </c>
      <c r="V111" s="179"/>
      <c r="W111" s="179"/>
      <c r="X111" s="372" t="s">
        <v>209</v>
      </c>
    </row>
    <row r="112" spans="1:24" ht="18" customHeight="1">
      <c r="A112" s="5">
        <v>41022</v>
      </c>
      <c r="B112" s="33">
        <f ca="1">IF(ISERROR(MATCH(B$1,INDIRECT("Table!A"&amp;$U112):INDIRECT("Table!" &amp; $X$171 &amp; $U112),0)),"",INDIRECT(CONCATENATE("Table!",ADDRESS($Q112,MATCH(B$1,INDIRECT("Table!A" &amp; $U112):INDIRECT("Table!" &amp; $X$171 &amp; $U112),0)))))</f>
        <v>115816.8</v>
      </c>
      <c r="C112" s="33">
        <f ca="1">IF(ISERROR(MATCH(C$1,INDIRECT("Table!A"&amp;$U112):INDIRECT("Table!" &amp; $X$171 &amp; $U112),0)),"",INDIRECT(CONCATENATE("Table!",ADDRESS($Q112,MATCH(C$1,INDIRECT("Table!A" &amp; $U112):INDIRECT("Table!" &amp; $X$171 &amp; $U112),0)))))</f>
        <v>99041.7</v>
      </c>
      <c r="D112" s="33">
        <f ca="1">IF(ISERROR(MATCH(D$1,INDIRECT("Table!A"&amp;$U112):INDIRECT("Table!" &amp; $X$171 &amp; $U112),0)),"",INDIRECT(CONCATENATE("Table!",ADDRESS($Q112,MATCH(D$1,INDIRECT("Table!A" &amp; $U112):INDIRECT("Table!" &amp; $X$171 &amp; $U112),0)))))</f>
        <v>99041.7</v>
      </c>
      <c r="E112" s="33">
        <f ca="1">IF(ISERROR(MATCH(E$1,INDIRECT("Table!A"&amp;$U112):INDIRECT("Table!" &amp; $X$171 &amp; $U112),0)),"",INDIRECT(CONCATENATE("Table!",ADDRESS($Q112,MATCH(E$1,INDIRECT("Table!A" &amp; $U112):INDIRECT("Table!" &amp; $X$171 &amp; $U112),0)))))</f>
        <v>181997.8</v>
      </c>
      <c r="F112" s="33">
        <f ca="1">IF(ISERROR(MATCH(F$1,INDIRECT("Table!A"&amp;$U112):INDIRECT("Table!" &amp; $X$171 &amp; $U112),0)),"",INDIRECT(CONCATENATE("Table!",ADDRESS($Q112,MATCH(F$1,INDIRECT("Table!A" &amp; $U112):INDIRECT("Table!" &amp; $X$171 &amp; $U112),0)))))</f>
        <v>121331.8</v>
      </c>
      <c r="G112" s="33">
        <f ca="1">IF(ISERROR(MATCH(G$1,INDIRECT("Table!A"&amp;$U112):INDIRECT("Table!" &amp; $X$171 &amp; $U112),0)),"",INDIRECT(CONCATENATE("Table!",ADDRESS($Q112,MATCH(G$1,INDIRECT("Table!A" &amp; $U112):INDIRECT("Table!" &amp; $X$171 &amp; $U112),0)))))</f>
        <v>110071.9</v>
      </c>
      <c r="H112" s="33">
        <f ca="1">IF(ISERROR(MATCH(H$1,INDIRECT("Table!A"&amp;$U112):INDIRECT("Table!" &amp; $X$171 &amp; $U112),0)),"",INDIRECT(CONCATENATE("Table!",ADDRESS($Q112,MATCH(H$1,INDIRECT("Table!A" &amp; $U112):INDIRECT("Table!" &amp; $X$171 &amp; $U112),0)))))</f>
        <v>121331.8</v>
      </c>
      <c r="I112" s="33">
        <f ca="1">IF(ISERROR(MATCH(I$1,INDIRECT("Table!A"&amp;$U112):INDIRECT("Table!" &amp; $X$171 &amp; $U112),0)),"",INDIRECT(CONCATENATE("Table!",ADDRESS($Q112,MATCH(I$1,INDIRECT("Table!A" &amp; $U112):INDIRECT("Table!" &amp; $X$171 &amp; $U112),0)))))</f>
        <v>170967.6</v>
      </c>
      <c r="J112" s="33">
        <f ca="1">IF(ISERROR(MATCH(J$1,INDIRECT("Table!A"&amp;$U112):INDIRECT("Table!" &amp; $X$171 &amp; $U112),0)),"",INDIRECT(CONCATENATE("Table!",ADDRESS($Q112,MATCH(J$1,INDIRECT("Table!A" &amp; $U112):INDIRECT("Table!" &amp; $X$171 &amp; $U112),0)))))</f>
        <v>132132.20000000001</v>
      </c>
      <c r="K112" s="33">
        <f ca="1">IF(ISERROR(MATCH(K$1,INDIRECT("Table!A"&amp;$U112):INDIRECT("Table!" &amp; $X$171 &amp; $U112),0)),"",INDIRECT(CONCATENATE("Table!",ADDRESS($Q112,MATCH(K$1,INDIRECT("Table!A" &amp; $U112):INDIRECT("Table!" &amp; $X$171 &amp; $U112),0)))))</f>
        <v>60665.9</v>
      </c>
      <c r="L112" s="33">
        <f ca="1">IF(ISERROR(MATCH(L$1,INDIRECT("Table!A"&amp;$U112):INDIRECT("Table!" &amp; $X$171 &amp; $U112),0)),"",INDIRECT(CONCATENATE("Table!",ADDRESS($Q112,MATCH(L$1,INDIRECT("Table!A" &amp; $U112):INDIRECT("Table!" &amp; $X$171 &amp; $U112),0)))))</f>
        <v>176482.7</v>
      </c>
      <c r="M112" s="33">
        <f ca="1">IF(ISERROR(MATCH(M$1,INDIRECT("Table!A"&amp;$U112):INDIRECT("Table!" &amp; $X$171 &amp; $U112),0)),"",INDIRECT(CONCATENATE("Table!",ADDRESS($Q112,MATCH(M$1,INDIRECT("Table!A" &amp; $U112):INDIRECT("Table!" &amp; $X$171 &amp; $U112),0)))))</f>
        <v>54921</v>
      </c>
      <c r="N112" s="178"/>
      <c r="O112" s="178"/>
      <c r="P112" s="178"/>
      <c r="Q112" s="31">
        <f>MATCH($A112,Table!$A:$A,0)+$S$14-1</f>
        <v>1494</v>
      </c>
      <c r="R112" s="178"/>
      <c r="S112" s="178"/>
      <c r="T112" s="178"/>
      <c r="U112" s="31">
        <f>MATCH($A112,Table!$A:$A,0)+$W$2-1</f>
        <v>1480</v>
      </c>
      <c r="V112" s="178"/>
      <c r="W112" s="178"/>
      <c r="X112" s="372" t="s">
        <v>209</v>
      </c>
    </row>
    <row r="113" spans="1:24" ht="18" customHeight="1">
      <c r="A113" s="5">
        <v>41019</v>
      </c>
      <c r="B113" s="33">
        <f ca="1">IF(ISERROR(MATCH(B$1,INDIRECT("Table!A"&amp;$U113):INDIRECT("Table!" &amp; $X$171 &amp; $U113),0)),"",INDIRECT(CONCATENATE("Table!",ADDRESS($Q113,MATCH(B$1,INDIRECT("Table!A" &amp; $U113):INDIRECT("Table!" &amp; $X$171 &amp; $U113),0)))))</f>
        <v>115816.8</v>
      </c>
      <c r="C113" s="33">
        <f ca="1">IF(ISERROR(MATCH(C$1,INDIRECT("Table!A"&amp;$U113):INDIRECT("Table!" &amp; $X$171 &amp; $U113),0)),"",INDIRECT(CONCATENATE("Table!",ADDRESS($Q113,MATCH(C$1,INDIRECT("Table!A" &amp; $U113):INDIRECT("Table!" &amp; $X$171 &amp; $U113),0)))))</f>
        <v>99041.7</v>
      </c>
      <c r="D113" s="33">
        <f ca="1">IF(ISERROR(MATCH(D$1,INDIRECT("Table!A"&amp;$U113):INDIRECT("Table!" &amp; $X$171 &amp; $U113),0)),"",INDIRECT(CONCATENATE("Table!",ADDRESS($Q113,MATCH(D$1,INDIRECT("Table!A" &amp; $U113):INDIRECT("Table!" &amp; $X$171 &amp; $U113),0)))))</f>
        <v>99041.7</v>
      </c>
      <c r="E113" s="33">
        <f ca="1">IF(ISERROR(MATCH(E$1,INDIRECT("Table!A"&amp;$U113):INDIRECT("Table!" &amp; $X$171 &amp; $U113),0)),"",INDIRECT(CONCATENATE("Table!",ADDRESS($Q113,MATCH(E$1,INDIRECT("Table!A" &amp; $U113):INDIRECT("Table!" &amp; $X$171 &amp; $U113),0)))))</f>
        <v>181997.8</v>
      </c>
      <c r="F113" s="33">
        <f ca="1">IF(ISERROR(MATCH(F$1,INDIRECT("Table!A"&amp;$U113):INDIRECT("Table!" &amp; $X$171 &amp; $U113),0)),"",INDIRECT(CONCATENATE("Table!",ADDRESS($Q113,MATCH(F$1,INDIRECT("Table!A" &amp; $U113):INDIRECT("Table!" &amp; $X$171 &amp; $U113),0)))))</f>
        <v>121331.8</v>
      </c>
      <c r="G113" s="33">
        <f ca="1">IF(ISERROR(MATCH(G$1,INDIRECT("Table!A"&amp;$U113):INDIRECT("Table!" &amp; $X$171 &amp; $U113),0)),"",INDIRECT(CONCATENATE("Table!",ADDRESS($Q113,MATCH(G$1,INDIRECT("Table!A" &amp; $U113):INDIRECT("Table!" &amp; $X$171 &amp; $U113),0)))))</f>
        <v>110071.9</v>
      </c>
      <c r="H113" s="33">
        <f ca="1">IF(ISERROR(MATCH(H$1,INDIRECT("Table!A"&amp;$U113):INDIRECT("Table!" &amp; $X$171 &amp; $U113),0)),"",INDIRECT(CONCATENATE("Table!",ADDRESS($Q113,MATCH(H$1,INDIRECT("Table!A" &amp; $U113):INDIRECT("Table!" &amp; $X$171 &amp; $U113),0)))))</f>
        <v>121331.8</v>
      </c>
      <c r="I113" s="33">
        <f ca="1">IF(ISERROR(MATCH(I$1,INDIRECT("Table!A"&amp;$U113):INDIRECT("Table!" &amp; $X$171 &amp; $U113),0)),"",INDIRECT(CONCATENATE("Table!",ADDRESS($Q113,MATCH(I$1,INDIRECT("Table!A" &amp; $U113):INDIRECT("Table!" &amp; $X$171 &amp; $U113),0)))))</f>
        <v>170967.6</v>
      </c>
      <c r="J113" s="33">
        <f ca="1">IF(ISERROR(MATCH(J$1,INDIRECT("Table!A"&amp;$U113):INDIRECT("Table!" &amp; $X$171 &amp; $U113),0)),"",INDIRECT(CONCATENATE("Table!",ADDRESS($Q113,MATCH(J$1,INDIRECT("Table!A" &amp; $U113):INDIRECT("Table!" &amp; $X$171 &amp; $U113),0)))))</f>
        <v>132132.20000000001</v>
      </c>
      <c r="K113" s="33">
        <f ca="1">IF(ISERROR(MATCH(K$1,INDIRECT("Table!A"&amp;$U113):INDIRECT("Table!" &amp; $X$171 &amp; $U113),0)),"",INDIRECT(CONCATENATE("Table!",ADDRESS($Q113,MATCH(K$1,INDIRECT("Table!A" &amp; $U113):INDIRECT("Table!" &amp; $X$171 &amp; $U113),0)))))</f>
        <v>60665.9</v>
      </c>
      <c r="L113" s="33">
        <f ca="1">IF(ISERROR(MATCH(L$1,INDIRECT("Table!A"&amp;$U113):INDIRECT("Table!" &amp; $X$171 &amp; $U113),0)),"",INDIRECT(CONCATENATE("Table!",ADDRESS($Q113,MATCH(L$1,INDIRECT("Table!A" &amp; $U113):INDIRECT("Table!" &amp; $X$171 &amp; $U113),0)))))</f>
        <v>176482.7</v>
      </c>
      <c r="M113" s="33">
        <f ca="1">IF(ISERROR(MATCH(M$1,INDIRECT("Table!A"&amp;$U113):INDIRECT("Table!" &amp; $X$171 &amp; $U113),0)),"",INDIRECT(CONCATENATE("Table!",ADDRESS($Q113,MATCH(M$1,INDIRECT("Table!A" &amp; $U113):INDIRECT("Table!" &amp; $X$171 &amp; $U113),0)))))</f>
        <v>54921</v>
      </c>
      <c r="N113" s="177"/>
      <c r="O113" s="177"/>
      <c r="P113" s="177"/>
      <c r="Q113" s="31">
        <f>MATCH($A113,Table!$A:$A,0)+$S$14-1</f>
        <v>1507</v>
      </c>
      <c r="R113" s="177"/>
      <c r="S113" s="177"/>
      <c r="T113" s="177"/>
      <c r="U113" s="31">
        <f>MATCH($A113,Table!$A:$A,0)+$W$2-1</f>
        <v>1493</v>
      </c>
      <c r="V113" s="177"/>
      <c r="W113" s="177"/>
      <c r="X113" s="372" t="s">
        <v>209</v>
      </c>
    </row>
    <row r="114" spans="1:24" ht="18" customHeight="1">
      <c r="A114" s="5">
        <v>41018</v>
      </c>
      <c r="B114" s="33">
        <f ca="1">IF(ISERROR(MATCH(B$1,INDIRECT("Table!A"&amp;$U114):INDIRECT("Table!" &amp; $X$171 &amp; $U114),0)),"",INDIRECT(CONCATENATE("Table!",ADDRESS($Q114,MATCH(B$1,INDIRECT("Table!A" &amp; $U114):INDIRECT("Table!" &amp; $X$171 &amp; $U114),0)))))</f>
        <v>115816.8</v>
      </c>
      <c r="C114" s="33">
        <f ca="1">IF(ISERROR(MATCH(C$1,INDIRECT("Table!A"&amp;$U114):INDIRECT("Table!" &amp; $X$171 &amp; $U114),0)),"",INDIRECT(CONCATENATE("Table!",ADDRESS($Q114,MATCH(C$1,INDIRECT("Table!A" &amp; $U114):INDIRECT("Table!" &amp; $X$171 &amp; $U114),0)))))</f>
        <v>99041.7</v>
      </c>
      <c r="D114" s="33">
        <f ca="1">IF(ISERROR(MATCH(D$1,INDIRECT("Table!A"&amp;$U114):INDIRECT("Table!" &amp; $X$171 &amp; $U114),0)),"",INDIRECT(CONCATENATE("Table!",ADDRESS($Q114,MATCH(D$1,INDIRECT("Table!A" &amp; $U114):INDIRECT("Table!" &amp; $X$171 &amp; $U114),0)))))</f>
        <v>99041.7</v>
      </c>
      <c r="E114" s="33">
        <f ca="1">IF(ISERROR(MATCH(E$1,INDIRECT("Table!A"&amp;$U114):INDIRECT("Table!" &amp; $X$171 &amp; $U114),0)),"",INDIRECT(CONCATENATE("Table!",ADDRESS($Q114,MATCH(E$1,INDIRECT("Table!A" &amp; $U114):INDIRECT("Table!" &amp; $X$171 &amp; $U114),0)))))</f>
        <v>181997.8</v>
      </c>
      <c r="F114" s="33">
        <f ca="1">IF(ISERROR(MATCH(F$1,INDIRECT("Table!A"&amp;$U114):INDIRECT("Table!" &amp; $X$171 &amp; $U114),0)),"",INDIRECT(CONCATENATE("Table!",ADDRESS($Q114,MATCH(F$1,INDIRECT("Table!A" &amp; $U114):INDIRECT("Table!" &amp; $X$171 &amp; $U114),0)))))</f>
        <v>121331.8</v>
      </c>
      <c r="G114" s="33">
        <f ca="1">IF(ISERROR(MATCH(G$1,INDIRECT("Table!A"&amp;$U114):INDIRECT("Table!" &amp; $X$171 &amp; $U114),0)),"",INDIRECT(CONCATENATE("Table!",ADDRESS($Q114,MATCH(G$1,INDIRECT("Table!A" &amp; $U114):INDIRECT("Table!" &amp; $X$171 &amp; $U114),0)))))</f>
        <v>110071.9</v>
      </c>
      <c r="H114" s="33">
        <f ca="1">IF(ISERROR(MATCH(H$1,INDIRECT("Table!A"&amp;$U114):INDIRECT("Table!" &amp; $X$171 &amp; $U114),0)),"",INDIRECT(CONCATENATE("Table!",ADDRESS($Q114,MATCH(H$1,INDIRECT("Table!A" &amp; $U114):INDIRECT("Table!" &amp; $X$171 &amp; $U114),0)))))</f>
        <v>121331.8</v>
      </c>
      <c r="I114" s="33">
        <f ca="1">IF(ISERROR(MATCH(I$1,INDIRECT("Table!A"&amp;$U114):INDIRECT("Table!" &amp; $X$171 &amp; $U114),0)),"",INDIRECT(CONCATENATE("Table!",ADDRESS($Q114,MATCH(I$1,INDIRECT("Table!A" &amp; $U114):INDIRECT("Table!" &amp; $X$171 &amp; $U114),0)))))</f>
        <v>170967.6</v>
      </c>
      <c r="J114" s="33">
        <f ca="1">IF(ISERROR(MATCH(J$1,INDIRECT("Table!A"&amp;$U114):INDIRECT("Table!" &amp; $X$171 &amp; $U114),0)),"",INDIRECT(CONCATENATE("Table!",ADDRESS($Q114,MATCH(J$1,INDIRECT("Table!A" &amp; $U114):INDIRECT("Table!" &amp; $X$171 &amp; $U114),0)))))</f>
        <v>132132.20000000001</v>
      </c>
      <c r="K114" s="33">
        <f ca="1">IF(ISERROR(MATCH(K$1,INDIRECT("Table!A"&amp;$U114):INDIRECT("Table!" &amp; $X$171 &amp; $U114),0)),"",INDIRECT(CONCATENATE("Table!",ADDRESS($Q114,MATCH(K$1,INDIRECT("Table!A" &amp; $U114):INDIRECT("Table!" &amp; $X$171 &amp; $U114),0)))))</f>
        <v>60665.9</v>
      </c>
      <c r="L114" s="33">
        <f ca="1">IF(ISERROR(MATCH(L$1,INDIRECT("Table!A"&amp;$U114):INDIRECT("Table!" &amp; $X$171 &amp; $U114),0)),"",INDIRECT(CONCATENATE("Table!",ADDRESS($Q114,MATCH(L$1,INDIRECT("Table!A" &amp; $U114):INDIRECT("Table!" &amp; $X$171 &amp; $U114),0)))))</f>
        <v>176482.7</v>
      </c>
      <c r="M114" s="33">
        <f ca="1">IF(ISERROR(MATCH(M$1,INDIRECT("Table!A"&amp;$U114):INDIRECT("Table!" &amp; $X$171 &amp; $U114),0)),"",INDIRECT(CONCATENATE("Table!",ADDRESS($Q114,MATCH(M$1,INDIRECT("Table!A" &amp; $U114):INDIRECT("Table!" &amp; $X$171 &amp; $U114),0)))))</f>
        <v>54921</v>
      </c>
      <c r="N114" s="177"/>
      <c r="O114" s="177"/>
      <c r="P114" s="177"/>
      <c r="Q114" s="31">
        <f>MATCH($A114,Table!$A:$A,0)+$S$14-1</f>
        <v>1520</v>
      </c>
      <c r="R114" s="177"/>
      <c r="S114" s="177"/>
      <c r="T114" s="177"/>
      <c r="U114" s="31">
        <f>MATCH($A114,Table!$A:$A,0)+$W$2-1</f>
        <v>1506</v>
      </c>
      <c r="V114" s="177"/>
      <c r="W114" s="177"/>
      <c r="X114" s="372" t="s">
        <v>209</v>
      </c>
    </row>
    <row r="115" spans="1:24" ht="18" customHeight="1">
      <c r="A115" s="5">
        <v>41017</v>
      </c>
      <c r="B115" s="33">
        <f ca="1">IF(ISERROR(MATCH(B$1,INDIRECT("Table!A"&amp;$U115):INDIRECT("Table!" &amp; $X$171 &amp; $U115),0)),"",INDIRECT(CONCATENATE("Table!",ADDRESS($Q115,MATCH(B$1,INDIRECT("Table!A" &amp; $U115):INDIRECT("Table!" &amp; $X$171 &amp; $U115),0)))))</f>
        <v>115816.8</v>
      </c>
      <c r="C115" s="33">
        <f ca="1">IF(ISERROR(MATCH(C$1,INDIRECT("Table!A"&amp;$U115):INDIRECT("Table!" &amp; $X$171 &amp; $U115),0)),"",INDIRECT(CONCATENATE("Table!",ADDRESS($Q115,MATCH(C$1,INDIRECT("Table!A" &amp; $U115):INDIRECT("Table!" &amp; $X$171 &amp; $U115),0)))))</f>
        <v>99041.7</v>
      </c>
      <c r="D115" s="33">
        <f ca="1">IF(ISERROR(MATCH(D$1,INDIRECT("Table!A"&amp;$U115):INDIRECT("Table!" &amp; $X$171 &amp; $U115),0)),"",INDIRECT(CONCATENATE("Table!",ADDRESS($Q115,MATCH(D$1,INDIRECT("Table!A" &amp; $U115):INDIRECT("Table!" &amp; $X$171 &amp; $U115),0)))))</f>
        <v>99041.7</v>
      </c>
      <c r="E115" s="33">
        <f ca="1">IF(ISERROR(MATCH(E$1,INDIRECT("Table!A"&amp;$U115):INDIRECT("Table!" &amp; $X$171 &amp; $U115),0)),"",INDIRECT(CONCATENATE("Table!",ADDRESS($Q115,MATCH(E$1,INDIRECT("Table!A" &amp; $U115):INDIRECT("Table!" &amp; $X$171 &amp; $U115),0)))))</f>
        <v>181997.8</v>
      </c>
      <c r="F115" s="33">
        <f ca="1">IF(ISERROR(MATCH(F$1,INDIRECT("Table!A"&amp;$U115):INDIRECT("Table!" &amp; $X$171 &amp; $U115),0)),"",INDIRECT(CONCATENATE("Table!",ADDRESS($Q115,MATCH(F$1,INDIRECT("Table!A" &amp; $U115):INDIRECT("Table!" &amp; $X$171 &amp; $U115),0)))))</f>
        <v>121331.8</v>
      </c>
      <c r="G115" s="33">
        <f ca="1">IF(ISERROR(MATCH(G$1,INDIRECT("Table!A"&amp;$U115):INDIRECT("Table!" &amp; $X$171 &amp; $U115),0)),"",INDIRECT(CONCATENATE("Table!",ADDRESS($Q115,MATCH(G$1,INDIRECT("Table!A" &amp; $U115):INDIRECT("Table!" &amp; $X$171 &amp; $U115),0)))))</f>
        <v>110071.9</v>
      </c>
      <c r="H115" s="33">
        <f ca="1">IF(ISERROR(MATCH(H$1,INDIRECT("Table!A"&amp;$U115):INDIRECT("Table!" &amp; $X$171 &amp; $U115),0)),"",INDIRECT(CONCATENATE("Table!",ADDRESS($Q115,MATCH(H$1,INDIRECT("Table!A" &amp; $U115):INDIRECT("Table!" &amp; $X$171 &amp; $U115),0)))))</f>
        <v>121331.8</v>
      </c>
      <c r="I115" s="33">
        <f ca="1">IF(ISERROR(MATCH(I$1,INDIRECT("Table!A"&amp;$U115):INDIRECT("Table!" &amp; $X$171 &amp; $U115),0)),"",INDIRECT(CONCATENATE("Table!",ADDRESS($Q115,MATCH(I$1,INDIRECT("Table!A" &amp; $U115):INDIRECT("Table!" &amp; $X$171 &amp; $U115),0)))))</f>
        <v>170967.6</v>
      </c>
      <c r="J115" s="33">
        <f ca="1">IF(ISERROR(MATCH(J$1,INDIRECT("Table!A"&amp;$U115):INDIRECT("Table!" &amp; $X$171 &amp; $U115),0)),"",INDIRECT(CONCATENATE("Table!",ADDRESS($Q115,MATCH(J$1,INDIRECT("Table!A" &amp; $U115):INDIRECT("Table!" &amp; $X$171 &amp; $U115),0)))))</f>
        <v>132132.20000000001</v>
      </c>
      <c r="K115" s="33">
        <f ca="1">IF(ISERROR(MATCH(K$1,INDIRECT("Table!A"&amp;$U115):INDIRECT("Table!" &amp; $X$171 &amp; $U115),0)),"",INDIRECT(CONCATENATE("Table!",ADDRESS($Q115,MATCH(K$1,INDIRECT("Table!A" &amp; $U115):INDIRECT("Table!" &amp; $X$171 &amp; $U115),0)))))</f>
        <v>60665.9</v>
      </c>
      <c r="L115" s="33">
        <f ca="1">IF(ISERROR(MATCH(L$1,INDIRECT("Table!A"&amp;$U115):INDIRECT("Table!" &amp; $X$171 &amp; $U115),0)),"",INDIRECT(CONCATENATE("Table!",ADDRESS($Q115,MATCH(L$1,INDIRECT("Table!A" &amp; $U115):INDIRECT("Table!" &amp; $X$171 &amp; $U115),0)))))</f>
        <v>176482.7</v>
      </c>
      <c r="M115" s="33">
        <f ca="1">IF(ISERROR(MATCH(M$1,INDIRECT("Table!A"&amp;$U115):INDIRECT("Table!" &amp; $X$171 &amp; $U115),0)),"",INDIRECT(CONCATENATE("Table!",ADDRESS($Q115,MATCH(M$1,INDIRECT("Table!A" &amp; $U115):INDIRECT("Table!" &amp; $X$171 &amp; $U115),0)))))</f>
        <v>54921</v>
      </c>
      <c r="N115" s="177"/>
      <c r="O115" s="177"/>
      <c r="P115" s="177"/>
      <c r="Q115" s="31">
        <f>MATCH($A115,Table!$A:$A,0)+$S$14-1</f>
        <v>1533</v>
      </c>
      <c r="R115" s="177"/>
      <c r="S115" s="177"/>
      <c r="T115" s="177"/>
      <c r="U115" s="31">
        <f>MATCH($A115,Table!$A:$A,0)+$W$2-1</f>
        <v>1519</v>
      </c>
      <c r="V115" s="177"/>
      <c r="W115" s="177"/>
      <c r="X115" s="372" t="s">
        <v>209</v>
      </c>
    </row>
    <row r="116" spans="1:24" ht="18" customHeight="1">
      <c r="A116" s="5">
        <v>41015</v>
      </c>
      <c r="B116" s="33">
        <f ca="1">IF(ISERROR(MATCH(B$1,INDIRECT("Table!A"&amp;$U116):INDIRECT("Table!" &amp; $X$171 &amp; $U116),0)),"",INDIRECT(CONCATENATE("Table!",ADDRESS($Q116,MATCH(B$1,INDIRECT("Table!A" &amp; $U116):INDIRECT("Table!" &amp; $X$171 &amp; $U116),0)))))</f>
        <v>115816.8</v>
      </c>
      <c r="C116" s="33">
        <f ca="1">IF(ISERROR(MATCH(C$1,INDIRECT("Table!A"&amp;$U116):INDIRECT("Table!" &amp; $X$171 &amp; $U116),0)),"",INDIRECT(CONCATENATE("Table!",ADDRESS($Q116,MATCH(C$1,INDIRECT("Table!A" &amp; $U116):INDIRECT("Table!" &amp; $X$171 &amp; $U116),0)))))</f>
        <v>99041.7</v>
      </c>
      <c r="D116" s="33">
        <f ca="1">IF(ISERROR(MATCH(D$1,INDIRECT("Table!A"&amp;$U116):INDIRECT("Table!" &amp; $X$171 &amp; $U116),0)),"",INDIRECT(CONCATENATE("Table!",ADDRESS($Q116,MATCH(D$1,INDIRECT("Table!A" &amp; $U116):INDIRECT("Table!" &amp; $X$171 &amp; $U116),0)))))</f>
        <v>99041.7</v>
      </c>
      <c r="E116" s="33">
        <f ca="1">IF(ISERROR(MATCH(E$1,INDIRECT("Table!A"&amp;$U116):INDIRECT("Table!" &amp; $X$171 &amp; $U116),0)),"",INDIRECT(CONCATENATE("Table!",ADDRESS($Q116,MATCH(E$1,INDIRECT("Table!A" &amp; $U116):INDIRECT("Table!" &amp; $X$171 &amp; $U116),0)))))</f>
        <v>154422.39999999999</v>
      </c>
      <c r="F116" s="33">
        <f ca="1">IF(ISERROR(MATCH(F$1,INDIRECT("Table!A"&amp;$U116):INDIRECT("Table!" &amp; $X$171 &amp; $U116),0)),"",INDIRECT(CONCATENATE("Table!",ADDRESS($Q116,MATCH(F$1,INDIRECT("Table!A" &amp; $U116):INDIRECT("Table!" &amp; $X$171 &amp; $U116),0)))))</f>
        <v>121331.8</v>
      </c>
      <c r="G116" s="33">
        <f ca="1">IF(ISERROR(MATCH(G$1,INDIRECT("Table!A"&amp;$U116):INDIRECT("Table!" &amp; $X$171 &amp; $U116),0)),"",INDIRECT(CONCATENATE("Table!",ADDRESS($Q116,MATCH(G$1,INDIRECT("Table!A" &amp; $U116):INDIRECT("Table!" &amp; $X$171 &amp; $U116),0)))))</f>
        <v>110071.9</v>
      </c>
      <c r="H116" s="33">
        <f ca="1">IF(ISERROR(MATCH(H$1,INDIRECT("Table!A"&amp;$U116):INDIRECT("Table!" &amp; $X$171 &amp; $U116),0)),"",INDIRECT(CONCATENATE("Table!",ADDRESS($Q116,MATCH(H$1,INDIRECT("Table!A" &amp; $U116):INDIRECT("Table!" &amp; $X$171 &amp; $U116),0)))))</f>
        <v>121331.8</v>
      </c>
      <c r="I116" s="33">
        <f ca="1">IF(ISERROR(MATCH(I$1,INDIRECT("Table!A"&amp;$U116):INDIRECT("Table!" &amp; $X$171 &amp; $U116),0)),"",INDIRECT(CONCATENATE("Table!",ADDRESS($Q116,MATCH(I$1,INDIRECT("Table!A" &amp; $U116):INDIRECT("Table!" &amp; $X$171 &amp; $U116),0)))))</f>
        <v>170967.6</v>
      </c>
      <c r="J116" s="33">
        <f ca="1">IF(ISERROR(MATCH(J$1,INDIRECT("Table!A"&amp;$U116):INDIRECT("Table!" &amp; $X$171 &amp; $U116),0)),"",INDIRECT(CONCATENATE("Table!",ADDRESS($Q116,MATCH(J$1,INDIRECT("Table!A" &amp; $U116):INDIRECT("Table!" &amp; $X$171 &amp; $U116),0)))))</f>
        <v>54921</v>
      </c>
      <c r="K116" s="33">
        <f ca="1">IF(ISERROR(MATCH(K$1,INDIRECT("Table!A"&amp;$U116):INDIRECT("Table!" &amp; $X$171 &amp; $U116),0)),"",INDIRECT(CONCATENATE("Table!",ADDRESS($Q116,MATCH(K$1,INDIRECT("Table!A" &amp; $U116):INDIRECT("Table!" &amp; $X$171 &amp; $U116),0)))))</f>
        <v>60665.9</v>
      </c>
      <c r="L116" s="33">
        <f ca="1">IF(ISERROR(MATCH(L$1,INDIRECT("Table!A"&amp;$U116):INDIRECT("Table!" &amp; $X$171 &amp; $U116),0)),"",INDIRECT(CONCATENATE("Table!",ADDRESS($Q116,MATCH(L$1,INDIRECT("Table!A" &amp; $U116):INDIRECT("Table!" &amp; $X$171 &amp; $U116),0)))))</f>
        <v>176482.7</v>
      </c>
      <c r="M116" s="33">
        <f ca="1">IF(ISERROR(MATCH(M$1,INDIRECT("Table!A"&amp;$U116):INDIRECT("Table!" &amp; $X$171 &amp; $U116),0)),"",INDIRECT(CONCATENATE("Table!",ADDRESS($Q116,MATCH(M$1,INDIRECT("Table!A" &amp; $U116):INDIRECT("Table!" &amp; $X$171 &amp; $U116),0)))))</f>
        <v>54921</v>
      </c>
      <c r="N116" s="177"/>
      <c r="O116" s="177"/>
      <c r="P116" s="177"/>
      <c r="Q116" s="31">
        <f>MATCH($A116,Table!$A:$A,0)+$S$14-1</f>
        <v>1546</v>
      </c>
      <c r="R116" s="177"/>
      <c r="S116" s="177"/>
      <c r="T116" s="177"/>
      <c r="U116" s="31">
        <f>MATCH($A116,Table!$A:$A,0)+$W$2-1</f>
        <v>1532</v>
      </c>
      <c r="V116" s="177"/>
      <c r="W116" s="177"/>
      <c r="X116" s="372" t="s">
        <v>209</v>
      </c>
    </row>
    <row r="117" spans="1:24" ht="18" customHeight="1">
      <c r="A117" s="5">
        <v>41012</v>
      </c>
      <c r="B117" s="33">
        <f ca="1">IF(ISERROR(MATCH(B$1,INDIRECT("Table!A"&amp;$U117):INDIRECT("Table!" &amp; $X$171 &amp; $U117),0)),"",INDIRECT(CONCATENATE("Table!",ADDRESS($Q117,MATCH(B$1,INDIRECT("Table!A" &amp; $U117):INDIRECT("Table!" &amp; $X$171 &amp; $U117),0)))))</f>
        <v>115816.8</v>
      </c>
      <c r="C117" s="33">
        <f ca="1">IF(ISERROR(MATCH(C$1,INDIRECT("Table!A"&amp;$U117):INDIRECT("Table!" &amp; $X$171 &amp; $U117),0)),"",INDIRECT(CONCATENATE("Table!",ADDRESS($Q117,MATCH(C$1,INDIRECT("Table!A" &amp; $U117):INDIRECT("Table!" &amp; $X$171 &amp; $U117),0)))))</f>
        <v>99041.7</v>
      </c>
      <c r="D117" s="33">
        <f ca="1">IF(ISERROR(MATCH(D$1,INDIRECT("Table!A"&amp;$U117):INDIRECT("Table!" &amp; $X$171 &amp; $U117),0)),"",INDIRECT(CONCATENATE("Table!",ADDRESS($Q117,MATCH(D$1,INDIRECT("Table!A" &amp; $U117):INDIRECT("Table!" &amp; $X$171 &amp; $U117),0)))))</f>
        <v>99041.7</v>
      </c>
      <c r="E117" s="33">
        <f ca="1">IF(ISERROR(MATCH(E$1,INDIRECT("Table!A"&amp;$U117):INDIRECT("Table!" &amp; $X$171 &amp; $U117),0)),"",INDIRECT(CONCATENATE("Table!",ADDRESS($Q117,MATCH(E$1,INDIRECT("Table!A" &amp; $U117):INDIRECT("Table!" &amp; $X$171 &amp; $U117),0)))))</f>
        <v>154422.39999999999</v>
      </c>
      <c r="F117" s="33">
        <f ca="1">IF(ISERROR(MATCH(F$1,INDIRECT("Table!A"&amp;$U117):INDIRECT("Table!" &amp; $X$171 &amp; $U117),0)),"",INDIRECT(CONCATENATE("Table!",ADDRESS($Q117,MATCH(F$1,INDIRECT("Table!A" &amp; $U117):INDIRECT("Table!" &amp; $X$171 &amp; $U117),0)))))</f>
        <v>121331.8</v>
      </c>
      <c r="G117" s="33">
        <f ca="1">IF(ISERROR(MATCH(G$1,INDIRECT("Table!A"&amp;$U117):INDIRECT("Table!" &amp; $X$171 &amp; $U117),0)),"",INDIRECT(CONCATENATE("Table!",ADDRESS($Q117,MATCH(G$1,INDIRECT("Table!A" &amp; $U117):INDIRECT("Table!" &amp; $X$171 &amp; $U117),0)))))</f>
        <v>110071.9</v>
      </c>
      <c r="H117" s="33">
        <f ca="1">IF(ISERROR(MATCH(H$1,INDIRECT("Table!A"&amp;$U117):INDIRECT("Table!" &amp; $X$171 &amp; $U117),0)),"",INDIRECT(CONCATENATE("Table!",ADDRESS($Q117,MATCH(H$1,INDIRECT("Table!A" &amp; $U117):INDIRECT("Table!" &amp; $X$171 &amp; $U117),0)))))</f>
        <v>121331.8</v>
      </c>
      <c r="I117" s="33">
        <f ca="1">IF(ISERROR(MATCH(I$1,INDIRECT("Table!A"&amp;$U117):INDIRECT("Table!" &amp; $X$171 &amp; $U117),0)),"",INDIRECT(CONCATENATE("Table!",ADDRESS($Q117,MATCH(I$1,INDIRECT("Table!A" &amp; $U117):INDIRECT("Table!" &amp; $X$171 &amp; $U117),0)))))</f>
        <v>170967.6</v>
      </c>
      <c r="J117" s="33">
        <f ca="1">IF(ISERROR(MATCH(J$1,INDIRECT("Table!A"&amp;$U117):INDIRECT("Table!" &amp; $X$171 &amp; $U117),0)),"",INDIRECT(CONCATENATE("Table!",ADDRESS($Q117,MATCH(J$1,INDIRECT("Table!A" &amp; $U117):INDIRECT("Table!" &amp; $X$171 &amp; $U117),0)))))</f>
        <v>54921</v>
      </c>
      <c r="K117" s="33">
        <f ca="1">IF(ISERROR(MATCH(K$1,INDIRECT("Table!A"&amp;$U117):INDIRECT("Table!" &amp; $X$171 &amp; $U117),0)),"",INDIRECT(CONCATENATE("Table!",ADDRESS($Q117,MATCH(K$1,INDIRECT("Table!A" &amp; $U117):INDIRECT("Table!" &amp; $X$171 &amp; $U117),0)))))</f>
        <v>60665.9</v>
      </c>
      <c r="L117" s="33">
        <f ca="1">IF(ISERROR(MATCH(L$1,INDIRECT("Table!A"&amp;$U117):INDIRECT("Table!" &amp; $X$171 &amp; $U117),0)),"",INDIRECT(CONCATENATE("Table!",ADDRESS($Q117,MATCH(L$1,INDIRECT("Table!A" &amp; $U117):INDIRECT("Table!" &amp; $X$171 &amp; $U117),0)))))</f>
        <v>176482.7</v>
      </c>
      <c r="M117" s="33">
        <f ca="1">IF(ISERROR(MATCH(M$1,INDIRECT("Table!A"&amp;$U117):INDIRECT("Table!" &amp; $X$171 &amp; $U117),0)),"",INDIRECT(CONCATENATE("Table!",ADDRESS($Q117,MATCH(M$1,INDIRECT("Table!A" &amp; $U117):INDIRECT("Table!" &amp; $X$171 &amp; $U117),0)))))</f>
        <v>54921</v>
      </c>
      <c r="N117" s="120"/>
      <c r="O117" s="120"/>
      <c r="P117" s="120"/>
      <c r="Q117" s="31">
        <f>MATCH($A117,Table!$A:$A,0)+$S$14-1</f>
        <v>1559</v>
      </c>
      <c r="R117" s="120"/>
      <c r="S117" s="120"/>
      <c r="T117" s="120"/>
      <c r="U117" s="31">
        <f>MATCH($A117,Table!$A:$A,0)+$W$2-1</f>
        <v>1545</v>
      </c>
      <c r="V117" s="120"/>
      <c r="W117" s="120"/>
      <c r="X117" s="372" t="s">
        <v>209</v>
      </c>
    </row>
    <row r="118" spans="1:24" ht="18" customHeight="1">
      <c r="A118" s="5">
        <v>41011</v>
      </c>
      <c r="B118" s="33">
        <f ca="1">IF(ISERROR(MATCH(B$1,INDIRECT("Table!A"&amp;$U118):INDIRECT("Table!" &amp; $X$171 &amp; $U118),0)),"",INDIRECT(CONCATENATE("Table!",ADDRESS($Q118,MATCH(B$1,INDIRECT("Table!A" &amp; $U118):INDIRECT("Table!" &amp; $X$171 &amp; $U118),0)))))</f>
        <v>115816.8</v>
      </c>
      <c r="C118" s="33">
        <f ca="1">IF(ISERROR(MATCH(C$1,INDIRECT("Table!A"&amp;$U118):INDIRECT("Table!" &amp; $X$171 &amp; $U118),0)),"",INDIRECT(CONCATENATE("Table!",ADDRESS($Q118,MATCH(C$1,INDIRECT("Table!A" &amp; $U118):INDIRECT("Table!" &amp; $X$171 &amp; $U118),0)))))</f>
        <v>99041.7</v>
      </c>
      <c r="D118" s="33">
        <f ca="1">IF(ISERROR(MATCH(D$1,INDIRECT("Table!A"&amp;$U118):INDIRECT("Table!" &amp; $X$171 &amp; $U118),0)),"",INDIRECT(CONCATENATE("Table!",ADDRESS($Q118,MATCH(D$1,INDIRECT("Table!A" &amp; $U118):INDIRECT("Table!" &amp; $X$171 &amp; $U118),0)))))</f>
        <v>99041.7</v>
      </c>
      <c r="E118" s="33">
        <f ca="1">IF(ISERROR(MATCH(E$1,INDIRECT("Table!A"&amp;$U118):INDIRECT("Table!" &amp; $X$171 &amp; $U118),0)),"",INDIRECT(CONCATENATE("Table!",ADDRESS($Q118,MATCH(E$1,INDIRECT("Table!A" &amp; $U118):INDIRECT("Table!" &amp; $X$171 &amp; $U118),0)))))</f>
        <v>154422.39999999999</v>
      </c>
      <c r="F118" s="33">
        <f ca="1">IF(ISERROR(MATCH(F$1,INDIRECT("Table!A"&amp;$U118):INDIRECT("Table!" &amp; $X$171 &amp; $U118),0)),"",INDIRECT(CONCATENATE("Table!",ADDRESS($Q118,MATCH(F$1,INDIRECT("Table!A" &amp; $U118):INDIRECT("Table!" &amp; $X$171 &amp; $U118),0)))))</f>
        <v>121331.8</v>
      </c>
      <c r="G118" s="33">
        <f ca="1">IF(ISERROR(MATCH(G$1,INDIRECT("Table!A"&amp;$U118):INDIRECT("Table!" &amp; $X$171 &amp; $U118),0)),"",INDIRECT(CONCATENATE("Table!",ADDRESS($Q118,MATCH(G$1,INDIRECT("Table!A" &amp; $U118):INDIRECT("Table!" &amp; $X$171 &amp; $U118),0)))))</f>
        <v>110071.9</v>
      </c>
      <c r="H118" s="33">
        <f ca="1">IF(ISERROR(MATCH(H$1,INDIRECT("Table!A"&amp;$U118):INDIRECT("Table!" &amp; $X$171 &amp; $U118),0)),"",INDIRECT(CONCATENATE("Table!",ADDRESS($Q118,MATCH(H$1,INDIRECT("Table!A" &amp; $U118):INDIRECT("Table!" &amp; $X$171 &amp; $U118),0)))))</f>
        <v>121331.8</v>
      </c>
      <c r="I118" s="33">
        <f ca="1">IF(ISERROR(MATCH(I$1,INDIRECT("Table!A"&amp;$U118):INDIRECT("Table!" &amp; $X$171 &amp; $U118),0)),"",INDIRECT(CONCATENATE("Table!",ADDRESS($Q118,MATCH(I$1,INDIRECT("Table!A" &amp; $U118):INDIRECT("Table!" &amp; $X$171 &amp; $U118),0)))))</f>
        <v>170967.6</v>
      </c>
      <c r="J118" s="33">
        <f ca="1">IF(ISERROR(MATCH(J$1,INDIRECT("Table!A"&amp;$U118):INDIRECT("Table!" &amp; $X$171 &amp; $U118),0)),"",INDIRECT(CONCATENATE("Table!",ADDRESS($Q118,MATCH(J$1,INDIRECT("Table!A" &amp; $U118):INDIRECT("Table!" &amp; $X$171 &amp; $U118),0)))))</f>
        <v>54921</v>
      </c>
      <c r="K118" s="33">
        <f ca="1">IF(ISERROR(MATCH(K$1,INDIRECT("Table!A"&amp;$U118):INDIRECT("Table!" &amp; $X$171 &amp; $U118),0)),"",INDIRECT(CONCATENATE("Table!",ADDRESS($Q118,MATCH(K$1,INDIRECT("Table!A" &amp; $U118):INDIRECT("Table!" &amp; $X$171 &amp; $U118),0)))))</f>
        <v>60665.9</v>
      </c>
      <c r="L118" s="33">
        <f ca="1">IF(ISERROR(MATCH(L$1,INDIRECT("Table!A"&amp;$U118):INDIRECT("Table!" &amp; $X$171 &amp; $U118),0)),"",INDIRECT(CONCATENATE("Table!",ADDRESS($Q118,MATCH(L$1,INDIRECT("Table!A" &amp; $U118):INDIRECT("Table!" &amp; $X$171 &amp; $U118),0)))))</f>
        <v>176482.7</v>
      </c>
      <c r="M118" s="33">
        <f ca="1">IF(ISERROR(MATCH(M$1,INDIRECT("Table!A"&amp;$U118):INDIRECT("Table!" &amp; $X$171 &amp; $U118),0)),"",INDIRECT(CONCATENATE("Table!",ADDRESS($Q118,MATCH(M$1,INDIRECT("Table!A" &amp; $U118):INDIRECT("Table!" &amp; $X$171 &amp; $U118),0)))))</f>
        <v>54921</v>
      </c>
      <c r="N118" s="171"/>
      <c r="O118" s="171"/>
      <c r="P118" s="171"/>
      <c r="Q118" s="31">
        <f>MATCH($A118,Table!$A:$A,0)+$S$14-1</f>
        <v>1572</v>
      </c>
      <c r="R118" s="171"/>
      <c r="S118" s="171"/>
      <c r="T118" s="171"/>
      <c r="U118" s="31">
        <f>MATCH($A118,Table!$A:$A,0)+$W$2-1</f>
        <v>1558</v>
      </c>
      <c r="V118" s="171"/>
      <c r="W118" s="171"/>
      <c r="X118" s="372" t="s">
        <v>209</v>
      </c>
    </row>
    <row r="119" spans="1:24" ht="18" customHeight="1">
      <c r="A119" s="5">
        <v>41009</v>
      </c>
      <c r="B119" s="33">
        <f ca="1">IF(ISERROR(MATCH(B$1,INDIRECT("Table!A"&amp;$U119):INDIRECT("Table!" &amp; $X$171 &amp; $U119),0)),"",INDIRECT(CONCATENATE("Table!",ADDRESS($Q119,MATCH(B$1,INDIRECT("Table!A" &amp; $U119):INDIRECT("Table!" &amp; $X$171 &amp; $U119),0)))))</f>
        <v>115816.8</v>
      </c>
      <c r="C119" s="33">
        <f ca="1">IF(ISERROR(MATCH(C$1,INDIRECT("Table!A"&amp;$U119):INDIRECT("Table!" &amp; $X$171 &amp; $U119),0)),"",INDIRECT(CONCATENATE("Table!",ADDRESS($Q119,MATCH(C$1,INDIRECT("Table!A" &amp; $U119):INDIRECT("Table!" &amp; $X$171 &amp; $U119),0)))))</f>
        <v>99042</v>
      </c>
      <c r="D119" s="33">
        <f ca="1">IF(ISERROR(MATCH(D$1,INDIRECT("Table!A"&amp;$U119):INDIRECT("Table!" &amp; $X$171 &amp; $U119),0)),"",INDIRECT(CONCATENATE("Table!",ADDRESS($Q119,MATCH(D$1,INDIRECT("Table!A" &amp; $U119):INDIRECT("Table!" &amp; $X$171 &amp; $U119),0)))))</f>
        <v>99042</v>
      </c>
      <c r="E119" s="33">
        <f ca="1">IF(ISERROR(MATCH(E$1,INDIRECT("Table!A"&amp;$U119):INDIRECT("Table!" &amp; $X$171 &amp; $U119),0)),"",INDIRECT(CONCATENATE("Table!",ADDRESS($Q119,MATCH(E$1,INDIRECT("Table!A" &amp; $U119):INDIRECT("Table!" &amp; $X$171 &amp; $U119),0)))))</f>
        <v>154422.39999999999</v>
      </c>
      <c r="F119" s="33">
        <f ca="1">IF(ISERROR(MATCH(F$1,INDIRECT("Table!A"&amp;$U119):INDIRECT("Table!" &amp; $X$171 &amp; $U119),0)),"",INDIRECT(CONCATENATE("Table!",ADDRESS($Q119,MATCH(F$1,INDIRECT("Table!A" &amp; $U119):INDIRECT("Table!" &amp; $X$171 &amp; $U119),0)))))</f>
        <v>121331.8</v>
      </c>
      <c r="G119" s="33">
        <f ca="1">IF(ISERROR(MATCH(G$1,INDIRECT("Table!A"&amp;$U119):INDIRECT("Table!" &amp; $X$171 &amp; $U119),0)),"",INDIRECT(CONCATENATE("Table!",ADDRESS($Q119,MATCH(G$1,INDIRECT("Table!A" &amp; $U119):INDIRECT("Table!" &amp; $X$171 &amp; $U119),0)))))</f>
        <v>110071.9</v>
      </c>
      <c r="H119" s="33">
        <f ca="1">IF(ISERROR(MATCH(H$1,INDIRECT("Table!A"&amp;$U119):INDIRECT("Table!" &amp; $X$171 &amp; $U119),0)),"",INDIRECT(CONCATENATE("Table!",ADDRESS($Q119,MATCH(H$1,INDIRECT("Table!A" &amp; $U119):INDIRECT("Table!" &amp; $X$171 &amp; $U119),0)))))</f>
        <v>121331.8</v>
      </c>
      <c r="I119" s="33">
        <f ca="1">IF(ISERROR(MATCH(I$1,INDIRECT("Table!A"&amp;$U119):INDIRECT("Table!" &amp; $X$171 &amp; $U119),0)),"",INDIRECT(CONCATENATE("Table!",ADDRESS($Q119,MATCH(I$1,INDIRECT("Table!A" &amp; $U119):INDIRECT("Table!" &amp; $X$171 &amp; $U119),0)))))</f>
        <v>170967.6</v>
      </c>
      <c r="J119" s="33">
        <f ca="1">IF(ISERROR(MATCH(J$1,INDIRECT("Table!A"&amp;$U119):INDIRECT("Table!" &amp; $X$171 &amp; $U119),0)),"",INDIRECT(CONCATENATE("Table!",ADDRESS($Q119,MATCH(J$1,INDIRECT("Table!A" &amp; $U119):INDIRECT("Table!" &amp; $X$171 &amp; $U119),0)))))</f>
        <v>54921</v>
      </c>
      <c r="K119" s="33">
        <f ca="1">IF(ISERROR(MATCH(K$1,INDIRECT("Table!A"&amp;$U119):INDIRECT("Table!" &amp; $X$171 &amp; $U119),0)),"",INDIRECT(CONCATENATE("Table!",ADDRESS($Q119,MATCH(K$1,INDIRECT("Table!A" &amp; $U119):INDIRECT("Table!" &amp; $X$171 &amp; $U119),0)))))</f>
        <v>60665.9</v>
      </c>
      <c r="L119" s="33">
        <f ca="1">IF(ISERROR(MATCH(L$1,INDIRECT("Table!A"&amp;$U119):INDIRECT("Table!" &amp; $X$171 &amp; $U119),0)),"",INDIRECT(CONCATENATE("Table!",ADDRESS($Q119,MATCH(L$1,INDIRECT("Table!A" &amp; $U119):INDIRECT("Table!" &amp; $X$171 &amp; $U119),0)))))</f>
        <v>176482.7</v>
      </c>
      <c r="M119" s="33">
        <f ca="1">IF(ISERROR(MATCH(M$1,INDIRECT("Table!A"&amp;$U119):INDIRECT("Table!" &amp; $X$171 &amp; $U119),0)),"",INDIRECT(CONCATENATE("Table!",ADDRESS($Q119,MATCH(M$1,INDIRECT("Table!A" &amp; $U119):INDIRECT("Table!" &amp; $X$171 &amp; $U119),0)))))</f>
        <v>54921</v>
      </c>
      <c r="N119" s="170"/>
      <c r="O119" s="170"/>
      <c r="P119" s="170"/>
      <c r="Q119" s="31">
        <f>MATCH($A119,Table!$A:$A,0)+$S$14-1</f>
        <v>1585</v>
      </c>
      <c r="R119" s="170"/>
      <c r="S119" s="170"/>
      <c r="T119" s="170"/>
      <c r="U119" s="31">
        <f>MATCH($A119,Table!$A:$A,0)+$W$2-1</f>
        <v>1571</v>
      </c>
      <c r="V119" s="170"/>
      <c r="W119" s="170"/>
      <c r="X119" s="372" t="s">
        <v>209</v>
      </c>
    </row>
    <row r="120" spans="1:24" ht="18" customHeight="1">
      <c r="A120" s="5">
        <v>41003</v>
      </c>
      <c r="B120" s="33">
        <f ca="1">IF(ISERROR(MATCH(B$1,INDIRECT("Table!A"&amp;$U120):INDIRECT("Table!" &amp; $X$171 &amp; $U120),0)),"",INDIRECT(CONCATENATE("Table!",ADDRESS($Q120,MATCH(B$1,INDIRECT("Table!A" &amp; $U120):INDIRECT("Table!" &amp; $X$171 &amp; $U120),0)))))</f>
        <v>115816.8</v>
      </c>
      <c r="C120" s="33">
        <f ca="1">IF(ISERROR(MATCH(C$1,INDIRECT("Table!A"&amp;$U120):INDIRECT("Table!" &amp; $X$171 &amp; $U120),0)),"",INDIRECT(CONCATENATE("Table!",ADDRESS($Q120,MATCH(C$1,INDIRECT("Table!A" &amp; $U120):INDIRECT("Table!" &amp; $X$171 &amp; $U120),0)))))</f>
        <v>99042</v>
      </c>
      <c r="D120" s="33">
        <f ca="1">IF(ISERROR(MATCH(D$1,INDIRECT("Table!A"&amp;$U120):INDIRECT("Table!" &amp; $X$171 &amp; $U120),0)),"",INDIRECT(CONCATENATE("Table!",ADDRESS($Q120,MATCH(D$1,INDIRECT("Table!A" &amp; $U120):INDIRECT("Table!" &amp; $X$171 &amp; $U120),0)))))</f>
        <v>99042</v>
      </c>
      <c r="E120" s="33">
        <f ca="1">IF(ISERROR(MATCH(E$1,INDIRECT("Table!A"&amp;$U120):INDIRECT("Table!" &amp; $X$171 &amp; $U120),0)),"",INDIRECT(CONCATENATE("Table!",ADDRESS($Q120,MATCH(E$1,INDIRECT("Table!A" &amp; $U120):INDIRECT("Table!" &amp; $X$171 &amp; $U120),0)))))</f>
        <v>154422.39999999999</v>
      </c>
      <c r="F120" s="33">
        <f ca="1">IF(ISERROR(MATCH(F$1,INDIRECT("Table!A"&amp;$U120):INDIRECT("Table!" &amp; $X$171 &amp; $U120),0)),"",INDIRECT(CONCATENATE("Table!",ADDRESS($Q120,MATCH(F$1,INDIRECT("Table!A" &amp; $U120):INDIRECT("Table!" &amp; $X$171 &amp; $U120),0)))))</f>
        <v>121331.8</v>
      </c>
      <c r="G120" s="33">
        <f ca="1">IF(ISERROR(MATCH(G$1,INDIRECT("Table!A"&amp;$U120):INDIRECT("Table!" &amp; $X$171 &amp; $U120),0)),"",INDIRECT(CONCATENATE("Table!",ADDRESS($Q120,MATCH(G$1,INDIRECT("Table!A" &amp; $U120):INDIRECT("Table!" &amp; $X$171 &amp; $U120),0)))))</f>
        <v>110071.9</v>
      </c>
      <c r="H120" s="33">
        <f ca="1">IF(ISERROR(MATCH(H$1,INDIRECT("Table!A"&amp;$U120):INDIRECT("Table!" &amp; $X$171 &amp; $U120),0)),"",INDIRECT(CONCATENATE("Table!",ADDRESS($Q120,MATCH(H$1,INDIRECT("Table!A" &amp; $U120):INDIRECT("Table!" &amp; $X$171 &amp; $U120),0)))))</f>
        <v>121331.8</v>
      </c>
      <c r="I120" s="33">
        <f ca="1">IF(ISERROR(MATCH(I$1,INDIRECT("Table!A"&amp;$U120):INDIRECT("Table!" &amp; $X$171 &amp; $U120),0)),"",INDIRECT(CONCATENATE("Table!",ADDRESS($Q120,MATCH(I$1,INDIRECT("Table!A" &amp; $U120):INDIRECT("Table!" &amp; $X$171 &amp; $U120),0)))))</f>
        <v>170967.6</v>
      </c>
      <c r="J120" s="33">
        <f ca="1">IF(ISERROR(MATCH(J$1,INDIRECT("Table!A"&amp;$U120):INDIRECT("Table!" &amp; $X$171 &amp; $U120),0)),"",INDIRECT(CONCATENATE("Table!",ADDRESS($Q120,MATCH(J$1,INDIRECT("Table!A" &amp; $U120):INDIRECT("Table!" &amp; $X$171 &amp; $U120),0)))))</f>
        <v>54921</v>
      </c>
      <c r="K120" s="33">
        <f ca="1">IF(ISERROR(MATCH(K$1,INDIRECT("Table!A"&amp;$U120):INDIRECT("Table!" &amp; $X$171 &amp; $U120),0)),"",INDIRECT(CONCATENATE("Table!",ADDRESS($Q120,MATCH(K$1,INDIRECT("Table!A" &amp; $U120):INDIRECT("Table!" &amp; $X$171 &amp; $U120),0)))))</f>
        <v>60665.9</v>
      </c>
      <c r="L120" s="33">
        <f ca="1">IF(ISERROR(MATCH(L$1,INDIRECT("Table!A"&amp;$U120):INDIRECT("Table!" &amp; $X$171 &amp; $U120),0)),"",INDIRECT(CONCATENATE("Table!",ADDRESS($Q120,MATCH(L$1,INDIRECT("Table!A" &amp; $U120):INDIRECT("Table!" &amp; $X$171 &amp; $U120),0)))))</f>
        <v>176482.7</v>
      </c>
      <c r="M120" s="33">
        <f ca="1">IF(ISERROR(MATCH(M$1,INDIRECT("Table!A"&amp;$U120):INDIRECT("Table!" &amp; $X$171 &amp; $U120),0)),"",INDIRECT(CONCATENATE("Table!",ADDRESS($Q120,MATCH(M$1,INDIRECT("Table!A" &amp; $U120):INDIRECT("Table!" &amp; $X$171 &amp; $U120),0)))))</f>
        <v>54921</v>
      </c>
      <c r="N120" s="169"/>
      <c r="O120" s="169"/>
      <c r="P120" s="169"/>
      <c r="Q120" s="31">
        <f>MATCH($A120,Table!$A:$A,0)+$S$14-1</f>
        <v>1598</v>
      </c>
      <c r="R120" s="169"/>
      <c r="S120" s="169"/>
      <c r="T120" s="169"/>
      <c r="U120" s="31">
        <f>MATCH($A120,Table!$A:$A,0)+$W$2-1</f>
        <v>1584</v>
      </c>
      <c r="V120" s="169"/>
      <c r="W120" s="169"/>
      <c r="X120" s="372" t="s">
        <v>209</v>
      </c>
    </row>
    <row r="121" spans="1:24" ht="18" customHeight="1">
      <c r="A121" s="5">
        <v>41002</v>
      </c>
      <c r="B121" s="33">
        <f ca="1">IF(ISERROR(MATCH(B$1,INDIRECT("Table!A"&amp;$U121):INDIRECT("Table!" &amp; $X$171 &amp; $U121),0)),"",INDIRECT(CONCATENATE("Table!",ADDRESS($Q121,MATCH(B$1,INDIRECT("Table!A" &amp; $U121):INDIRECT("Table!" &amp; $X$171 &amp; $U121),0)))))</f>
        <v>115816.8</v>
      </c>
      <c r="C121" s="33">
        <f ca="1">IF(ISERROR(MATCH(C$1,INDIRECT("Table!A"&amp;$U121):INDIRECT("Table!" &amp; $X$171 &amp; $U121),0)),"",INDIRECT(CONCATENATE("Table!",ADDRESS($Q121,MATCH(C$1,INDIRECT("Table!A" &amp; $U121):INDIRECT("Table!" &amp; $X$171 &amp; $U121),0)))))</f>
        <v>99042</v>
      </c>
      <c r="D121" s="33">
        <f ca="1">IF(ISERROR(MATCH(D$1,INDIRECT("Table!A"&amp;$U121):INDIRECT("Table!" &amp; $X$171 &amp; $U121),0)),"",INDIRECT(CONCATENATE("Table!",ADDRESS($Q121,MATCH(D$1,INDIRECT("Table!A" &amp; $U121):INDIRECT("Table!" &amp; $X$171 &amp; $U121),0)))))</f>
        <v>99042</v>
      </c>
      <c r="E121" s="33">
        <f ca="1">IF(ISERROR(MATCH(E$1,INDIRECT("Table!A"&amp;$U121):INDIRECT("Table!" &amp; $X$171 &amp; $U121),0)),"",INDIRECT(CONCATENATE("Table!",ADDRESS($Q121,MATCH(E$1,INDIRECT("Table!A" &amp; $U121):INDIRECT("Table!" &amp; $X$171 &amp; $U121),0)))))</f>
        <v>154422.39999999999</v>
      </c>
      <c r="F121" s="33">
        <f ca="1">IF(ISERROR(MATCH(F$1,INDIRECT("Table!A"&amp;$U121):INDIRECT("Table!" &amp; $X$171 &amp; $U121),0)),"",INDIRECT(CONCATENATE("Table!",ADDRESS($Q121,MATCH(F$1,INDIRECT("Table!A" &amp; $U121):INDIRECT("Table!" &amp; $X$171 &amp; $U121),0)))))</f>
        <v>121331.8</v>
      </c>
      <c r="G121" s="33">
        <f ca="1">IF(ISERROR(MATCH(G$1,INDIRECT("Table!A"&amp;$U121):INDIRECT("Table!" &amp; $X$171 &amp; $U121),0)),"",INDIRECT(CONCATENATE("Table!",ADDRESS($Q121,MATCH(G$1,INDIRECT("Table!A" &amp; $U121):INDIRECT("Table!" &amp; $X$171 &amp; $U121),0)))))</f>
        <v>110071.9</v>
      </c>
      <c r="H121" s="33">
        <f ca="1">IF(ISERROR(MATCH(H$1,INDIRECT("Table!A"&amp;$U121):INDIRECT("Table!" &amp; $X$171 &amp; $U121),0)),"",INDIRECT(CONCATENATE("Table!",ADDRESS($Q121,MATCH(H$1,INDIRECT("Table!A" &amp; $U121):INDIRECT("Table!" &amp; $X$171 &amp; $U121),0)))))</f>
        <v>121331.8</v>
      </c>
      <c r="I121" s="33">
        <f ca="1">IF(ISERROR(MATCH(I$1,INDIRECT("Table!A"&amp;$U121):INDIRECT("Table!" &amp; $X$171 &amp; $U121),0)),"",INDIRECT(CONCATENATE("Table!",ADDRESS($Q121,MATCH(I$1,INDIRECT("Table!A" &amp; $U121):INDIRECT("Table!" &amp; $X$171 &amp; $U121),0)))))</f>
        <v>170967.6</v>
      </c>
      <c r="J121" s="33">
        <f ca="1">IF(ISERROR(MATCH(J$1,INDIRECT("Table!A"&amp;$U121):INDIRECT("Table!" &amp; $X$171 &amp; $U121),0)),"",INDIRECT(CONCATENATE("Table!",ADDRESS($Q121,MATCH(J$1,INDIRECT("Table!A" &amp; $U121):INDIRECT("Table!" &amp; $X$171 &amp; $U121),0)))))</f>
        <v>54921</v>
      </c>
      <c r="K121" s="33">
        <f ca="1">IF(ISERROR(MATCH(K$1,INDIRECT("Table!A"&amp;$U121):INDIRECT("Table!" &amp; $X$171 &amp; $U121),0)),"",INDIRECT(CONCATENATE("Table!",ADDRESS($Q121,MATCH(K$1,INDIRECT("Table!A" &amp; $U121):INDIRECT("Table!" &amp; $X$171 &amp; $U121),0)))))</f>
        <v>60665.9</v>
      </c>
      <c r="L121" s="33">
        <f ca="1">IF(ISERROR(MATCH(L$1,INDIRECT("Table!A"&amp;$U121):INDIRECT("Table!" &amp; $X$171 &amp; $U121),0)),"",INDIRECT(CONCATENATE("Table!",ADDRESS($Q121,MATCH(L$1,INDIRECT("Table!A" &amp; $U121):INDIRECT("Table!" &amp; $X$171 &amp; $U121),0)))))</f>
        <v>176482.7</v>
      </c>
      <c r="M121" s="33">
        <f ca="1">IF(ISERROR(MATCH(M$1,INDIRECT("Table!A"&amp;$U121):INDIRECT("Table!" &amp; $X$171 &amp; $U121),0)),"",INDIRECT(CONCATENATE("Table!",ADDRESS($Q121,MATCH(M$1,INDIRECT("Table!A" &amp; $U121):INDIRECT("Table!" &amp; $X$171 &amp; $U121),0)))))</f>
        <v>54921</v>
      </c>
      <c r="N121" s="168"/>
      <c r="O121" s="168"/>
      <c r="P121" s="168"/>
      <c r="Q121" s="31">
        <f>MATCH($A121,Table!$A:$A,0)+$S$14-1</f>
        <v>1611</v>
      </c>
      <c r="R121" s="168"/>
      <c r="S121" s="168"/>
      <c r="T121" s="168"/>
      <c r="U121" s="31">
        <f>MATCH($A121,Table!$A:$A,0)+$W$2-1</f>
        <v>1597</v>
      </c>
      <c r="V121" s="168"/>
      <c r="W121" s="168"/>
      <c r="X121" s="372" t="s">
        <v>209</v>
      </c>
    </row>
    <row r="122" spans="1:24" ht="18" customHeight="1">
      <c r="A122" s="5">
        <v>41001</v>
      </c>
      <c r="B122" s="33">
        <f ca="1">IF(ISERROR(MATCH(B$1,INDIRECT("Table!A"&amp;$U122):INDIRECT("Table!" &amp; $X$171 &amp; $U122),0)),"",INDIRECT(CONCATENATE("Table!",ADDRESS($Q122,MATCH(B$1,INDIRECT("Table!A" &amp; $U122):INDIRECT("Table!" &amp; $X$171 &amp; $U122),0)))))</f>
        <v>115816.8</v>
      </c>
      <c r="C122" s="33">
        <f ca="1">IF(ISERROR(MATCH(C$1,INDIRECT("Table!A"&amp;$U122):INDIRECT("Table!" &amp; $X$171 &amp; $U122),0)),"",INDIRECT(CONCATENATE("Table!",ADDRESS($Q122,MATCH(C$1,INDIRECT("Table!A" &amp; $U122):INDIRECT("Table!" &amp; $X$171 &amp; $U122),0)))))</f>
        <v>99042</v>
      </c>
      <c r="D122" s="33">
        <f ca="1">IF(ISERROR(MATCH(D$1,INDIRECT("Table!A"&amp;$U122):INDIRECT("Table!" &amp; $X$171 &amp; $U122),0)),"",INDIRECT(CONCATENATE("Table!",ADDRESS($Q122,MATCH(D$1,INDIRECT("Table!A" &amp; $U122):INDIRECT("Table!" &amp; $X$171 &amp; $U122),0)))))</f>
        <v>99042</v>
      </c>
      <c r="E122" s="33">
        <f ca="1">IF(ISERROR(MATCH(E$1,INDIRECT("Table!A"&amp;$U122):INDIRECT("Table!" &amp; $X$171 &amp; $U122),0)),"",INDIRECT(CONCATENATE("Table!",ADDRESS($Q122,MATCH(E$1,INDIRECT("Table!A" &amp; $U122):INDIRECT("Table!" &amp; $X$171 &amp; $U122),0)))))</f>
        <v>154422.39999999999</v>
      </c>
      <c r="F122" s="33">
        <f ca="1">IF(ISERROR(MATCH(F$1,INDIRECT("Table!A"&amp;$U122):INDIRECT("Table!" &amp; $X$171 &amp; $U122),0)),"",INDIRECT(CONCATENATE("Table!",ADDRESS($Q122,MATCH(F$1,INDIRECT("Table!A" &amp; $U122):INDIRECT("Table!" &amp; $X$171 &amp; $U122),0)))))</f>
        <v>121331.8</v>
      </c>
      <c r="G122" s="33">
        <f ca="1">IF(ISERROR(MATCH(G$1,INDIRECT("Table!A"&amp;$U122):INDIRECT("Table!" &amp; $X$171 &amp; $U122),0)),"",INDIRECT(CONCATENATE("Table!",ADDRESS($Q122,MATCH(G$1,INDIRECT("Table!A" &amp; $U122):INDIRECT("Table!" &amp; $X$171 &amp; $U122),0)))))</f>
        <v>110071.9</v>
      </c>
      <c r="H122" s="33">
        <f ca="1">IF(ISERROR(MATCH(H$1,INDIRECT("Table!A"&amp;$U122):INDIRECT("Table!" &amp; $X$171 &amp; $U122),0)),"",INDIRECT(CONCATENATE("Table!",ADDRESS($Q122,MATCH(H$1,INDIRECT("Table!A" &amp; $U122):INDIRECT("Table!" &amp; $X$171 &amp; $U122),0)))))</f>
        <v>121331.8</v>
      </c>
      <c r="I122" s="33">
        <f ca="1">IF(ISERROR(MATCH(I$1,INDIRECT("Table!A"&amp;$U122):INDIRECT("Table!" &amp; $X$171 &amp; $U122),0)),"",INDIRECT(CONCATENATE("Table!",ADDRESS($Q122,MATCH(I$1,INDIRECT("Table!A" &amp; $U122):INDIRECT("Table!" &amp; $X$171 &amp; $U122),0)))))</f>
        <v>170967.6</v>
      </c>
      <c r="J122" s="33">
        <f ca="1">IF(ISERROR(MATCH(J$1,INDIRECT("Table!A"&amp;$U122):INDIRECT("Table!" &amp; $X$171 &amp; $U122),0)),"",INDIRECT(CONCATENATE("Table!",ADDRESS($Q122,MATCH(J$1,INDIRECT("Table!A" &amp; $U122):INDIRECT("Table!" &amp; $X$171 &amp; $U122),0)))))</f>
        <v>54921</v>
      </c>
      <c r="K122" s="33">
        <f ca="1">IF(ISERROR(MATCH(K$1,INDIRECT("Table!A"&amp;$U122):INDIRECT("Table!" &amp; $X$171 &amp; $U122),0)),"",INDIRECT(CONCATENATE("Table!",ADDRESS($Q122,MATCH(K$1,INDIRECT("Table!A" &amp; $U122):INDIRECT("Table!" &amp; $X$171 &amp; $U122),0)))))</f>
        <v>60665.9</v>
      </c>
      <c r="L122" s="33">
        <f ca="1">IF(ISERROR(MATCH(L$1,INDIRECT("Table!A"&amp;$U122):INDIRECT("Table!" &amp; $X$171 &amp; $U122),0)),"",INDIRECT(CONCATENATE("Table!",ADDRESS($Q122,MATCH(L$1,INDIRECT("Table!A" &amp; $U122):INDIRECT("Table!" &amp; $X$171 &amp; $U122),0)))))</f>
        <v>176482.7</v>
      </c>
      <c r="M122" s="33">
        <f ca="1">IF(ISERROR(MATCH(M$1,INDIRECT("Table!A"&amp;$U122):INDIRECT("Table!" &amp; $X$171 &amp; $U122),0)),"",INDIRECT(CONCATENATE("Table!",ADDRESS($Q122,MATCH(M$1,INDIRECT("Table!A" &amp; $U122):INDIRECT("Table!" &amp; $X$171 &amp; $U122),0)))))</f>
        <v>54921</v>
      </c>
      <c r="N122" s="167"/>
      <c r="O122" s="167"/>
      <c r="P122" s="167"/>
      <c r="Q122" s="31">
        <f>MATCH($A122,Table!$A:$A,0)+$S$14-1</f>
        <v>1624</v>
      </c>
      <c r="R122" s="167"/>
      <c r="S122" s="167"/>
      <c r="T122" s="167"/>
      <c r="U122" s="31">
        <f>MATCH($A122,Table!$A:$A,0)+$W$2-1</f>
        <v>1610</v>
      </c>
      <c r="V122" s="167"/>
      <c r="W122" s="167"/>
      <c r="X122" s="372" t="s">
        <v>209</v>
      </c>
    </row>
    <row r="123" spans="1:24" ht="18" customHeight="1">
      <c r="A123" s="5">
        <v>40998</v>
      </c>
      <c r="B123" s="33">
        <f ca="1">IF(ISERROR(MATCH(B$1,INDIRECT("Table!A"&amp;$U123):INDIRECT("Table!" &amp; $X$171 &amp; $U123),0)),"",INDIRECT(CONCATENATE("Table!",ADDRESS($Q123,MATCH(B$1,INDIRECT("Table!A" &amp; $U123):INDIRECT("Table!" &amp; $X$171 &amp; $U123),0)))))</f>
        <v>115816.8</v>
      </c>
      <c r="C123" s="33">
        <f ca="1">IF(ISERROR(MATCH(C$1,INDIRECT("Table!A"&amp;$U123):INDIRECT("Table!" &amp; $X$171 &amp; $U123),0)),"",INDIRECT(CONCATENATE("Table!",ADDRESS($Q123,MATCH(C$1,INDIRECT("Table!A" &amp; $U123):INDIRECT("Table!" &amp; $X$171 &amp; $U123),0)))))</f>
        <v>99042</v>
      </c>
      <c r="D123" s="33">
        <f ca="1">IF(ISERROR(MATCH(D$1,INDIRECT("Table!A"&amp;$U123):INDIRECT("Table!" &amp; $X$171 &amp; $U123),0)),"",INDIRECT(CONCATENATE("Table!",ADDRESS($Q123,MATCH(D$1,INDIRECT("Table!A" &amp; $U123):INDIRECT("Table!" &amp; $X$171 &amp; $U123),0)))))</f>
        <v>99042</v>
      </c>
      <c r="E123" s="33">
        <f ca="1">IF(ISERROR(MATCH(E$1,INDIRECT("Table!A"&amp;$U123):INDIRECT("Table!" &amp; $X$171 &amp; $U123),0)),"",INDIRECT(CONCATENATE("Table!",ADDRESS($Q123,MATCH(E$1,INDIRECT("Table!A" &amp; $U123):INDIRECT("Table!" &amp; $X$171 &amp; $U123),0)))))</f>
        <v>154422.39999999999</v>
      </c>
      <c r="F123" s="33">
        <f ca="1">IF(ISERROR(MATCH(F$1,INDIRECT("Table!A"&amp;$U123):INDIRECT("Table!" &amp; $X$171 &amp; $U123),0)),"",INDIRECT(CONCATENATE("Table!",ADDRESS($Q123,MATCH(F$1,INDIRECT("Table!A" &amp; $U123):INDIRECT("Table!" &amp; $X$171 &amp; $U123),0)))))</f>
        <v>121331.8</v>
      </c>
      <c r="G123" s="33">
        <f ca="1">IF(ISERROR(MATCH(G$1,INDIRECT("Table!A"&amp;$U123):INDIRECT("Table!" &amp; $X$171 &amp; $U123),0)),"",INDIRECT(CONCATENATE("Table!",ADDRESS($Q123,MATCH(G$1,INDIRECT("Table!A" &amp; $U123):INDIRECT("Table!" &amp; $X$171 &amp; $U123),0)))))</f>
        <v>110071.9</v>
      </c>
      <c r="H123" s="33">
        <f ca="1">IF(ISERROR(MATCH(H$1,INDIRECT("Table!A"&amp;$U123):INDIRECT("Table!" &amp; $X$171 &amp; $U123),0)),"",INDIRECT(CONCATENATE("Table!",ADDRESS($Q123,MATCH(H$1,INDIRECT("Table!A" &amp; $U123):INDIRECT("Table!" &amp; $X$171 &amp; $U123),0)))))</f>
        <v>121331.8</v>
      </c>
      <c r="I123" s="33">
        <f ca="1">IF(ISERROR(MATCH(I$1,INDIRECT("Table!A"&amp;$U123):INDIRECT("Table!" &amp; $X$171 &amp; $U123),0)),"",INDIRECT(CONCATENATE("Table!",ADDRESS($Q123,MATCH(I$1,INDIRECT("Table!A" &amp; $U123):INDIRECT("Table!" &amp; $X$171 &amp; $U123),0)))))</f>
        <v>170967.6</v>
      </c>
      <c r="J123" s="33">
        <f ca="1">IF(ISERROR(MATCH(J$1,INDIRECT("Table!A"&amp;$U123):INDIRECT("Table!" &amp; $X$171 &amp; $U123),0)),"",INDIRECT(CONCATENATE("Table!",ADDRESS($Q123,MATCH(J$1,INDIRECT("Table!A" &amp; $U123):INDIRECT("Table!" &amp; $X$171 &amp; $U123),0)))))</f>
        <v>54921</v>
      </c>
      <c r="K123" s="33">
        <f ca="1">IF(ISERROR(MATCH(K$1,INDIRECT("Table!A"&amp;$U123):INDIRECT("Table!" &amp; $X$171 &amp; $U123),0)),"",INDIRECT(CONCATENATE("Table!",ADDRESS($Q123,MATCH(K$1,INDIRECT("Table!A" &amp; $U123):INDIRECT("Table!" &amp; $X$171 &amp; $U123),0)))))</f>
        <v>60665.9</v>
      </c>
      <c r="L123" s="33">
        <f ca="1">IF(ISERROR(MATCH(L$1,INDIRECT("Table!A"&amp;$U123):INDIRECT("Table!" &amp; $X$171 &amp; $U123),0)),"",INDIRECT(CONCATENATE("Table!",ADDRESS($Q123,MATCH(L$1,INDIRECT("Table!A" &amp; $U123):INDIRECT("Table!" &amp; $X$171 &amp; $U123),0)))))</f>
        <v>176482.7</v>
      </c>
      <c r="M123" s="33">
        <f ca="1">IF(ISERROR(MATCH(M$1,INDIRECT("Table!A"&amp;$U123):INDIRECT("Table!" &amp; $X$171 &amp; $U123),0)),"",INDIRECT(CONCATENATE("Table!",ADDRESS($Q123,MATCH(M$1,INDIRECT("Table!A" &amp; $U123):INDIRECT("Table!" &amp; $X$171 &amp; $U123),0)))))</f>
        <v>54921</v>
      </c>
      <c r="N123" s="166"/>
      <c r="O123" s="166"/>
      <c r="P123" s="166"/>
      <c r="Q123" s="31">
        <f>MATCH($A123,Table!$A:$A,0)+$S$14-1</f>
        <v>1637</v>
      </c>
      <c r="R123" s="166"/>
      <c r="S123" s="166"/>
      <c r="T123" s="166"/>
      <c r="U123" s="31">
        <f>MATCH($A123,Table!$A:$A,0)+$W$2-1</f>
        <v>1623</v>
      </c>
      <c r="V123" s="166"/>
      <c r="W123" s="166"/>
      <c r="X123" s="372" t="s">
        <v>209</v>
      </c>
    </row>
    <row r="124" spans="1:24" ht="18" customHeight="1">
      <c r="A124" s="5">
        <v>40997</v>
      </c>
      <c r="B124" s="33">
        <f ca="1">IF(ISERROR(MATCH(B$1,INDIRECT("Table!A"&amp;$U124):INDIRECT("Table!" &amp; $X$171 &amp; $U124),0)),"",INDIRECT(CONCATENATE("Table!",ADDRESS($Q124,MATCH(B$1,INDIRECT("Table!A" &amp; $U124):INDIRECT("Table!" &amp; $X$171 &amp; $U124),0)))))</f>
        <v>115816.8</v>
      </c>
      <c r="C124" s="33">
        <f ca="1">IF(ISERROR(MATCH(C$1,INDIRECT("Table!A"&amp;$U124):INDIRECT("Table!" &amp; $X$171 &amp; $U124),0)),"",INDIRECT(CONCATENATE("Table!",ADDRESS($Q124,MATCH(C$1,INDIRECT("Table!A" &amp; $U124):INDIRECT("Table!" &amp; $X$171 &amp; $U124),0)))))</f>
        <v>99042</v>
      </c>
      <c r="D124" s="33">
        <f ca="1">IF(ISERROR(MATCH(D$1,INDIRECT("Table!A"&amp;$U124):INDIRECT("Table!" &amp; $X$171 &amp; $U124),0)),"",INDIRECT(CONCATENATE("Table!",ADDRESS($Q124,MATCH(D$1,INDIRECT("Table!A" &amp; $U124):INDIRECT("Table!" &amp; $X$171 &amp; $U124),0)))))</f>
        <v>99042</v>
      </c>
      <c r="E124" s="33">
        <f ca="1">IF(ISERROR(MATCH(E$1,INDIRECT("Table!A"&amp;$U124):INDIRECT("Table!" &amp; $X$171 &amp; $U124),0)),"",INDIRECT(CONCATENATE("Table!",ADDRESS($Q124,MATCH(E$1,INDIRECT("Table!A" &amp; $U124):INDIRECT("Table!" &amp; $X$171 &amp; $U124),0)))))</f>
        <v>154422.39999999999</v>
      </c>
      <c r="F124" s="33">
        <f ca="1">IF(ISERROR(MATCH(F$1,INDIRECT("Table!A"&amp;$U124):INDIRECT("Table!" &amp; $X$171 &amp; $U124),0)),"",INDIRECT(CONCATENATE("Table!",ADDRESS($Q124,MATCH(F$1,INDIRECT("Table!A" &amp; $U124):INDIRECT("Table!" &amp; $X$171 &amp; $U124),0)))))</f>
        <v>121331.8</v>
      </c>
      <c r="G124" s="33">
        <f ca="1">IF(ISERROR(MATCH(G$1,INDIRECT("Table!A"&amp;$U124):INDIRECT("Table!" &amp; $X$171 &amp; $U124),0)),"",INDIRECT(CONCATENATE("Table!",ADDRESS($Q124,MATCH(G$1,INDIRECT("Table!A" &amp; $U124):INDIRECT("Table!" &amp; $X$171 &amp; $U124),0)))))</f>
        <v>110071.9</v>
      </c>
      <c r="H124" s="33">
        <f ca="1">IF(ISERROR(MATCH(H$1,INDIRECT("Table!A"&amp;$U124):INDIRECT("Table!" &amp; $X$171 &amp; $U124),0)),"",INDIRECT(CONCATENATE("Table!",ADDRESS($Q124,MATCH(H$1,INDIRECT("Table!A" &amp; $U124):INDIRECT("Table!" &amp; $X$171 &amp; $U124),0)))))</f>
        <v>121331.8</v>
      </c>
      <c r="I124" s="33">
        <f ca="1">IF(ISERROR(MATCH(I$1,INDIRECT("Table!A"&amp;$U124):INDIRECT("Table!" &amp; $X$171 &amp; $U124),0)),"",INDIRECT(CONCATENATE("Table!",ADDRESS($Q124,MATCH(I$1,INDIRECT("Table!A" &amp; $U124):INDIRECT("Table!" &amp; $X$171 &amp; $U124),0)))))</f>
        <v>170967.6</v>
      </c>
      <c r="J124" s="33">
        <f ca="1">IF(ISERROR(MATCH(J$1,INDIRECT("Table!A"&amp;$U124):INDIRECT("Table!" &amp; $X$171 &amp; $U124),0)),"",INDIRECT(CONCATENATE("Table!",ADDRESS($Q124,MATCH(J$1,INDIRECT("Table!A" &amp; $U124):INDIRECT("Table!" &amp; $X$171 &amp; $U124),0)))))</f>
        <v>54921</v>
      </c>
      <c r="K124" s="33">
        <f ca="1">IF(ISERROR(MATCH(K$1,INDIRECT("Table!A"&amp;$U124):INDIRECT("Table!" &amp; $X$171 &amp; $U124),0)),"",INDIRECT(CONCATENATE("Table!",ADDRESS($Q124,MATCH(K$1,INDIRECT("Table!A" &amp; $U124):INDIRECT("Table!" &amp; $X$171 &amp; $U124),0)))))</f>
        <v>60665.9</v>
      </c>
      <c r="L124" s="33">
        <f ca="1">IF(ISERROR(MATCH(L$1,INDIRECT("Table!A"&amp;$U124):INDIRECT("Table!" &amp; $X$171 &amp; $U124),0)),"",INDIRECT(CONCATENATE("Table!",ADDRESS($Q124,MATCH(L$1,INDIRECT("Table!A" &amp; $U124):INDIRECT("Table!" &amp; $X$171 &amp; $U124),0)))))</f>
        <v>176482.7</v>
      </c>
      <c r="M124" s="33">
        <f ca="1">IF(ISERROR(MATCH(M$1,INDIRECT("Table!A"&amp;$U124):INDIRECT("Table!" &amp; $X$171 &amp; $U124),0)),"",INDIRECT(CONCATENATE("Table!",ADDRESS($Q124,MATCH(M$1,INDIRECT("Table!A" &amp; $U124):INDIRECT("Table!" &amp; $X$171 &amp; $U124),0)))))</f>
        <v>54921</v>
      </c>
      <c r="N124" s="165"/>
      <c r="O124" s="165"/>
      <c r="P124" s="165"/>
      <c r="Q124" s="31">
        <f>MATCH($A124,Table!$A:$A,0)+$S$14-1</f>
        <v>1650</v>
      </c>
      <c r="R124" s="165"/>
      <c r="S124" s="165"/>
      <c r="T124" s="165"/>
      <c r="U124" s="31">
        <f>MATCH($A124,Table!$A:$A,0)+$W$2-1</f>
        <v>1636</v>
      </c>
      <c r="V124" s="165"/>
      <c r="W124" s="165"/>
      <c r="X124" s="372" t="s">
        <v>209</v>
      </c>
    </row>
    <row r="125" spans="1:24" ht="18" customHeight="1">
      <c r="A125" s="5">
        <v>40996</v>
      </c>
      <c r="B125" s="33">
        <f ca="1">IF(ISERROR(MATCH(B$1,INDIRECT("Table!A"&amp;$U125):INDIRECT("Table!" &amp; $X$171 &amp; $U125),0)),"",INDIRECT(CONCATENATE("Table!",ADDRESS($Q125,MATCH(B$1,INDIRECT("Table!A" &amp; $U125):INDIRECT("Table!" &amp; $X$171 &amp; $U125),0)))))</f>
        <v>115816.8</v>
      </c>
      <c r="C125" s="33">
        <f ca="1">IF(ISERROR(MATCH(C$1,INDIRECT("Table!A"&amp;$U125):INDIRECT("Table!" &amp; $X$171 &amp; $U125),0)),"",INDIRECT(CONCATENATE("Table!",ADDRESS($Q125,MATCH(C$1,INDIRECT("Table!A" &amp; $U125):INDIRECT("Table!" &amp; $X$171 &amp; $U125),0)))))</f>
        <v>99042</v>
      </c>
      <c r="D125" s="33">
        <f ca="1">IF(ISERROR(MATCH(D$1,INDIRECT("Table!A"&amp;$U125):INDIRECT("Table!" &amp; $X$171 &amp; $U125),0)),"",INDIRECT(CONCATENATE("Table!",ADDRESS($Q125,MATCH(D$1,INDIRECT("Table!A" &amp; $U125):INDIRECT("Table!" &amp; $X$171 &amp; $U125),0)))))</f>
        <v>99042</v>
      </c>
      <c r="E125" s="33">
        <f ca="1">IF(ISERROR(MATCH(E$1,INDIRECT("Table!A"&amp;$U125):INDIRECT("Table!" &amp; $X$171 &amp; $U125),0)),"",INDIRECT(CONCATENATE("Table!",ADDRESS($Q125,MATCH(E$1,INDIRECT("Table!A" &amp; $U125):INDIRECT("Table!" &amp; $X$171 &amp; $U125),0)))))</f>
        <v>154422.39999999999</v>
      </c>
      <c r="F125" s="33">
        <f ca="1">IF(ISERROR(MATCH(F$1,INDIRECT("Table!A"&amp;$U125):INDIRECT("Table!" &amp; $X$171 &amp; $U125),0)),"",INDIRECT(CONCATENATE("Table!",ADDRESS($Q125,MATCH(F$1,INDIRECT("Table!A" &amp; $U125):INDIRECT("Table!" &amp; $X$171 &amp; $U125),0)))))</f>
        <v>121331.8</v>
      </c>
      <c r="G125" s="33">
        <f ca="1">IF(ISERROR(MATCH(G$1,INDIRECT("Table!A"&amp;$U125):INDIRECT("Table!" &amp; $X$171 &amp; $U125),0)),"",INDIRECT(CONCATENATE("Table!",ADDRESS($Q125,MATCH(G$1,INDIRECT("Table!A" &amp; $U125):INDIRECT("Table!" &amp; $X$171 &amp; $U125),0)))))</f>
        <v>110071.9</v>
      </c>
      <c r="H125" s="33">
        <f ca="1">IF(ISERROR(MATCH(H$1,INDIRECT("Table!A"&amp;$U125):INDIRECT("Table!" &amp; $X$171 &amp; $U125),0)),"",INDIRECT(CONCATENATE("Table!",ADDRESS($Q125,MATCH(H$1,INDIRECT("Table!A" &amp; $U125):INDIRECT("Table!" &amp; $X$171 &amp; $U125),0)))))</f>
        <v>121331.8</v>
      </c>
      <c r="I125" s="33">
        <f ca="1">IF(ISERROR(MATCH(I$1,INDIRECT("Table!A"&amp;$U125):INDIRECT("Table!" &amp; $X$171 &amp; $U125),0)),"",INDIRECT(CONCATENATE("Table!",ADDRESS($Q125,MATCH(I$1,INDIRECT("Table!A" &amp; $U125):INDIRECT("Table!" &amp; $X$171 &amp; $U125),0)))))</f>
        <v>170967.6</v>
      </c>
      <c r="J125" s="33">
        <f ca="1">IF(ISERROR(MATCH(J$1,INDIRECT("Table!A"&amp;$U125):INDIRECT("Table!" &amp; $X$171 &amp; $U125),0)),"",INDIRECT(CONCATENATE("Table!",ADDRESS($Q125,MATCH(J$1,INDIRECT("Table!A" &amp; $U125):INDIRECT("Table!" &amp; $X$171 &amp; $U125),0)))))</f>
        <v>54921</v>
      </c>
      <c r="K125" s="33">
        <f ca="1">IF(ISERROR(MATCH(K$1,INDIRECT("Table!A"&amp;$U125):INDIRECT("Table!" &amp; $X$171 &amp; $U125),0)),"",INDIRECT(CONCATENATE("Table!",ADDRESS($Q125,MATCH(K$1,INDIRECT("Table!A" &amp; $U125):INDIRECT("Table!" &amp; $X$171 &amp; $U125),0)))))</f>
        <v>60665.9</v>
      </c>
      <c r="L125" s="33">
        <f ca="1">IF(ISERROR(MATCH(L$1,INDIRECT("Table!A"&amp;$U125):INDIRECT("Table!" &amp; $X$171 &amp; $U125),0)),"",INDIRECT(CONCATENATE("Table!",ADDRESS($Q125,MATCH(L$1,INDIRECT("Table!A" &amp; $U125):INDIRECT("Table!" &amp; $X$171 &amp; $U125),0)))))</f>
        <v>176482.7</v>
      </c>
      <c r="M125" s="33">
        <f ca="1">IF(ISERROR(MATCH(M$1,INDIRECT("Table!A"&amp;$U125):INDIRECT("Table!" &amp; $X$171 &amp; $U125),0)),"",INDIRECT(CONCATENATE("Table!",ADDRESS($Q125,MATCH(M$1,INDIRECT("Table!A" &amp; $U125):INDIRECT("Table!" &amp; $X$171 &amp; $U125),0)))))</f>
        <v>54921</v>
      </c>
      <c r="N125" s="164"/>
      <c r="O125" s="164"/>
      <c r="P125" s="164"/>
      <c r="Q125" s="31">
        <f>MATCH($A125,Table!$A:$A,0)+$S$14-1</f>
        <v>1663</v>
      </c>
      <c r="R125" s="164"/>
      <c r="S125" s="164"/>
      <c r="T125" s="164"/>
      <c r="U125" s="31">
        <f>MATCH($A125,Table!$A:$A,0)+$W$2-1</f>
        <v>1649</v>
      </c>
      <c r="V125" s="164"/>
      <c r="W125" s="164"/>
      <c r="X125" s="372" t="s">
        <v>209</v>
      </c>
    </row>
    <row r="126" spans="1:24" ht="18" customHeight="1">
      <c r="A126" s="5">
        <v>40994</v>
      </c>
      <c r="B126" s="33">
        <f ca="1">IF(ISERROR(MATCH(B$1,INDIRECT("Table!A"&amp;$U126):INDIRECT("Table!" &amp; $X$171 &amp; $U126),0)),"",INDIRECT(CONCATENATE("Table!",ADDRESS($Q126,MATCH(B$1,INDIRECT("Table!A" &amp; $U126):INDIRECT("Table!" &amp; $X$171 &amp; $U126),0)))))</f>
        <v>115816.8</v>
      </c>
      <c r="C126" s="33">
        <f ca="1">IF(ISERROR(MATCH(C$1,INDIRECT("Table!A"&amp;$U126):INDIRECT("Table!" &amp; $X$171 &amp; $U126),0)),"",INDIRECT(CONCATENATE("Table!",ADDRESS($Q126,MATCH(C$1,INDIRECT("Table!A" &amp; $U126):INDIRECT("Table!" &amp; $X$171 &amp; $U126),0)))))</f>
        <v>99042</v>
      </c>
      <c r="D126" s="33">
        <f ca="1">IF(ISERROR(MATCH(D$1,INDIRECT("Table!A"&amp;$U126):INDIRECT("Table!" &amp; $X$171 &amp; $U126),0)),"",INDIRECT(CONCATENATE("Table!",ADDRESS($Q126,MATCH(D$1,INDIRECT("Table!A" &amp; $U126):INDIRECT("Table!" &amp; $X$171 &amp; $U126),0)))))</f>
        <v>99042</v>
      </c>
      <c r="E126" s="33">
        <f ca="1">IF(ISERROR(MATCH(E$1,INDIRECT("Table!A"&amp;$U126):INDIRECT("Table!" &amp; $X$171 &amp; $U126),0)),"",INDIRECT(CONCATENATE("Table!",ADDRESS($Q126,MATCH(E$1,INDIRECT("Table!A" &amp; $U126):INDIRECT("Table!" &amp; $X$171 &amp; $U126),0)))))</f>
        <v>154422.39999999999</v>
      </c>
      <c r="F126" s="33">
        <f ca="1">IF(ISERROR(MATCH(F$1,INDIRECT("Table!A"&amp;$U126):INDIRECT("Table!" &amp; $X$171 &amp; $U126),0)),"",INDIRECT(CONCATENATE("Table!",ADDRESS($Q126,MATCH(F$1,INDIRECT("Table!A" &amp; $U126):INDIRECT("Table!" &amp; $X$171 &amp; $U126),0)))))</f>
        <v>121331.8</v>
      </c>
      <c r="G126" s="33">
        <f ca="1">IF(ISERROR(MATCH(G$1,INDIRECT("Table!A"&amp;$U126):INDIRECT("Table!" &amp; $X$171 &amp; $U126),0)),"",INDIRECT(CONCATENATE("Table!",ADDRESS($Q126,MATCH(G$1,INDIRECT("Table!A" &amp; $U126):INDIRECT("Table!" &amp; $X$171 &amp; $U126),0)))))</f>
        <v>110071.9</v>
      </c>
      <c r="H126" s="33">
        <f ca="1">IF(ISERROR(MATCH(H$1,INDIRECT("Table!A"&amp;$U126):INDIRECT("Table!" &amp; $X$171 &amp; $U126),0)),"",INDIRECT(CONCATENATE("Table!",ADDRESS($Q126,MATCH(H$1,INDIRECT("Table!A" &amp; $U126):INDIRECT("Table!" &amp; $X$171 &amp; $U126),0)))))</f>
        <v>121331.8</v>
      </c>
      <c r="I126" s="33">
        <f ca="1">IF(ISERROR(MATCH(I$1,INDIRECT("Table!A"&amp;$U126):INDIRECT("Table!" &amp; $X$171 &amp; $U126),0)),"",INDIRECT(CONCATENATE("Table!",ADDRESS($Q126,MATCH(I$1,INDIRECT("Table!A" &amp; $U126):INDIRECT("Table!" &amp; $X$171 &amp; $U126),0)))))</f>
        <v>170967.6</v>
      </c>
      <c r="J126" s="33">
        <f ca="1">IF(ISERROR(MATCH(J$1,INDIRECT("Table!A"&amp;$U126):INDIRECT("Table!" &amp; $X$171 &amp; $U126),0)),"",INDIRECT(CONCATENATE("Table!",ADDRESS($Q126,MATCH(J$1,INDIRECT("Table!A" &amp; $U126):INDIRECT("Table!" &amp; $X$171 &amp; $U126),0)))))</f>
        <v>54921</v>
      </c>
      <c r="K126" s="33">
        <f ca="1">IF(ISERROR(MATCH(K$1,INDIRECT("Table!A"&amp;$U126):INDIRECT("Table!" &amp; $X$171 &amp; $U126),0)),"",INDIRECT(CONCATENATE("Table!",ADDRESS($Q126,MATCH(K$1,INDIRECT("Table!A" &amp; $U126):INDIRECT("Table!" &amp; $X$171 &amp; $U126),0)))))</f>
        <v>60665.9</v>
      </c>
      <c r="L126" s="33">
        <f ca="1">IF(ISERROR(MATCH(L$1,INDIRECT("Table!A"&amp;$U126):INDIRECT("Table!" &amp; $X$171 &amp; $U126),0)),"",INDIRECT(CONCATENATE("Table!",ADDRESS($Q126,MATCH(L$1,INDIRECT("Table!A" &amp; $U126):INDIRECT("Table!" &amp; $X$171 &amp; $U126),0)))))</f>
        <v>176482.7</v>
      </c>
      <c r="M126" s="33">
        <f ca="1">IF(ISERROR(MATCH(M$1,INDIRECT("Table!A"&amp;$U126):INDIRECT("Table!" &amp; $X$171 &amp; $U126),0)),"",INDIRECT(CONCATENATE("Table!",ADDRESS($Q126,MATCH(M$1,INDIRECT("Table!A" &amp; $U126):INDIRECT("Table!" &amp; $X$171 &amp; $U126),0)))))</f>
        <v>54921</v>
      </c>
      <c r="N126" s="163"/>
      <c r="O126" s="163"/>
      <c r="P126" s="163"/>
      <c r="Q126" s="31">
        <f>MATCH($A126,Table!$A:$A,0)+$S$14-1</f>
        <v>1676</v>
      </c>
      <c r="R126" s="163"/>
      <c r="S126" s="163"/>
      <c r="T126" s="163"/>
      <c r="U126" s="31">
        <f>MATCH($A126,Table!$A:$A,0)+$W$2-1</f>
        <v>1662</v>
      </c>
      <c r="V126" s="163"/>
      <c r="W126" s="163"/>
      <c r="X126" s="372" t="s">
        <v>209</v>
      </c>
    </row>
    <row r="127" spans="1:24" ht="18" customHeight="1">
      <c r="A127" s="5">
        <v>40989</v>
      </c>
      <c r="B127" s="33">
        <f ca="1">IF(ISERROR(MATCH(B$1,INDIRECT("Table!A"&amp;$U127):INDIRECT("Table!" &amp; $X$171 &amp; $U127),0)),"",INDIRECT(CONCATENATE("Table!",ADDRESS($Q127,MATCH(B$1,INDIRECT("Table!A" &amp; $U127):INDIRECT("Table!" &amp; $X$171 &amp; $U127),0)))))</f>
        <v>115816.8</v>
      </c>
      <c r="C127" s="33">
        <f ca="1">IF(ISERROR(MATCH(C$1,INDIRECT("Table!A"&amp;$U127):INDIRECT("Table!" &amp; $X$171 &amp; $U127),0)),"",INDIRECT(CONCATENATE("Table!",ADDRESS($Q127,MATCH(C$1,INDIRECT("Table!A" &amp; $U127):INDIRECT("Table!" &amp; $X$171 &amp; $U127),0)))))</f>
        <v>99042</v>
      </c>
      <c r="D127" s="33">
        <f ca="1">IF(ISERROR(MATCH(D$1,INDIRECT("Table!A"&amp;$U127):INDIRECT("Table!" &amp; $X$171 &amp; $U127),0)),"",INDIRECT(CONCATENATE("Table!",ADDRESS($Q127,MATCH(D$1,INDIRECT("Table!A" &amp; $U127):INDIRECT("Table!" &amp; $X$171 &amp; $U127),0)))))</f>
        <v>99042</v>
      </c>
      <c r="E127" s="33">
        <f ca="1">IF(ISERROR(MATCH(E$1,INDIRECT("Table!A"&amp;$U127):INDIRECT("Table!" &amp; $X$171 &amp; $U127),0)),"",INDIRECT(CONCATENATE("Table!",ADDRESS($Q127,MATCH(E$1,INDIRECT("Table!A" &amp; $U127):INDIRECT("Table!" &amp; $X$171 &amp; $U127),0)))))</f>
        <v>154422.39999999999</v>
      </c>
      <c r="F127" s="33">
        <f ca="1">IF(ISERROR(MATCH(F$1,INDIRECT("Table!A"&amp;$U127):INDIRECT("Table!" &amp; $X$171 &amp; $U127),0)),"",INDIRECT(CONCATENATE("Table!",ADDRESS($Q127,MATCH(F$1,INDIRECT("Table!A" &amp; $U127):INDIRECT("Table!" &amp; $X$171 &amp; $U127),0)))))</f>
        <v>121331.8</v>
      </c>
      <c r="G127" s="33">
        <f ca="1">IF(ISERROR(MATCH(G$1,INDIRECT("Table!A"&amp;$U127):INDIRECT("Table!" &amp; $X$171 &amp; $U127),0)),"",INDIRECT(CONCATENATE("Table!",ADDRESS($Q127,MATCH(G$1,INDIRECT("Table!A" &amp; $U127):INDIRECT("Table!" &amp; $X$171 &amp; $U127),0)))))</f>
        <v>110071.9</v>
      </c>
      <c r="H127" s="33">
        <f ca="1">IF(ISERROR(MATCH(H$1,INDIRECT("Table!A"&amp;$U127):INDIRECT("Table!" &amp; $X$171 &amp; $U127),0)),"",INDIRECT(CONCATENATE("Table!",ADDRESS($Q127,MATCH(H$1,INDIRECT("Table!A" &amp; $U127):INDIRECT("Table!" &amp; $X$171 &amp; $U127),0)))))</f>
        <v>121331.8</v>
      </c>
      <c r="I127" s="33">
        <f ca="1">IF(ISERROR(MATCH(I$1,INDIRECT("Table!A"&amp;$U127):INDIRECT("Table!" &amp; $X$171 &amp; $U127),0)),"",INDIRECT(CONCATENATE("Table!",ADDRESS($Q127,MATCH(I$1,INDIRECT("Table!A" &amp; $U127):INDIRECT("Table!" &amp; $X$171 &amp; $U127),0)))))</f>
        <v>170967.6</v>
      </c>
      <c r="J127" s="33">
        <f ca="1">IF(ISERROR(MATCH(J$1,INDIRECT("Table!A"&amp;$U127):INDIRECT("Table!" &amp; $X$171 &amp; $U127),0)),"",INDIRECT(CONCATENATE("Table!",ADDRESS($Q127,MATCH(J$1,INDIRECT("Table!A" &amp; $U127):INDIRECT("Table!" &amp; $X$171 &amp; $U127),0)))))</f>
        <v>54921</v>
      </c>
      <c r="K127" s="33">
        <f ca="1">IF(ISERROR(MATCH(K$1,INDIRECT("Table!A"&amp;$U127):INDIRECT("Table!" &amp; $X$171 &amp; $U127),0)),"",INDIRECT(CONCATENATE("Table!",ADDRESS($Q127,MATCH(K$1,INDIRECT("Table!A" &amp; $U127):INDIRECT("Table!" &amp; $X$171 &amp; $U127),0)))))</f>
        <v>60665.9</v>
      </c>
      <c r="L127" s="33">
        <f ca="1">IF(ISERROR(MATCH(L$1,INDIRECT("Table!A"&amp;$U127):INDIRECT("Table!" &amp; $X$171 &amp; $U127),0)),"",INDIRECT(CONCATENATE("Table!",ADDRESS($Q127,MATCH(L$1,INDIRECT("Table!A" &amp; $U127):INDIRECT("Table!" &amp; $X$171 &amp; $U127),0)))))</f>
        <v>176482.7</v>
      </c>
      <c r="M127" s="33">
        <f ca="1">IF(ISERROR(MATCH(M$1,INDIRECT("Table!A"&amp;$U127):INDIRECT("Table!" &amp; $X$171 &amp; $U127),0)),"",INDIRECT(CONCATENATE("Table!",ADDRESS($Q127,MATCH(M$1,INDIRECT("Table!A" &amp; $U127):INDIRECT("Table!" &amp; $X$171 &amp; $U127),0)))))</f>
        <v>54921</v>
      </c>
      <c r="N127" s="162"/>
      <c r="O127" s="162"/>
      <c r="P127" s="162"/>
      <c r="Q127" s="31">
        <f>MATCH($A127,Table!$A:$A,0)+$S$14-1</f>
        <v>1689</v>
      </c>
      <c r="R127" s="162"/>
      <c r="S127" s="162"/>
      <c r="T127" s="162"/>
      <c r="U127" s="31">
        <f>MATCH($A127,Table!$A:$A,0)+$W$2-1</f>
        <v>1675</v>
      </c>
      <c r="V127" s="162"/>
      <c r="W127" s="162"/>
      <c r="X127" s="372" t="s">
        <v>209</v>
      </c>
    </row>
    <row r="128" spans="1:24" ht="18" customHeight="1">
      <c r="A128" s="5">
        <v>40984</v>
      </c>
      <c r="B128" s="33">
        <f ca="1">IF(ISERROR(MATCH(B$1,INDIRECT("Table!A"&amp;$U128):INDIRECT("Table!" &amp; $X$171 &amp; $U128),0)),"",INDIRECT(CONCATENATE("Table!",ADDRESS($Q128,MATCH(B$1,INDIRECT("Table!A" &amp; $U128):INDIRECT("Table!" &amp; $X$171 &amp; $U128),0)))))</f>
        <v>115816.8</v>
      </c>
      <c r="C128" s="33">
        <f ca="1">IF(ISERROR(MATCH(C$1,INDIRECT("Table!A"&amp;$U128):INDIRECT("Table!" &amp; $X$171 &amp; $U128),0)),"",INDIRECT(CONCATENATE("Table!",ADDRESS($Q128,MATCH(C$1,INDIRECT("Table!A" &amp; $U128):INDIRECT("Table!" &amp; $X$171 &amp; $U128),0)))))</f>
        <v>99042</v>
      </c>
      <c r="D128" s="33">
        <f ca="1">IF(ISERROR(MATCH(D$1,INDIRECT("Table!A"&amp;$U128):INDIRECT("Table!" &amp; $X$171 &amp; $U128),0)),"",INDIRECT(CONCATENATE("Table!",ADDRESS($Q128,MATCH(D$1,INDIRECT("Table!A" &amp; $U128):INDIRECT("Table!" &amp; $X$171 &amp; $U128),0)))))</f>
        <v>99042</v>
      </c>
      <c r="E128" s="33">
        <f ca="1">IF(ISERROR(MATCH(E$1,INDIRECT("Table!A"&amp;$U128):INDIRECT("Table!" &amp; $X$171 &amp; $U128),0)),"",INDIRECT(CONCATENATE("Table!",ADDRESS($Q128,MATCH(E$1,INDIRECT("Table!A" &amp; $U128):INDIRECT("Table!" &amp; $X$171 &amp; $U128),0)))))</f>
        <v>154422.39999999999</v>
      </c>
      <c r="F128" s="33">
        <f ca="1">IF(ISERROR(MATCH(F$1,INDIRECT("Table!A"&amp;$U128):INDIRECT("Table!" &amp; $X$171 &amp; $U128),0)),"",INDIRECT(CONCATENATE("Table!",ADDRESS($Q128,MATCH(F$1,INDIRECT("Table!A" &amp; $U128):INDIRECT("Table!" &amp; $X$171 &amp; $U128),0)))))</f>
        <v>121331.8</v>
      </c>
      <c r="G128" s="33">
        <f ca="1">IF(ISERROR(MATCH(G$1,INDIRECT("Table!A"&amp;$U128):INDIRECT("Table!" &amp; $X$171 &amp; $U128),0)),"",INDIRECT(CONCATENATE("Table!",ADDRESS($Q128,MATCH(G$1,INDIRECT("Table!A" &amp; $U128):INDIRECT("Table!" &amp; $X$171 &amp; $U128),0)))))</f>
        <v>110071.9</v>
      </c>
      <c r="H128" s="33">
        <f ca="1">IF(ISERROR(MATCH(H$1,INDIRECT("Table!A"&amp;$U128):INDIRECT("Table!" &amp; $X$171 &amp; $U128),0)),"",INDIRECT(CONCATENATE("Table!",ADDRESS($Q128,MATCH(H$1,INDIRECT("Table!A" &amp; $U128):INDIRECT("Table!" &amp; $X$171 &amp; $U128),0)))))</f>
        <v>121331.8</v>
      </c>
      <c r="I128" s="33">
        <f ca="1">IF(ISERROR(MATCH(I$1,INDIRECT("Table!A"&amp;$U128):INDIRECT("Table!" &amp; $X$171 &amp; $U128),0)),"",INDIRECT(CONCATENATE("Table!",ADDRESS($Q128,MATCH(I$1,INDIRECT("Table!A" &amp; $U128):INDIRECT("Table!" &amp; $X$171 &amp; $U128),0)))))</f>
        <v>170967.6</v>
      </c>
      <c r="J128" s="33">
        <f ca="1">IF(ISERROR(MATCH(J$1,INDIRECT("Table!A"&amp;$U128):INDIRECT("Table!" &amp; $X$171 &amp; $U128),0)),"",INDIRECT(CONCATENATE("Table!",ADDRESS($Q128,MATCH(J$1,INDIRECT("Table!A" &amp; $U128):INDIRECT("Table!" &amp; $X$171 &amp; $U128),0)))))</f>
        <v>54921</v>
      </c>
      <c r="K128" s="33">
        <f ca="1">IF(ISERROR(MATCH(K$1,INDIRECT("Table!A"&amp;$U128):INDIRECT("Table!" &amp; $X$171 &amp; $U128),0)),"",INDIRECT(CONCATENATE("Table!",ADDRESS($Q128,MATCH(K$1,INDIRECT("Table!A" &amp; $U128):INDIRECT("Table!" &amp; $X$171 &amp; $U128),0)))))</f>
        <v>60665.9</v>
      </c>
      <c r="L128" s="33">
        <f ca="1">IF(ISERROR(MATCH(L$1,INDIRECT("Table!A"&amp;$U128):INDIRECT("Table!" &amp; $X$171 &amp; $U128),0)),"",INDIRECT(CONCATENATE("Table!",ADDRESS($Q128,MATCH(L$1,INDIRECT("Table!A" &amp; $U128):INDIRECT("Table!" &amp; $X$171 &amp; $U128),0)))))</f>
        <v>176482.7</v>
      </c>
      <c r="M128" s="33">
        <f ca="1">IF(ISERROR(MATCH(M$1,INDIRECT("Table!A"&amp;$U128):INDIRECT("Table!" &amp; $X$171 &amp; $U128),0)),"",INDIRECT(CONCATENATE("Table!",ADDRESS($Q128,MATCH(M$1,INDIRECT("Table!A" &amp; $U128):INDIRECT("Table!" &amp; $X$171 &amp; $U128),0)))))</f>
        <v>54921</v>
      </c>
      <c r="N128" s="161"/>
      <c r="O128" s="161"/>
      <c r="P128" s="161"/>
      <c r="Q128" s="31">
        <f>MATCH($A128,Table!$A:$A,0)+$S$14-1</f>
        <v>1702</v>
      </c>
      <c r="R128" s="161"/>
      <c r="S128" s="161"/>
      <c r="T128" s="161"/>
      <c r="U128" s="31">
        <f>MATCH($A128,Table!$A:$A,0)+$W$2-1</f>
        <v>1688</v>
      </c>
      <c r="V128" s="161"/>
      <c r="W128" s="161"/>
      <c r="X128" s="372" t="s">
        <v>209</v>
      </c>
    </row>
    <row r="129" spans="1:24" ht="18" customHeight="1">
      <c r="A129" s="5">
        <v>40983</v>
      </c>
      <c r="B129" s="33">
        <f ca="1">IF(ISERROR(MATCH(B$1,INDIRECT("Table!A"&amp;$U129):INDIRECT("Table!" &amp; $X$171 &amp; $U129),0)),"",INDIRECT(CONCATENATE("Table!",ADDRESS($Q129,MATCH(B$1,INDIRECT("Table!A" &amp; $U129):INDIRECT("Table!" &amp; $X$171 &amp; $U129),0)))))</f>
        <v>115816.8</v>
      </c>
      <c r="C129" s="33">
        <f ca="1">IF(ISERROR(MATCH(C$1,INDIRECT("Table!A"&amp;$U129):INDIRECT("Table!" &amp; $X$171 &amp; $U129),0)),"",INDIRECT(CONCATENATE("Table!",ADDRESS($Q129,MATCH(C$1,INDIRECT("Table!A" &amp; $U129):INDIRECT("Table!" &amp; $X$171 &amp; $U129),0)))))</f>
        <v>99042</v>
      </c>
      <c r="D129" s="33">
        <f ca="1">IF(ISERROR(MATCH(D$1,INDIRECT("Table!A"&amp;$U129):INDIRECT("Table!" &amp; $X$171 &amp; $U129),0)),"",INDIRECT(CONCATENATE("Table!",ADDRESS($Q129,MATCH(D$1,INDIRECT("Table!A" &amp; $U129):INDIRECT("Table!" &amp; $X$171 &amp; $U129),0)))))</f>
        <v>99042</v>
      </c>
      <c r="E129" s="33">
        <f ca="1">IF(ISERROR(MATCH(E$1,INDIRECT("Table!A"&amp;$U129):INDIRECT("Table!" &amp; $X$171 &amp; $U129),0)),"",INDIRECT(CONCATENATE("Table!",ADDRESS($Q129,MATCH(E$1,INDIRECT("Table!A" &amp; $U129):INDIRECT("Table!" &amp; $X$171 &amp; $U129),0)))))</f>
        <v>154422.39999999999</v>
      </c>
      <c r="F129" s="33">
        <f ca="1">IF(ISERROR(MATCH(F$1,INDIRECT("Table!A"&amp;$U129):INDIRECT("Table!" &amp; $X$171 &amp; $U129),0)),"",INDIRECT(CONCATENATE("Table!",ADDRESS($Q129,MATCH(F$1,INDIRECT("Table!A" &amp; $U129):INDIRECT("Table!" &amp; $X$171 &amp; $U129),0)))))</f>
        <v>121331.8</v>
      </c>
      <c r="G129" s="33">
        <f ca="1">IF(ISERROR(MATCH(G$1,INDIRECT("Table!A"&amp;$U129):INDIRECT("Table!" &amp; $X$171 &amp; $U129),0)),"",INDIRECT(CONCATENATE("Table!",ADDRESS($Q129,MATCH(G$1,INDIRECT("Table!A" &amp; $U129):INDIRECT("Table!" &amp; $X$171 &amp; $U129),0)))))</f>
        <v>110071.9</v>
      </c>
      <c r="H129" s="33">
        <f ca="1">IF(ISERROR(MATCH(H$1,INDIRECT("Table!A"&amp;$U129):INDIRECT("Table!" &amp; $X$171 &amp; $U129),0)),"",INDIRECT(CONCATENATE("Table!",ADDRESS($Q129,MATCH(H$1,INDIRECT("Table!A" &amp; $U129):INDIRECT("Table!" &amp; $X$171 &amp; $U129),0)))))</f>
        <v>121331.8</v>
      </c>
      <c r="I129" s="33">
        <f ca="1">IF(ISERROR(MATCH(I$1,INDIRECT("Table!A"&amp;$U129):INDIRECT("Table!" &amp; $X$171 &amp; $U129),0)),"",INDIRECT(CONCATENATE("Table!",ADDRESS($Q129,MATCH(I$1,INDIRECT("Table!A" &amp; $U129):INDIRECT("Table!" &amp; $X$171 &amp; $U129),0)))))</f>
        <v>170967.6</v>
      </c>
      <c r="J129" s="33">
        <f ca="1">IF(ISERROR(MATCH(J$1,INDIRECT("Table!A"&amp;$U129):INDIRECT("Table!" &amp; $X$171 &amp; $U129),0)),"",INDIRECT(CONCATENATE("Table!",ADDRESS($Q129,MATCH(J$1,INDIRECT("Table!A" &amp; $U129):INDIRECT("Table!" &amp; $X$171 &amp; $U129),0)))))</f>
        <v>54921</v>
      </c>
      <c r="K129" s="33">
        <f ca="1">IF(ISERROR(MATCH(K$1,INDIRECT("Table!A"&amp;$U129):INDIRECT("Table!" &amp; $X$171 &amp; $U129),0)),"",INDIRECT(CONCATENATE("Table!",ADDRESS($Q129,MATCH(K$1,INDIRECT("Table!A" &amp; $U129):INDIRECT("Table!" &amp; $X$171 &amp; $U129),0)))))</f>
        <v>60665.9</v>
      </c>
      <c r="L129" s="33">
        <f ca="1">IF(ISERROR(MATCH(L$1,INDIRECT("Table!A"&amp;$U129):INDIRECT("Table!" &amp; $X$171 &amp; $U129),0)),"",INDIRECT(CONCATENATE("Table!",ADDRESS($Q129,MATCH(L$1,INDIRECT("Table!A" &amp; $U129):INDIRECT("Table!" &amp; $X$171 &amp; $U129),0)))))</f>
        <v>176482.7</v>
      </c>
      <c r="M129" s="33">
        <f ca="1">IF(ISERROR(MATCH(M$1,INDIRECT("Table!A"&amp;$U129):INDIRECT("Table!" &amp; $X$171 &amp; $U129),0)),"",INDIRECT(CONCATENATE("Table!",ADDRESS($Q129,MATCH(M$1,INDIRECT("Table!A" &amp; $U129):INDIRECT("Table!" &amp; $X$171 &amp; $U129),0)))))</f>
        <v>54921</v>
      </c>
      <c r="N129" s="160"/>
      <c r="O129" s="160"/>
      <c r="P129" s="160"/>
      <c r="Q129" s="31">
        <f>MATCH($A129,Table!$A:$A,0)+$S$14-1</f>
        <v>1715</v>
      </c>
      <c r="R129" s="160"/>
      <c r="S129" s="160"/>
      <c r="T129" s="160"/>
      <c r="U129" s="31">
        <f>MATCH($A129,Table!$A:$A,0)+$W$2-1</f>
        <v>1701</v>
      </c>
      <c r="V129" s="160"/>
      <c r="W129" s="160"/>
      <c r="X129" s="372" t="s">
        <v>209</v>
      </c>
    </row>
    <row r="130" spans="1:24" ht="18" customHeight="1">
      <c r="A130" s="5">
        <v>40982</v>
      </c>
      <c r="B130" s="33">
        <f ca="1">IF(ISERROR(MATCH(B$1,INDIRECT("Table!A"&amp;$U130):INDIRECT("Table!" &amp; $X$171 &amp; $U130),0)),"",INDIRECT(CONCATENATE("Table!",ADDRESS($Q130,MATCH(B$1,INDIRECT("Table!A" &amp; $U130):INDIRECT("Table!" &amp; $X$171 &amp; $U130),0)))))</f>
        <v>115816.8</v>
      </c>
      <c r="C130" s="33">
        <f ca="1">IF(ISERROR(MATCH(C$1,INDIRECT("Table!A"&amp;$U130):INDIRECT("Table!" &amp; $X$171 &amp; $U130),0)),"",INDIRECT(CONCATENATE("Table!",ADDRESS($Q130,MATCH(C$1,INDIRECT("Table!A" &amp; $U130):INDIRECT("Table!" &amp; $X$171 &amp; $U130),0)))))</f>
        <v>99042</v>
      </c>
      <c r="D130" s="33">
        <f ca="1">IF(ISERROR(MATCH(D$1,INDIRECT("Table!A"&amp;$U130):INDIRECT("Table!" &amp; $X$171 &amp; $U130),0)),"",INDIRECT(CONCATENATE("Table!",ADDRESS($Q130,MATCH(D$1,INDIRECT("Table!A" &amp; $U130):INDIRECT("Table!" &amp; $X$171 &amp; $U130),0)))))</f>
        <v>99042</v>
      </c>
      <c r="E130" s="33">
        <f ca="1">IF(ISERROR(MATCH(E$1,INDIRECT("Table!A"&amp;$U130):INDIRECT("Table!" &amp; $X$171 &amp; $U130),0)),"",INDIRECT(CONCATENATE("Table!",ADDRESS($Q130,MATCH(E$1,INDIRECT("Table!A" &amp; $U130):INDIRECT("Table!" &amp; $X$171 &amp; $U130),0)))))</f>
        <v>154422.39999999999</v>
      </c>
      <c r="F130" s="33">
        <f ca="1">IF(ISERROR(MATCH(F$1,INDIRECT("Table!A"&amp;$U130):INDIRECT("Table!" &amp; $X$171 &amp; $U130),0)),"",INDIRECT(CONCATENATE("Table!",ADDRESS($Q130,MATCH(F$1,INDIRECT("Table!A" &amp; $U130):INDIRECT("Table!" &amp; $X$171 &amp; $U130),0)))))</f>
        <v>121331.8</v>
      </c>
      <c r="G130" s="33">
        <f ca="1">IF(ISERROR(MATCH(G$1,INDIRECT("Table!A"&amp;$U130):INDIRECT("Table!" &amp; $X$171 &amp; $U130),0)),"",INDIRECT(CONCATENATE("Table!",ADDRESS($Q130,MATCH(G$1,INDIRECT("Table!A" &amp; $U130):INDIRECT("Table!" &amp; $X$171 &amp; $U130),0)))))</f>
        <v>110071.9</v>
      </c>
      <c r="H130" s="33">
        <f ca="1">IF(ISERROR(MATCH(H$1,INDIRECT("Table!A"&amp;$U130):INDIRECT("Table!" &amp; $X$171 &amp; $U130),0)),"",INDIRECT(CONCATENATE("Table!",ADDRESS($Q130,MATCH(H$1,INDIRECT("Table!A" &amp; $U130):INDIRECT("Table!" &amp; $X$171 &amp; $U130),0)))))</f>
        <v>121331.8</v>
      </c>
      <c r="I130" s="33">
        <f ca="1">IF(ISERROR(MATCH(I$1,INDIRECT("Table!A"&amp;$U130):INDIRECT("Table!" &amp; $X$171 &amp; $U130),0)),"",INDIRECT(CONCATENATE("Table!",ADDRESS($Q130,MATCH(I$1,INDIRECT("Table!A" &amp; $U130):INDIRECT("Table!" &amp; $X$171 &amp; $U130),0)))))</f>
        <v>170967.6</v>
      </c>
      <c r="J130" s="33">
        <f ca="1">IF(ISERROR(MATCH(J$1,INDIRECT("Table!A"&amp;$U130):INDIRECT("Table!" &amp; $X$171 &amp; $U130),0)),"",INDIRECT(CONCATENATE("Table!",ADDRESS($Q130,MATCH(J$1,INDIRECT("Table!A" &amp; $U130):INDIRECT("Table!" &amp; $X$171 &amp; $U130),0)))))</f>
        <v>54921</v>
      </c>
      <c r="K130" s="33">
        <f ca="1">IF(ISERROR(MATCH(K$1,INDIRECT("Table!A"&amp;$U130):INDIRECT("Table!" &amp; $X$171 &amp; $U130),0)),"",INDIRECT(CONCATENATE("Table!",ADDRESS($Q130,MATCH(K$1,INDIRECT("Table!A" &amp; $U130):INDIRECT("Table!" &amp; $X$171 &amp; $U130),0)))))</f>
        <v>60665.9</v>
      </c>
      <c r="L130" s="33">
        <f ca="1">IF(ISERROR(MATCH(L$1,INDIRECT("Table!A"&amp;$U130):INDIRECT("Table!" &amp; $X$171 &amp; $U130),0)),"",INDIRECT(CONCATENATE("Table!",ADDRESS($Q130,MATCH(L$1,INDIRECT("Table!A" &amp; $U130):INDIRECT("Table!" &amp; $X$171 &amp; $U130),0)))))</f>
        <v>176482.7</v>
      </c>
      <c r="M130" s="33">
        <f ca="1">IF(ISERROR(MATCH(M$1,INDIRECT("Table!A"&amp;$U130):INDIRECT("Table!" &amp; $X$171 &amp; $U130),0)),"",INDIRECT(CONCATENATE("Table!",ADDRESS($Q130,MATCH(M$1,INDIRECT("Table!A" &amp; $U130):INDIRECT("Table!" &amp; $X$171 &amp; $U130),0)))))</f>
        <v>54921</v>
      </c>
      <c r="N130" s="159"/>
      <c r="O130" s="159"/>
      <c r="P130" s="159"/>
      <c r="Q130" s="31">
        <f>MATCH($A130,Table!$A:$A,0)+$S$14-1</f>
        <v>1728</v>
      </c>
      <c r="R130" s="159"/>
      <c r="S130" s="159"/>
      <c r="T130" s="159"/>
      <c r="U130" s="31">
        <f>MATCH($A130,Table!$A:$A,0)+$W$2-1</f>
        <v>1714</v>
      </c>
      <c r="V130" s="159"/>
      <c r="W130" s="159"/>
      <c r="X130" s="372" t="s">
        <v>209</v>
      </c>
    </row>
    <row r="131" spans="1:24" ht="18" customHeight="1">
      <c r="A131" s="5">
        <v>40981</v>
      </c>
      <c r="B131" s="33">
        <f ca="1">IF(ISERROR(MATCH(B$1,INDIRECT("Table!A"&amp;$U131):INDIRECT("Table!" &amp; $X$171 &amp; $U131),0)),"",INDIRECT(CONCATENATE("Table!",ADDRESS($Q131,MATCH(B$1,INDIRECT("Table!A" &amp; $U131):INDIRECT("Table!" &amp; $X$171 &amp; $U131),0)))))</f>
        <v>115816.8</v>
      </c>
      <c r="C131" s="33">
        <f ca="1">IF(ISERROR(MATCH(C$1,INDIRECT("Table!A"&amp;$U131):INDIRECT("Table!" &amp; $X$171 &amp; $U131),0)),"",INDIRECT(CONCATENATE("Table!",ADDRESS($Q131,MATCH(C$1,INDIRECT("Table!A" &amp; $U131):INDIRECT("Table!" &amp; $X$171 &amp; $U131),0)))))</f>
        <v>99042</v>
      </c>
      <c r="D131" s="33">
        <f ca="1">IF(ISERROR(MATCH(D$1,INDIRECT("Table!A"&amp;$U131):INDIRECT("Table!" &amp; $X$171 &amp; $U131),0)),"",INDIRECT(CONCATENATE("Table!",ADDRESS($Q131,MATCH(D$1,INDIRECT("Table!A" &amp; $U131):INDIRECT("Table!" &amp; $X$171 &amp; $U131),0)))))</f>
        <v>99042</v>
      </c>
      <c r="E131" s="33">
        <f ca="1">IF(ISERROR(MATCH(E$1,INDIRECT("Table!A"&amp;$U131):INDIRECT("Table!" &amp; $X$171 &amp; $U131),0)),"",INDIRECT(CONCATENATE("Table!",ADDRESS($Q131,MATCH(E$1,INDIRECT("Table!A" &amp; $U131):INDIRECT("Table!" &amp; $X$171 &amp; $U131),0)))))</f>
        <v>154422.39999999999</v>
      </c>
      <c r="F131" s="33">
        <f ca="1">IF(ISERROR(MATCH(F$1,INDIRECT("Table!A"&amp;$U131):INDIRECT("Table!" &amp; $X$171 &amp; $U131),0)),"",INDIRECT(CONCATENATE("Table!",ADDRESS($Q131,MATCH(F$1,INDIRECT("Table!A" &amp; $U131):INDIRECT("Table!" &amp; $X$171 &amp; $U131),0)))))</f>
        <v>121331.8</v>
      </c>
      <c r="G131" s="33">
        <f ca="1">IF(ISERROR(MATCH(G$1,INDIRECT("Table!A"&amp;$U131):INDIRECT("Table!" &amp; $X$171 &amp; $U131),0)),"",INDIRECT(CONCATENATE("Table!",ADDRESS($Q131,MATCH(G$1,INDIRECT("Table!A" &amp; $U131):INDIRECT("Table!" &amp; $X$171 &amp; $U131),0)))))</f>
        <v>110071.9</v>
      </c>
      <c r="H131" s="33">
        <f ca="1">IF(ISERROR(MATCH(H$1,INDIRECT("Table!A"&amp;$U131):INDIRECT("Table!" &amp; $X$171 &amp; $U131),0)),"",INDIRECT(CONCATENATE("Table!",ADDRESS($Q131,MATCH(H$1,INDIRECT("Table!A" &amp; $U131):INDIRECT("Table!" &amp; $X$171 &amp; $U131),0)))))</f>
        <v>121331.8</v>
      </c>
      <c r="I131" s="33">
        <f ca="1">IF(ISERROR(MATCH(I$1,INDIRECT("Table!A"&amp;$U131):INDIRECT("Table!" &amp; $X$171 &amp; $U131),0)),"",INDIRECT(CONCATENATE("Table!",ADDRESS($Q131,MATCH(I$1,INDIRECT("Table!A" &amp; $U131):INDIRECT("Table!" &amp; $X$171 &amp; $U131),0)))))</f>
        <v>170967.6</v>
      </c>
      <c r="J131" s="33">
        <f ca="1">IF(ISERROR(MATCH(J$1,INDIRECT("Table!A"&amp;$U131):INDIRECT("Table!" &amp; $X$171 &amp; $U131),0)),"",INDIRECT(CONCATENATE("Table!",ADDRESS($Q131,MATCH(J$1,INDIRECT("Table!A" &amp; $U131):INDIRECT("Table!" &amp; $X$171 &amp; $U131),0)))))</f>
        <v>54921</v>
      </c>
      <c r="K131" s="33">
        <f ca="1">IF(ISERROR(MATCH(K$1,INDIRECT("Table!A"&amp;$U131):INDIRECT("Table!" &amp; $X$171 &amp; $U131),0)),"",INDIRECT(CONCATENATE("Table!",ADDRESS($Q131,MATCH(K$1,INDIRECT("Table!A" &amp; $U131):INDIRECT("Table!" &amp; $X$171 &amp; $U131),0)))))</f>
        <v>60665.9</v>
      </c>
      <c r="L131" s="33">
        <f ca="1">IF(ISERROR(MATCH(L$1,INDIRECT("Table!A"&amp;$U131):INDIRECT("Table!" &amp; $X$171 &amp; $U131),0)),"",INDIRECT(CONCATENATE("Table!",ADDRESS($Q131,MATCH(L$1,INDIRECT("Table!A" &amp; $U131):INDIRECT("Table!" &amp; $X$171 &amp; $U131),0)))))</f>
        <v>176482.7</v>
      </c>
      <c r="M131" s="33">
        <f ca="1">IF(ISERROR(MATCH(M$1,INDIRECT("Table!A"&amp;$U131):INDIRECT("Table!" &amp; $X$171 &amp; $U131),0)),"",INDIRECT(CONCATENATE("Table!",ADDRESS($Q131,MATCH(M$1,INDIRECT("Table!A" &amp; $U131):INDIRECT("Table!" &amp; $X$171 &amp; $U131),0)))))</f>
        <v>54921</v>
      </c>
      <c r="N131" s="158"/>
      <c r="O131" s="158"/>
      <c r="P131" s="158"/>
      <c r="Q131" s="31">
        <f>MATCH($A131,Table!$A:$A,0)+$S$14-1</f>
        <v>1741</v>
      </c>
      <c r="R131" s="158"/>
      <c r="S131" s="158"/>
      <c r="T131" s="158"/>
      <c r="U131" s="31">
        <f>MATCH($A131,Table!$A:$A,0)+$W$2-1</f>
        <v>1727</v>
      </c>
      <c r="V131" s="158"/>
      <c r="W131" s="158"/>
      <c r="X131" s="372" t="s">
        <v>209</v>
      </c>
    </row>
    <row r="132" spans="1:24" ht="18" customHeight="1">
      <c r="A132" s="5">
        <v>40980</v>
      </c>
      <c r="B132" s="33">
        <f ca="1">IF(ISERROR(MATCH(B$1,INDIRECT("Table!A"&amp;$U132):INDIRECT("Table!" &amp; $X$171 &amp; $U132),0)),"",INDIRECT(CONCATENATE("Table!",ADDRESS($Q132,MATCH(B$1,INDIRECT("Table!A" &amp; $U132):INDIRECT("Table!" &amp; $X$171 &amp; $U132),0)))))</f>
        <v>115816.8</v>
      </c>
      <c r="C132" s="33">
        <f ca="1">IF(ISERROR(MATCH(C$1,INDIRECT("Table!A"&amp;$U132):INDIRECT("Table!" &amp; $X$171 &amp; $U132),0)),"",INDIRECT(CONCATENATE("Table!",ADDRESS($Q132,MATCH(C$1,INDIRECT("Table!A" &amp; $U132):INDIRECT("Table!" &amp; $X$171 &amp; $U132),0)))))</f>
        <v>99042</v>
      </c>
      <c r="D132" s="33">
        <f ca="1">IF(ISERROR(MATCH(D$1,INDIRECT("Table!A"&amp;$U132):INDIRECT("Table!" &amp; $X$171 &amp; $U132),0)),"",INDIRECT(CONCATENATE("Table!",ADDRESS($Q132,MATCH(D$1,INDIRECT("Table!A" &amp; $U132):INDIRECT("Table!" &amp; $X$171 &amp; $U132),0)))))</f>
        <v>99042</v>
      </c>
      <c r="E132" s="33">
        <f ca="1">IF(ISERROR(MATCH(E$1,INDIRECT("Table!A"&amp;$U132):INDIRECT("Table!" &amp; $X$171 &amp; $U132),0)),"",INDIRECT(CONCATENATE("Table!",ADDRESS($Q132,MATCH(E$1,INDIRECT("Table!A" &amp; $U132):INDIRECT("Table!" &amp; $X$171 &amp; $U132),0)))))</f>
        <v>154422.39999999999</v>
      </c>
      <c r="F132" s="33">
        <f ca="1">IF(ISERROR(MATCH(F$1,INDIRECT("Table!A"&amp;$U132):INDIRECT("Table!" &amp; $X$171 &amp; $U132),0)),"",INDIRECT(CONCATENATE("Table!",ADDRESS($Q132,MATCH(F$1,INDIRECT("Table!A" &amp; $U132):INDIRECT("Table!" &amp; $X$171 &amp; $U132),0)))))</f>
        <v>121331.8</v>
      </c>
      <c r="G132" s="33">
        <f ca="1">IF(ISERROR(MATCH(G$1,INDIRECT("Table!A"&amp;$U132):INDIRECT("Table!" &amp; $X$171 &amp; $U132),0)),"",INDIRECT(CONCATENATE("Table!",ADDRESS($Q132,MATCH(G$1,INDIRECT("Table!A" &amp; $U132):INDIRECT("Table!" &amp; $X$171 &amp; $U132),0)))))</f>
        <v>110071.9</v>
      </c>
      <c r="H132" s="33">
        <f ca="1">IF(ISERROR(MATCH(H$1,INDIRECT("Table!A"&amp;$U132):INDIRECT("Table!" &amp; $X$171 &amp; $U132),0)),"",INDIRECT(CONCATENATE("Table!",ADDRESS($Q132,MATCH(H$1,INDIRECT("Table!A" &amp; $U132):INDIRECT("Table!" &amp; $X$171 &amp; $U132),0)))))</f>
        <v>121331.8</v>
      </c>
      <c r="I132" s="33">
        <f ca="1">IF(ISERROR(MATCH(I$1,INDIRECT("Table!A"&amp;$U132):INDIRECT("Table!" &amp; $X$171 &amp; $U132),0)),"",INDIRECT(CONCATENATE("Table!",ADDRESS($Q132,MATCH(I$1,INDIRECT("Table!A" &amp; $U132):INDIRECT("Table!" &amp; $X$171 &amp; $U132),0)))))</f>
        <v>170967.6</v>
      </c>
      <c r="J132" s="33">
        <f ca="1">IF(ISERROR(MATCH(J$1,INDIRECT("Table!A"&amp;$U132):INDIRECT("Table!" &amp; $X$171 &amp; $U132),0)),"",INDIRECT(CONCATENATE("Table!",ADDRESS($Q132,MATCH(J$1,INDIRECT("Table!A" &amp; $U132):INDIRECT("Table!" &amp; $X$171 &amp; $U132),0)))))</f>
        <v>54921</v>
      </c>
      <c r="K132" s="33">
        <f ca="1">IF(ISERROR(MATCH(K$1,INDIRECT("Table!A"&amp;$U132):INDIRECT("Table!" &amp; $X$171 &amp; $U132),0)),"",INDIRECT(CONCATENATE("Table!",ADDRESS($Q132,MATCH(K$1,INDIRECT("Table!A" &amp; $U132):INDIRECT("Table!" &amp; $X$171 &amp; $U132),0)))))</f>
        <v>60665.9</v>
      </c>
      <c r="L132" s="33">
        <f ca="1">IF(ISERROR(MATCH(L$1,INDIRECT("Table!A"&amp;$U132):INDIRECT("Table!" &amp; $X$171 &amp; $U132),0)),"",INDIRECT(CONCATENATE("Table!",ADDRESS($Q132,MATCH(L$1,INDIRECT("Table!A" &amp; $U132):INDIRECT("Table!" &amp; $X$171 &amp; $U132),0)))))</f>
        <v>176482.7</v>
      </c>
      <c r="M132" s="33">
        <f ca="1">IF(ISERROR(MATCH(M$1,INDIRECT("Table!A"&amp;$U132):INDIRECT("Table!" &amp; $X$171 &amp; $U132),0)),"",INDIRECT(CONCATENATE("Table!",ADDRESS($Q132,MATCH(M$1,INDIRECT("Table!A" &amp; $U132):INDIRECT("Table!" &amp; $X$171 &amp; $U132),0)))))</f>
        <v>54921</v>
      </c>
      <c r="N132" s="157"/>
      <c r="O132" s="157"/>
      <c r="P132" s="157"/>
      <c r="Q132" s="31">
        <f>MATCH($A132,Table!$A:$A,0)+$S$14-1</f>
        <v>1754</v>
      </c>
      <c r="R132" s="157"/>
      <c r="S132" s="157"/>
      <c r="T132" s="157"/>
      <c r="U132" s="31">
        <f>MATCH($A132,Table!$A:$A,0)+$W$2-1</f>
        <v>1740</v>
      </c>
      <c r="V132" s="157"/>
      <c r="W132" s="157"/>
      <c r="X132" s="372" t="s">
        <v>209</v>
      </c>
    </row>
    <row r="133" spans="1:24" ht="18" customHeight="1">
      <c r="A133" s="5">
        <v>40977</v>
      </c>
      <c r="B133" s="33">
        <f ca="1">IF(ISERROR(MATCH(B$1,INDIRECT("Table!A"&amp;$U133):INDIRECT("Table!" &amp; $X$171 &amp; $U133),0)),"",INDIRECT(CONCATENATE("Table!",ADDRESS($Q133,MATCH(B$1,INDIRECT("Table!A" &amp; $U133):INDIRECT("Table!" &amp; $X$171 &amp; $U133),0)))))</f>
        <v>115816.8</v>
      </c>
      <c r="C133" s="33">
        <f ca="1">IF(ISERROR(MATCH(C$1,INDIRECT("Table!A"&amp;$U133):INDIRECT("Table!" &amp; $X$171 &amp; $U133),0)),"",INDIRECT(CONCATENATE("Table!",ADDRESS($Q133,MATCH(C$1,INDIRECT("Table!A" &amp; $U133):INDIRECT("Table!" &amp; $X$171 &amp; $U133),0)))))</f>
        <v>99042</v>
      </c>
      <c r="D133" s="33">
        <f ca="1">IF(ISERROR(MATCH(D$1,INDIRECT("Table!A"&amp;$U133):INDIRECT("Table!" &amp; $X$171 &amp; $U133),0)),"",INDIRECT(CONCATENATE("Table!",ADDRESS($Q133,MATCH(D$1,INDIRECT("Table!A" &amp; $U133):INDIRECT("Table!" &amp; $X$171 &amp; $U133),0)))))</f>
        <v>99042</v>
      </c>
      <c r="E133" s="33">
        <f ca="1">IF(ISERROR(MATCH(E$1,INDIRECT("Table!A"&amp;$U133):INDIRECT("Table!" &amp; $X$171 &amp; $U133),0)),"",INDIRECT(CONCATENATE("Table!",ADDRESS($Q133,MATCH(E$1,INDIRECT("Table!A" &amp; $U133):INDIRECT("Table!" &amp; $X$171 &amp; $U133),0)))))</f>
        <v>154422.39999999999</v>
      </c>
      <c r="F133" s="33">
        <f ca="1">IF(ISERROR(MATCH(F$1,INDIRECT("Table!A"&amp;$U133):INDIRECT("Table!" &amp; $X$171 &amp; $U133),0)),"",INDIRECT(CONCATENATE("Table!",ADDRESS($Q133,MATCH(F$1,INDIRECT("Table!A" &amp; $U133):INDIRECT("Table!" &amp; $X$171 &amp; $U133),0)))))</f>
        <v>121331.8</v>
      </c>
      <c r="G133" s="33">
        <f ca="1">IF(ISERROR(MATCH(G$1,INDIRECT("Table!A"&amp;$U133):INDIRECT("Table!" &amp; $X$171 &amp; $U133),0)),"",INDIRECT(CONCATENATE("Table!",ADDRESS($Q133,MATCH(G$1,INDIRECT("Table!A" &amp; $U133):INDIRECT("Table!" &amp; $X$171 &amp; $U133),0)))))</f>
        <v>110071.9</v>
      </c>
      <c r="H133" s="33">
        <f ca="1">IF(ISERROR(MATCH(H$1,INDIRECT("Table!A"&amp;$U133):INDIRECT("Table!" &amp; $X$171 &amp; $U133),0)),"",INDIRECT(CONCATENATE("Table!",ADDRESS($Q133,MATCH(H$1,INDIRECT("Table!A" &amp; $U133):INDIRECT("Table!" &amp; $X$171 &amp; $U133),0)))))</f>
        <v>121331.8</v>
      </c>
      <c r="I133" s="33">
        <f ca="1">IF(ISERROR(MATCH(I$1,INDIRECT("Table!A"&amp;$U133):INDIRECT("Table!" &amp; $X$171 &amp; $U133),0)),"",INDIRECT(CONCATENATE("Table!",ADDRESS($Q133,MATCH(I$1,INDIRECT("Table!A" &amp; $U133):INDIRECT("Table!" &amp; $X$171 &amp; $U133),0)))))</f>
        <v>170967.6</v>
      </c>
      <c r="J133" s="33">
        <f ca="1">IF(ISERROR(MATCH(J$1,INDIRECT("Table!A"&amp;$U133):INDIRECT("Table!" &amp; $X$171 &amp; $U133),0)),"",INDIRECT(CONCATENATE("Table!",ADDRESS($Q133,MATCH(J$1,INDIRECT("Table!A" &amp; $U133):INDIRECT("Table!" &amp; $X$171 &amp; $U133),0)))))</f>
        <v>54921</v>
      </c>
      <c r="K133" s="33">
        <f ca="1">IF(ISERROR(MATCH(K$1,INDIRECT("Table!A"&amp;$U133):INDIRECT("Table!" &amp; $X$171 &amp; $U133),0)),"",INDIRECT(CONCATENATE("Table!",ADDRESS($Q133,MATCH(K$1,INDIRECT("Table!A" &amp; $U133):INDIRECT("Table!" &amp; $X$171 &amp; $U133),0)))))</f>
        <v>60665.9</v>
      </c>
      <c r="L133" s="33">
        <f ca="1">IF(ISERROR(MATCH(L$1,INDIRECT("Table!A"&amp;$U133):INDIRECT("Table!" &amp; $X$171 &amp; $U133),0)),"",INDIRECT(CONCATENATE("Table!",ADDRESS($Q133,MATCH(L$1,INDIRECT("Table!A" &amp; $U133):INDIRECT("Table!" &amp; $X$171 &amp; $U133),0)))))</f>
        <v>176482.7</v>
      </c>
      <c r="M133" s="33">
        <f ca="1">IF(ISERROR(MATCH(M$1,INDIRECT("Table!A"&amp;$U133):INDIRECT("Table!" &amp; $X$171 &amp; $U133),0)),"",INDIRECT(CONCATENATE("Table!",ADDRESS($Q133,MATCH(M$1,INDIRECT("Table!A" &amp; $U133):INDIRECT("Table!" &amp; $X$171 &amp; $U133),0)))))</f>
        <v>54921</v>
      </c>
      <c r="N133" s="156"/>
      <c r="O133" s="156"/>
      <c r="P133" s="156"/>
      <c r="Q133" s="31">
        <f>MATCH($A133,Table!$A:$A,0)+$S$14-1</f>
        <v>1767</v>
      </c>
      <c r="R133" s="156"/>
      <c r="S133" s="156"/>
      <c r="T133" s="156"/>
      <c r="U133" s="31">
        <f>MATCH($A133,Table!$A:$A,0)+$W$2-1</f>
        <v>1753</v>
      </c>
      <c r="V133" s="156"/>
      <c r="W133" s="156"/>
      <c r="X133" s="372" t="s">
        <v>209</v>
      </c>
    </row>
    <row r="134" spans="1:24" ht="18" customHeight="1">
      <c r="A134" s="5">
        <v>40976</v>
      </c>
      <c r="B134" s="33">
        <f ca="1">IF(ISERROR(MATCH(B$1,INDIRECT("Table!A"&amp;$U134):INDIRECT("Table!" &amp; $X$171 &amp; $U134),0)),"",INDIRECT(CONCATENATE("Table!",ADDRESS($Q134,MATCH(B$1,INDIRECT("Table!A" &amp; $U134):INDIRECT("Table!" &amp; $X$171 &amp; $U134),0)))))</f>
        <v>115816.8</v>
      </c>
      <c r="C134" s="33">
        <f ca="1">IF(ISERROR(MATCH(C$1,INDIRECT("Table!A"&amp;$U134):INDIRECT("Table!" &amp; $X$171 &amp; $U134),0)),"",INDIRECT(CONCATENATE("Table!",ADDRESS($Q134,MATCH(C$1,INDIRECT("Table!A" &amp; $U134):INDIRECT("Table!" &amp; $X$171 &amp; $U134),0)))))</f>
        <v>99042</v>
      </c>
      <c r="D134" s="33">
        <f ca="1">IF(ISERROR(MATCH(D$1,INDIRECT("Table!A"&amp;$U134):INDIRECT("Table!" &amp; $X$171 &amp; $U134),0)),"",INDIRECT(CONCATENATE("Table!",ADDRESS($Q134,MATCH(D$1,INDIRECT("Table!A" &amp; $U134):INDIRECT("Table!" &amp; $X$171 &amp; $U134),0)))))</f>
        <v>99042</v>
      </c>
      <c r="E134" s="33">
        <f ca="1">IF(ISERROR(MATCH(E$1,INDIRECT("Table!A"&amp;$U134):INDIRECT("Table!" &amp; $X$171 &amp; $U134),0)),"",INDIRECT(CONCATENATE("Table!",ADDRESS($Q134,MATCH(E$1,INDIRECT("Table!A" &amp; $U134):INDIRECT("Table!" &amp; $X$171 &amp; $U134),0)))))</f>
        <v>154422.39999999999</v>
      </c>
      <c r="F134" s="33">
        <f ca="1">IF(ISERROR(MATCH(F$1,INDIRECT("Table!A"&amp;$U134):INDIRECT("Table!" &amp; $X$171 &amp; $U134),0)),"",INDIRECT(CONCATENATE("Table!",ADDRESS($Q134,MATCH(F$1,INDIRECT("Table!A" &amp; $U134):INDIRECT("Table!" &amp; $X$171 &amp; $U134),0)))))</f>
        <v>121331.8</v>
      </c>
      <c r="G134" s="33">
        <f ca="1">IF(ISERROR(MATCH(G$1,INDIRECT("Table!A"&amp;$U134):INDIRECT("Table!" &amp; $X$171 &amp; $U134),0)),"",INDIRECT(CONCATENATE("Table!",ADDRESS($Q134,MATCH(G$1,INDIRECT("Table!A" &amp; $U134):INDIRECT("Table!" &amp; $X$171 &amp; $U134),0)))))</f>
        <v>110071.9</v>
      </c>
      <c r="H134" s="33">
        <f ca="1">IF(ISERROR(MATCH(H$1,INDIRECT("Table!A"&amp;$U134):INDIRECT("Table!" &amp; $X$171 &amp; $U134),0)),"",INDIRECT(CONCATENATE("Table!",ADDRESS($Q134,MATCH(H$1,INDIRECT("Table!A" &amp; $U134):INDIRECT("Table!" &amp; $X$171 &amp; $U134),0)))))</f>
        <v>121331.8</v>
      </c>
      <c r="I134" s="33">
        <f ca="1">IF(ISERROR(MATCH(I$1,INDIRECT("Table!A"&amp;$U134):INDIRECT("Table!" &amp; $X$171 &amp; $U134),0)),"",INDIRECT(CONCATENATE("Table!",ADDRESS($Q134,MATCH(I$1,INDIRECT("Table!A" &amp; $U134):INDIRECT("Table!" &amp; $X$171 &amp; $U134),0)))))</f>
        <v>170967.6</v>
      </c>
      <c r="J134" s="33">
        <f ca="1">IF(ISERROR(MATCH(J$1,INDIRECT("Table!A"&amp;$U134):INDIRECT("Table!" &amp; $X$171 &amp; $U134),0)),"",INDIRECT(CONCATENATE("Table!",ADDRESS($Q134,MATCH(J$1,INDIRECT("Table!A" &amp; $U134):INDIRECT("Table!" &amp; $X$171 &amp; $U134),0)))))</f>
        <v>54921</v>
      </c>
      <c r="K134" s="33">
        <f ca="1">IF(ISERROR(MATCH(K$1,INDIRECT("Table!A"&amp;$U134):INDIRECT("Table!" &amp; $X$171 &amp; $U134),0)),"",INDIRECT(CONCATENATE("Table!",ADDRESS($Q134,MATCH(K$1,INDIRECT("Table!A" &amp; $U134):INDIRECT("Table!" &amp; $X$171 &amp; $U134),0)))))</f>
        <v>60665.9</v>
      </c>
      <c r="L134" s="33">
        <f ca="1">IF(ISERROR(MATCH(L$1,INDIRECT("Table!A"&amp;$U134):INDIRECT("Table!" &amp; $X$171 &amp; $U134),0)),"",INDIRECT(CONCATENATE("Table!",ADDRESS($Q134,MATCH(L$1,INDIRECT("Table!A" &amp; $U134):INDIRECT("Table!" &amp; $X$171 &amp; $U134),0)))))</f>
        <v>176482.7</v>
      </c>
      <c r="M134" s="33">
        <f ca="1">IF(ISERROR(MATCH(M$1,INDIRECT("Table!A"&amp;$U134):INDIRECT("Table!" &amp; $X$171 &amp; $U134),0)),"",INDIRECT(CONCATENATE("Table!",ADDRESS($Q134,MATCH(M$1,INDIRECT("Table!A" &amp; $U134):INDIRECT("Table!" &amp; $X$171 &amp; $U134),0)))))</f>
        <v>54921</v>
      </c>
      <c r="N134" s="155"/>
      <c r="O134" s="155"/>
      <c r="P134" s="155"/>
      <c r="Q134" s="31">
        <f>MATCH($A134,Table!$A:$A,0)+$S$14-1</f>
        <v>1780</v>
      </c>
      <c r="R134" s="155"/>
      <c r="S134" s="155"/>
      <c r="T134" s="155"/>
      <c r="U134" s="31">
        <f>MATCH($A134,Table!$A:$A,0)+$W$2-1</f>
        <v>1766</v>
      </c>
      <c r="V134" s="155"/>
      <c r="W134" s="155"/>
      <c r="X134" s="372" t="s">
        <v>209</v>
      </c>
    </row>
    <row r="135" spans="1:24" ht="18" customHeight="1">
      <c r="A135" s="5">
        <v>40974</v>
      </c>
      <c r="B135" s="33">
        <f ca="1">IF(ISERROR(MATCH(B$1,INDIRECT("Table!A"&amp;$U135):INDIRECT("Table!" &amp; $X$171 &amp; $U135),0)),"",INDIRECT(CONCATENATE("Table!",ADDRESS($Q135,MATCH(B$1,INDIRECT("Table!A" &amp; $U135):INDIRECT("Table!" &amp; $X$171 &amp; $U135),0)))))</f>
        <v>115816.8</v>
      </c>
      <c r="C135" s="33">
        <f ca="1">IF(ISERROR(MATCH(C$1,INDIRECT("Table!A"&amp;$U135):INDIRECT("Table!" &amp; $X$171 &amp; $U135),0)),"",INDIRECT(CONCATENATE("Table!",ADDRESS($Q135,MATCH(C$1,INDIRECT("Table!A" &amp; $U135):INDIRECT("Table!" &amp; $X$171 &amp; $U135),0)))))</f>
        <v>79968.7</v>
      </c>
      <c r="D135" s="33">
        <f ca="1">IF(ISERROR(MATCH(D$1,INDIRECT("Table!A"&amp;$U135):INDIRECT("Table!" &amp; $X$171 &amp; $U135),0)),"",INDIRECT(CONCATENATE("Table!",ADDRESS($Q135,MATCH(D$1,INDIRECT("Table!A" &amp; $U135):INDIRECT("Table!" &amp; $X$171 &amp; $U135),0)))))</f>
        <v>79968.7</v>
      </c>
      <c r="E135" s="33">
        <f ca="1">IF(ISERROR(MATCH(E$1,INDIRECT("Table!A"&amp;$U135):INDIRECT("Table!" &amp; $X$171 &amp; $U135),0)),"",INDIRECT(CONCATENATE("Table!",ADDRESS($Q135,MATCH(E$1,INDIRECT("Table!A" &amp; $U135):INDIRECT("Table!" &amp; $X$171 &amp; $U135),0)))))</f>
        <v>154422.39999999999</v>
      </c>
      <c r="F135" s="33">
        <f ca="1">IF(ISERROR(MATCH(F$1,INDIRECT("Table!A"&amp;$U135):INDIRECT("Table!" &amp; $X$171 &amp; $U135),0)),"",INDIRECT(CONCATENATE("Table!",ADDRESS($Q135,MATCH(F$1,INDIRECT("Table!A" &amp; $U135):INDIRECT("Table!" &amp; $X$171 &amp; $U135),0)))))</f>
        <v>121331.8</v>
      </c>
      <c r="G135" s="33">
        <f ca="1">IF(ISERROR(MATCH(G$1,INDIRECT("Table!A"&amp;$U135):INDIRECT("Table!" &amp; $X$171 &amp; $U135),0)),"",INDIRECT(CONCATENATE("Table!",ADDRESS($Q135,MATCH(G$1,INDIRECT("Table!A" &amp; $U135):INDIRECT("Table!" &amp; $X$171 &amp; $U135),0)))))</f>
        <v>110071.9</v>
      </c>
      <c r="H135" s="33">
        <f ca="1">IF(ISERROR(MATCH(H$1,INDIRECT("Table!A"&amp;$U135):INDIRECT("Table!" &amp; $X$171 &amp; $U135),0)),"",INDIRECT(CONCATENATE("Table!",ADDRESS($Q135,MATCH(H$1,INDIRECT("Table!A" &amp; $U135):INDIRECT("Table!" &amp; $X$171 &amp; $U135),0)))))</f>
        <v>121331.8</v>
      </c>
      <c r="I135" s="33">
        <f ca="1">IF(ISERROR(MATCH(I$1,INDIRECT("Table!A"&amp;$U135):INDIRECT("Table!" &amp; $X$171 &amp; $U135),0)),"",INDIRECT(CONCATENATE("Table!",ADDRESS($Q135,MATCH(I$1,INDIRECT("Table!A" &amp; $U135):INDIRECT("Table!" &amp; $X$171 &amp; $U135),0)))))</f>
        <v>170967.6</v>
      </c>
      <c r="J135" s="33">
        <f ca="1">IF(ISERROR(MATCH(J$1,INDIRECT("Table!A"&amp;$U135):INDIRECT("Table!" &amp; $X$171 &amp; $U135),0)),"",INDIRECT(CONCATENATE("Table!",ADDRESS($Q135,MATCH(J$1,INDIRECT("Table!A" &amp; $U135):INDIRECT("Table!" &amp; $X$171 &amp; $U135),0)))))</f>
        <v>54921</v>
      </c>
      <c r="K135" s="33">
        <f ca="1">IF(ISERROR(MATCH(K$1,INDIRECT("Table!A"&amp;$U135):INDIRECT("Table!" &amp; $X$171 &amp; $U135),0)),"",INDIRECT(CONCATENATE("Table!",ADDRESS($Q135,MATCH(K$1,INDIRECT("Table!A" &amp; $U135):INDIRECT("Table!" &amp; $X$171 &amp; $U135),0)))))</f>
        <v>60665.9</v>
      </c>
      <c r="L135" s="33">
        <f ca="1">IF(ISERROR(MATCH(L$1,INDIRECT("Table!A"&amp;$U135):INDIRECT("Table!" &amp; $X$171 &amp; $U135),0)),"",INDIRECT(CONCATENATE("Table!",ADDRESS($Q135,MATCH(L$1,INDIRECT("Table!A" &amp; $U135):INDIRECT("Table!" &amp; $X$171 &amp; $U135),0)))))</f>
        <v>176482.7</v>
      </c>
      <c r="M135" s="33">
        <f ca="1">IF(ISERROR(MATCH(M$1,INDIRECT("Table!A"&amp;$U135):INDIRECT("Table!" &amp; $X$171 &amp; $U135),0)),"",INDIRECT(CONCATENATE("Table!",ADDRESS($Q135,MATCH(M$1,INDIRECT("Table!A" &amp; $U135):INDIRECT("Table!" &amp; $X$171 &amp; $U135),0)))))</f>
        <v>54921</v>
      </c>
      <c r="N135" s="153"/>
      <c r="O135" s="153"/>
      <c r="P135" s="153"/>
      <c r="Q135" s="31">
        <f>MATCH($A135,Table!$A:$A,0)+$S$14-1</f>
        <v>1793</v>
      </c>
      <c r="R135" s="153"/>
      <c r="S135" s="153"/>
      <c r="T135" s="153"/>
      <c r="U135" s="31">
        <f>MATCH($A135,Table!$A:$A,0)+$W$2-1</f>
        <v>1779</v>
      </c>
      <c r="V135" s="153"/>
      <c r="W135" s="153"/>
      <c r="X135" s="372" t="s">
        <v>209</v>
      </c>
    </row>
    <row r="136" spans="1:24" ht="18" customHeight="1">
      <c r="A136" s="5">
        <v>40973</v>
      </c>
      <c r="B136" s="33">
        <f ca="1">IF(ISERROR(MATCH(B$1,INDIRECT("Table!A"&amp;$U136):INDIRECT("Table!" &amp; $X$171 &amp; $U136),0)),"",INDIRECT(CONCATENATE("Table!",ADDRESS($Q136,MATCH(B$1,INDIRECT("Table!A" &amp; $U136):INDIRECT("Table!" &amp; $X$171 &amp; $U136),0)))))</f>
        <v>115816.8</v>
      </c>
      <c r="C136" s="33">
        <f ca="1">IF(ISERROR(MATCH(C$1,INDIRECT("Table!A"&amp;$U136):INDIRECT("Table!" &amp; $X$171 &amp; $U136),0)),"",INDIRECT(CONCATENATE("Table!",ADDRESS($Q136,MATCH(C$1,INDIRECT("Table!A" &amp; $U136):INDIRECT("Table!" &amp; $X$171 &amp; $U136),0)))))</f>
        <v>79968.7</v>
      </c>
      <c r="D136" s="33">
        <f ca="1">IF(ISERROR(MATCH(D$1,INDIRECT("Table!A"&amp;$U136):INDIRECT("Table!" &amp; $X$171 &amp; $U136),0)),"",INDIRECT(CONCATENATE("Table!",ADDRESS($Q136,MATCH(D$1,INDIRECT("Table!A" &amp; $U136):INDIRECT("Table!" &amp; $X$171 &amp; $U136),0)))))</f>
        <v>79968.7</v>
      </c>
      <c r="E136" s="33">
        <f ca="1">IF(ISERROR(MATCH(E$1,INDIRECT("Table!A"&amp;$U136):INDIRECT("Table!" &amp; $X$171 &amp; $U136),0)),"",INDIRECT(CONCATENATE("Table!",ADDRESS($Q136,MATCH(E$1,INDIRECT("Table!A" &amp; $U136):INDIRECT("Table!" &amp; $X$171 &amp; $U136),0)))))</f>
        <v>154422.39999999999</v>
      </c>
      <c r="F136" s="33">
        <f ca="1">IF(ISERROR(MATCH(F$1,INDIRECT("Table!A"&amp;$U136):INDIRECT("Table!" &amp; $X$171 &amp; $U136),0)),"",INDIRECT(CONCATENATE("Table!",ADDRESS($Q136,MATCH(F$1,INDIRECT("Table!A" &amp; $U136):INDIRECT("Table!" &amp; $X$171 &amp; $U136),0)))))</f>
        <v>121331.8</v>
      </c>
      <c r="G136" s="33">
        <f ca="1">IF(ISERROR(MATCH(G$1,INDIRECT("Table!A"&amp;$U136):INDIRECT("Table!" &amp; $X$171 &amp; $U136),0)),"",INDIRECT(CONCATENATE("Table!",ADDRESS($Q136,MATCH(G$1,INDIRECT("Table!A" &amp; $U136):INDIRECT("Table!" &amp; $X$171 &amp; $U136),0)))))</f>
        <v>110071.9</v>
      </c>
      <c r="H136" s="33">
        <f ca="1">IF(ISERROR(MATCH(H$1,INDIRECT("Table!A"&amp;$U136):INDIRECT("Table!" &amp; $X$171 &amp; $U136),0)),"",INDIRECT(CONCATENATE("Table!",ADDRESS($Q136,MATCH(H$1,INDIRECT("Table!A" &amp; $U136):INDIRECT("Table!" &amp; $X$171 &amp; $U136),0)))))</f>
        <v>121331.8</v>
      </c>
      <c r="I136" s="33">
        <f ca="1">IF(ISERROR(MATCH(I$1,INDIRECT("Table!A"&amp;$U136):INDIRECT("Table!" &amp; $X$171 &amp; $U136),0)),"",INDIRECT(CONCATENATE("Table!",ADDRESS($Q136,MATCH(I$1,INDIRECT("Table!A" &amp; $U136):INDIRECT("Table!" &amp; $X$171 &amp; $U136),0)))))</f>
        <v>170967.6</v>
      </c>
      <c r="J136" s="33">
        <f ca="1">IF(ISERROR(MATCH(J$1,INDIRECT("Table!A"&amp;$U136):INDIRECT("Table!" &amp; $X$171 &amp; $U136),0)),"",INDIRECT(CONCATENATE("Table!",ADDRESS($Q136,MATCH(J$1,INDIRECT("Table!A" &amp; $U136):INDIRECT("Table!" &amp; $X$171 &amp; $U136),0)))))</f>
        <v>54921</v>
      </c>
      <c r="K136" s="33">
        <f ca="1">IF(ISERROR(MATCH(K$1,INDIRECT("Table!A"&amp;$U136):INDIRECT("Table!" &amp; $X$171 &amp; $U136),0)),"",INDIRECT(CONCATENATE("Table!",ADDRESS($Q136,MATCH(K$1,INDIRECT("Table!A" &amp; $U136):INDIRECT("Table!" &amp; $X$171 &amp; $U136),0)))))</f>
        <v>60665.9</v>
      </c>
      <c r="L136" s="33">
        <f ca="1">IF(ISERROR(MATCH(L$1,INDIRECT("Table!A"&amp;$U136):INDIRECT("Table!" &amp; $X$171 &amp; $U136),0)),"",INDIRECT(CONCATENATE("Table!",ADDRESS($Q136,MATCH(L$1,INDIRECT("Table!A" &amp; $U136):INDIRECT("Table!" &amp; $X$171 &amp; $U136),0)))))</f>
        <v>176482.7</v>
      </c>
      <c r="M136" s="33">
        <f ca="1">IF(ISERROR(MATCH(M$1,INDIRECT("Table!A"&amp;$U136):INDIRECT("Table!" &amp; $X$171 &amp; $U136),0)),"",INDIRECT(CONCATENATE("Table!",ADDRESS($Q136,MATCH(M$1,INDIRECT("Table!A" &amp; $U136):INDIRECT("Table!" &amp; $X$171 &amp; $U136),0)))))</f>
        <v>54921</v>
      </c>
      <c r="N136" s="152"/>
      <c r="O136" s="152"/>
      <c r="P136" s="152"/>
      <c r="Q136" s="31">
        <f>MATCH($A136,Table!$A:$A,0)+$S$14-1</f>
        <v>1806</v>
      </c>
      <c r="R136" s="152"/>
      <c r="S136" s="152"/>
      <c r="T136" s="152"/>
      <c r="U136" s="31">
        <f>MATCH($A136,Table!$A:$A,0)+$W$2-1</f>
        <v>1792</v>
      </c>
      <c r="V136" s="152"/>
      <c r="W136" s="152"/>
      <c r="X136" s="372" t="s">
        <v>209</v>
      </c>
    </row>
    <row r="137" spans="1:24" ht="18" customHeight="1">
      <c r="A137" s="5">
        <v>40968</v>
      </c>
      <c r="B137" s="33">
        <f ca="1">IF(ISERROR(MATCH(B$1,INDIRECT("Table!A"&amp;$U137):INDIRECT("Table!" &amp; $X$171 &amp; $U137),0)),"",INDIRECT(CONCATENATE("Table!",ADDRESS($Q137,MATCH(B$1,INDIRECT("Table!A" &amp; $U137):INDIRECT("Table!" &amp; $X$171 &amp; $U137),0)))))</f>
        <v>115816.8</v>
      </c>
      <c r="C137" s="33">
        <f ca="1">IF(ISERROR(MATCH(C$1,INDIRECT("Table!A"&amp;$U137):INDIRECT("Table!" &amp; $X$171 &amp; $U137),0)),"",INDIRECT(CONCATENATE("Table!",ADDRESS($Q137,MATCH(C$1,INDIRECT("Table!A" &amp; $U137):INDIRECT("Table!" &amp; $X$171 &amp; $U137),0)))))</f>
        <v>79968.7</v>
      </c>
      <c r="D137" s="33">
        <f ca="1">IF(ISERROR(MATCH(D$1,INDIRECT("Table!A"&amp;$U137):INDIRECT("Table!" &amp; $X$171 &amp; $U137),0)),"",INDIRECT(CONCATENATE("Table!",ADDRESS($Q137,MATCH(D$1,INDIRECT("Table!A" &amp; $U137):INDIRECT("Table!" &amp; $X$171 &amp; $U137),0)))))</f>
        <v>79968.7</v>
      </c>
      <c r="E137" s="33">
        <f ca="1">IF(ISERROR(MATCH(E$1,INDIRECT("Table!A"&amp;$U137):INDIRECT("Table!" &amp; $X$171 &amp; $U137),0)),"",INDIRECT(CONCATENATE("Table!",ADDRESS($Q137,MATCH(E$1,INDIRECT("Table!A" &amp; $U137):INDIRECT("Table!" &amp; $X$171 &amp; $U137),0)))))</f>
        <v>154422.39999999999</v>
      </c>
      <c r="F137" s="33">
        <f ca="1">IF(ISERROR(MATCH(F$1,INDIRECT("Table!A"&amp;$U137):INDIRECT("Table!" &amp; $X$171 &amp; $U137),0)),"",INDIRECT(CONCATENATE("Table!",ADDRESS($Q137,MATCH(F$1,INDIRECT("Table!A" &amp; $U137):INDIRECT("Table!" &amp; $X$171 &amp; $U137),0)))))</f>
        <v>121331.8</v>
      </c>
      <c r="G137" s="33">
        <f ca="1">IF(ISERROR(MATCH(G$1,INDIRECT("Table!A"&amp;$U137):INDIRECT("Table!" &amp; $X$171 &amp; $U137),0)),"",INDIRECT(CONCATENATE("Table!",ADDRESS($Q137,MATCH(G$1,INDIRECT("Table!A" &amp; $U137):INDIRECT("Table!" &amp; $X$171 &amp; $U137),0)))))</f>
        <v>110071.9</v>
      </c>
      <c r="H137" s="33">
        <f ca="1">IF(ISERROR(MATCH(H$1,INDIRECT("Table!A"&amp;$U137):INDIRECT("Table!" &amp; $X$171 &amp; $U137),0)),"",INDIRECT(CONCATENATE("Table!",ADDRESS($Q137,MATCH(H$1,INDIRECT("Table!A" &amp; $U137):INDIRECT("Table!" &amp; $X$171 &amp; $U137),0)))))</f>
        <v>121331.8</v>
      </c>
      <c r="I137" s="33">
        <f ca="1">IF(ISERROR(MATCH(I$1,INDIRECT("Table!A"&amp;$U137):INDIRECT("Table!" &amp; $X$171 &amp; $U137),0)),"",INDIRECT(CONCATENATE("Table!",ADDRESS($Q137,MATCH(I$1,INDIRECT("Table!A" &amp; $U137):INDIRECT("Table!" &amp; $X$171 &amp; $U137),0)))))</f>
        <v>170967.6</v>
      </c>
      <c r="J137" s="33">
        <f ca="1">IF(ISERROR(MATCH(J$1,INDIRECT("Table!A"&amp;$U137):INDIRECT("Table!" &amp; $X$171 &amp; $U137),0)),"",INDIRECT(CONCATENATE("Table!",ADDRESS($Q137,MATCH(J$1,INDIRECT("Table!A" &amp; $U137):INDIRECT("Table!" &amp; $X$171 &amp; $U137),0)))))</f>
        <v>54921</v>
      </c>
      <c r="K137" s="33">
        <f ca="1">IF(ISERROR(MATCH(K$1,INDIRECT("Table!A"&amp;$U137):INDIRECT("Table!" &amp; $X$171 &amp; $U137),0)),"",INDIRECT(CONCATENATE("Table!",ADDRESS($Q137,MATCH(K$1,INDIRECT("Table!A" &amp; $U137):INDIRECT("Table!" &amp; $X$171 &amp; $U137),0)))))</f>
        <v>60665.9</v>
      </c>
      <c r="L137" s="33">
        <f ca="1">IF(ISERROR(MATCH(L$1,INDIRECT("Table!A"&amp;$U137):INDIRECT("Table!" &amp; $X$171 &amp; $U137),0)),"",INDIRECT(CONCATENATE("Table!",ADDRESS($Q137,MATCH(L$1,INDIRECT("Table!A" &amp; $U137):INDIRECT("Table!" &amp; $X$171 &amp; $U137),0)))))</f>
        <v>176482.7</v>
      </c>
      <c r="M137" s="33">
        <f ca="1">IF(ISERROR(MATCH(M$1,INDIRECT("Table!A"&amp;$U137):INDIRECT("Table!" &amp; $X$171 &amp; $U137),0)),"",INDIRECT(CONCATENATE("Table!",ADDRESS($Q137,MATCH(M$1,INDIRECT("Table!A" &amp; $U137):INDIRECT("Table!" &amp; $X$171 &amp; $U137),0)))))</f>
        <v>54921</v>
      </c>
      <c r="N137" s="151"/>
      <c r="O137" s="151"/>
      <c r="P137" s="151"/>
      <c r="Q137" s="31">
        <f>MATCH($A137,Table!$A:$A,0)+$S$14-1</f>
        <v>1819</v>
      </c>
      <c r="R137" s="151"/>
      <c r="S137" s="151"/>
      <c r="T137" s="151"/>
      <c r="U137" s="31">
        <f>MATCH($A137,Table!$A:$A,0)+$W$2-1</f>
        <v>1805</v>
      </c>
      <c r="V137" s="151"/>
      <c r="W137" s="151"/>
      <c r="X137" s="372" t="s">
        <v>209</v>
      </c>
    </row>
    <row r="138" spans="1:24" ht="18" customHeight="1">
      <c r="A138" s="5">
        <v>40967</v>
      </c>
      <c r="B138" s="33">
        <f ca="1">IF(ISERROR(MATCH(B$1,INDIRECT("Table!A"&amp;$U138):INDIRECT("Table!" &amp; $X$171 &amp; $U138),0)),"",INDIRECT(CONCATENATE("Table!",ADDRESS($Q138,MATCH(B$1,INDIRECT("Table!A" &amp; $U138):INDIRECT("Table!" &amp; $X$171 &amp; $U138),0)))))</f>
        <v>115816.8</v>
      </c>
      <c r="C138" s="33">
        <f ca="1">IF(ISERROR(MATCH(C$1,INDIRECT("Table!A"&amp;$U138):INDIRECT("Table!" &amp; $X$171 &amp; $U138),0)),"",INDIRECT(CONCATENATE("Table!",ADDRESS($Q138,MATCH(C$1,INDIRECT("Table!A" &amp; $U138):INDIRECT("Table!" &amp; $X$171 &amp; $U138),0)))))</f>
        <v>79968.7</v>
      </c>
      <c r="D138" s="33">
        <f ca="1">IF(ISERROR(MATCH(D$1,INDIRECT("Table!A"&amp;$U138):INDIRECT("Table!" &amp; $X$171 &amp; $U138),0)),"",INDIRECT(CONCATENATE("Table!",ADDRESS($Q138,MATCH(D$1,INDIRECT("Table!A" &amp; $U138):INDIRECT("Table!" &amp; $X$171 &amp; $U138),0)))))</f>
        <v>79968.7</v>
      </c>
      <c r="E138" s="33">
        <f ca="1">IF(ISERROR(MATCH(E$1,INDIRECT("Table!A"&amp;$U138):INDIRECT("Table!" &amp; $X$171 &amp; $U138),0)),"",INDIRECT(CONCATENATE("Table!",ADDRESS($Q138,MATCH(E$1,INDIRECT("Table!A" &amp; $U138):INDIRECT("Table!" &amp; $X$171 &amp; $U138),0)))))</f>
        <v>154422.39999999999</v>
      </c>
      <c r="F138" s="33">
        <f ca="1">IF(ISERROR(MATCH(F$1,INDIRECT("Table!A"&amp;$U138):INDIRECT("Table!" &amp; $X$171 &amp; $U138),0)),"",INDIRECT(CONCATENATE("Table!",ADDRESS($Q138,MATCH(F$1,INDIRECT("Table!A" &amp; $U138):INDIRECT("Table!" &amp; $X$171 &amp; $U138),0)))))</f>
        <v>121331.8</v>
      </c>
      <c r="G138" s="33">
        <f ca="1">IF(ISERROR(MATCH(G$1,INDIRECT("Table!A"&amp;$U138):INDIRECT("Table!" &amp; $X$171 &amp; $U138),0)),"",INDIRECT(CONCATENATE("Table!",ADDRESS($Q138,MATCH(G$1,INDIRECT("Table!A" &amp; $U138):INDIRECT("Table!" &amp; $X$171 &amp; $U138),0)))))</f>
        <v>110071.9</v>
      </c>
      <c r="H138" s="33">
        <f ca="1">IF(ISERROR(MATCH(H$1,INDIRECT("Table!A"&amp;$U138):INDIRECT("Table!" &amp; $X$171 &amp; $U138),0)),"",INDIRECT(CONCATENATE("Table!",ADDRESS($Q138,MATCH(H$1,INDIRECT("Table!A" &amp; $U138):INDIRECT("Table!" &amp; $X$171 &amp; $U138),0)))))</f>
        <v>121331.8</v>
      </c>
      <c r="I138" s="33">
        <f ca="1">IF(ISERROR(MATCH(I$1,INDIRECT("Table!A"&amp;$U138):INDIRECT("Table!" &amp; $X$171 &amp; $U138),0)),"",INDIRECT(CONCATENATE("Table!",ADDRESS($Q138,MATCH(I$1,INDIRECT("Table!A" &amp; $U138):INDIRECT("Table!" &amp; $X$171 &amp; $U138),0)))))</f>
        <v>170967.6</v>
      </c>
      <c r="J138" s="33">
        <f ca="1">IF(ISERROR(MATCH(J$1,INDIRECT("Table!A"&amp;$U138):INDIRECT("Table!" &amp; $X$171 &amp; $U138),0)),"",INDIRECT(CONCATENATE("Table!",ADDRESS($Q138,MATCH(J$1,INDIRECT("Table!A" &amp; $U138):INDIRECT("Table!" &amp; $X$171 &amp; $U138),0)))))</f>
        <v>54921</v>
      </c>
      <c r="K138" s="33">
        <f ca="1">IF(ISERROR(MATCH(K$1,INDIRECT("Table!A"&amp;$U138):INDIRECT("Table!" &amp; $X$171 &amp; $U138),0)),"",INDIRECT(CONCATENATE("Table!",ADDRESS($Q138,MATCH(K$1,INDIRECT("Table!A" &amp; $U138):INDIRECT("Table!" &amp; $X$171 &amp; $U138),0)))))</f>
        <v>60665.9</v>
      </c>
      <c r="L138" s="33">
        <f ca="1">IF(ISERROR(MATCH(L$1,INDIRECT("Table!A"&amp;$U138):INDIRECT("Table!" &amp; $X$171 &amp; $U138),0)),"",INDIRECT(CONCATENATE("Table!",ADDRESS($Q138,MATCH(L$1,INDIRECT("Table!A" &amp; $U138):INDIRECT("Table!" &amp; $X$171 &amp; $U138),0)))))</f>
        <v>176482.7</v>
      </c>
      <c r="M138" s="33">
        <f ca="1">IF(ISERROR(MATCH(M$1,INDIRECT("Table!A"&amp;$U138):INDIRECT("Table!" &amp; $X$171 &amp; $U138),0)),"",INDIRECT(CONCATENATE("Table!",ADDRESS($Q138,MATCH(M$1,INDIRECT("Table!A" &amp; $U138):INDIRECT("Table!" &amp; $X$171 &amp; $U138),0)))))</f>
        <v>54921</v>
      </c>
      <c r="N138" s="150"/>
      <c r="O138" s="150"/>
      <c r="P138" s="150"/>
      <c r="Q138" s="31">
        <f>MATCH($A138,Table!$A:$A,0)+$S$14-1</f>
        <v>1832</v>
      </c>
      <c r="R138" s="150"/>
      <c r="S138" s="150"/>
      <c r="T138" s="150"/>
      <c r="U138" s="31">
        <f>MATCH($A138,Table!$A:$A,0)+$W$2-1</f>
        <v>1818</v>
      </c>
      <c r="V138" s="150"/>
      <c r="W138" s="150"/>
      <c r="X138" s="372" t="s">
        <v>209</v>
      </c>
    </row>
    <row r="139" spans="1:24" ht="18" customHeight="1">
      <c r="A139" s="5">
        <v>40966</v>
      </c>
      <c r="B139" s="33">
        <f ca="1">IF(ISERROR(MATCH(B$1,INDIRECT("Table!A"&amp;$U139):INDIRECT("Table!" &amp; $X$171 &amp; $U139),0)),"",INDIRECT(CONCATENATE("Table!",ADDRESS($Q139,MATCH(B$1,INDIRECT("Table!A" &amp; $U139):INDIRECT("Table!" &amp; $X$171 &amp; $U139),0)))))</f>
        <v>115816.8</v>
      </c>
      <c r="C139" s="33">
        <f ca="1">IF(ISERROR(MATCH(C$1,INDIRECT("Table!A"&amp;$U139):INDIRECT("Table!" &amp; $X$171 &amp; $U139),0)),"",INDIRECT(CONCATENATE("Table!",ADDRESS($Q139,MATCH(C$1,INDIRECT("Table!A" &amp; $U139):INDIRECT("Table!" &amp; $X$171 &amp; $U139),0)))))</f>
        <v>79968.7</v>
      </c>
      <c r="D139" s="33">
        <f ca="1">IF(ISERROR(MATCH(D$1,INDIRECT("Table!A"&amp;$U139):INDIRECT("Table!" &amp; $X$171 &amp; $U139),0)),"",INDIRECT(CONCATENATE("Table!",ADDRESS($Q139,MATCH(D$1,INDIRECT("Table!A" &amp; $U139):INDIRECT("Table!" &amp; $X$171 &amp; $U139),0)))))</f>
        <v>79968.7</v>
      </c>
      <c r="E139" s="33">
        <f ca="1">IF(ISERROR(MATCH(E$1,INDIRECT("Table!A"&amp;$U139):INDIRECT("Table!" &amp; $X$171 &amp; $U139),0)),"",INDIRECT(CONCATENATE("Table!",ADDRESS($Q139,MATCH(E$1,INDIRECT("Table!A" &amp; $U139):INDIRECT("Table!" &amp; $X$171 &amp; $U139),0)))))</f>
        <v>154422.39999999999</v>
      </c>
      <c r="F139" s="33">
        <f ca="1">IF(ISERROR(MATCH(F$1,INDIRECT("Table!A"&amp;$U139):INDIRECT("Table!" &amp; $X$171 &amp; $U139),0)),"",INDIRECT(CONCATENATE("Table!",ADDRESS($Q139,MATCH(F$1,INDIRECT("Table!A" &amp; $U139):INDIRECT("Table!" &amp; $X$171 &amp; $U139),0)))))</f>
        <v>121331.8</v>
      </c>
      <c r="G139" s="33">
        <f ca="1">IF(ISERROR(MATCH(G$1,INDIRECT("Table!A"&amp;$U139):INDIRECT("Table!" &amp; $X$171 &amp; $U139),0)),"",INDIRECT(CONCATENATE("Table!",ADDRESS($Q139,MATCH(G$1,INDIRECT("Table!A" &amp; $U139):INDIRECT("Table!" &amp; $X$171 &amp; $U139),0)))))</f>
        <v>110071.9</v>
      </c>
      <c r="H139" s="33">
        <f ca="1">IF(ISERROR(MATCH(H$1,INDIRECT("Table!A"&amp;$U139):INDIRECT("Table!" &amp; $X$171 &amp; $U139),0)),"",INDIRECT(CONCATENATE("Table!",ADDRESS($Q139,MATCH(H$1,INDIRECT("Table!A" &amp; $U139):INDIRECT("Table!" &amp; $X$171 &amp; $U139),0)))))</f>
        <v>121331.8</v>
      </c>
      <c r="I139" s="33">
        <f ca="1">IF(ISERROR(MATCH(I$1,INDIRECT("Table!A"&amp;$U139):INDIRECT("Table!" &amp; $X$171 &amp; $U139),0)),"",INDIRECT(CONCATENATE("Table!",ADDRESS($Q139,MATCH(I$1,INDIRECT("Table!A" &amp; $U139):INDIRECT("Table!" &amp; $X$171 &amp; $U139),0)))))</f>
        <v>170967.6</v>
      </c>
      <c r="J139" s="33">
        <f ca="1">IF(ISERROR(MATCH(J$1,INDIRECT("Table!A"&amp;$U139):INDIRECT("Table!" &amp; $X$171 &amp; $U139),0)),"",INDIRECT(CONCATENATE("Table!",ADDRESS($Q139,MATCH(J$1,INDIRECT("Table!A" &amp; $U139):INDIRECT("Table!" &amp; $X$171 &amp; $U139),0)))))</f>
        <v>54921</v>
      </c>
      <c r="K139" s="33">
        <f ca="1">IF(ISERROR(MATCH(K$1,INDIRECT("Table!A"&amp;$U139):INDIRECT("Table!" &amp; $X$171 &amp; $U139),0)),"",INDIRECT(CONCATENATE("Table!",ADDRESS($Q139,MATCH(K$1,INDIRECT("Table!A" &amp; $U139):INDIRECT("Table!" &amp; $X$171 &amp; $U139),0)))))</f>
        <v>60665.9</v>
      </c>
      <c r="L139" s="33">
        <f ca="1">IF(ISERROR(MATCH(L$1,INDIRECT("Table!A"&amp;$U139):INDIRECT("Table!" &amp; $X$171 &amp; $U139),0)),"",INDIRECT(CONCATENATE("Table!",ADDRESS($Q139,MATCH(L$1,INDIRECT("Table!A" &amp; $U139):INDIRECT("Table!" &amp; $X$171 &amp; $U139),0)))))</f>
        <v>176482.7</v>
      </c>
      <c r="M139" s="33">
        <f ca="1">IF(ISERROR(MATCH(M$1,INDIRECT("Table!A"&amp;$U139):INDIRECT("Table!" &amp; $X$171 &amp; $U139),0)),"",INDIRECT(CONCATENATE("Table!",ADDRESS($Q139,MATCH(M$1,INDIRECT("Table!A" &amp; $U139):INDIRECT("Table!" &amp; $X$171 &amp; $U139),0)))))</f>
        <v>54921</v>
      </c>
      <c r="N139" s="149"/>
      <c r="O139" s="149"/>
      <c r="P139" s="149"/>
      <c r="Q139" s="31">
        <f>MATCH($A139,Table!$A:$A,0)+$S$14-1</f>
        <v>1845</v>
      </c>
      <c r="R139" s="149"/>
      <c r="S139" s="149"/>
      <c r="T139" s="149"/>
      <c r="U139" s="31">
        <f>MATCH($A139,Table!$A:$A,0)+$W$2-1</f>
        <v>1831</v>
      </c>
      <c r="V139" s="149"/>
      <c r="W139" s="149"/>
      <c r="X139" s="372" t="s">
        <v>209</v>
      </c>
    </row>
    <row r="140" spans="1:24" ht="18" customHeight="1">
      <c r="A140" s="5">
        <v>40963</v>
      </c>
      <c r="B140" s="33">
        <f ca="1">IF(ISERROR(MATCH(B$1,INDIRECT("Table!A"&amp;$U140):INDIRECT("Table!" &amp; $X$171 &amp; $U140),0)),"",INDIRECT(CONCATENATE("Table!",ADDRESS($Q140,MATCH(B$1,INDIRECT("Table!A" &amp; $U140):INDIRECT("Table!" &amp; $X$171 &amp; $U140),0)))))</f>
        <v>115816.8</v>
      </c>
      <c r="C140" s="33">
        <f ca="1">IF(ISERROR(MATCH(C$1,INDIRECT("Table!A"&amp;$U140):INDIRECT("Table!" &amp; $X$171 &amp; $U140),0)),"",INDIRECT(CONCATENATE("Table!",ADDRESS($Q140,MATCH(C$1,INDIRECT("Table!A" &amp; $U140):INDIRECT("Table!" &amp; $X$171 &amp; $U140),0)))))</f>
        <v>79968.7</v>
      </c>
      <c r="D140" s="33">
        <f ca="1">IF(ISERROR(MATCH(D$1,INDIRECT("Table!A"&amp;$U140):INDIRECT("Table!" &amp; $X$171 &amp; $U140),0)),"",INDIRECT(CONCATENATE("Table!",ADDRESS($Q140,MATCH(D$1,INDIRECT("Table!A" &amp; $U140):INDIRECT("Table!" &amp; $X$171 &amp; $U140),0)))))</f>
        <v>79968.7</v>
      </c>
      <c r="E140" s="33">
        <f ca="1">IF(ISERROR(MATCH(E$1,INDIRECT("Table!A"&amp;$U140):INDIRECT("Table!" &amp; $X$171 &amp; $U140),0)),"",INDIRECT(CONCATENATE("Table!",ADDRESS($Q140,MATCH(E$1,INDIRECT("Table!A" &amp; $U140):INDIRECT("Table!" &amp; $X$171 &amp; $U140),0)))))</f>
        <v>154422.39999999999</v>
      </c>
      <c r="F140" s="33">
        <f ca="1">IF(ISERROR(MATCH(F$1,INDIRECT("Table!A"&amp;$U140):INDIRECT("Table!" &amp; $X$171 &amp; $U140),0)),"",INDIRECT(CONCATENATE("Table!",ADDRESS($Q140,MATCH(F$1,INDIRECT("Table!A" &amp; $U140):INDIRECT("Table!" &amp; $X$171 &amp; $U140),0)))))</f>
        <v>121331.8</v>
      </c>
      <c r="G140" s="33">
        <f ca="1">IF(ISERROR(MATCH(G$1,INDIRECT("Table!A"&amp;$U140):INDIRECT("Table!" &amp; $X$171 &amp; $U140),0)),"",INDIRECT(CONCATENATE("Table!",ADDRESS($Q140,MATCH(G$1,INDIRECT("Table!A" &amp; $U140):INDIRECT("Table!" &amp; $X$171 &amp; $U140),0)))))</f>
        <v>110071.9</v>
      </c>
      <c r="H140" s="33">
        <f ca="1">IF(ISERROR(MATCH(H$1,INDIRECT("Table!A"&amp;$U140):INDIRECT("Table!" &amp; $X$171 &amp; $U140),0)),"",INDIRECT(CONCATENATE("Table!",ADDRESS($Q140,MATCH(H$1,INDIRECT("Table!A" &amp; $U140):INDIRECT("Table!" &amp; $X$171 &amp; $U140),0)))))</f>
        <v>121331.8</v>
      </c>
      <c r="I140" s="33">
        <f ca="1">IF(ISERROR(MATCH(I$1,INDIRECT("Table!A"&amp;$U140):INDIRECT("Table!" &amp; $X$171 &amp; $U140),0)),"",INDIRECT(CONCATENATE("Table!",ADDRESS($Q140,MATCH(I$1,INDIRECT("Table!A" &amp; $U140):INDIRECT("Table!" &amp; $X$171 &amp; $U140),0)))))</f>
        <v>170967.6</v>
      </c>
      <c r="J140" s="33">
        <f ca="1">IF(ISERROR(MATCH(J$1,INDIRECT("Table!A"&amp;$U140):INDIRECT("Table!" &amp; $X$171 &amp; $U140),0)),"",INDIRECT(CONCATENATE("Table!",ADDRESS($Q140,MATCH(J$1,INDIRECT("Table!A" &amp; $U140):INDIRECT("Table!" &amp; $X$171 &amp; $U140),0)))))</f>
        <v>54921</v>
      </c>
      <c r="K140" s="33">
        <f ca="1">IF(ISERROR(MATCH(K$1,INDIRECT("Table!A"&amp;$U140):INDIRECT("Table!" &amp; $X$171 &amp; $U140),0)),"",INDIRECT(CONCATENATE("Table!",ADDRESS($Q140,MATCH(K$1,INDIRECT("Table!A" &amp; $U140):INDIRECT("Table!" &amp; $X$171 &amp; $U140),0)))))</f>
        <v>60665.9</v>
      </c>
      <c r="L140" s="33">
        <f ca="1">IF(ISERROR(MATCH(L$1,INDIRECT("Table!A"&amp;$U140):INDIRECT("Table!" &amp; $X$171 &amp; $U140),0)),"",INDIRECT(CONCATENATE("Table!",ADDRESS($Q140,MATCH(L$1,INDIRECT("Table!A" &amp; $U140):INDIRECT("Table!" &amp; $X$171 &amp; $U140),0)))))</f>
        <v>176482.7</v>
      </c>
      <c r="M140" s="33">
        <f ca="1">IF(ISERROR(MATCH(M$1,INDIRECT("Table!A"&amp;$U140):INDIRECT("Table!" &amp; $X$171 &amp; $U140),0)),"",INDIRECT(CONCATENATE("Table!",ADDRESS($Q140,MATCH(M$1,INDIRECT("Table!A" &amp; $U140):INDIRECT("Table!" &amp; $X$171 &amp; $U140),0)))))</f>
        <v>54921</v>
      </c>
      <c r="N140" s="148"/>
      <c r="O140" s="148"/>
      <c r="P140" s="148"/>
      <c r="Q140" s="31">
        <f>MATCH($A140,Table!$A:$A,0)+$S$14-1</f>
        <v>1858</v>
      </c>
      <c r="R140" s="148"/>
      <c r="S140" s="148"/>
      <c r="T140" s="148"/>
      <c r="U140" s="31">
        <f>MATCH($A140,Table!$A:$A,0)+$W$2-1</f>
        <v>1844</v>
      </c>
      <c r="V140" s="148"/>
      <c r="W140" s="148"/>
      <c r="X140" s="372" t="s">
        <v>209</v>
      </c>
    </row>
    <row r="141" spans="1:24" ht="18" customHeight="1">
      <c r="A141" s="5">
        <v>40962</v>
      </c>
      <c r="B141" s="33">
        <f ca="1">IF(ISERROR(MATCH(B$1,INDIRECT("Table!A"&amp;$U141):INDIRECT("Table!" &amp; $X$171 &amp; $U141),0)),"",INDIRECT(CONCATENATE("Table!",ADDRESS($Q141,MATCH(B$1,INDIRECT("Table!A" &amp; $U141):INDIRECT("Table!" &amp; $X$171 &amp; $U141),0)))))</f>
        <v>115816.8</v>
      </c>
      <c r="C141" s="33">
        <f ca="1">IF(ISERROR(MATCH(C$1,INDIRECT("Table!A"&amp;$U141):INDIRECT("Table!" &amp; $X$171 &amp; $U141),0)),"",INDIRECT(CONCATENATE("Table!",ADDRESS($Q141,MATCH(C$1,INDIRECT("Table!A" &amp; $U141):INDIRECT("Table!" &amp; $X$171 &amp; $U141),0)))))</f>
        <v>79968.7</v>
      </c>
      <c r="D141" s="33">
        <f ca="1">IF(ISERROR(MATCH(D$1,INDIRECT("Table!A"&amp;$U141):INDIRECT("Table!" &amp; $X$171 &amp; $U141),0)),"",INDIRECT(CONCATENATE("Table!",ADDRESS($Q141,MATCH(D$1,INDIRECT("Table!A" &amp; $U141):INDIRECT("Table!" &amp; $X$171 &amp; $U141),0)))))</f>
        <v>79968.7</v>
      </c>
      <c r="E141" s="33">
        <f ca="1">IF(ISERROR(MATCH(E$1,INDIRECT("Table!A"&amp;$U141):INDIRECT("Table!" &amp; $X$171 &amp; $U141),0)),"",INDIRECT(CONCATENATE("Table!",ADDRESS($Q141,MATCH(E$1,INDIRECT("Table!A" &amp; $U141):INDIRECT("Table!" &amp; $X$171 &amp; $U141),0)))))</f>
        <v>154422.39999999999</v>
      </c>
      <c r="F141" s="33">
        <f ca="1">IF(ISERROR(MATCH(F$1,INDIRECT("Table!A"&amp;$U141):INDIRECT("Table!" &amp; $X$171 &amp; $U141),0)),"",INDIRECT(CONCATENATE("Table!",ADDRESS($Q141,MATCH(F$1,INDIRECT("Table!A" &amp; $U141):INDIRECT("Table!" &amp; $X$171 &amp; $U141),0)))))</f>
        <v>121331.8</v>
      </c>
      <c r="G141" s="33">
        <f ca="1">IF(ISERROR(MATCH(G$1,INDIRECT("Table!A"&amp;$U141):INDIRECT("Table!" &amp; $X$171 &amp; $U141),0)),"",INDIRECT(CONCATENATE("Table!",ADDRESS($Q141,MATCH(G$1,INDIRECT("Table!A" &amp; $U141):INDIRECT("Table!" &amp; $X$171 &amp; $U141),0)))))</f>
        <v>110071.9</v>
      </c>
      <c r="H141" s="33">
        <f ca="1">IF(ISERROR(MATCH(H$1,INDIRECT("Table!A"&amp;$U141):INDIRECT("Table!" &amp; $X$171 &amp; $U141),0)),"",INDIRECT(CONCATENATE("Table!",ADDRESS($Q141,MATCH(H$1,INDIRECT("Table!A" &amp; $U141):INDIRECT("Table!" &amp; $X$171 &amp; $U141),0)))))</f>
        <v>121331.8</v>
      </c>
      <c r="I141" s="33">
        <f ca="1">IF(ISERROR(MATCH(I$1,INDIRECT("Table!A"&amp;$U141):INDIRECT("Table!" &amp; $X$171 &amp; $U141),0)),"",INDIRECT(CONCATENATE("Table!",ADDRESS($Q141,MATCH(I$1,INDIRECT("Table!A" &amp; $U141):INDIRECT("Table!" &amp; $X$171 &amp; $U141),0)))))</f>
        <v>170967.6</v>
      </c>
      <c r="J141" s="33">
        <f ca="1">IF(ISERROR(MATCH(J$1,INDIRECT("Table!A"&amp;$U141):INDIRECT("Table!" &amp; $X$171 &amp; $U141),0)),"",INDIRECT(CONCATENATE("Table!",ADDRESS($Q141,MATCH(J$1,INDIRECT("Table!A" &amp; $U141):INDIRECT("Table!" &amp; $X$171 &amp; $U141),0)))))</f>
        <v>54921</v>
      </c>
      <c r="K141" s="33">
        <f ca="1">IF(ISERROR(MATCH(K$1,INDIRECT("Table!A"&amp;$U141):INDIRECT("Table!" &amp; $X$171 &amp; $U141),0)),"",INDIRECT(CONCATENATE("Table!",ADDRESS($Q141,MATCH(K$1,INDIRECT("Table!A" &amp; $U141):INDIRECT("Table!" &amp; $X$171 &amp; $U141),0)))))</f>
        <v>60665.9</v>
      </c>
      <c r="L141" s="33">
        <f ca="1">IF(ISERROR(MATCH(L$1,INDIRECT("Table!A"&amp;$U141):INDIRECT("Table!" &amp; $X$171 &amp; $U141),0)),"",INDIRECT(CONCATENATE("Table!",ADDRESS($Q141,MATCH(L$1,INDIRECT("Table!A" &amp; $U141):INDIRECT("Table!" &amp; $X$171 &amp; $U141),0)))))</f>
        <v>176482.7</v>
      </c>
      <c r="M141" s="33">
        <f ca="1">IF(ISERROR(MATCH(M$1,INDIRECT("Table!A"&amp;$U141):INDIRECT("Table!" &amp; $X$171 &amp; $U141),0)),"",INDIRECT(CONCATENATE("Table!",ADDRESS($Q141,MATCH(M$1,INDIRECT("Table!A" &amp; $U141):INDIRECT("Table!" &amp; $X$171 &amp; $U141),0)))))</f>
        <v>54921</v>
      </c>
      <c r="N141" s="147"/>
      <c r="O141" s="147"/>
      <c r="P141" s="147"/>
      <c r="Q141" s="31">
        <f>MATCH($A141,Table!$A:$A,0)+$S$14-1</f>
        <v>1871</v>
      </c>
      <c r="R141" s="147"/>
      <c r="S141" s="147"/>
      <c r="T141" s="147"/>
      <c r="U141" s="31">
        <f>MATCH($A141,Table!$A:$A,0)+$W$2-1</f>
        <v>1857</v>
      </c>
      <c r="V141" s="147"/>
      <c r="W141" s="147"/>
      <c r="X141" s="372" t="s">
        <v>209</v>
      </c>
    </row>
    <row r="142" spans="1:24" ht="18" customHeight="1">
      <c r="A142" s="5">
        <v>40961</v>
      </c>
      <c r="B142" s="33">
        <f ca="1">IF(ISERROR(MATCH(B$1,INDIRECT("Table!A"&amp;$U142):INDIRECT("Table!" &amp; $X$171 &amp; $U142),0)),"",INDIRECT(CONCATENATE("Table!",ADDRESS($Q142,MATCH(B$1,INDIRECT("Table!A" &amp; $U142):INDIRECT("Table!" &amp; $X$171 &amp; $U142),0)))))</f>
        <v>115816.8</v>
      </c>
      <c r="C142" s="33">
        <f ca="1">IF(ISERROR(MATCH(C$1,INDIRECT("Table!A"&amp;$U142):INDIRECT("Table!" &amp; $X$171 &amp; $U142),0)),"",INDIRECT(CONCATENATE("Table!",ADDRESS($Q142,MATCH(C$1,INDIRECT("Table!A" &amp; $U142):INDIRECT("Table!" &amp; $X$171 &amp; $U142),0)))))</f>
        <v>79968.7</v>
      </c>
      <c r="D142" s="33">
        <f ca="1">IF(ISERROR(MATCH(D$1,INDIRECT("Table!A"&amp;$U142):INDIRECT("Table!" &amp; $X$171 &amp; $U142),0)),"",INDIRECT(CONCATENATE("Table!",ADDRESS($Q142,MATCH(D$1,INDIRECT("Table!A" &amp; $U142):INDIRECT("Table!" &amp; $X$171 &amp; $U142),0)))))</f>
        <v>79968.7</v>
      </c>
      <c r="E142" s="33">
        <f ca="1">IF(ISERROR(MATCH(E$1,INDIRECT("Table!A"&amp;$U142):INDIRECT("Table!" &amp; $X$171 &amp; $U142),0)),"",INDIRECT(CONCATENATE("Table!",ADDRESS($Q142,MATCH(E$1,INDIRECT("Table!A" &amp; $U142):INDIRECT("Table!" &amp; $X$171 &amp; $U142),0)))))</f>
        <v>154422.39999999999</v>
      </c>
      <c r="F142" s="33">
        <f ca="1">IF(ISERROR(MATCH(F$1,INDIRECT("Table!A"&amp;$U142):INDIRECT("Table!" &amp; $X$171 &amp; $U142),0)),"",INDIRECT(CONCATENATE("Table!",ADDRESS($Q142,MATCH(F$1,INDIRECT("Table!A" &amp; $U142):INDIRECT("Table!" &amp; $X$171 &amp; $U142),0)))))</f>
        <v>121331.8</v>
      </c>
      <c r="G142" s="33">
        <f ca="1">IF(ISERROR(MATCH(G$1,INDIRECT("Table!A"&amp;$U142):INDIRECT("Table!" &amp; $X$171 &amp; $U142),0)),"",INDIRECT(CONCATENATE("Table!",ADDRESS($Q142,MATCH(G$1,INDIRECT("Table!A" &amp; $U142):INDIRECT("Table!" &amp; $X$171 &amp; $U142),0)))))</f>
        <v>110071.9</v>
      </c>
      <c r="H142" s="33">
        <f ca="1">IF(ISERROR(MATCH(H$1,INDIRECT("Table!A"&amp;$U142):INDIRECT("Table!" &amp; $X$171 &amp; $U142),0)),"",INDIRECT(CONCATENATE("Table!",ADDRESS($Q142,MATCH(H$1,INDIRECT("Table!A" &amp; $U142):INDIRECT("Table!" &amp; $X$171 &amp; $U142),0)))))</f>
        <v>121331.8</v>
      </c>
      <c r="I142" s="33">
        <f ca="1">IF(ISERROR(MATCH(I$1,INDIRECT("Table!A"&amp;$U142):INDIRECT("Table!" &amp; $X$171 &amp; $U142),0)),"",INDIRECT(CONCATENATE("Table!",ADDRESS($Q142,MATCH(I$1,INDIRECT("Table!A" &amp; $U142):INDIRECT("Table!" &amp; $X$171 &amp; $U142),0)))))</f>
        <v>170967.6</v>
      </c>
      <c r="J142" s="33">
        <f ca="1">IF(ISERROR(MATCH(J$1,INDIRECT("Table!A"&amp;$U142):INDIRECT("Table!" &amp; $X$171 &amp; $U142),0)),"",INDIRECT(CONCATENATE("Table!",ADDRESS($Q142,MATCH(J$1,INDIRECT("Table!A" &amp; $U142):INDIRECT("Table!" &amp; $X$171 &amp; $U142),0)))))</f>
        <v>54921</v>
      </c>
      <c r="K142" s="33">
        <f ca="1">IF(ISERROR(MATCH(K$1,INDIRECT("Table!A"&amp;$U142):INDIRECT("Table!" &amp; $X$171 &amp; $U142),0)),"",INDIRECT(CONCATENATE("Table!",ADDRESS($Q142,MATCH(K$1,INDIRECT("Table!A" &amp; $U142):INDIRECT("Table!" &amp; $X$171 &amp; $U142),0)))))</f>
        <v>60665.9</v>
      </c>
      <c r="L142" s="33">
        <f ca="1">IF(ISERROR(MATCH(L$1,INDIRECT("Table!A"&amp;$U142):INDIRECT("Table!" &amp; $X$171 &amp; $U142),0)),"",INDIRECT(CONCATENATE("Table!",ADDRESS($Q142,MATCH(L$1,INDIRECT("Table!A" &amp; $U142):INDIRECT("Table!" &amp; $X$171 &amp; $U142),0)))))</f>
        <v>176482.7</v>
      </c>
      <c r="M142" s="33">
        <f ca="1">IF(ISERROR(MATCH(M$1,INDIRECT("Table!A"&amp;$U142):INDIRECT("Table!" &amp; $X$171 &amp; $U142),0)),"",INDIRECT(CONCATENATE("Table!",ADDRESS($Q142,MATCH(M$1,INDIRECT("Table!A" &amp; $U142):INDIRECT("Table!" &amp; $X$171 &amp; $U142),0)))))</f>
        <v>54921</v>
      </c>
      <c r="N142" s="146"/>
      <c r="O142" s="146"/>
      <c r="P142" s="146"/>
      <c r="Q142" s="31">
        <f>MATCH($A142,Table!$A:$A,0)+$S$14-1</f>
        <v>1884</v>
      </c>
      <c r="R142" s="146"/>
      <c r="S142" s="146"/>
      <c r="T142" s="146"/>
      <c r="U142" s="31">
        <f>MATCH($A142,Table!$A:$A,0)+$W$2-1</f>
        <v>1870</v>
      </c>
      <c r="V142" s="146"/>
      <c r="W142" s="146"/>
      <c r="X142" s="372" t="s">
        <v>209</v>
      </c>
    </row>
    <row r="143" spans="1:24" ht="18" customHeight="1">
      <c r="A143" s="5">
        <v>40960</v>
      </c>
      <c r="B143" s="33">
        <f ca="1">IF(ISERROR(MATCH(B$1,INDIRECT("Table!A"&amp;$U143):INDIRECT("Table!" &amp; $X$171 &amp; $U143),0)),"",INDIRECT(CONCATENATE("Table!",ADDRESS($Q143,MATCH(B$1,INDIRECT("Table!A" &amp; $U143):INDIRECT("Table!" &amp; $X$171 &amp; $U143),0)))))</f>
        <v>115816.8</v>
      </c>
      <c r="C143" s="33">
        <f ca="1">IF(ISERROR(MATCH(C$1,INDIRECT("Table!A"&amp;$U143):INDIRECT("Table!" &amp; $X$171 &amp; $U143),0)),"",INDIRECT(CONCATENATE("Table!",ADDRESS($Q143,MATCH(C$1,INDIRECT("Table!A" &amp; $U143):INDIRECT("Table!" &amp; $X$171 &amp; $U143),0)))))</f>
        <v>79968.7</v>
      </c>
      <c r="D143" s="33">
        <f ca="1">IF(ISERROR(MATCH(D$1,INDIRECT("Table!A"&amp;$U143):INDIRECT("Table!" &amp; $X$171 &amp; $U143),0)),"",INDIRECT(CONCATENATE("Table!",ADDRESS($Q143,MATCH(D$1,INDIRECT("Table!A" &amp; $U143):INDIRECT("Table!" &amp; $X$171 &amp; $U143),0)))))</f>
        <v>79968.7</v>
      </c>
      <c r="E143" s="33">
        <f ca="1">IF(ISERROR(MATCH(E$1,INDIRECT("Table!A"&amp;$U143):INDIRECT("Table!" &amp; $X$171 &amp; $U143),0)),"",INDIRECT(CONCATENATE("Table!",ADDRESS($Q143,MATCH(E$1,INDIRECT("Table!A" &amp; $U143):INDIRECT("Table!" &amp; $X$171 &amp; $U143),0)))))</f>
        <v>154422.39999999999</v>
      </c>
      <c r="F143" s="33">
        <f ca="1">IF(ISERROR(MATCH(F$1,INDIRECT("Table!A"&amp;$U143):INDIRECT("Table!" &amp; $X$171 &amp; $U143),0)),"",INDIRECT(CONCATENATE("Table!",ADDRESS($Q143,MATCH(F$1,INDIRECT("Table!A" &amp; $U143):INDIRECT("Table!" &amp; $X$171 &amp; $U143),0)))))</f>
        <v>121331.8</v>
      </c>
      <c r="G143" s="33">
        <f ca="1">IF(ISERROR(MATCH(G$1,INDIRECT("Table!A"&amp;$U143):INDIRECT("Table!" &amp; $X$171 &amp; $U143),0)),"",INDIRECT(CONCATENATE("Table!",ADDRESS($Q143,MATCH(G$1,INDIRECT("Table!A" &amp; $U143):INDIRECT("Table!" &amp; $X$171 &amp; $U143),0)))))</f>
        <v>110071.9</v>
      </c>
      <c r="H143" s="33">
        <f ca="1">IF(ISERROR(MATCH(H$1,INDIRECT("Table!A"&amp;$U143):INDIRECT("Table!" &amp; $X$171 &amp; $U143),0)),"",INDIRECT(CONCATENATE("Table!",ADDRESS($Q143,MATCH(H$1,INDIRECT("Table!A" &amp; $U143):INDIRECT("Table!" &amp; $X$171 &amp; $U143),0)))))</f>
        <v>121331.8</v>
      </c>
      <c r="I143" s="33">
        <f ca="1">IF(ISERROR(MATCH(I$1,INDIRECT("Table!A"&amp;$U143):INDIRECT("Table!" &amp; $X$171 &amp; $U143),0)),"",INDIRECT(CONCATENATE("Table!",ADDRESS($Q143,MATCH(I$1,INDIRECT("Table!A" &amp; $U143):INDIRECT("Table!" &amp; $X$171 &amp; $U143),0)))))</f>
        <v>170967.6</v>
      </c>
      <c r="J143" s="33">
        <f ca="1">IF(ISERROR(MATCH(J$1,INDIRECT("Table!A"&amp;$U143):INDIRECT("Table!" &amp; $X$171 &amp; $U143),0)),"",INDIRECT(CONCATENATE("Table!",ADDRESS($Q143,MATCH(J$1,INDIRECT("Table!A" &amp; $U143):INDIRECT("Table!" &amp; $X$171 &amp; $U143),0)))))</f>
        <v>54921</v>
      </c>
      <c r="K143" s="33">
        <f ca="1">IF(ISERROR(MATCH(K$1,INDIRECT("Table!A"&amp;$U143):INDIRECT("Table!" &amp; $X$171 &amp; $U143),0)),"",INDIRECT(CONCATENATE("Table!",ADDRESS($Q143,MATCH(K$1,INDIRECT("Table!A" &amp; $U143):INDIRECT("Table!" &amp; $X$171 &amp; $U143),0)))))</f>
        <v>60665.9</v>
      </c>
      <c r="L143" s="33">
        <f ca="1">IF(ISERROR(MATCH(L$1,INDIRECT("Table!A"&amp;$U143):INDIRECT("Table!" &amp; $X$171 &amp; $U143),0)),"",INDIRECT(CONCATENATE("Table!",ADDRESS($Q143,MATCH(L$1,INDIRECT("Table!A" &amp; $U143):INDIRECT("Table!" &amp; $X$171 &amp; $U143),0)))))</f>
        <v>176482.7</v>
      </c>
      <c r="M143" s="33">
        <f ca="1">IF(ISERROR(MATCH(M$1,INDIRECT("Table!A"&amp;$U143):INDIRECT("Table!" &amp; $X$171 &amp; $U143),0)),"",INDIRECT(CONCATENATE("Table!",ADDRESS($Q143,MATCH(M$1,INDIRECT("Table!A" &amp; $U143):INDIRECT("Table!" &amp; $X$171 &amp; $U143),0)))))</f>
        <v>54921</v>
      </c>
      <c r="N143" s="145"/>
      <c r="O143" s="145"/>
      <c r="P143" s="145"/>
      <c r="Q143" s="31">
        <f>MATCH($A143,Table!$A:$A,0)+$S$14-1</f>
        <v>1897</v>
      </c>
      <c r="R143" s="145"/>
      <c r="S143" s="145"/>
      <c r="T143" s="145"/>
      <c r="U143" s="31">
        <f>MATCH($A143,Table!$A:$A,0)+$W$2-1</f>
        <v>1883</v>
      </c>
      <c r="V143" s="145"/>
      <c r="W143" s="145"/>
      <c r="X143" s="372" t="s">
        <v>209</v>
      </c>
    </row>
    <row r="144" spans="1:24" ht="18" customHeight="1">
      <c r="A144" s="5">
        <v>40959</v>
      </c>
      <c r="B144" s="33">
        <f ca="1">IF(ISERROR(MATCH(B$1,INDIRECT("Table!A"&amp;$U144):INDIRECT("Table!" &amp; $X$171 &amp; $U144),0)),"",INDIRECT(CONCATENATE("Table!",ADDRESS($Q144,MATCH(B$1,INDIRECT("Table!A" &amp; $U144):INDIRECT("Table!" &amp; $X$171 &amp; $U144),0)))))</f>
        <v>115816.8</v>
      </c>
      <c r="C144" s="33">
        <f ca="1">IF(ISERROR(MATCH(C$1,INDIRECT("Table!A"&amp;$U144):INDIRECT("Table!" &amp; $X$171 &amp; $U144),0)),"",INDIRECT(CONCATENATE("Table!",ADDRESS($Q144,MATCH(C$1,INDIRECT("Table!A" &amp; $U144):INDIRECT("Table!" &amp; $X$171 &amp; $U144),0)))))</f>
        <v>79968.7</v>
      </c>
      <c r="D144" s="33">
        <f ca="1">IF(ISERROR(MATCH(D$1,INDIRECT("Table!A"&amp;$U144):INDIRECT("Table!" &amp; $X$171 &amp; $U144),0)),"",INDIRECT(CONCATENATE("Table!",ADDRESS($Q144,MATCH(D$1,INDIRECT("Table!A" &amp; $U144):INDIRECT("Table!" &amp; $X$171 &amp; $U144),0)))))</f>
        <v>79968.7</v>
      </c>
      <c r="E144" s="33">
        <f ca="1">IF(ISERROR(MATCH(E$1,INDIRECT("Table!A"&amp;$U144):INDIRECT("Table!" &amp; $X$171 &amp; $U144),0)),"",INDIRECT(CONCATENATE("Table!",ADDRESS($Q144,MATCH(E$1,INDIRECT("Table!A" &amp; $U144):INDIRECT("Table!" &amp; $X$171 &amp; $U144),0)))))</f>
        <v>154422.39999999999</v>
      </c>
      <c r="F144" s="33">
        <f ca="1">IF(ISERROR(MATCH(F$1,INDIRECT("Table!A"&amp;$U144):INDIRECT("Table!" &amp; $X$171 &amp; $U144),0)),"",INDIRECT(CONCATENATE("Table!",ADDRESS($Q144,MATCH(F$1,INDIRECT("Table!A" &amp; $U144):INDIRECT("Table!" &amp; $X$171 &amp; $U144),0)))))</f>
        <v>121331.8</v>
      </c>
      <c r="G144" s="33">
        <f ca="1">IF(ISERROR(MATCH(G$1,INDIRECT("Table!A"&amp;$U144):INDIRECT("Table!" &amp; $X$171 &amp; $U144),0)),"",INDIRECT(CONCATENATE("Table!",ADDRESS($Q144,MATCH(G$1,INDIRECT("Table!A" &amp; $U144):INDIRECT("Table!" &amp; $X$171 &amp; $U144),0)))))</f>
        <v>110071.9</v>
      </c>
      <c r="H144" s="33">
        <f ca="1">IF(ISERROR(MATCH(H$1,INDIRECT("Table!A"&amp;$U144):INDIRECT("Table!" &amp; $X$171 &amp; $U144),0)),"",INDIRECT(CONCATENATE("Table!",ADDRESS($Q144,MATCH(H$1,INDIRECT("Table!A" &amp; $U144):INDIRECT("Table!" &amp; $X$171 &amp; $U144),0)))))</f>
        <v>121331.8</v>
      </c>
      <c r="I144" s="33">
        <f ca="1">IF(ISERROR(MATCH(I$1,INDIRECT("Table!A"&amp;$U144):INDIRECT("Table!" &amp; $X$171 &amp; $U144),0)),"",INDIRECT(CONCATENATE("Table!",ADDRESS($Q144,MATCH(I$1,INDIRECT("Table!A" &amp; $U144):INDIRECT("Table!" &amp; $X$171 &amp; $U144),0)))))</f>
        <v>170967.6</v>
      </c>
      <c r="J144" s="33">
        <f ca="1">IF(ISERROR(MATCH(J$1,INDIRECT("Table!A"&amp;$U144):INDIRECT("Table!" &amp; $X$171 &amp; $U144),0)),"",INDIRECT(CONCATENATE("Table!",ADDRESS($Q144,MATCH(J$1,INDIRECT("Table!A" &amp; $U144):INDIRECT("Table!" &amp; $X$171 &amp; $U144),0)))))</f>
        <v>54921</v>
      </c>
      <c r="K144" s="33">
        <f ca="1">IF(ISERROR(MATCH(K$1,INDIRECT("Table!A"&amp;$U144):INDIRECT("Table!" &amp; $X$171 &amp; $U144),0)),"",INDIRECT(CONCATENATE("Table!",ADDRESS($Q144,MATCH(K$1,INDIRECT("Table!A" &amp; $U144):INDIRECT("Table!" &amp; $X$171 &amp; $U144),0)))))</f>
        <v>60665.9</v>
      </c>
      <c r="L144" s="33">
        <f ca="1">IF(ISERROR(MATCH(L$1,INDIRECT("Table!A"&amp;$U144):INDIRECT("Table!" &amp; $X$171 &amp; $U144),0)),"",INDIRECT(CONCATENATE("Table!",ADDRESS($Q144,MATCH(L$1,INDIRECT("Table!A" &amp; $U144):INDIRECT("Table!" &amp; $X$171 &amp; $U144),0)))))</f>
        <v>176482.7</v>
      </c>
      <c r="M144" s="33">
        <f ca="1">IF(ISERROR(MATCH(M$1,INDIRECT("Table!A"&amp;$U144):INDIRECT("Table!" &amp; $X$171 &amp; $U144),0)),"",INDIRECT(CONCATENATE("Table!",ADDRESS($Q144,MATCH(M$1,INDIRECT("Table!A" &amp; $U144):INDIRECT("Table!" &amp; $X$171 &amp; $U144),0)))))</f>
        <v>54921</v>
      </c>
      <c r="N144" s="145"/>
      <c r="O144" s="145"/>
      <c r="P144" s="145"/>
      <c r="Q144" s="31">
        <f>MATCH($A144,Table!$A:$A,0)+$S$14-1</f>
        <v>1910</v>
      </c>
      <c r="R144" s="145"/>
      <c r="S144" s="145"/>
      <c r="T144" s="145"/>
      <c r="U144" s="31">
        <f>MATCH($A144,Table!$A:$A,0)+$W$2-1</f>
        <v>1896</v>
      </c>
      <c r="V144" s="145"/>
      <c r="W144" s="145"/>
      <c r="X144" s="372" t="s">
        <v>209</v>
      </c>
    </row>
    <row r="145" spans="1:24" ht="18" customHeight="1">
      <c r="A145" s="5">
        <v>40956</v>
      </c>
      <c r="B145" s="33">
        <f ca="1">IF(ISERROR(MATCH(B$1,INDIRECT("Table!A"&amp;$U145):INDIRECT("Table!" &amp; $X$171 &amp; $U145),0)),"",INDIRECT(CONCATENATE("Table!",ADDRESS($Q145,MATCH(B$1,INDIRECT("Table!A" &amp; $U145):INDIRECT("Table!" &amp; $X$171 &amp; $U145),0)))))</f>
        <v>115816.8</v>
      </c>
      <c r="C145" s="33">
        <f ca="1">IF(ISERROR(MATCH(C$1,INDIRECT("Table!A"&amp;$U145):INDIRECT("Table!" &amp; $X$171 &amp; $U145),0)),"",INDIRECT(CONCATENATE("Table!",ADDRESS($Q145,MATCH(C$1,INDIRECT("Table!A" &amp; $U145):INDIRECT("Table!" &amp; $X$171 &amp; $U145),0)))))</f>
        <v>79968.7</v>
      </c>
      <c r="D145" s="33">
        <f ca="1">IF(ISERROR(MATCH(D$1,INDIRECT("Table!A"&amp;$U145):INDIRECT("Table!" &amp; $X$171 &amp; $U145),0)),"",INDIRECT(CONCATENATE("Table!",ADDRESS($Q145,MATCH(D$1,INDIRECT("Table!A" &amp; $U145):INDIRECT("Table!" &amp; $X$171 &amp; $U145),0)))))</f>
        <v>79968.7</v>
      </c>
      <c r="E145" s="33">
        <f ca="1">IF(ISERROR(MATCH(E$1,INDIRECT("Table!A"&amp;$U145):INDIRECT("Table!" &amp; $X$171 &amp; $U145),0)),"",INDIRECT(CONCATENATE("Table!",ADDRESS($Q145,MATCH(E$1,INDIRECT("Table!A" &amp; $U145):INDIRECT("Table!" &amp; $X$171 &amp; $U145),0)))))</f>
        <v>154422.39999999999</v>
      </c>
      <c r="F145" s="33">
        <f ca="1">IF(ISERROR(MATCH(F$1,INDIRECT("Table!A"&amp;$U145):INDIRECT("Table!" &amp; $X$171 &amp; $U145),0)),"",INDIRECT(CONCATENATE("Table!",ADDRESS($Q145,MATCH(F$1,INDIRECT("Table!A" &amp; $U145):INDIRECT("Table!" &amp; $X$171 &amp; $U145),0)))))</f>
        <v>121331.8</v>
      </c>
      <c r="G145" s="33">
        <f ca="1">IF(ISERROR(MATCH(G$1,INDIRECT("Table!A"&amp;$U145):INDIRECT("Table!" &amp; $X$171 &amp; $U145),0)),"",INDIRECT(CONCATENATE("Table!",ADDRESS($Q145,MATCH(G$1,INDIRECT("Table!A" &amp; $U145):INDIRECT("Table!" &amp; $X$171 &amp; $U145),0)))))</f>
        <v>110071.9</v>
      </c>
      <c r="H145" s="33">
        <f ca="1">IF(ISERROR(MATCH(H$1,INDIRECT("Table!A"&amp;$U145):INDIRECT("Table!" &amp; $X$171 &amp; $U145),0)),"",INDIRECT(CONCATENATE("Table!",ADDRESS($Q145,MATCH(H$1,INDIRECT("Table!A" &amp; $U145):INDIRECT("Table!" &amp; $X$171 &amp; $U145),0)))))</f>
        <v>121331.8</v>
      </c>
      <c r="I145" s="33">
        <f ca="1">IF(ISERROR(MATCH(I$1,INDIRECT("Table!A"&amp;$U145):INDIRECT("Table!" &amp; $X$171 &amp; $U145),0)),"",INDIRECT(CONCATENATE("Table!",ADDRESS($Q145,MATCH(I$1,INDIRECT("Table!A" &amp; $U145):INDIRECT("Table!" &amp; $X$171 &amp; $U145),0)))))</f>
        <v>170967.6</v>
      </c>
      <c r="J145" s="33">
        <f ca="1">IF(ISERROR(MATCH(J$1,INDIRECT("Table!A"&amp;$U145):INDIRECT("Table!" &amp; $X$171 &amp; $U145),0)),"",INDIRECT(CONCATENATE("Table!",ADDRESS($Q145,MATCH(J$1,INDIRECT("Table!A" &amp; $U145):INDIRECT("Table!" &amp; $X$171 &amp; $U145),0)))))</f>
        <v>54921</v>
      </c>
      <c r="K145" s="33">
        <f ca="1">IF(ISERROR(MATCH(K$1,INDIRECT("Table!A"&amp;$U145):INDIRECT("Table!" &amp; $X$171 &amp; $U145),0)),"",INDIRECT(CONCATENATE("Table!",ADDRESS($Q145,MATCH(K$1,INDIRECT("Table!A" &amp; $U145):INDIRECT("Table!" &amp; $X$171 &amp; $U145),0)))))</f>
        <v>60665.9</v>
      </c>
      <c r="L145" s="33">
        <f ca="1">IF(ISERROR(MATCH(L$1,INDIRECT("Table!A"&amp;$U145):INDIRECT("Table!" &amp; $X$171 &amp; $U145),0)),"",INDIRECT(CONCATENATE("Table!",ADDRESS($Q145,MATCH(L$1,INDIRECT("Table!A" &amp; $U145):INDIRECT("Table!" &amp; $X$171 &amp; $U145),0)))))</f>
        <v>176482.7</v>
      </c>
      <c r="M145" s="33">
        <f ca="1">IF(ISERROR(MATCH(M$1,INDIRECT("Table!A"&amp;$U145):INDIRECT("Table!" &amp; $X$171 &amp; $U145),0)),"",INDIRECT(CONCATENATE("Table!",ADDRESS($Q145,MATCH(M$1,INDIRECT("Table!A" &amp; $U145):INDIRECT("Table!" &amp; $X$171 &amp; $U145),0)))))</f>
        <v>54921</v>
      </c>
      <c r="N145" s="143"/>
      <c r="O145" s="143"/>
      <c r="P145" s="143"/>
      <c r="Q145" s="31">
        <f>MATCH($A145,Table!$A:$A,0)+$S$14-1</f>
        <v>1923</v>
      </c>
      <c r="R145" s="143"/>
      <c r="S145" s="143"/>
      <c r="T145" s="143"/>
      <c r="U145" s="31">
        <f>MATCH($A145,Table!$A:$A,0)+$W$2-1</f>
        <v>1909</v>
      </c>
      <c r="V145" s="143"/>
      <c r="W145" s="143"/>
      <c r="X145" s="372" t="s">
        <v>209</v>
      </c>
    </row>
    <row r="146" spans="1:24" ht="18" customHeight="1">
      <c r="A146" s="5">
        <v>40955</v>
      </c>
      <c r="B146" s="33">
        <f ca="1">IF(ISERROR(MATCH(B$1,INDIRECT("Table!A"&amp;$U146):INDIRECT("Table!" &amp; $X$171 &amp; $U146),0)),"",INDIRECT(CONCATENATE("Table!",ADDRESS($Q146,MATCH(B$1,INDIRECT("Table!A" &amp; $U146):INDIRECT("Table!" &amp; $X$171 &amp; $U146),0)))))</f>
        <v>115816.8</v>
      </c>
      <c r="C146" s="33">
        <f ca="1">IF(ISERROR(MATCH(C$1,INDIRECT("Table!A"&amp;$U146):INDIRECT("Table!" &amp; $X$171 &amp; $U146),0)),"",INDIRECT(CONCATENATE("Table!",ADDRESS($Q146,MATCH(C$1,INDIRECT("Table!A" &amp; $U146):INDIRECT("Table!" &amp; $X$171 &amp; $U146),0)))))</f>
        <v>79968.7</v>
      </c>
      <c r="D146" s="33">
        <f ca="1">IF(ISERROR(MATCH(D$1,INDIRECT("Table!A"&amp;$U146):INDIRECT("Table!" &amp; $X$171 &amp; $U146),0)),"",INDIRECT(CONCATENATE("Table!",ADDRESS($Q146,MATCH(D$1,INDIRECT("Table!A" &amp; $U146):INDIRECT("Table!" &amp; $X$171 &amp; $U146),0)))))</f>
        <v>79968.7</v>
      </c>
      <c r="E146" s="33">
        <f ca="1">IF(ISERROR(MATCH(E$1,INDIRECT("Table!A"&amp;$U146):INDIRECT("Table!" &amp; $X$171 &amp; $U146),0)),"",INDIRECT(CONCATENATE("Table!",ADDRESS($Q146,MATCH(E$1,INDIRECT("Table!A" &amp; $U146):INDIRECT("Table!" &amp; $X$171 &amp; $U146),0)))))</f>
        <v>154422.39999999999</v>
      </c>
      <c r="F146" s="33">
        <f ca="1">IF(ISERROR(MATCH(F$1,INDIRECT("Table!A"&amp;$U146):INDIRECT("Table!" &amp; $X$171 &amp; $U146),0)),"",INDIRECT(CONCATENATE("Table!",ADDRESS($Q146,MATCH(F$1,INDIRECT("Table!A" &amp; $U146):INDIRECT("Table!" &amp; $X$171 &amp; $U146),0)))))</f>
        <v>121331.8</v>
      </c>
      <c r="G146" s="33">
        <f ca="1">IF(ISERROR(MATCH(G$1,INDIRECT("Table!A"&amp;$U146):INDIRECT("Table!" &amp; $X$171 &amp; $U146),0)),"",INDIRECT(CONCATENATE("Table!",ADDRESS($Q146,MATCH(G$1,INDIRECT("Table!A" &amp; $U146):INDIRECT("Table!" &amp; $X$171 &amp; $U146),0)))))</f>
        <v>110071.9</v>
      </c>
      <c r="H146" s="33">
        <f ca="1">IF(ISERROR(MATCH(H$1,INDIRECT("Table!A"&amp;$U146):INDIRECT("Table!" &amp; $X$171 &amp; $U146),0)),"",INDIRECT(CONCATENATE("Table!",ADDRESS($Q146,MATCH(H$1,INDIRECT("Table!A" &amp; $U146):INDIRECT("Table!" &amp; $X$171 &amp; $U146),0)))))</f>
        <v>121331.8</v>
      </c>
      <c r="I146" s="33">
        <f ca="1">IF(ISERROR(MATCH(I$1,INDIRECT("Table!A"&amp;$U146):INDIRECT("Table!" &amp; $X$171 &amp; $U146),0)),"",INDIRECT(CONCATENATE("Table!",ADDRESS($Q146,MATCH(I$1,INDIRECT("Table!A" &amp; $U146):INDIRECT("Table!" &amp; $X$171 &amp; $U146),0)))))</f>
        <v>170967.6</v>
      </c>
      <c r="J146" s="33">
        <f ca="1">IF(ISERROR(MATCH(J$1,INDIRECT("Table!A"&amp;$U146):INDIRECT("Table!" &amp; $X$171 &amp; $U146),0)),"",INDIRECT(CONCATENATE("Table!",ADDRESS($Q146,MATCH(J$1,INDIRECT("Table!A" &amp; $U146):INDIRECT("Table!" &amp; $X$171 &amp; $U146),0)))))</f>
        <v>54921</v>
      </c>
      <c r="K146" s="33">
        <f ca="1">IF(ISERROR(MATCH(K$1,INDIRECT("Table!A"&amp;$U146):INDIRECT("Table!" &amp; $X$171 &amp; $U146),0)),"",INDIRECT(CONCATENATE("Table!",ADDRESS($Q146,MATCH(K$1,INDIRECT("Table!A" &amp; $U146):INDIRECT("Table!" &amp; $X$171 &amp; $U146),0)))))</f>
        <v>60665.9</v>
      </c>
      <c r="L146" s="33">
        <f ca="1">IF(ISERROR(MATCH(L$1,INDIRECT("Table!A"&amp;$U146):INDIRECT("Table!" &amp; $X$171 &amp; $U146),0)),"",INDIRECT(CONCATENATE("Table!",ADDRESS($Q146,MATCH(L$1,INDIRECT("Table!A" &amp; $U146):INDIRECT("Table!" &amp; $X$171 &amp; $U146),0)))))</f>
        <v>176482.7</v>
      </c>
      <c r="M146" s="33">
        <f ca="1">IF(ISERROR(MATCH(M$1,INDIRECT("Table!A"&amp;$U146):INDIRECT("Table!" &amp; $X$171 &amp; $U146),0)),"",INDIRECT(CONCATENATE("Table!",ADDRESS($Q146,MATCH(M$1,INDIRECT("Table!A" &amp; $U146):INDIRECT("Table!" &amp; $X$171 &amp; $U146),0)))))</f>
        <v>54921</v>
      </c>
      <c r="N146" s="141"/>
      <c r="O146" s="141"/>
      <c r="P146" s="141"/>
      <c r="Q146" s="31">
        <f>MATCH($A146,Table!$A:$A,0)+$S$14-1</f>
        <v>1936</v>
      </c>
      <c r="R146" s="141"/>
      <c r="S146" s="141"/>
      <c r="T146" s="141"/>
      <c r="U146" s="31">
        <f>MATCH($A146,Table!$A:$A,0)+$W$2-1</f>
        <v>1922</v>
      </c>
      <c r="V146" s="141"/>
      <c r="W146" s="141"/>
      <c r="X146" s="372" t="s">
        <v>209</v>
      </c>
    </row>
    <row r="147" spans="1:24" ht="18" customHeight="1">
      <c r="A147" s="5">
        <v>40954</v>
      </c>
      <c r="B147" s="33">
        <f ca="1">IF(ISERROR(MATCH(B$1,INDIRECT("Table!A"&amp;$U147):INDIRECT("Table!" &amp; $X$171 &amp; $U147),0)),"",INDIRECT(CONCATENATE("Table!",ADDRESS($Q147,MATCH(B$1,INDIRECT("Table!A" &amp; $U147):INDIRECT("Table!" &amp; $X$171 &amp; $U147),0)))))</f>
        <v>115816.8</v>
      </c>
      <c r="C147" s="33">
        <f ca="1">IF(ISERROR(MATCH(C$1,INDIRECT("Table!A"&amp;$U147):INDIRECT("Table!" &amp; $X$171 &amp; $U147),0)),"",INDIRECT(CONCATENATE("Table!",ADDRESS($Q147,MATCH(C$1,INDIRECT("Table!A" &amp; $U147):INDIRECT("Table!" &amp; $X$171 &amp; $U147),0)))))</f>
        <v>79968.7</v>
      </c>
      <c r="D147" s="33">
        <f ca="1">IF(ISERROR(MATCH(D$1,INDIRECT("Table!A"&amp;$U147):INDIRECT("Table!" &amp; $X$171 &amp; $U147),0)),"",INDIRECT(CONCATENATE("Table!",ADDRESS($Q147,MATCH(D$1,INDIRECT("Table!A" &amp; $U147):INDIRECT("Table!" &amp; $X$171 &amp; $U147),0)))))</f>
        <v>79968.7</v>
      </c>
      <c r="E147" s="33">
        <f ca="1">IF(ISERROR(MATCH(E$1,INDIRECT("Table!A"&amp;$U147):INDIRECT("Table!" &amp; $X$171 &amp; $U147),0)),"",INDIRECT(CONCATENATE("Table!",ADDRESS($Q147,MATCH(E$1,INDIRECT("Table!A" &amp; $U147):INDIRECT("Table!" &amp; $X$171 &amp; $U147),0)))))</f>
        <v>154422.39999999999</v>
      </c>
      <c r="F147" s="33">
        <f ca="1">IF(ISERROR(MATCH(F$1,INDIRECT("Table!A"&amp;$U147):INDIRECT("Table!" &amp; $X$171 &amp; $U147),0)),"",INDIRECT(CONCATENATE("Table!",ADDRESS($Q147,MATCH(F$1,INDIRECT("Table!A" &amp; $U147):INDIRECT("Table!" &amp; $X$171 &amp; $U147),0)))))</f>
        <v>121331.8</v>
      </c>
      <c r="G147" s="33">
        <f ca="1">IF(ISERROR(MATCH(G$1,INDIRECT("Table!A"&amp;$U147):INDIRECT("Table!" &amp; $X$171 &amp; $U147),0)),"",INDIRECT(CONCATENATE("Table!",ADDRESS($Q147,MATCH(G$1,INDIRECT("Table!A" &amp; $U147):INDIRECT("Table!" &amp; $X$171 &amp; $U147),0)))))</f>
        <v>110071.9</v>
      </c>
      <c r="H147" s="33">
        <f ca="1">IF(ISERROR(MATCH(H$1,INDIRECT("Table!A"&amp;$U147):INDIRECT("Table!" &amp; $X$171 &amp; $U147),0)),"",INDIRECT(CONCATENATE("Table!",ADDRESS($Q147,MATCH(H$1,INDIRECT("Table!A" &amp; $U147):INDIRECT("Table!" &amp; $X$171 &amp; $U147),0)))))</f>
        <v>121331.8</v>
      </c>
      <c r="I147" s="33">
        <f ca="1">IF(ISERROR(MATCH(I$1,INDIRECT("Table!A"&amp;$U147):INDIRECT("Table!" &amp; $X$171 &amp; $U147),0)),"",INDIRECT(CONCATENATE("Table!",ADDRESS($Q147,MATCH(I$1,INDIRECT("Table!A" &amp; $U147):INDIRECT("Table!" &amp; $X$171 &amp; $U147),0)))))</f>
        <v>170967.6</v>
      </c>
      <c r="J147" s="33">
        <f ca="1">IF(ISERROR(MATCH(J$1,INDIRECT("Table!A"&amp;$U147):INDIRECT("Table!" &amp; $X$171 &amp; $U147),0)),"",INDIRECT(CONCATENATE("Table!",ADDRESS($Q147,MATCH(J$1,INDIRECT("Table!A" &amp; $U147):INDIRECT("Table!" &amp; $X$171 &amp; $U147),0)))))</f>
        <v>54921</v>
      </c>
      <c r="K147" s="33">
        <f ca="1">IF(ISERROR(MATCH(K$1,INDIRECT("Table!A"&amp;$U147):INDIRECT("Table!" &amp; $X$171 &amp; $U147),0)),"",INDIRECT(CONCATENATE("Table!",ADDRESS($Q147,MATCH(K$1,INDIRECT("Table!A" &amp; $U147):INDIRECT("Table!" &amp; $X$171 &amp; $U147),0)))))</f>
        <v>60665.9</v>
      </c>
      <c r="L147" s="33">
        <f ca="1">IF(ISERROR(MATCH(L$1,INDIRECT("Table!A"&amp;$U147):INDIRECT("Table!" &amp; $X$171 &amp; $U147),0)),"",INDIRECT(CONCATENATE("Table!",ADDRESS($Q147,MATCH(L$1,INDIRECT("Table!A" &amp; $U147):INDIRECT("Table!" &amp; $X$171 &amp; $U147),0)))))</f>
        <v>176482.7</v>
      </c>
      <c r="M147" s="33">
        <f ca="1">IF(ISERROR(MATCH(M$1,INDIRECT("Table!A"&amp;$U147):INDIRECT("Table!" &amp; $X$171 &amp; $U147),0)),"",INDIRECT(CONCATENATE("Table!",ADDRESS($Q147,MATCH(M$1,INDIRECT("Table!A" &amp; $U147):INDIRECT("Table!" &amp; $X$171 &amp; $U147),0)))))</f>
        <v>54921</v>
      </c>
      <c r="N147" s="140"/>
      <c r="O147" s="140"/>
      <c r="P147" s="140"/>
      <c r="Q147" s="31">
        <f>MATCH($A147,Table!$A:$A,0)+$S$14-1</f>
        <v>1949</v>
      </c>
      <c r="R147" s="140"/>
      <c r="S147" s="140"/>
      <c r="T147" s="140"/>
      <c r="U147" s="31">
        <f>MATCH($A147,Table!$A:$A,0)+$W$2-1</f>
        <v>1935</v>
      </c>
      <c r="V147" s="140"/>
      <c r="W147" s="140"/>
      <c r="X147" s="372" t="s">
        <v>209</v>
      </c>
    </row>
    <row r="148" spans="1:24" ht="18" customHeight="1">
      <c r="A148" s="5">
        <v>40953</v>
      </c>
      <c r="B148" s="33">
        <f ca="1">IF(ISERROR(MATCH(B$1,INDIRECT("Table!A"&amp;$U148):INDIRECT("Table!" &amp; $X$171 &amp; $U148),0)),"",INDIRECT(CONCATENATE("Table!",ADDRESS($Q148,MATCH(B$1,INDIRECT("Table!A" &amp; $U148):INDIRECT("Table!" &amp; $X$171 &amp; $U148),0)))))</f>
        <v>115816.8</v>
      </c>
      <c r="C148" s="33">
        <f ca="1">IF(ISERROR(MATCH(C$1,INDIRECT("Table!A"&amp;$U148):INDIRECT("Table!" &amp; $X$171 &amp; $U148),0)),"",INDIRECT(CONCATENATE("Table!",ADDRESS($Q148,MATCH(C$1,INDIRECT("Table!A" &amp; $U148):INDIRECT("Table!" &amp; $X$171 &amp; $U148),0)))))</f>
        <v>79968.7</v>
      </c>
      <c r="D148" s="33">
        <f ca="1">IF(ISERROR(MATCH(D$1,INDIRECT("Table!A"&amp;$U148):INDIRECT("Table!" &amp; $X$171 &amp; $U148),0)),"",INDIRECT(CONCATENATE("Table!",ADDRESS($Q148,MATCH(D$1,INDIRECT("Table!A" &amp; $U148):INDIRECT("Table!" &amp; $X$171 &amp; $U148),0)))))</f>
        <v>79968.7</v>
      </c>
      <c r="E148" s="33">
        <f ca="1">IF(ISERROR(MATCH(E$1,INDIRECT("Table!A"&amp;$U148):INDIRECT("Table!" &amp; $X$171 &amp; $U148),0)),"",INDIRECT(CONCATENATE("Table!",ADDRESS($Q148,MATCH(E$1,INDIRECT("Table!A" &amp; $U148):INDIRECT("Table!" &amp; $X$171 &amp; $U148),0)))))</f>
        <v>154422.39999999999</v>
      </c>
      <c r="F148" s="33">
        <f ca="1">IF(ISERROR(MATCH(F$1,INDIRECT("Table!A"&amp;$U148):INDIRECT("Table!" &amp; $X$171 &amp; $U148),0)),"",INDIRECT(CONCATENATE("Table!",ADDRESS($Q148,MATCH(F$1,INDIRECT("Table!A" &amp; $U148):INDIRECT("Table!" &amp; $X$171 &amp; $U148),0)))))</f>
        <v>121331.8</v>
      </c>
      <c r="G148" s="33">
        <f ca="1">IF(ISERROR(MATCH(G$1,INDIRECT("Table!A"&amp;$U148):INDIRECT("Table!" &amp; $X$171 &amp; $U148),0)),"",INDIRECT(CONCATENATE("Table!",ADDRESS($Q148,MATCH(G$1,INDIRECT("Table!A" &amp; $U148):INDIRECT("Table!" &amp; $X$171 &amp; $U148),0)))))</f>
        <v>110071.9</v>
      </c>
      <c r="H148" s="33">
        <f ca="1">IF(ISERROR(MATCH(H$1,INDIRECT("Table!A"&amp;$U148):INDIRECT("Table!" &amp; $X$171 &amp; $U148),0)),"",INDIRECT(CONCATENATE("Table!",ADDRESS($Q148,MATCH(H$1,INDIRECT("Table!A" &amp; $U148):INDIRECT("Table!" &amp; $X$171 &amp; $U148),0)))))</f>
        <v>121331.8</v>
      </c>
      <c r="I148" s="33">
        <f ca="1">IF(ISERROR(MATCH(I$1,INDIRECT("Table!A"&amp;$U148):INDIRECT("Table!" &amp; $X$171 &amp; $U148),0)),"",INDIRECT(CONCATENATE("Table!",ADDRESS($Q148,MATCH(I$1,INDIRECT("Table!A" &amp; $U148):INDIRECT("Table!" &amp; $X$171 &amp; $U148),0)))))</f>
        <v>170967.6</v>
      </c>
      <c r="J148" s="33">
        <f ca="1">IF(ISERROR(MATCH(J$1,INDIRECT("Table!A"&amp;$U148):INDIRECT("Table!" &amp; $X$171 &amp; $U148),0)),"",INDIRECT(CONCATENATE("Table!",ADDRESS($Q148,MATCH(J$1,INDIRECT("Table!A" &amp; $U148):INDIRECT("Table!" &amp; $X$171 &amp; $U148),0)))))</f>
        <v>54921</v>
      </c>
      <c r="K148" s="33">
        <f ca="1">IF(ISERROR(MATCH(K$1,INDIRECT("Table!A"&amp;$U148):INDIRECT("Table!" &amp; $X$171 &amp; $U148),0)),"",INDIRECT(CONCATENATE("Table!",ADDRESS($Q148,MATCH(K$1,INDIRECT("Table!A" &amp; $U148):INDIRECT("Table!" &amp; $X$171 &amp; $U148),0)))))</f>
        <v>60665.9</v>
      </c>
      <c r="L148" s="33">
        <f ca="1">IF(ISERROR(MATCH(L$1,INDIRECT("Table!A"&amp;$U148):INDIRECT("Table!" &amp; $X$171 &amp; $U148),0)),"",INDIRECT(CONCATENATE("Table!",ADDRESS($Q148,MATCH(L$1,INDIRECT("Table!A" &amp; $U148):INDIRECT("Table!" &amp; $X$171 &amp; $U148),0)))))</f>
        <v>176482.7</v>
      </c>
      <c r="M148" s="33">
        <f ca="1">IF(ISERROR(MATCH(M$1,INDIRECT("Table!A"&amp;$U148):INDIRECT("Table!" &amp; $X$171 &amp; $U148),0)),"",INDIRECT(CONCATENATE("Table!",ADDRESS($Q148,MATCH(M$1,INDIRECT("Table!A" &amp; $U148):INDIRECT("Table!" &amp; $X$171 &amp; $U148),0)))))</f>
        <v>54921</v>
      </c>
      <c r="N148" s="139"/>
      <c r="O148" s="139"/>
      <c r="P148" s="139"/>
      <c r="Q148" s="31">
        <f>MATCH($A148,Table!$A:$A,0)+$S$14-1</f>
        <v>1962</v>
      </c>
      <c r="R148" s="139"/>
      <c r="S148" s="139"/>
      <c r="T148" s="139"/>
      <c r="U148" s="31">
        <f>MATCH($A148,Table!$A:$A,0)+$W$2-1</f>
        <v>1948</v>
      </c>
      <c r="V148" s="139"/>
      <c r="W148" s="139"/>
      <c r="X148" s="372" t="s">
        <v>209</v>
      </c>
    </row>
    <row r="149" spans="1:24" ht="18" customHeight="1">
      <c r="A149" s="5">
        <v>40952</v>
      </c>
      <c r="B149" s="33">
        <f ca="1">IF(ISERROR(MATCH(B$1,INDIRECT("Table!A"&amp;$U149):INDIRECT("Table!" &amp; $X$171 &amp; $U149),0)),"",INDIRECT(CONCATENATE("Table!",ADDRESS($Q149,MATCH(B$1,INDIRECT("Table!A" &amp; $U149):INDIRECT("Table!" &amp; $X$171 &amp; $U149),0)))))</f>
        <v>115816.8</v>
      </c>
      <c r="C149" s="33">
        <f ca="1">IF(ISERROR(MATCH(C$1,INDIRECT("Table!A"&amp;$U149):INDIRECT("Table!" &amp; $X$171 &amp; $U149),0)),"",INDIRECT(CONCATENATE("Table!",ADDRESS($Q149,MATCH(C$1,INDIRECT("Table!A" &amp; $U149):INDIRECT("Table!" &amp; $X$171 &amp; $U149),0)))))</f>
        <v>79968.7</v>
      </c>
      <c r="D149" s="33">
        <f ca="1">IF(ISERROR(MATCH(D$1,INDIRECT("Table!A"&amp;$U149):INDIRECT("Table!" &amp; $X$171 &amp; $U149),0)),"",INDIRECT(CONCATENATE("Table!",ADDRESS($Q149,MATCH(D$1,INDIRECT("Table!A" &amp; $U149):INDIRECT("Table!" &amp; $X$171 &amp; $U149),0)))))</f>
        <v>79968.7</v>
      </c>
      <c r="E149" s="33">
        <f ca="1">IF(ISERROR(MATCH(E$1,INDIRECT("Table!A"&amp;$U149):INDIRECT("Table!" &amp; $X$171 &amp; $U149),0)),"",INDIRECT(CONCATENATE("Table!",ADDRESS($Q149,MATCH(E$1,INDIRECT("Table!A" &amp; $U149):INDIRECT("Table!" &amp; $X$171 &amp; $U149),0)))))</f>
        <v>154422.39999999999</v>
      </c>
      <c r="F149" s="33">
        <f ca="1">IF(ISERROR(MATCH(F$1,INDIRECT("Table!A"&amp;$U149):INDIRECT("Table!" &amp; $X$171 &amp; $U149),0)),"",INDIRECT(CONCATENATE("Table!",ADDRESS($Q149,MATCH(F$1,INDIRECT("Table!A" &amp; $U149):INDIRECT("Table!" &amp; $X$171 &amp; $U149),0)))))</f>
        <v>121331.8</v>
      </c>
      <c r="G149" s="33">
        <f ca="1">IF(ISERROR(MATCH(G$1,INDIRECT("Table!A"&amp;$U149):INDIRECT("Table!" &amp; $X$171 &amp; $U149),0)),"",INDIRECT(CONCATENATE("Table!",ADDRESS($Q149,MATCH(G$1,INDIRECT("Table!A" &amp; $U149):INDIRECT("Table!" &amp; $X$171 &amp; $U149),0)))))</f>
        <v>110071.9</v>
      </c>
      <c r="H149" s="33">
        <f ca="1">IF(ISERROR(MATCH(H$1,INDIRECT("Table!A"&amp;$U149):INDIRECT("Table!" &amp; $X$171 &amp; $U149),0)),"",INDIRECT(CONCATENATE("Table!",ADDRESS($Q149,MATCH(H$1,INDIRECT("Table!A" &amp; $U149):INDIRECT("Table!" &amp; $X$171 &amp; $U149),0)))))</f>
        <v>121331.8</v>
      </c>
      <c r="I149" s="33">
        <f ca="1">IF(ISERROR(MATCH(I$1,INDIRECT("Table!A"&amp;$U149):INDIRECT("Table!" &amp; $X$171 &amp; $U149),0)),"",INDIRECT(CONCATENATE("Table!",ADDRESS($Q149,MATCH(I$1,INDIRECT("Table!A" &amp; $U149):INDIRECT("Table!" &amp; $X$171 &amp; $U149),0)))))</f>
        <v>170967.6</v>
      </c>
      <c r="J149" s="33">
        <f ca="1">IF(ISERROR(MATCH(J$1,INDIRECT("Table!A"&amp;$U149):INDIRECT("Table!" &amp; $X$171 &amp; $U149),0)),"",INDIRECT(CONCATENATE("Table!",ADDRESS($Q149,MATCH(J$1,INDIRECT("Table!A" &amp; $U149):INDIRECT("Table!" &amp; $X$171 &amp; $U149),0)))))</f>
        <v>54921</v>
      </c>
      <c r="K149" s="33">
        <f ca="1">IF(ISERROR(MATCH(K$1,INDIRECT("Table!A"&amp;$U149):INDIRECT("Table!" &amp; $X$171 &amp; $U149),0)),"",INDIRECT(CONCATENATE("Table!",ADDRESS($Q149,MATCH(K$1,INDIRECT("Table!A" &amp; $U149):INDIRECT("Table!" &amp; $X$171 &amp; $U149),0)))))</f>
        <v>60665.9</v>
      </c>
      <c r="L149" s="33">
        <f ca="1">IF(ISERROR(MATCH(L$1,INDIRECT("Table!A"&amp;$U149):INDIRECT("Table!" &amp; $X$171 &amp; $U149),0)),"",INDIRECT(CONCATENATE("Table!",ADDRESS($Q149,MATCH(L$1,INDIRECT("Table!A" &amp; $U149):INDIRECT("Table!" &amp; $X$171 &amp; $U149),0)))))</f>
        <v>176482.7</v>
      </c>
      <c r="M149" s="33">
        <f ca="1">IF(ISERROR(MATCH(M$1,INDIRECT("Table!A"&amp;$U149):INDIRECT("Table!" &amp; $X$171 &amp; $U149),0)),"",INDIRECT(CONCATENATE("Table!",ADDRESS($Q149,MATCH(M$1,INDIRECT("Table!A" &amp; $U149):INDIRECT("Table!" &amp; $X$171 &amp; $U149),0)))))</f>
        <v>54921</v>
      </c>
      <c r="N149" s="136"/>
      <c r="O149" s="136"/>
      <c r="P149" s="136"/>
      <c r="Q149" s="31">
        <f>MATCH($A149,Table!$A:$A,0)+$S$14-1</f>
        <v>1975</v>
      </c>
      <c r="R149" s="136"/>
      <c r="S149" s="136"/>
      <c r="T149" s="136"/>
      <c r="U149" s="31">
        <f>MATCH($A149,Table!$A:$A,0)+$W$2-1</f>
        <v>1961</v>
      </c>
      <c r="V149" s="136"/>
      <c r="W149" s="136"/>
      <c r="X149" s="372" t="s">
        <v>209</v>
      </c>
    </row>
    <row r="150" spans="1:24" ht="18" customHeight="1">
      <c r="A150" s="5">
        <v>40949</v>
      </c>
      <c r="B150" s="33">
        <f ca="1">IF(ISERROR(MATCH(B$1,INDIRECT("Table!A"&amp;$U150):INDIRECT("Table!" &amp; $X$171 &amp; $U150),0)),"",INDIRECT(CONCATENATE("Table!",ADDRESS($Q150,MATCH(B$1,INDIRECT("Table!A" &amp; $U150):INDIRECT("Table!" &amp; $X$171 &amp; $U150),0)))))</f>
        <v>115816.8</v>
      </c>
      <c r="C150" s="33">
        <f ca="1">IF(ISERROR(MATCH(C$1,INDIRECT("Table!A"&amp;$U150):INDIRECT("Table!" &amp; $X$171 &amp; $U150),0)),"",INDIRECT(CONCATENATE("Table!",ADDRESS($Q150,MATCH(C$1,INDIRECT("Table!A" &amp; $U150):INDIRECT("Table!" &amp; $X$171 &amp; $U150),0)))))</f>
        <v>79968.7</v>
      </c>
      <c r="D150" s="33">
        <f ca="1">IF(ISERROR(MATCH(D$1,INDIRECT("Table!A"&amp;$U150):INDIRECT("Table!" &amp; $X$171 &amp; $U150),0)),"",INDIRECT(CONCATENATE("Table!",ADDRESS($Q150,MATCH(D$1,INDIRECT("Table!A" &amp; $U150):INDIRECT("Table!" &amp; $X$171 &amp; $U150),0)))))</f>
        <v>79968.7</v>
      </c>
      <c r="E150" s="33">
        <f ca="1">IF(ISERROR(MATCH(E$1,INDIRECT("Table!A"&amp;$U150):INDIRECT("Table!" &amp; $X$171 &amp; $U150),0)),"",INDIRECT(CONCATENATE("Table!",ADDRESS($Q150,MATCH(E$1,INDIRECT("Table!A" &amp; $U150):INDIRECT("Table!" &amp; $X$171 &amp; $U150),0)))))</f>
        <v>154422.39999999999</v>
      </c>
      <c r="F150" s="33">
        <f ca="1">IF(ISERROR(MATCH(F$1,INDIRECT("Table!A"&amp;$U150):INDIRECT("Table!" &amp; $X$171 &amp; $U150),0)),"",INDIRECT(CONCATENATE("Table!",ADDRESS($Q150,MATCH(F$1,INDIRECT("Table!A" &amp; $U150):INDIRECT("Table!" &amp; $X$171 &amp; $U150),0)))))</f>
        <v>121331.8</v>
      </c>
      <c r="G150" s="33">
        <f ca="1">IF(ISERROR(MATCH(G$1,INDIRECT("Table!A"&amp;$U150):INDIRECT("Table!" &amp; $X$171 &amp; $U150),0)),"",INDIRECT(CONCATENATE("Table!",ADDRESS($Q150,MATCH(G$1,INDIRECT("Table!A" &amp; $U150):INDIRECT("Table!" &amp; $X$171 &amp; $U150),0)))))</f>
        <v>110071.9</v>
      </c>
      <c r="H150" s="33">
        <f ca="1">IF(ISERROR(MATCH(H$1,INDIRECT("Table!A"&amp;$U150):INDIRECT("Table!" &amp; $X$171 &amp; $U150),0)),"",INDIRECT(CONCATENATE("Table!",ADDRESS($Q150,MATCH(H$1,INDIRECT("Table!A" &amp; $U150):INDIRECT("Table!" &amp; $X$171 &amp; $U150),0)))))</f>
        <v>121331.8</v>
      </c>
      <c r="I150" s="33">
        <f ca="1">IF(ISERROR(MATCH(I$1,INDIRECT("Table!A"&amp;$U150):INDIRECT("Table!" &amp; $X$171 &amp; $U150),0)),"",INDIRECT(CONCATENATE("Table!",ADDRESS($Q150,MATCH(I$1,INDIRECT("Table!A" &amp; $U150):INDIRECT("Table!" &amp; $X$171 &amp; $U150),0)))))</f>
        <v>170967.6</v>
      </c>
      <c r="J150" s="33">
        <f ca="1">IF(ISERROR(MATCH(J$1,INDIRECT("Table!A"&amp;$U150):INDIRECT("Table!" &amp; $X$171 &amp; $U150),0)),"",INDIRECT(CONCATENATE("Table!",ADDRESS($Q150,MATCH(J$1,INDIRECT("Table!A" &amp; $U150):INDIRECT("Table!" &amp; $X$171 &amp; $U150),0)))))</f>
        <v>54921</v>
      </c>
      <c r="K150" s="33">
        <f ca="1">IF(ISERROR(MATCH(K$1,INDIRECT("Table!A"&amp;$U150):INDIRECT("Table!" &amp; $X$171 &amp; $U150),0)),"",INDIRECT(CONCATENATE("Table!",ADDRESS($Q150,MATCH(K$1,INDIRECT("Table!A" &amp; $U150):INDIRECT("Table!" &amp; $X$171 &amp; $U150),0)))))</f>
        <v>60665.9</v>
      </c>
      <c r="L150" s="33">
        <f ca="1">IF(ISERROR(MATCH(L$1,INDIRECT("Table!A"&amp;$U150):INDIRECT("Table!" &amp; $X$171 &amp; $U150),0)),"",INDIRECT(CONCATENATE("Table!",ADDRESS($Q150,MATCH(L$1,INDIRECT("Table!A" &amp; $U150):INDIRECT("Table!" &amp; $X$171 &amp; $U150),0)))))</f>
        <v>176482.7</v>
      </c>
      <c r="M150" s="33">
        <f ca="1">IF(ISERROR(MATCH(M$1,INDIRECT("Table!A"&amp;$U150):INDIRECT("Table!" &amp; $X$171 &amp; $U150),0)),"",INDIRECT(CONCATENATE("Table!",ADDRESS($Q150,MATCH(M$1,INDIRECT("Table!A" &amp; $U150):INDIRECT("Table!" &amp; $X$171 &amp; $U150),0)))))</f>
        <v>54921</v>
      </c>
      <c r="N150" s="135"/>
      <c r="O150" s="135"/>
      <c r="P150" s="135"/>
      <c r="Q150" s="31">
        <f>MATCH($A150,Table!$A:$A,0)+$S$14-1</f>
        <v>1988</v>
      </c>
      <c r="R150" s="135"/>
      <c r="S150" s="135"/>
      <c r="T150" s="135"/>
      <c r="U150" s="31">
        <f>MATCH($A150,Table!$A:$A,0)+$W$2-1</f>
        <v>1974</v>
      </c>
      <c r="V150" s="135"/>
      <c r="W150" s="135"/>
      <c r="X150" s="372" t="s">
        <v>209</v>
      </c>
    </row>
    <row r="151" spans="1:24" ht="18" customHeight="1">
      <c r="A151" s="5">
        <v>40948</v>
      </c>
      <c r="B151" s="33">
        <f ca="1">IF(ISERROR(MATCH(B$1,INDIRECT("Table!A"&amp;$U151):INDIRECT("Table!" &amp; $X$171 &amp; $U151),0)),"",INDIRECT(CONCATENATE("Table!",ADDRESS($Q151,MATCH(B$1,INDIRECT("Table!A" &amp; $U151):INDIRECT("Table!" &amp; $X$171 &amp; $U151),0)))))</f>
        <v>115816.8</v>
      </c>
      <c r="C151" s="33">
        <f ca="1">IF(ISERROR(MATCH(C$1,INDIRECT("Table!A"&amp;$U151):INDIRECT("Table!" &amp; $X$171 &amp; $U151),0)),"",INDIRECT(CONCATENATE("Table!",ADDRESS($Q151,MATCH(C$1,INDIRECT("Table!A" &amp; $U151):INDIRECT("Table!" &amp; $X$171 &amp; $U151),0)))))</f>
        <v>79968.7</v>
      </c>
      <c r="D151" s="33">
        <f ca="1">IF(ISERROR(MATCH(D$1,INDIRECT("Table!A"&amp;$U151):INDIRECT("Table!" &amp; $X$171 &amp; $U151),0)),"",INDIRECT(CONCATENATE("Table!",ADDRESS($Q151,MATCH(D$1,INDIRECT("Table!A" &amp; $U151):INDIRECT("Table!" &amp; $X$171 &amp; $U151),0)))))</f>
        <v>79968.7</v>
      </c>
      <c r="E151" s="33">
        <f ca="1">IF(ISERROR(MATCH(E$1,INDIRECT("Table!A"&amp;$U151):INDIRECT("Table!" &amp; $X$171 &amp; $U151),0)),"",INDIRECT(CONCATENATE("Table!",ADDRESS($Q151,MATCH(E$1,INDIRECT("Table!A" &amp; $U151):INDIRECT("Table!" &amp; $X$171 &amp; $U151),0)))))</f>
        <v>154422.39999999999</v>
      </c>
      <c r="F151" s="33">
        <f ca="1">IF(ISERROR(MATCH(F$1,INDIRECT("Table!A"&amp;$U151):INDIRECT("Table!" &amp; $X$171 &amp; $U151),0)),"",INDIRECT(CONCATENATE("Table!",ADDRESS($Q151,MATCH(F$1,INDIRECT("Table!A" &amp; $U151):INDIRECT("Table!" &amp; $X$171 &amp; $U151),0)))))</f>
        <v>121331.8</v>
      </c>
      <c r="G151" s="33">
        <f ca="1">IF(ISERROR(MATCH(G$1,INDIRECT("Table!A"&amp;$U151):INDIRECT("Table!" &amp; $X$171 &amp; $U151),0)),"",INDIRECT(CONCATENATE("Table!",ADDRESS($Q151,MATCH(G$1,INDIRECT("Table!A" &amp; $U151):INDIRECT("Table!" &amp; $X$171 &amp; $U151),0)))))</f>
        <v>110071.9</v>
      </c>
      <c r="H151" s="33">
        <f ca="1">IF(ISERROR(MATCH(H$1,INDIRECT("Table!A"&amp;$U151):INDIRECT("Table!" &amp; $X$171 &amp; $U151),0)),"",INDIRECT(CONCATENATE("Table!",ADDRESS($Q151,MATCH(H$1,INDIRECT("Table!A" &amp; $U151):INDIRECT("Table!" &amp; $X$171 &amp; $U151),0)))))</f>
        <v>121331.8</v>
      </c>
      <c r="I151" s="33">
        <f ca="1">IF(ISERROR(MATCH(I$1,INDIRECT("Table!A"&amp;$U151):INDIRECT("Table!" &amp; $X$171 &amp; $U151),0)),"",INDIRECT(CONCATENATE("Table!",ADDRESS($Q151,MATCH(I$1,INDIRECT("Table!A" &amp; $U151):INDIRECT("Table!" &amp; $X$171 &amp; $U151),0)))))</f>
        <v>170967.6</v>
      </c>
      <c r="J151" s="33">
        <f ca="1">IF(ISERROR(MATCH(J$1,INDIRECT("Table!A"&amp;$U151):INDIRECT("Table!" &amp; $X$171 &amp; $U151),0)),"",INDIRECT(CONCATENATE("Table!",ADDRESS($Q151,MATCH(J$1,INDIRECT("Table!A" &amp; $U151):INDIRECT("Table!" &amp; $X$171 &amp; $U151),0)))))</f>
        <v>54921</v>
      </c>
      <c r="K151" s="33">
        <f ca="1">IF(ISERROR(MATCH(K$1,INDIRECT("Table!A"&amp;$U151):INDIRECT("Table!" &amp; $X$171 &amp; $U151),0)),"",INDIRECT(CONCATENATE("Table!",ADDRESS($Q151,MATCH(K$1,INDIRECT("Table!A" &amp; $U151):INDIRECT("Table!" &amp; $X$171 &amp; $U151),0)))))</f>
        <v>60665.9</v>
      </c>
      <c r="L151" s="33">
        <f ca="1">IF(ISERROR(MATCH(L$1,INDIRECT("Table!A"&amp;$U151):INDIRECT("Table!" &amp; $X$171 &amp; $U151),0)),"",INDIRECT(CONCATENATE("Table!",ADDRESS($Q151,MATCH(L$1,INDIRECT("Table!A" &amp; $U151):INDIRECT("Table!" &amp; $X$171 &amp; $U151),0)))))</f>
        <v>176482.7</v>
      </c>
      <c r="M151" s="33">
        <f ca="1">IF(ISERROR(MATCH(M$1,INDIRECT("Table!A"&amp;$U151):INDIRECT("Table!" &amp; $X$171 &amp; $U151),0)),"",INDIRECT(CONCATENATE("Table!",ADDRESS($Q151,MATCH(M$1,INDIRECT("Table!A" &amp; $U151):INDIRECT("Table!" &amp; $X$171 &amp; $U151),0)))))</f>
        <v>54921</v>
      </c>
      <c r="N151" s="134"/>
      <c r="O151" s="134"/>
      <c r="P151" s="134"/>
      <c r="Q151" s="31">
        <f>MATCH($A151,Table!$A:$A,0)+$S$14-1</f>
        <v>2001</v>
      </c>
      <c r="R151" s="134"/>
      <c r="S151" s="134"/>
      <c r="T151" s="134"/>
      <c r="U151" s="31">
        <f>MATCH($A151,Table!$A:$A,0)+$W$2-1</f>
        <v>1987</v>
      </c>
      <c r="V151" s="134"/>
      <c r="W151" s="134"/>
      <c r="X151" s="372" t="s">
        <v>209</v>
      </c>
    </row>
    <row r="152" spans="1:24" ht="18" customHeight="1">
      <c r="A152" s="5">
        <v>40947</v>
      </c>
      <c r="B152" s="33">
        <f ca="1">IF(ISERROR(MATCH(B$1,INDIRECT("Table!A"&amp;$U152):INDIRECT("Table!" &amp; $X$171 &amp; $U152),0)),"",INDIRECT(CONCATENATE("Table!",ADDRESS($Q152,MATCH(B$1,INDIRECT("Table!A" &amp; $U152):INDIRECT("Table!" &amp; $X$171 &amp; $U152),0)))))</f>
        <v>115816.8</v>
      </c>
      <c r="C152" s="33">
        <f ca="1">IF(ISERROR(MATCH(C$1,INDIRECT("Table!A"&amp;$U152):INDIRECT("Table!" &amp; $X$171 &amp; $U152),0)),"",INDIRECT(CONCATENATE("Table!",ADDRESS($Q152,MATCH(C$1,INDIRECT("Table!A" &amp; $U152):INDIRECT("Table!" &amp; $X$171 &amp; $U152),0)))))</f>
        <v>79968.7</v>
      </c>
      <c r="D152" s="33">
        <f ca="1">IF(ISERROR(MATCH(D$1,INDIRECT("Table!A"&amp;$U152):INDIRECT("Table!" &amp; $X$171 &amp; $U152),0)),"",INDIRECT(CONCATENATE("Table!",ADDRESS($Q152,MATCH(D$1,INDIRECT("Table!A" &amp; $U152):INDIRECT("Table!" &amp; $X$171 &amp; $U152),0)))))</f>
        <v>79968.7</v>
      </c>
      <c r="E152" s="33">
        <f ca="1">IF(ISERROR(MATCH(E$1,INDIRECT("Table!A"&amp;$U152):INDIRECT("Table!" &amp; $X$171 &amp; $U152),0)),"",INDIRECT(CONCATENATE("Table!",ADDRESS($Q152,MATCH(E$1,INDIRECT("Table!A" &amp; $U152):INDIRECT("Table!" &amp; $X$171 &amp; $U152),0)))))</f>
        <v>154422.39999999999</v>
      </c>
      <c r="F152" s="33">
        <f ca="1">IF(ISERROR(MATCH(F$1,INDIRECT("Table!A"&amp;$U152):INDIRECT("Table!" &amp; $X$171 &amp; $U152),0)),"",INDIRECT(CONCATENATE("Table!",ADDRESS($Q152,MATCH(F$1,INDIRECT("Table!A" &amp; $U152):INDIRECT("Table!" &amp; $X$171 &amp; $U152),0)))))</f>
        <v>121331.8</v>
      </c>
      <c r="G152" s="33">
        <f ca="1">IF(ISERROR(MATCH(G$1,INDIRECT("Table!A"&amp;$U152):INDIRECT("Table!" &amp; $X$171 &amp; $U152),0)),"",INDIRECT(CONCATENATE("Table!",ADDRESS($Q152,MATCH(G$1,INDIRECT("Table!A" &amp; $U152):INDIRECT("Table!" &amp; $X$171 &amp; $U152),0)))))</f>
        <v>110071.9</v>
      </c>
      <c r="H152" s="33">
        <f ca="1">IF(ISERROR(MATCH(H$1,INDIRECT("Table!A"&amp;$U152):INDIRECT("Table!" &amp; $X$171 &amp; $U152),0)),"",INDIRECT(CONCATENATE("Table!",ADDRESS($Q152,MATCH(H$1,INDIRECT("Table!A" &amp; $U152):INDIRECT("Table!" &amp; $X$171 &amp; $U152),0)))))</f>
        <v>121331.8</v>
      </c>
      <c r="I152" s="33">
        <f ca="1">IF(ISERROR(MATCH(I$1,INDIRECT("Table!A"&amp;$U152):INDIRECT("Table!" &amp; $X$171 &amp; $U152),0)),"",INDIRECT(CONCATENATE("Table!",ADDRESS($Q152,MATCH(I$1,INDIRECT("Table!A" &amp; $U152):INDIRECT("Table!" &amp; $X$171 &amp; $U152),0)))))</f>
        <v>170967.6</v>
      </c>
      <c r="J152" s="33">
        <f ca="1">IF(ISERROR(MATCH(J$1,INDIRECT("Table!A"&amp;$U152):INDIRECT("Table!" &amp; $X$171 &amp; $U152),0)),"",INDIRECT(CONCATENATE("Table!",ADDRESS($Q152,MATCH(J$1,INDIRECT("Table!A" &amp; $U152):INDIRECT("Table!" &amp; $X$171 &amp; $U152),0)))))</f>
        <v>54921</v>
      </c>
      <c r="K152" s="33">
        <f ca="1">IF(ISERROR(MATCH(K$1,INDIRECT("Table!A"&amp;$U152):INDIRECT("Table!" &amp; $X$171 &amp; $U152),0)),"",INDIRECT(CONCATENATE("Table!",ADDRESS($Q152,MATCH(K$1,INDIRECT("Table!A" &amp; $U152):INDIRECT("Table!" &amp; $X$171 &amp; $U152),0)))))</f>
        <v>60665.9</v>
      </c>
      <c r="L152" s="33">
        <f ca="1">IF(ISERROR(MATCH(L$1,INDIRECT("Table!A"&amp;$U152):INDIRECT("Table!" &amp; $X$171 &amp; $U152),0)),"",INDIRECT(CONCATENATE("Table!",ADDRESS($Q152,MATCH(L$1,INDIRECT("Table!A" &amp; $U152):INDIRECT("Table!" &amp; $X$171 &amp; $U152),0)))))</f>
        <v>176482.7</v>
      </c>
      <c r="M152" s="33">
        <f ca="1">IF(ISERROR(MATCH(M$1,INDIRECT("Table!A"&amp;$U152):INDIRECT("Table!" &amp; $X$171 &amp; $U152),0)),"",INDIRECT(CONCATENATE("Table!",ADDRESS($Q152,MATCH(M$1,INDIRECT("Table!A" &amp; $U152):INDIRECT("Table!" &amp; $X$171 &amp; $U152),0)))))</f>
        <v>54921</v>
      </c>
      <c r="N152" s="133"/>
      <c r="O152" s="133"/>
      <c r="P152" s="133"/>
      <c r="Q152" s="31">
        <f>MATCH($A152,Table!$A:$A,0)+$S$14-1</f>
        <v>2014</v>
      </c>
      <c r="R152" s="133"/>
      <c r="S152" s="133"/>
      <c r="T152" s="133"/>
      <c r="U152" s="31">
        <f>MATCH($A152,Table!$A:$A,0)+$W$2-1</f>
        <v>2000</v>
      </c>
      <c r="V152" s="133"/>
      <c r="W152" s="133"/>
      <c r="X152" s="372" t="s">
        <v>209</v>
      </c>
    </row>
    <row r="153" spans="1:24" ht="18" customHeight="1">
      <c r="A153" s="5">
        <v>40946</v>
      </c>
      <c r="B153" s="33">
        <f ca="1">IF(ISERROR(MATCH(B$1,INDIRECT("Table!A"&amp;$U153):INDIRECT("Table!" &amp; $X$171 &amp; $U153),0)),"",INDIRECT(CONCATENATE("Table!",ADDRESS($Q153,MATCH(B$1,INDIRECT("Table!A" &amp; $U153):INDIRECT("Table!" &amp; $X$171 &amp; $U153),0)))))</f>
        <v>115816.8</v>
      </c>
      <c r="C153" s="33">
        <f ca="1">IF(ISERROR(MATCH(C$1,INDIRECT("Table!A"&amp;$U153):INDIRECT("Table!" &amp; $X$171 &amp; $U153),0)),"",INDIRECT(CONCATENATE("Table!",ADDRESS($Q153,MATCH(C$1,INDIRECT("Table!A" &amp; $U153):INDIRECT("Table!" &amp; $X$171 &amp; $U153),0)))))</f>
        <v>79968.7</v>
      </c>
      <c r="D153" s="33">
        <f ca="1">IF(ISERROR(MATCH(D$1,INDIRECT("Table!A"&amp;$U153):INDIRECT("Table!" &amp; $X$171 &amp; $U153),0)),"",INDIRECT(CONCATENATE("Table!",ADDRESS($Q153,MATCH(D$1,INDIRECT("Table!A" &amp; $U153):INDIRECT("Table!" &amp; $X$171 &amp; $U153),0)))))</f>
        <v>79968.7</v>
      </c>
      <c r="E153" s="33">
        <f ca="1">IF(ISERROR(MATCH(E$1,INDIRECT("Table!A"&amp;$U153):INDIRECT("Table!" &amp; $X$171 &amp; $U153),0)),"",INDIRECT(CONCATENATE("Table!",ADDRESS($Q153,MATCH(E$1,INDIRECT("Table!A" &amp; $U153):INDIRECT("Table!" &amp; $X$171 &amp; $U153),0)))))</f>
        <v>154422.39999999999</v>
      </c>
      <c r="F153" s="33">
        <f ca="1">IF(ISERROR(MATCH(F$1,INDIRECT("Table!A"&amp;$U153):INDIRECT("Table!" &amp; $X$171 &amp; $U153),0)),"",INDIRECT(CONCATENATE("Table!",ADDRESS($Q153,MATCH(F$1,INDIRECT("Table!A" &amp; $U153):INDIRECT("Table!" &amp; $X$171 &amp; $U153),0)))))</f>
        <v>121331.8</v>
      </c>
      <c r="G153" s="33">
        <f ca="1">IF(ISERROR(MATCH(G$1,INDIRECT("Table!A"&amp;$U153):INDIRECT("Table!" &amp; $X$171 &amp; $U153),0)),"",INDIRECT(CONCATENATE("Table!",ADDRESS($Q153,MATCH(G$1,INDIRECT("Table!A" &amp; $U153):INDIRECT("Table!" &amp; $X$171 &amp; $U153),0)))))</f>
        <v>110071.9</v>
      </c>
      <c r="H153" s="33">
        <f ca="1">IF(ISERROR(MATCH(H$1,INDIRECT("Table!A"&amp;$U153):INDIRECT("Table!" &amp; $X$171 &amp; $U153),0)),"",INDIRECT(CONCATENATE("Table!",ADDRESS($Q153,MATCH(H$1,INDIRECT("Table!A" &amp; $U153):INDIRECT("Table!" &amp; $X$171 &amp; $U153),0)))))</f>
        <v>121331.8</v>
      </c>
      <c r="I153" s="33">
        <f ca="1">IF(ISERROR(MATCH(I$1,INDIRECT("Table!A"&amp;$U153):INDIRECT("Table!" &amp; $X$171 &amp; $U153),0)),"",INDIRECT(CONCATENATE("Table!",ADDRESS($Q153,MATCH(I$1,INDIRECT("Table!A" &amp; $U153):INDIRECT("Table!" &amp; $X$171 &amp; $U153),0)))))</f>
        <v>170967.6</v>
      </c>
      <c r="J153" s="33">
        <f ca="1">IF(ISERROR(MATCH(J$1,INDIRECT("Table!A"&amp;$U153):INDIRECT("Table!" &amp; $X$171 &amp; $U153),0)),"",INDIRECT(CONCATENATE("Table!",ADDRESS($Q153,MATCH(J$1,INDIRECT("Table!A" &amp; $U153):INDIRECT("Table!" &amp; $X$171 &amp; $U153),0)))))</f>
        <v>54921</v>
      </c>
      <c r="K153" s="33">
        <f ca="1">IF(ISERROR(MATCH(K$1,INDIRECT("Table!A"&amp;$U153):INDIRECT("Table!" &amp; $X$171 &amp; $U153),0)),"",INDIRECT(CONCATENATE("Table!",ADDRESS($Q153,MATCH(K$1,INDIRECT("Table!A" &amp; $U153):INDIRECT("Table!" &amp; $X$171 &amp; $U153),0)))))</f>
        <v>60665.9</v>
      </c>
      <c r="L153" s="33">
        <f ca="1">IF(ISERROR(MATCH(L$1,INDIRECT("Table!A"&amp;$U153):INDIRECT("Table!" &amp; $X$171 &amp; $U153),0)),"",INDIRECT(CONCATENATE("Table!",ADDRESS($Q153,MATCH(L$1,INDIRECT("Table!A" &amp; $U153):INDIRECT("Table!" &amp; $X$171 &amp; $U153),0)))))</f>
        <v>176482.7</v>
      </c>
      <c r="M153" s="33">
        <f ca="1">IF(ISERROR(MATCH(M$1,INDIRECT("Table!A"&amp;$U153):INDIRECT("Table!" &amp; $X$171 &amp; $U153),0)),"",INDIRECT(CONCATENATE("Table!",ADDRESS($Q153,MATCH(M$1,INDIRECT("Table!A" &amp; $U153):INDIRECT("Table!" &amp; $X$171 &amp; $U153),0)))))</f>
        <v>54921</v>
      </c>
      <c r="N153" s="132"/>
      <c r="O153" s="132"/>
      <c r="P153" s="132"/>
      <c r="Q153" s="31">
        <f>MATCH($A153,Table!$A:$A,0)+$S$14-1</f>
        <v>2027</v>
      </c>
      <c r="R153" s="132"/>
      <c r="S153" s="132"/>
      <c r="T153" s="132"/>
      <c r="U153" s="31">
        <f>MATCH($A153,Table!$A:$A,0)+$W$2-1</f>
        <v>2013</v>
      </c>
      <c r="V153" s="132"/>
      <c r="W153" s="132"/>
      <c r="X153" s="372" t="s">
        <v>209</v>
      </c>
    </row>
    <row r="154" spans="1:24" ht="18" customHeight="1">
      <c r="A154" s="5">
        <v>40945</v>
      </c>
      <c r="B154" s="33">
        <f ca="1">IF(ISERROR(MATCH(B$1,INDIRECT("Table!A"&amp;$U154):INDIRECT("Table!" &amp; $X$171 &amp; $U154),0)),"",INDIRECT(CONCATENATE("Table!",ADDRESS($Q154,MATCH(B$1,INDIRECT("Table!A" &amp; $U154):INDIRECT("Table!" &amp; $X$171 &amp; $U154),0)))))</f>
        <v>115816.8</v>
      </c>
      <c r="C154" s="33">
        <f ca="1">IF(ISERROR(MATCH(C$1,INDIRECT("Table!A"&amp;$U154):INDIRECT("Table!" &amp; $X$171 &amp; $U154),0)),"",INDIRECT(CONCATENATE("Table!",ADDRESS($Q154,MATCH(C$1,INDIRECT("Table!A" &amp; $U154):INDIRECT("Table!" &amp; $X$171 &amp; $U154),0)))))</f>
        <v>79968.7</v>
      </c>
      <c r="D154" s="33">
        <f ca="1">IF(ISERROR(MATCH(D$1,INDIRECT("Table!A"&amp;$U154):INDIRECT("Table!" &amp; $X$171 &amp; $U154),0)),"",INDIRECT(CONCATENATE("Table!",ADDRESS($Q154,MATCH(D$1,INDIRECT("Table!A" &amp; $U154):INDIRECT("Table!" &amp; $X$171 &amp; $U154),0)))))</f>
        <v>79968.7</v>
      </c>
      <c r="E154" s="33">
        <f ca="1">IF(ISERROR(MATCH(E$1,INDIRECT("Table!A"&amp;$U154):INDIRECT("Table!" &amp; $X$171 &amp; $U154),0)),"",INDIRECT(CONCATENATE("Table!",ADDRESS($Q154,MATCH(E$1,INDIRECT("Table!A" &amp; $U154):INDIRECT("Table!" &amp; $X$171 &amp; $U154),0)))))</f>
        <v>154422.39999999999</v>
      </c>
      <c r="F154" s="33">
        <f ca="1">IF(ISERROR(MATCH(F$1,INDIRECT("Table!A"&amp;$U154):INDIRECT("Table!" &amp; $X$171 &amp; $U154),0)),"",INDIRECT(CONCATENATE("Table!",ADDRESS($Q154,MATCH(F$1,INDIRECT("Table!A" &amp; $U154):INDIRECT("Table!" &amp; $X$171 &amp; $U154),0)))))</f>
        <v>121331.8</v>
      </c>
      <c r="G154" s="33">
        <f ca="1">IF(ISERROR(MATCH(G$1,INDIRECT("Table!A"&amp;$U154):INDIRECT("Table!" &amp; $X$171 &amp; $U154),0)),"",INDIRECT(CONCATENATE("Table!",ADDRESS($Q154,MATCH(G$1,INDIRECT("Table!A" &amp; $U154):INDIRECT("Table!" &amp; $X$171 &amp; $U154),0)))))</f>
        <v>110071.9</v>
      </c>
      <c r="H154" s="33">
        <f ca="1">IF(ISERROR(MATCH(H$1,INDIRECT("Table!A"&amp;$U154):INDIRECT("Table!" &amp; $X$171 &amp; $U154),0)),"",INDIRECT(CONCATENATE("Table!",ADDRESS($Q154,MATCH(H$1,INDIRECT("Table!A" &amp; $U154):INDIRECT("Table!" &amp; $X$171 &amp; $U154),0)))))</f>
        <v>121331.8</v>
      </c>
      <c r="I154" s="33">
        <f ca="1">IF(ISERROR(MATCH(I$1,INDIRECT("Table!A"&amp;$U154):INDIRECT("Table!" &amp; $X$171 &amp; $U154),0)),"",INDIRECT(CONCATENATE("Table!",ADDRESS($Q154,MATCH(I$1,INDIRECT("Table!A" &amp; $U154):INDIRECT("Table!" &amp; $X$171 &amp; $U154),0)))))</f>
        <v>170967.6</v>
      </c>
      <c r="J154" s="33">
        <f ca="1">IF(ISERROR(MATCH(J$1,INDIRECT("Table!A"&amp;$U154):INDIRECT("Table!" &amp; $X$171 &amp; $U154),0)),"",INDIRECT(CONCATENATE("Table!",ADDRESS($Q154,MATCH(J$1,INDIRECT("Table!A" &amp; $U154):INDIRECT("Table!" &amp; $X$171 &amp; $U154),0)))))</f>
        <v>54921</v>
      </c>
      <c r="K154" s="33">
        <f ca="1">IF(ISERROR(MATCH(K$1,INDIRECT("Table!A"&amp;$U154):INDIRECT("Table!" &amp; $X$171 &amp; $U154),0)),"",INDIRECT(CONCATENATE("Table!",ADDRESS($Q154,MATCH(K$1,INDIRECT("Table!A" &amp; $U154):INDIRECT("Table!" &amp; $X$171 &amp; $U154),0)))))</f>
        <v>60665.9</v>
      </c>
      <c r="L154" s="33">
        <f ca="1">IF(ISERROR(MATCH(L$1,INDIRECT("Table!A"&amp;$U154):INDIRECT("Table!" &amp; $X$171 &amp; $U154),0)),"",INDIRECT(CONCATENATE("Table!",ADDRESS($Q154,MATCH(L$1,INDIRECT("Table!A" &amp; $U154):INDIRECT("Table!" &amp; $X$171 &amp; $U154),0)))))</f>
        <v>176482.7</v>
      </c>
      <c r="M154" s="33">
        <f ca="1">IF(ISERROR(MATCH(M$1,INDIRECT("Table!A"&amp;$U154):INDIRECT("Table!" &amp; $X$171 &amp; $U154),0)),"",INDIRECT(CONCATENATE("Table!",ADDRESS($Q154,MATCH(M$1,INDIRECT("Table!A" &amp; $U154):INDIRECT("Table!" &amp; $X$171 &amp; $U154),0)))))</f>
        <v>54921</v>
      </c>
      <c r="N154" s="131"/>
      <c r="O154" s="131"/>
      <c r="P154" s="131"/>
      <c r="Q154" s="31">
        <f>MATCH($A154,Table!$A:$A,0)+$S$14-1</f>
        <v>2040</v>
      </c>
      <c r="R154" s="131"/>
      <c r="S154" s="131"/>
      <c r="T154" s="131"/>
      <c r="U154" s="31">
        <f>MATCH($A154,Table!$A:$A,0)+$W$2-1</f>
        <v>2026</v>
      </c>
      <c r="V154" s="131"/>
      <c r="W154" s="131"/>
      <c r="X154" s="372" t="s">
        <v>209</v>
      </c>
    </row>
    <row r="155" spans="1:24" ht="18" customHeight="1">
      <c r="A155" s="5">
        <v>40941</v>
      </c>
      <c r="B155" s="33">
        <f ca="1">IF(ISERROR(MATCH(B$1,INDIRECT("Table!A"&amp;$U155):INDIRECT("Table!" &amp; $X$171 &amp; $U155),0)),"",INDIRECT(CONCATENATE("Table!",ADDRESS($Q155,MATCH(B$1,INDIRECT("Table!A" &amp; $U155):INDIRECT("Table!" &amp; $X$171 &amp; $U155),0)))))</f>
        <v>115816.8</v>
      </c>
      <c r="C155" s="33">
        <f ca="1">IF(ISERROR(MATCH(C$1,INDIRECT("Table!A"&amp;$U155):INDIRECT("Table!" &amp; $X$171 &amp; $U155),0)),"",INDIRECT(CONCATENATE("Table!",ADDRESS($Q155,MATCH(C$1,INDIRECT("Table!A" &amp; $U155):INDIRECT("Table!" &amp; $X$171 &amp; $U155),0)))))</f>
        <v>79968.7</v>
      </c>
      <c r="D155" s="33">
        <f ca="1">IF(ISERROR(MATCH(D$1,INDIRECT("Table!A"&amp;$U155):INDIRECT("Table!" &amp; $X$171 &amp; $U155),0)),"",INDIRECT(CONCATENATE("Table!",ADDRESS($Q155,MATCH(D$1,INDIRECT("Table!A" &amp; $U155):INDIRECT("Table!" &amp; $X$171 &amp; $U155),0)))))</f>
        <v>79968.7</v>
      </c>
      <c r="E155" s="33">
        <f ca="1">IF(ISERROR(MATCH(E$1,INDIRECT("Table!A"&amp;$U155):INDIRECT("Table!" &amp; $X$171 &amp; $U155),0)),"",INDIRECT(CONCATENATE("Table!",ADDRESS($Q155,MATCH(E$1,INDIRECT("Table!A" &amp; $U155):INDIRECT("Table!" &amp; $X$171 &amp; $U155),0)))))</f>
        <v>154422.39999999999</v>
      </c>
      <c r="F155" s="33">
        <f ca="1">IF(ISERROR(MATCH(F$1,INDIRECT("Table!A"&amp;$U155):INDIRECT("Table!" &amp; $X$171 &amp; $U155),0)),"",INDIRECT(CONCATENATE("Table!",ADDRESS($Q155,MATCH(F$1,INDIRECT("Table!A" &amp; $U155):INDIRECT("Table!" &amp; $X$171 &amp; $U155),0)))))</f>
        <v>121331.8</v>
      </c>
      <c r="G155" s="33">
        <f ca="1">IF(ISERROR(MATCH(G$1,INDIRECT("Table!A"&amp;$U155):INDIRECT("Table!" &amp; $X$171 &amp; $U155),0)),"",INDIRECT(CONCATENATE("Table!",ADDRESS($Q155,MATCH(G$1,INDIRECT("Table!A" &amp; $U155):INDIRECT("Table!" &amp; $X$171 &amp; $U155),0)))))</f>
        <v>110071.9</v>
      </c>
      <c r="H155" s="33">
        <f ca="1">IF(ISERROR(MATCH(H$1,INDIRECT("Table!A"&amp;$U155):INDIRECT("Table!" &amp; $X$171 &amp; $U155),0)),"",INDIRECT(CONCATENATE("Table!",ADDRESS($Q155,MATCH(H$1,INDIRECT("Table!A" &amp; $U155):INDIRECT("Table!" &amp; $X$171 &amp; $U155),0)))))</f>
        <v>121331.8</v>
      </c>
      <c r="I155" s="33">
        <f ca="1">IF(ISERROR(MATCH(I$1,INDIRECT("Table!A"&amp;$U155):INDIRECT("Table!" &amp; $X$171 &amp; $U155),0)),"",INDIRECT(CONCATENATE("Table!",ADDRESS($Q155,MATCH(I$1,INDIRECT("Table!A" &amp; $U155):INDIRECT("Table!" &amp; $X$171 &amp; $U155),0)))))</f>
        <v>170967.6</v>
      </c>
      <c r="J155" s="33">
        <f ca="1">IF(ISERROR(MATCH(J$1,INDIRECT("Table!A"&amp;$U155):INDIRECT("Table!" &amp; $X$171 &amp; $U155),0)),"",INDIRECT(CONCATENATE("Table!",ADDRESS($Q155,MATCH(J$1,INDIRECT("Table!A" &amp; $U155):INDIRECT("Table!" &amp; $X$171 &amp; $U155),0)))))</f>
        <v>54921</v>
      </c>
      <c r="K155" s="33">
        <f ca="1">IF(ISERROR(MATCH(K$1,INDIRECT("Table!A"&amp;$U155):INDIRECT("Table!" &amp; $X$171 &amp; $U155),0)),"",INDIRECT(CONCATENATE("Table!",ADDRESS($Q155,MATCH(K$1,INDIRECT("Table!A" &amp; $U155):INDIRECT("Table!" &amp; $X$171 &amp; $U155),0)))))</f>
        <v>60665.9</v>
      </c>
      <c r="L155" s="33">
        <f ca="1">IF(ISERROR(MATCH(L$1,INDIRECT("Table!A"&amp;$U155):INDIRECT("Table!" &amp; $X$171 &amp; $U155),0)),"",INDIRECT(CONCATENATE("Table!",ADDRESS($Q155,MATCH(L$1,INDIRECT("Table!A" &amp; $U155):INDIRECT("Table!" &amp; $X$171 &amp; $U155),0)))))</f>
        <v>176482.7</v>
      </c>
      <c r="M155" s="33">
        <f ca="1">IF(ISERROR(MATCH(M$1,INDIRECT("Table!A"&amp;$U155):INDIRECT("Table!" &amp; $X$171 &amp; $U155),0)),"",INDIRECT(CONCATENATE("Table!",ADDRESS($Q155,MATCH(M$1,INDIRECT("Table!A" &amp; $U155):INDIRECT("Table!" &amp; $X$171 &amp; $U155),0)))))</f>
        <v>54921</v>
      </c>
      <c r="N155" s="130"/>
      <c r="O155" s="130"/>
      <c r="P155" s="130"/>
      <c r="Q155" s="31">
        <f>MATCH($A155,Table!$A:$A,0)+$S$14-1</f>
        <v>2053</v>
      </c>
      <c r="R155" s="130"/>
      <c r="S155" s="130"/>
      <c r="T155" s="130"/>
      <c r="U155" s="31">
        <f>MATCH($A155,Table!$A:$A,0)+$W$2-1</f>
        <v>2039</v>
      </c>
      <c r="V155" s="130"/>
      <c r="W155" s="130"/>
      <c r="X155" s="372" t="s">
        <v>209</v>
      </c>
    </row>
    <row r="156" spans="1:24" ht="18" customHeight="1">
      <c r="A156" s="5">
        <v>40940</v>
      </c>
      <c r="B156" s="33">
        <f ca="1">IF(ISERROR(MATCH(B$1,INDIRECT("Table!A"&amp;$U156):INDIRECT("Table!" &amp; $X$171 &amp; $U156),0)),"",INDIRECT(CONCATENATE("Table!",ADDRESS($Q156,MATCH(B$1,INDIRECT("Table!A" &amp; $U156):INDIRECT("Table!" &amp; $X$171 &amp; $U156),0)))))</f>
        <v>115816.8</v>
      </c>
      <c r="C156" s="33">
        <f ca="1">IF(ISERROR(MATCH(C$1,INDIRECT("Table!A"&amp;$U156):INDIRECT("Table!" &amp; $X$171 &amp; $U156),0)),"",INDIRECT(CONCATENATE("Table!",ADDRESS($Q156,MATCH(C$1,INDIRECT("Table!A" &amp; $U156):INDIRECT("Table!" &amp; $X$171 &amp; $U156),0)))))</f>
        <v>79968.7</v>
      </c>
      <c r="D156" s="33">
        <f ca="1">IF(ISERROR(MATCH(D$1,INDIRECT("Table!A"&amp;$U156):INDIRECT("Table!" &amp; $X$171 &amp; $U156),0)),"",INDIRECT(CONCATENATE("Table!",ADDRESS($Q156,MATCH(D$1,INDIRECT("Table!A" &amp; $U156):INDIRECT("Table!" &amp; $X$171 &amp; $U156),0)))))</f>
        <v>79968.7</v>
      </c>
      <c r="E156" s="33">
        <f ca="1">IF(ISERROR(MATCH(E$1,INDIRECT("Table!A"&amp;$U156):INDIRECT("Table!" &amp; $X$171 &amp; $U156),0)),"",INDIRECT(CONCATENATE("Table!",ADDRESS($Q156,MATCH(E$1,INDIRECT("Table!A" &amp; $U156):INDIRECT("Table!" &amp; $X$171 &amp; $U156),0)))))</f>
        <v>154422.39999999999</v>
      </c>
      <c r="F156" s="33">
        <f ca="1">IF(ISERROR(MATCH(F$1,INDIRECT("Table!A"&amp;$U156):INDIRECT("Table!" &amp; $X$171 &amp; $U156),0)),"",INDIRECT(CONCATENATE("Table!",ADDRESS($Q156,MATCH(F$1,INDIRECT("Table!A" &amp; $U156):INDIRECT("Table!" &amp; $X$171 &amp; $U156),0)))))</f>
        <v>121331.8</v>
      </c>
      <c r="G156" s="33">
        <f ca="1">IF(ISERROR(MATCH(G$1,INDIRECT("Table!A"&amp;$U156):INDIRECT("Table!" &amp; $X$171 &amp; $U156),0)),"",INDIRECT(CONCATENATE("Table!",ADDRESS($Q156,MATCH(G$1,INDIRECT("Table!A" &amp; $U156):INDIRECT("Table!" &amp; $X$171 &amp; $U156),0)))))</f>
        <v>110071.9</v>
      </c>
      <c r="H156" s="33">
        <f ca="1">IF(ISERROR(MATCH(H$1,INDIRECT("Table!A"&amp;$U156):INDIRECT("Table!" &amp; $X$171 &amp; $U156),0)),"",INDIRECT(CONCATENATE("Table!",ADDRESS($Q156,MATCH(H$1,INDIRECT("Table!A" &amp; $U156):INDIRECT("Table!" &amp; $X$171 &amp; $U156),0)))))</f>
        <v>121331.8</v>
      </c>
      <c r="I156" s="33">
        <f ca="1">IF(ISERROR(MATCH(I$1,INDIRECT("Table!A"&amp;$U156):INDIRECT("Table!" &amp; $X$171 &amp; $U156),0)),"",INDIRECT(CONCATENATE("Table!",ADDRESS($Q156,MATCH(I$1,INDIRECT("Table!A" &amp; $U156):INDIRECT("Table!" &amp; $X$171 &amp; $U156),0)))))</f>
        <v>170967.6</v>
      </c>
      <c r="J156" s="33">
        <f ca="1">IF(ISERROR(MATCH(J$1,INDIRECT("Table!A"&amp;$U156):INDIRECT("Table!" &amp; $X$171 &amp; $U156),0)),"",INDIRECT(CONCATENATE("Table!",ADDRESS($Q156,MATCH(J$1,INDIRECT("Table!A" &amp; $U156):INDIRECT("Table!" &amp; $X$171 &amp; $U156),0)))))</f>
        <v>54921</v>
      </c>
      <c r="K156" s="33">
        <f ca="1">IF(ISERROR(MATCH(K$1,INDIRECT("Table!A"&amp;$U156):INDIRECT("Table!" &amp; $X$171 &amp; $U156),0)),"",INDIRECT(CONCATENATE("Table!",ADDRESS($Q156,MATCH(K$1,INDIRECT("Table!A" &amp; $U156):INDIRECT("Table!" &amp; $X$171 &amp; $U156),0)))))</f>
        <v>60665.9</v>
      </c>
      <c r="L156" s="33">
        <f ca="1">IF(ISERROR(MATCH(L$1,INDIRECT("Table!A"&amp;$U156):INDIRECT("Table!" &amp; $X$171 &amp; $U156),0)),"",INDIRECT(CONCATENATE("Table!",ADDRESS($Q156,MATCH(L$1,INDIRECT("Table!A" &amp; $U156):INDIRECT("Table!" &amp; $X$171 &amp; $U156),0)))))</f>
        <v>176482.7</v>
      </c>
      <c r="M156" s="33">
        <f ca="1">IF(ISERROR(MATCH(M$1,INDIRECT("Table!A"&amp;$U156):INDIRECT("Table!" &amp; $X$171 &amp; $U156),0)),"",INDIRECT(CONCATENATE("Table!",ADDRESS($Q156,MATCH(M$1,INDIRECT("Table!A" &amp; $U156):INDIRECT("Table!" &amp; $X$171 &amp; $U156),0)))))</f>
        <v>54921</v>
      </c>
      <c r="N156" s="129"/>
      <c r="O156" s="129"/>
      <c r="P156" s="129"/>
      <c r="Q156" s="31">
        <f>MATCH($A156,Table!$A:$A,0)+$S$14-1</f>
        <v>2066</v>
      </c>
      <c r="R156" s="129"/>
      <c r="S156" s="129"/>
      <c r="T156" s="129"/>
      <c r="U156" s="31">
        <f>MATCH($A156,Table!$A:$A,0)+$W$2-1</f>
        <v>2052</v>
      </c>
      <c r="V156" s="129"/>
      <c r="W156" s="129"/>
      <c r="X156" s="372" t="s">
        <v>209</v>
      </c>
    </row>
    <row r="157" spans="1:24" ht="18" customHeight="1">
      <c r="A157" s="5">
        <v>40939</v>
      </c>
      <c r="B157" s="33">
        <f ca="1">IF(ISERROR(MATCH(B$1,INDIRECT("Table!A"&amp;$U157):INDIRECT("Table!" &amp; $X$171 &amp; $U157),0)),"",INDIRECT(CONCATENATE("Table!",ADDRESS($Q157,MATCH(B$1,INDIRECT("Table!A" &amp; $U157):INDIRECT("Table!" &amp; $X$171 &amp; $U157),0)))))</f>
        <v>115816.8</v>
      </c>
      <c r="C157" s="33">
        <f ca="1">IF(ISERROR(MATCH(C$1,INDIRECT("Table!A"&amp;$U157):INDIRECT("Table!" &amp; $X$171 &amp; $U157),0)),"",INDIRECT(CONCATENATE("Table!",ADDRESS($Q157,MATCH(C$1,INDIRECT("Table!A" &amp; $U157):INDIRECT("Table!" &amp; $X$171 &amp; $U157),0)))))</f>
        <v>79968.7</v>
      </c>
      <c r="D157" s="33">
        <f ca="1">IF(ISERROR(MATCH(D$1,INDIRECT("Table!A"&amp;$U157):INDIRECT("Table!" &amp; $X$171 &amp; $U157),0)),"",INDIRECT(CONCATENATE("Table!",ADDRESS($Q157,MATCH(D$1,INDIRECT("Table!A" &amp; $U157):INDIRECT("Table!" &amp; $X$171 &amp; $U157),0)))))</f>
        <v>79968.7</v>
      </c>
      <c r="E157" s="33">
        <f ca="1">IF(ISERROR(MATCH(E$1,INDIRECT("Table!A"&amp;$U157):INDIRECT("Table!" &amp; $X$171 &amp; $U157),0)),"",INDIRECT(CONCATENATE("Table!",ADDRESS($Q157,MATCH(E$1,INDIRECT("Table!A" &amp; $U157):INDIRECT("Table!" &amp; $X$171 &amp; $U157),0)))))</f>
        <v>154422.39999999999</v>
      </c>
      <c r="F157" s="33">
        <f ca="1">IF(ISERROR(MATCH(F$1,INDIRECT("Table!A"&amp;$U157):INDIRECT("Table!" &amp; $X$171 &amp; $U157),0)),"",INDIRECT(CONCATENATE("Table!",ADDRESS($Q157,MATCH(F$1,INDIRECT("Table!A" &amp; $U157):INDIRECT("Table!" &amp; $X$171 &amp; $U157),0)))))</f>
        <v>121331.8</v>
      </c>
      <c r="G157" s="33">
        <f ca="1">IF(ISERROR(MATCH(G$1,INDIRECT("Table!A"&amp;$U157):INDIRECT("Table!" &amp; $X$171 &amp; $U157),0)),"",INDIRECT(CONCATENATE("Table!",ADDRESS($Q157,MATCH(G$1,INDIRECT("Table!A" &amp; $U157):INDIRECT("Table!" &amp; $X$171 &amp; $U157),0)))))</f>
        <v>110071.9</v>
      </c>
      <c r="H157" s="33">
        <f ca="1">IF(ISERROR(MATCH(H$1,INDIRECT("Table!A"&amp;$U157):INDIRECT("Table!" &amp; $X$171 &amp; $U157),0)),"",INDIRECT(CONCATENATE("Table!",ADDRESS($Q157,MATCH(H$1,INDIRECT("Table!A" &amp; $U157):INDIRECT("Table!" &amp; $X$171 &amp; $U157),0)))))</f>
        <v>121331.8</v>
      </c>
      <c r="I157" s="33">
        <f ca="1">IF(ISERROR(MATCH(I$1,INDIRECT("Table!A"&amp;$U157):INDIRECT("Table!" &amp; $X$171 &amp; $U157),0)),"",INDIRECT(CONCATENATE("Table!",ADDRESS($Q157,MATCH(I$1,INDIRECT("Table!A" &amp; $U157):INDIRECT("Table!" &amp; $X$171 &amp; $U157),0)))))</f>
        <v>170967.6</v>
      </c>
      <c r="J157" s="33">
        <f ca="1">IF(ISERROR(MATCH(J$1,INDIRECT("Table!A"&amp;$U157):INDIRECT("Table!" &amp; $X$171 &amp; $U157),0)),"",INDIRECT(CONCATENATE("Table!",ADDRESS($Q157,MATCH(J$1,INDIRECT("Table!A" &amp; $U157):INDIRECT("Table!" &amp; $X$171 &amp; $U157),0)))))</f>
        <v>54921</v>
      </c>
      <c r="K157" s="33">
        <f ca="1">IF(ISERROR(MATCH(K$1,INDIRECT("Table!A"&amp;$U157):INDIRECT("Table!" &amp; $X$171 &amp; $U157),0)),"",INDIRECT(CONCATENATE("Table!",ADDRESS($Q157,MATCH(K$1,INDIRECT("Table!A" &amp; $U157):INDIRECT("Table!" &amp; $X$171 &amp; $U157),0)))))</f>
        <v>60665.9</v>
      </c>
      <c r="L157" s="33">
        <f ca="1">IF(ISERROR(MATCH(L$1,INDIRECT("Table!A"&amp;$U157):INDIRECT("Table!" &amp; $X$171 &amp; $U157),0)),"",INDIRECT(CONCATENATE("Table!",ADDRESS($Q157,MATCH(L$1,INDIRECT("Table!A" &amp; $U157):INDIRECT("Table!" &amp; $X$171 &amp; $U157),0)))))</f>
        <v>176482.7</v>
      </c>
      <c r="M157" s="33">
        <f ca="1">IF(ISERROR(MATCH(M$1,INDIRECT("Table!A"&amp;$U157):INDIRECT("Table!" &amp; $X$171 &amp; $U157),0)),"",INDIRECT(CONCATENATE("Table!",ADDRESS($Q157,MATCH(M$1,INDIRECT("Table!A" &amp; $U157):INDIRECT("Table!" &amp; $X$171 &amp; $U157),0)))))</f>
        <v>54921</v>
      </c>
      <c r="N157" s="128"/>
      <c r="O157" s="128"/>
      <c r="P157" s="128"/>
      <c r="Q157" s="31">
        <f>MATCH($A157,Table!$A:$A,0)+$S$14-1</f>
        <v>2079</v>
      </c>
      <c r="R157" s="128"/>
      <c r="S157" s="128"/>
      <c r="T157" s="128"/>
      <c r="U157" s="31">
        <f>MATCH($A157,Table!$A:$A,0)+$W$2-1</f>
        <v>2065</v>
      </c>
      <c r="V157" s="128"/>
      <c r="W157" s="128"/>
      <c r="X157" s="372" t="s">
        <v>209</v>
      </c>
    </row>
    <row r="158" spans="1:24" ht="18" customHeight="1">
      <c r="A158" s="5">
        <v>40938</v>
      </c>
      <c r="B158" s="33">
        <f ca="1">IF(ISERROR(MATCH(B$1,INDIRECT("Table!A"&amp;$U158):INDIRECT("Table!" &amp; $X$171 &amp; $U158),0)),"",INDIRECT(CONCATENATE("Table!",ADDRESS($Q158,MATCH(B$1,INDIRECT("Table!A" &amp; $U158):INDIRECT("Table!" &amp; $X$171 &amp; $U158),0)))))</f>
        <v>115816.8</v>
      </c>
      <c r="C158" s="33">
        <f ca="1">IF(ISERROR(MATCH(C$1,INDIRECT("Table!A"&amp;$U158):INDIRECT("Table!" &amp; $X$171 &amp; $U158),0)),"",INDIRECT(CONCATENATE("Table!",ADDRESS($Q158,MATCH(C$1,INDIRECT("Table!A" &amp; $U158):INDIRECT("Table!" &amp; $X$171 &amp; $U158),0)))))</f>
        <v>79968.7</v>
      </c>
      <c r="D158" s="33">
        <f ca="1">IF(ISERROR(MATCH(D$1,INDIRECT("Table!A"&amp;$U158):INDIRECT("Table!" &amp; $X$171 &amp; $U158),0)),"",INDIRECT(CONCATENATE("Table!",ADDRESS($Q158,MATCH(D$1,INDIRECT("Table!A" &amp; $U158):INDIRECT("Table!" &amp; $X$171 &amp; $U158),0)))))</f>
        <v>79968.7</v>
      </c>
      <c r="E158" s="33">
        <f ca="1">IF(ISERROR(MATCH(E$1,INDIRECT("Table!A"&amp;$U158):INDIRECT("Table!" &amp; $X$171 &amp; $U158),0)),"",INDIRECT(CONCATENATE("Table!",ADDRESS($Q158,MATCH(E$1,INDIRECT("Table!A" &amp; $U158):INDIRECT("Table!" &amp; $X$171 &amp; $U158),0)))))</f>
        <v>154422.39999999999</v>
      </c>
      <c r="F158" s="33">
        <f ca="1">IF(ISERROR(MATCH(F$1,INDIRECT("Table!A"&amp;$U158):INDIRECT("Table!" &amp; $X$171 &amp; $U158),0)),"",INDIRECT(CONCATENATE("Table!",ADDRESS($Q158,MATCH(F$1,INDIRECT("Table!A" &amp; $U158):INDIRECT("Table!" &amp; $X$171 &amp; $U158),0)))))</f>
        <v>121331.8</v>
      </c>
      <c r="G158" s="33">
        <f ca="1">IF(ISERROR(MATCH(G$1,INDIRECT("Table!A"&amp;$U158):INDIRECT("Table!" &amp; $X$171 &amp; $U158),0)),"",INDIRECT(CONCATENATE("Table!",ADDRESS($Q158,MATCH(G$1,INDIRECT("Table!A" &amp; $U158):INDIRECT("Table!" &amp; $X$171 &amp; $U158),0)))))</f>
        <v>110071.9</v>
      </c>
      <c r="H158" s="33">
        <f ca="1">IF(ISERROR(MATCH(H$1,INDIRECT("Table!A"&amp;$U158):INDIRECT("Table!" &amp; $X$171 &amp; $U158),0)),"",INDIRECT(CONCATENATE("Table!",ADDRESS($Q158,MATCH(H$1,INDIRECT("Table!A" &amp; $U158):INDIRECT("Table!" &amp; $X$171 &amp; $U158),0)))))</f>
        <v>121331.8</v>
      </c>
      <c r="I158" s="33">
        <f ca="1">IF(ISERROR(MATCH(I$1,INDIRECT("Table!A"&amp;$U158):INDIRECT("Table!" &amp; $X$171 &amp; $U158),0)),"",INDIRECT(CONCATENATE("Table!",ADDRESS($Q158,MATCH(I$1,INDIRECT("Table!A" &amp; $U158):INDIRECT("Table!" &amp; $X$171 &amp; $U158),0)))))</f>
        <v>170967.6</v>
      </c>
      <c r="J158" s="33">
        <f ca="1">IF(ISERROR(MATCH(J$1,INDIRECT("Table!A"&amp;$U158):INDIRECT("Table!" &amp; $X$171 &amp; $U158),0)),"",INDIRECT(CONCATENATE("Table!",ADDRESS($Q158,MATCH(J$1,INDIRECT("Table!A" &amp; $U158):INDIRECT("Table!" &amp; $X$171 &amp; $U158),0)))))</f>
        <v>54921</v>
      </c>
      <c r="K158" s="33">
        <f ca="1">IF(ISERROR(MATCH(K$1,INDIRECT("Table!A"&amp;$U158):INDIRECT("Table!" &amp; $X$171 &amp; $U158),0)),"",INDIRECT(CONCATENATE("Table!",ADDRESS($Q158,MATCH(K$1,INDIRECT("Table!A" &amp; $U158):INDIRECT("Table!" &amp; $X$171 &amp; $U158),0)))))</f>
        <v>60665.9</v>
      </c>
      <c r="L158" s="33">
        <f ca="1">IF(ISERROR(MATCH(L$1,INDIRECT("Table!A"&amp;$U158):INDIRECT("Table!" &amp; $X$171 &amp; $U158),0)),"",INDIRECT(CONCATENATE("Table!",ADDRESS($Q158,MATCH(L$1,INDIRECT("Table!A" &amp; $U158):INDIRECT("Table!" &amp; $X$171 &amp; $U158),0)))))</f>
        <v>176482.7</v>
      </c>
      <c r="M158" s="33">
        <f ca="1">IF(ISERROR(MATCH(M$1,INDIRECT("Table!A"&amp;$U158):INDIRECT("Table!" &amp; $X$171 &amp; $U158),0)),"",INDIRECT(CONCATENATE("Table!",ADDRESS($Q158,MATCH(M$1,INDIRECT("Table!A" &amp; $U158):INDIRECT("Table!" &amp; $X$171 &amp; $U158),0)))))</f>
        <v>54921</v>
      </c>
      <c r="N158" s="127"/>
      <c r="O158" s="127"/>
      <c r="P158" s="127"/>
      <c r="Q158" s="31">
        <f>MATCH($A158,Table!$A:$A,0)+$S$14-1</f>
        <v>2092</v>
      </c>
      <c r="R158" s="127"/>
      <c r="S158" s="127"/>
      <c r="T158" s="127"/>
      <c r="U158" s="31">
        <f>MATCH($A158,Table!$A:$A,0)+$W$2-1</f>
        <v>2078</v>
      </c>
      <c r="V158" s="127"/>
      <c r="W158" s="127"/>
      <c r="X158" s="372" t="s">
        <v>209</v>
      </c>
    </row>
    <row r="159" spans="1:24" ht="18" customHeight="1">
      <c r="A159" s="5">
        <v>40934</v>
      </c>
      <c r="B159" s="33">
        <f ca="1">IF(ISERROR(MATCH(B$1,INDIRECT("Table!A"&amp;$U159):INDIRECT("Table!" &amp; $X$171 &amp; $U159),0)),"",INDIRECT(CONCATENATE("Table!",ADDRESS($Q159,MATCH(B$1,INDIRECT("Table!A" &amp; $U159):INDIRECT("Table!" &amp; $X$171 &amp; $U159),0)))))</f>
        <v>115816.8</v>
      </c>
      <c r="C159" s="33">
        <f ca="1">IF(ISERROR(MATCH(C$1,INDIRECT("Table!A"&amp;$U159):INDIRECT("Table!" &amp; $X$171 &amp; $U159),0)),"",INDIRECT(CONCATENATE("Table!",ADDRESS($Q159,MATCH(C$1,INDIRECT("Table!A" &amp; $U159):INDIRECT("Table!" &amp; $X$171 &amp; $U159),0)))))</f>
        <v>79968.7</v>
      </c>
      <c r="D159" s="33">
        <f ca="1">IF(ISERROR(MATCH(D$1,INDIRECT("Table!A"&amp;$U159):INDIRECT("Table!" &amp; $X$171 &amp; $U159),0)),"",INDIRECT(CONCATENATE("Table!",ADDRESS($Q159,MATCH(D$1,INDIRECT("Table!A" &amp; $U159):INDIRECT("Table!" &amp; $X$171 &amp; $U159),0)))))</f>
        <v>79968.7</v>
      </c>
      <c r="E159" s="33">
        <f ca="1">IF(ISERROR(MATCH(E$1,INDIRECT("Table!A"&amp;$U159):INDIRECT("Table!" &amp; $X$171 &amp; $U159),0)),"",INDIRECT(CONCATENATE("Table!",ADDRESS($Q159,MATCH(E$1,INDIRECT("Table!A" &amp; $U159):INDIRECT("Table!" &amp; $X$171 &amp; $U159),0)))))</f>
        <v>154422.39999999999</v>
      </c>
      <c r="F159" s="33">
        <f ca="1">IF(ISERROR(MATCH(F$1,INDIRECT("Table!A"&amp;$U159):INDIRECT("Table!" &amp; $X$171 &amp; $U159),0)),"",INDIRECT(CONCATENATE("Table!",ADDRESS($Q159,MATCH(F$1,INDIRECT("Table!A" &amp; $U159):INDIRECT("Table!" &amp; $X$171 &amp; $U159),0)))))</f>
        <v>121331.8</v>
      </c>
      <c r="G159" s="33">
        <f ca="1">IF(ISERROR(MATCH(G$1,INDIRECT("Table!A"&amp;$U159):INDIRECT("Table!" &amp; $X$171 &amp; $U159),0)),"",INDIRECT(CONCATENATE("Table!",ADDRESS($Q159,MATCH(G$1,INDIRECT("Table!A" &amp; $U159):INDIRECT("Table!" &amp; $X$171 &amp; $U159),0)))))</f>
        <v>110071.9</v>
      </c>
      <c r="H159" s="33">
        <f ca="1">IF(ISERROR(MATCH(H$1,INDIRECT("Table!A"&amp;$U159):INDIRECT("Table!" &amp; $X$171 &amp; $U159),0)),"",INDIRECT(CONCATENATE("Table!",ADDRESS($Q159,MATCH(H$1,INDIRECT("Table!A" &amp; $U159):INDIRECT("Table!" &amp; $X$171 &amp; $U159),0)))))</f>
        <v>121331.8</v>
      </c>
      <c r="I159" s="33">
        <f ca="1">IF(ISERROR(MATCH(I$1,INDIRECT("Table!A"&amp;$U159):INDIRECT("Table!" &amp; $X$171 &amp; $U159),0)),"",INDIRECT(CONCATENATE("Table!",ADDRESS($Q159,MATCH(I$1,INDIRECT("Table!A" &amp; $U159):INDIRECT("Table!" &amp; $X$171 &amp; $U159),0)))))</f>
        <v>170967.6</v>
      </c>
      <c r="J159" s="33">
        <f ca="1">IF(ISERROR(MATCH(J$1,INDIRECT("Table!A"&amp;$U159):INDIRECT("Table!" &amp; $X$171 &amp; $U159),0)),"",INDIRECT(CONCATENATE("Table!",ADDRESS($Q159,MATCH(J$1,INDIRECT("Table!A" &amp; $U159):INDIRECT("Table!" &amp; $X$171 &amp; $U159),0)))))</f>
        <v>54921</v>
      </c>
      <c r="K159" s="33">
        <f ca="1">IF(ISERROR(MATCH(K$1,INDIRECT("Table!A"&amp;$U159):INDIRECT("Table!" &amp; $X$171 &amp; $U159),0)),"",INDIRECT(CONCATENATE("Table!",ADDRESS($Q159,MATCH(K$1,INDIRECT("Table!A" &amp; $U159):INDIRECT("Table!" &amp; $X$171 &amp; $U159),0)))))</f>
        <v>60665.9</v>
      </c>
      <c r="L159" s="33">
        <f ca="1">IF(ISERROR(MATCH(L$1,INDIRECT("Table!A"&amp;$U159):INDIRECT("Table!" &amp; $X$171 &amp; $U159),0)),"",INDIRECT(CONCATENATE("Table!",ADDRESS($Q159,MATCH(L$1,INDIRECT("Table!A" &amp; $U159):INDIRECT("Table!" &amp; $X$171 &amp; $U159),0)))))</f>
        <v>176482.7</v>
      </c>
      <c r="M159" s="33">
        <f ca="1">IF(ISERROR(MATCH(M$1,INDIRECT("Table!A"&amp;$U159):INDIRECT("Table!" &amp; $X$171 &amp; $U159),0)),"",INDIRECT(CONCATENATE("Table!",ADDRESS($Q159,MATCH(M$1,INDIRECT("Table!A" &amp; $U159):INDIRECT("Table!" &amp; $X$171 &amp; $U159),0)))))</f>
        <v>54921</v>
      </c>
      <c r="N159" s="126"/>
      <c r="O159" s="126"/>
      <c r="P159" s="126"/>
      <c r="Q159" s="31">
        <f>MATCH($A159,Table!$A:$A,0)+$S$14-1</f>
        <v>2105</v>
      </c>
      <c r="R159" s="126"/>
      <c r="S159" s="126"/>
      <c r="T159" s="126"/>
      <c r="U159" s="31">
        <f>MATCH($A159,Table!$A:$A,0)+$W$2-1</f>
        <v>2091</v>
      </c>
      <c r="V159" s="126"/>
      <c r="W159" s="126"/>
      <c r="X159" s="372" t="s">
        <v>209</v>
      </c>
    </row>
    <row r="160" spans="1:24" ht="18" customHeight="1">
      <c r="A160" s="5">
        <v>40932</v>
      </c>
      <c r="B160" s="33">
        <f ca="1">IF(ISERROR(MATCH(B$1,INDIRECT("Table!A"&amp;$U160):INDIRECT("Table!" &amp; $X$171 &amp; $U160),0)),"",INDIRECT(CONCATENATE("Table!",ADDRESS($Q160,MATCH(B$1,INDIRECT("Table!A" &amp; $U160):INDIRECT("Table!" &amp; $X$171 &amp; $U160),0)))))</f>
        <v>115816.8</v>
      </c>
      <c r="C160" s="33">
        <f ca="1">IF(ISERROR(MATCH(C$1,INDIRECT("Table!A"&amp;$U160):INDIRECT("Table!" &amp; $X$171 &amp; $U160),0)),"",INDIRECT(CONCATENATE("Table!",ADDRESS($Q160,MATCH(C$1,INDIRECT("Table!A" &amp; $U160):INDIRECT("Table!" &amp; $X$171 &amp; $U160),0)))))</f>
        <v>79968.7</v>
      </c>
      <c r="D160" s="33">
        <f ca="1">IF(ISERROR(MATCH(D$1,INDIRECT("Table!A"&amp;$U160):INDIRECT("Table!" &amp; $X$171 &amp; $U160),0)),"",INDIRECT(CONCATENATE("Table!",ADDRESS($Q160,MATCH(D$1,INDIRECT("Table!A" &amp; $U160):INDIRECT("Table!" &amp; $X$171 &amp; $U160),0)))))</f>
        <v>79968.7</v>
      </c>
      <c r="E160" s="33">
        <f ca="1">IF(ISERROR(MATCH(E$1,INDIRECT("Table!A"&amp;$U160):INDIRECT("Table!" &amp; $X$171 &amp; $U160),0)),"",INDIRECT(CONCATENATE("Table!",ADDRESS($Q160,MATCH(E$1,INDIRECT("Table!A" &amp; $U160):INDIRECT("Table!" &amp; $X$171 &amp; $U160),0)))))</f>
        <v>154422.39999999999</v>
      </c>
      <c r="F160" s="33">
        <f ca="1">IF(ISERROR(MATCH(F$1,INDIRECT("Table!A"&amp;$U160):INDIRECT("Table!" &amp; $X$171 &amp; $U160),0)),"",INDIRECT(CONCATENATE("Table!",ADDRESS($Q160,MATCH(F$1,INDIRECT("Table!A" &amp; $U160):INDIRECT("Table!" &amp; $X$171 &amp; $U160),0)))))</f>
        <v>121331.8</v>
      </c>
      <c r="G160" s="33">
        <f ca="1">IF(ISERROR(MATCH(G$1,INDIRECT("Table!A"&amp;$U160):INDIRECT("Table!" &amp; $X$171 &amp; $U160),0)),"",INDIRECT(CONCATENATE("Table!",ADDRESS($Q160,MATCH(G$1,INDIRECT("Table!A" &amp; $U160):INDIRECT("Table!" &amp; $X$171 &amp; $U160),0)))))</f>
        <v>110071.9</v>
      </c>
      <c r="H160" s="33">
        <f ca="1">IF(ISERROR(MATCH(H$1,INDIRECT("Table!A"&amp;$U160):INDIRECT("Table!" &amp; $X$171 &amp; $U160),0)),"",INDIRECT(CONCATENATE("Table!",ADDRESS($Q160,MATCH(H$1,INDIRECT("Table!A" &amp; $U160):INDIRECT("Table!" &amp; $X$171 &amp; $U160),0)))))</f>
        <v>121331.8</v>
      </c>
      <c r="I160" s="33">
        <f ca="1">IF(ISERROR(MATCH(I$1,INDIRECT("Table!A"&amp;$U160):INDIRECT("Table!" &amp; $X$171 &amp; $U160),0)),"",INDIRECT(CONCATENATE("Table!",ADDRESS($Q160,MATCH(I$1,INDIRECT("Table!A" &amp; $U160):INDIRECT("Table!" &amp; $X$171 &amp; $U160),0)))))</f>
        <v>170967.6</v>
      </c>
      <c r="J160" s="33">
        <f ca="1">IF(ISERROR(MATCH(J$1,INDIRECT("Table!A"&amp;$U160):INDIRECT("Table!" &amp; $X$171 &amp; $U160),0)),"",INDIRECT(CONCATENATE("Table!",ADDRESS($Q160,MATCH(J$1,INDIRECT("Table!A" &amp; $U160):INDIRECT("Table!" &amp; $X$171 &amp; $U160),0)))))</f>
        <v>54921</v>
      </c>
      <c r="K160" s="33">
        <f ca="1">IF(ISERROR(MATCH(K$1,INDIRECT("Table!A"&amp;$U160):INDIRECT("Table!" &amp; $X$171 &amp; $U160),0)),"",INDIRECT(CONCATENATE("Table!",ADDRESS($Q160,MATCH(K$1,INDIRECT("Table!A" &amp; $U160):INDIRECT("Table!" &amp; $X$171 &amp; $U160),0)))))</f>
        <v>60665.9</v>
      </c>
      <c r="L160" s="33">
        <f ca="1">IF(ISERROR(MATCH(L$1,INDIRECT("Table!A"&amp;$U160):INDIRECT("Table!" &amp; $X$171 &amp; $U160),0)),"",INDIRECT(CONCATENATE("Table!",ADDRESS($Q160,MATCH(L$1,INDIRECT("Table!A" &amp; $U160):INDIRECT("Table!" &amp; $X$171 &amp; $U160),0)))))</f>
        <v>176482.7</v>
      </c>
      <c r="M160" s="33">
        <f ca="1">IF(ISERROR(MATCH(M$1,INDIRECT("Table!A"&amp;$U160):INDIRECT("Table!" &amp; $X$171 &amp; $U160),0)),"",INDIRECT(CONCATENATE("Table!",ADDRESS($Q160,MATCH(M$1,INDIRECT("Table!A" &amp; $U160):INDIRECT("Table!" &amp; $X$171 &amp; $U160),0)))))</f>
        <v>54921</v>
      </c>
      <c r="N160" s="125"/>
      <c r="O160" s="125"/>
      <c r="P160" s="125"/>
      <c r="Q160" s="31">
        <f>MATCH($A160,Table!$A:$A,0)+$S$14-1</f>
        <v>2118</v>
      </c>
      <c r="R160" s="125"/>
      <c r="S160" s="125"/>
      <c r="T160" s="125"/>
      <c r="U160" s="31">
        <f>MATCH($A160,Table!$A:$A,0)+$W$2-1</f>
        <v>2104</v>
      </c>
      <c r="V160" s="125"/>
      <c r="W160" s="125"/>
      <c r="X160" s="372" t="s">
        <v>209</v>
      </c>
    </row>
    <row r="161" spans="1:24" ht="18" customHeight="1">
      <c r="A161" s="5">
        <v>40931</v>
      </c>
      <c r="B161" s="33">
        <f ca="1">IF(ISERROR(MATCH(B$1,INDIRECT("Table!A"&amp;$U161):INDIRECT("Table!" &amp; $X$171 &amp; $U161),0)),"",INDIRECT(CONCATENATE("Table!",ADDRESS($Q161,MATCH(B$1,INDIRECT("Table!A" &amp; $U161):INDIRECT("Table!" &amp; $X$171 &amp; $U161),0)))))</f>
        <v>115816.8</v>
      </c>
      <c r="C161" s="33">
        <f ca="1">IF(ISERROR(MATCH(C$1,INDIRECT("Table!A"&amp;$U161):INDIRECT("Table!" &amp; $X$171 &amp; $U161),0)),"",INDIRECT(CONCATENATE("Table!",ADDRESS($Q161,MATCH(C$1,INDIRECT("Table!A" &amp; $U161):INDIRECT("Table!" &amp; $X$171 &amp; $U161),0)))))</f>
        <v>79968.7</v>
      </c>
      <c r="D161" s="33">
        <f ca="1">IF(ISERROR(MATCH(D$1,INDIRECT("Table!A"&amp;$U161):INDIRECT("Table!" &amp; $X$171 &amp; $U161),0)),"",INDIRECT(CONCATENATE("Table!",ADDRESS($Q161,MATCH(D$1,INDIRECT("Table!A" &amp; $U161):INDIRECT("Table!" &amp; $X$171 &amp; $U161),0)))))</f>
        <v>79968.7</v>
      </c>
      <c r="E161" s="33">
        <f ca="1">IF(ISERROR(MATCH(E$1,INDIRECT("Table!A"&amp;$U161):INDIRECT("Table!" &amp; $X$171 &amp; $U161),0)),"",INDIRECT(CONCATENATE("Table!",ADDRESS($Q161,MATCH(E$1,INDIRECT("Table!A" &amp; $U161):INDIRECT("Table!" &amp; $X$171 &amp; $U161),0)))))</f>
        <v>154422.39999999999</v>
      </c>
      <c r="F161" s="33">
        <f ca="1">IF(ISERROR(MATCH(F$1,INDIRECT("Table!A"&amp;$U161):INDIRECT("Table!" &amp; $X$171 &amp; $U161),0)),"",INDIRECT(CONCATENATE("Table!",ADDRESS($Q161,MATCH(F$1,INDIRECT("Table!A" &amp; $U161):INDIRECT("Table!" &amp; $X$171 &amp; $U161),0)))))</f>
        <v>121331.8</v>
      </c>
      <c r="G161" s="33">
        <f ca="1">IF(ISERROR(MATCH(G$1,INDIRECT("Table!A"&amp;$U161):INDIRECT("Table!" &amp; $X$171 &amp; $U161),0)),"",INDIRECT(CONCATENATE("Table!",ADDRESS($Q161,MATCH(G$1,INDIRECT("Table!A" &amp; $U161):INDIRECT("Table!" &amp; $X$171 &amp; $U161),0)))))</f>
        <v>110071.9</v>
      </c>
      <c r="H161" s="33">
        <f ca="1">IF(ISERROR(MATCH(H$1,INDIRECT("Table!A"&amp;$U161):INDIRECT("Table!" &amp; $X$171 &amp; $U161),0)),"",INDIRECT(CONCATENATE("Table!",ADDRESS($Q161,MATCH(H$1,INDIRECT("Table!A" &amp; $U161):INDIRECT("Table!" &amp; $X$171 &amp; $U161),0)))))</f>
        <v>121331.8</v>
      </c>
      <c r="I161" s="33">
        <f ca="1">IF(ISERROR(MATCH(I$1,INDIRECT("Table!A"&amp;$U161):INDIRECT("Table!" &amp; $X$171 &amp; $U161),0)),"",INDIRECT(CONCATENATE("Table!",ADDRESS($Q161,MATCH(I$1,INDIRECT("Table!A" &amp; $U161):INDIRECT("Table!" &amp; $X$171 &amp; $U161),0)))))</f>
        <v>170967.6</v>
      </c>
      <c r="J161" s="33">
        <f ca="1">IF(ISERROR(MATCH(J$1,INDIRECT("Table!A"&amp;$U161):INDIRECT("Table!" &amp; $X$171 &amp; $U161),0)),"",INDIRECT(CONCATENATE("Table!",ADDRESS($Q161,MATCH(J$1,INDIRECT("Table!A" &amp; $U161):INDIRECT("Table!" &amp; $X$171 &amp; $U161),0)))))</f>
        <v>54921</v>
      </c>
      <c r="K161" s="33">
        <f ca="1">IF(ISERROR(MATCH(K$1,INDIRECT("Table!A"&amp;$U161):INDIRECT("Table!" &amp; $X$171 &amp; $U161),0)),"",INDIRECT(CONCATENATE("Table!",ADDRESS($Q161,MATCH(K$1,INDIRECT("Table!A" &amp; $U161):INDIRECT("Table!" &amp; $X$171 &amp; $U161),0)))))</f>
        <v>60665.9</v>
      </c>
      <c r="L161" s="33">
        <f ca="1">IF(ISERROR(MATCH(L$1,INDIRECT("Table!A"&amp;$U161):INDIRECT("Table!" &amp; $X$171 &amp; $U161),0)),"",INDIRECT(CONCATENATE("Table!",ADDRESS($Q161,MATCH(L$1,INDIRECT("Table!A" &amp; $U161):INDIRECT("Table!" &amp; $X$171 &amp; $U161),0)))))</f>
        <v>176482.7</v>
      </c>
      <c r="M161" s="33">
        <f ca="1">IF(ISERROR(MATCH(M$1,INDIRECT("Table!A"&amp;$U161):INDIRECT("Table!" &amp; $X$171 &amp; $U161),0)),"",INDIRECT(CONCATENATE("Table!",ADDRESS($Q161,MATCH(M$1,INDIRECT("Table!A" &amp; $U161):INDIRECT("Table!" &amp; $X$171 &amp; $U161),0)))))</f>
        <v>54921</v>
      </c>
      <c r="N161" s="124"/>
      <c r="O161" s="124"/>
      <c r="P161" s="124"/>
      <c r="Q161" s="31">
        <f>MATCH($A161,Table!$A:$A,0)+$S$14-1</f>
        <v>2131</v>
      </c>
      <c r="R161" s="124"/>
      <c r="S161" s="124"/>
      <c r="T161" s="124"/>
      <c r="U161" s="31">
        <f>MATCH($A161,Table!$A:$A,0)+$W$2-1</f>
        <v>2117</v>
      </c>
      <c r="V161" s="124"/>
      <c r="W161" s="124"/>
      <c r="X161" s="372" t="s">
        <v>209</v>
      </c>
    </row>
    <row r="162" spans="1:24" ht="18" customHeight="1">
      <c r="A162" s="5">
        <v>40928</v>
      </c>
      <c r="B162" s="33">
        <f ca="1">IF(ISERROR(MATCH(B$1,INDIRECT("Table!A"&amp;$U162):INDIRECT("Table!" &amp; $X$171 &amp; $U162),0)),"",INDIRECT(CONCATENATE("Table!",ADDRESS($Q162,MATCH(B$1,INDIRECT("Table!A" &amp; $U162):INDIRECT("Table!" &amp; $X$171 &amp; $U162),0)))))</f>
        <v>115816.8</v>
      </c>
      <c r="C162" s="33">
        <f ca="1">IF(ISERROR(MATCH(C$1,INDIRECT("Table!A"&amp;$U162):INDIRECT("Table!" &amp; $X$171 &amp; $U162),0)),"",INDIRECT(CONCATENATE("Table!",ADDRESS($Q162,MATCH(C$1,INDIRECT("Table!A" &amp; $U162):INDIRECT("Table!" &amp; $X$171 &amp; $U162),0)))))</f>
        <v>79968.7</v>
      </c>
      <c r="D162" s="33">
        <f ca="1">IF(ISERROR(MATCH(D$1,INDIRECT("Table!A"&amp;$U162):INDIRECT("Table!" &amp; $X$171 &amp; $U162),0)),"",INDIRECT(CONCATENATE("Table!",ADDRESS($Q162,MATCH(D$1,INDIRECT("Table!A" &amp; $U162):INDIRECT("Table!" &amp; $X$171 &amp; $U162),0)))))</f>
        <v>79968.7</v>
      </c>
      <c r="E162" s="33">
        <f ca="1">IF(ISERROR(MATCH(E$1,INDIRECT("Table!A"&amp;$U162):INDIRECT("Table!" &amp; $X$171 &amp; $U162),0)),"",INDIRECT(CONCATENATE("Table!",ADDRESS($Q162,MATCH(E$1,INDIRECT("Table!A" &amp; $U162):INDIRECT("Table!" &amp; $X$171 &amp; $U162),0)))))</f>
        <v>154422.39999999999</v>
      </c>
      <c r="F162" s="33">
        <f ca="1">IF(ISERROR(MATCH(F$1,INDIRECT("Table!A"&amp;$U162):INDIRECT("Table!" &amp; $X$171 &amp; $U162),0)),"",INDIRECT(CONCATENATE("Table!",ADDRESS($Q162,MATCH(F$1,INDIRECT("Table!A" &amp; $U162):INDIRECT("Table!" &amp; $X$171 &amp; $U162),0)))))</f>
        <v>121331.8</v>
      </c>
      <c r="G162" s="33">
        <f ca="1">IF(ISERROR(MATCH(G$1,INDIRECT("Table!A"&amp;$U162):INDIRECT("Table!" &amp; $X$171 &amp; $U162),0)),"",INDIRECT(CONCATENATE("Table!",ADDRESS($Q162,MATCH(G$1,INDIRECT("Table!A" &amp; $U162):INDIRECT("Table!" &amp; $X$171 &amp; $U162),0)))))</f>
        <v>110071.9</v>
      </c>
      <c r="H162" s="33">
        <f ca="1">IF(ISERROR(MATCH(H$1,INDIRECT("Table!A"&amp;$U162):INDIRECT("Table!" &amp; $X$171 &amp; $U162),0)),"",INDIRECT(CONCATENATE("Table!",ADDRESS($Q162,MATCH(H$1,INDIRECT("Table!A" &amp; $U162):INDIRECT("Table!" &amp; $X$171 &amp; $U162),0)))))</f>
        <v>121331.8</v>
      </c>
      <c r="I162" s="33">
        <f ca="1">IF(ISERROR(MATCH(I$1,INDIRECT("Table!A"&amp;$U162):INDIRECT("Table!" &amp; $X$171 &amp; $U162),0)),"",INDIRECT(CONCATENATE("Table!",ADDRESS($Q162,MATCH(I$1,INDIRECT("Table!A" &amp; $U162):INDIRECT("Table!" &amp; $X$171 &amp; $U162),0)))))</f>
        <v>170967.6</v>
      </c>
      <c r="J162" s="33">
        <f ca="1">IF(ISERROR(MATCH(J$1,INDIRECT("Table!A"&amp;$U162):INDIRECT("Table!" &amp; $X$171 &amp; $U162),0)),"",INDIRECT(CONCATENATE("Table!",ADDRESS($Q162,MATCH(J$1,INDIRECT("Table!A" &amp; $U162):INDIRECT("Table!" &amp; $X$171 &amp; $U162),0)))))</f>
        <v>54921</v>
      </c>
      <c r="K162" s="33">
        <f ca="1">IF(ISERROR(MATCH(K$1,INDIRECT("Table!A"&amp;$U162):INDIRECT("Table!" &amp; $X$171 &amp; $U162),0)),"",INDIRECT(CONCATENATE("Table!",ADDRESS($Q162,MATCH(K$1,INDIRECT("Table!A" &amp; $U162):INDIRECT("Table!" &amp; $X$171 &amp; $U162),0)))))</f>
        <v>60665.9</v>
      </c>
      <c r="L162" s="33">
        <f ca="1">IF(ISERROR(MATCH(L$1,INDIRECT("Table!A"&amp;$U162):INDIRECT("Table!" &amp; $X$171 &amp; $U162),0)),"",INDIRECT(CONCATENATE("Table!",ADDRESS($Q162,MATCH(L$1,INDIRECT("Table!A" &amp; $U162):INDIRECT("Table!" &amp; $X$171 &amp; $U162),0)))))</f>
        <v>176482.7</v>
      </c>
      <c r="M162" s="33">
        <f ca="1">IF(ISERROR(MATCH(M$1,INDIRECT("Table!A"&amp;$U162):INDIRECT("Table!" &amp; $X$171 &amp; $U162),0)),"",INDIRECT(CONCATENATE("Table!",ADDRESS($Q162,MATCH(M$1,INDIRECT("Table!A" &amp; $U162):INDIRECT("Table!" &amp; $X$171 &amp; $U162),0)))))</f>
        <v>54921</v>
      </c>
      <c r="N162" s="123"/>
      <c r="O162" s="123"/>
      <c r="P162" s="123"/>
      <c r="Q162" s="31">
        <f>MATCH($A162,Table!$A:$A,0)+$S$14-1</f>
        <v>2144</v>
      </c>
      <c r="R162" s="123"/>
      <c r="S162" s="123"/>
      <c r="T162" s="123"/>
      <c r="U162" s="31">
        <f>MATCH($A162,Table!$A:$A,0)+$W$2-1</f>
        <v>2130</v>
      </c>
      <c r="V162" s="123"/>
      <c r="W162" s="123"/>
      <c r="X162" s="372" t="s">
        <v>209</v>
      </c>
    </row>
    <row r="163" spans="1:24" ht="18" customHeight="1">
      <c r="A163" s="5">
        <v>40927</v>
      </c>
      <c r="B163" s="33">
        <f ca="1">IF(ISERROR(MATCH(B$1,INDIRECT("Table!A"&amp;$U163):INDIRECT("Table!" &amp; $X$171 &amp; $U163),0)),"",INDIRECT(CONCATENATE("Table!",ADDRESS($Q163,MATCH(B$1,INDIRECT("Table!A" &amp; $U163):INDIRECT("Table!" &amp; $X$171 &amp; $U163),0)))))</f>
        <v>115816.8</v>
      </c>
      <c r="C163" s="33">
        <f ca="1">IF(ISERROR(MATCH(C$1,INDIRECT("Table!A"&amp;$U163):INDIRECT("Table!" &amp; $X$171 &amp; $U163),0)),"",INDIRECT(CONCATENATE("Table!",ADDRESS($Q163,MATCH(C$1,INDIRECT("Table!A" &amp; $U163):INDIRECT("Table!" &amp; $X$171 &amp; $U163),0)))))</f>
        <v>79968.7</v>
      </c>
      <c r="D163" s="33">
        <f ca="1">IF(ISERROR(MATCH(D$1,INDIRECT("Table!A"&amp;$U163):INDIRECT("Table!" &amp; $X$171 &amp; $U163),0)),"",INDIRECT(CONCATENATE("Table!",ADDRESS($Q163,MATCH(D$1,INDIRECT("Table!A" &amp; $U163):INDIRECT("Table!" &amp; $X$171 &amp; $U163),0)))))</f>
        <v>79968.7</v>
      </c>
      <c r="E163" s="33">
        <f ca="1">IF(ISERROR(MATCH(E$1,INDIRECT("Table!A"&amp;$U163):INDIRECT("Table!" &amp; $X$171 &amp; $U163),0)),"",INDIRECT(CONCATENATE("Table!",ADDRESS($Q163,MATCH(E$1,INDIRECT("Table!A" &amp; $U163):INDIRECT("Table!" &amp; $X$171 &amp; $U163),0)))))</f>
        <v>154422.39999999999</v>
      </c>
      <c r="F163" s="33">
        <f ca="1">IF(ISERROR(MATCH(F$1,INDIRECT("Table!A"&amp;$U163):INDIRECT("Table!" &amp; $X$171 &amp; $U163),0)),"",INDIRECT(CONCATENATE("Table!",ADDRESS($Q163,MATCH(F$1,INDIRECT("Table!A" &amp; $U163):INDIRECT("Table!" &amp; $X$171 &amp; $U163),0)))))</f>
        <v>121331.8</v>
      </c>
      <c r="G163" s="33">
        <f ca="1">IF(ISERROR(MATCH(G$1,INDIRECT("Table!A"&amp;$U163):INDIRECT("Table!" &amp; $X$171 &amp; $U163),0)),"",INDIRECT(CONCATENATE("Table!",ADDRESS($Q163,MATCH(G$1,INDIRECT("Table!A" &amp; $U163):INDIRECT("Table!" &amp; $X$171 &amp; $U163),0)))))</f>
        <v>110071.9</v>
      </c>
      <c r="H163" s="33">
        <f ca="1">IF(ISERROR(MATCH(H$1,INDIRECT("Table!A"&amp;$U163):INDIRECT("Table!" &amp; $X$171 &amp; $U163),0)),"",INDIRECT(CONCATENATE("Table!",ADDRESS($Q163,MATCH(H$1,INDIRECT("Table!A" &amp; $U163):INDIRECT("Table!" &amp; $X$171 &amp; $U163),0)))))</f>
        <v>121331.8</v>
      </c>
      <c r="I163" s="33">
        <f ca="1">IF(ISERROR(MATCH(I$1,INDIRECT("Table!A"&amp;$U163):INDIRECT("Table!" &amp; $X$171 &amp; $U163),0)),"",INDIRECT(CONCATENATE("Table!",ADDRESS($Q163,MATCH(I$1,INDIRECT("Table!A" &amp; $U163):INDIRECT("Table!" &amp; $X$171 &amp; $U163),0)))))</f>
        <v>170967.6</v>
      </c>
      <c r="J163" s="33">
        <f ca="1">IF(ISERROR(MATCH(J$1,INDIRECT("Table!A"&amp;$U163):INDIRECT("Table!" &amp; $X$171 &amp; $U163),0)),"",INDIRECT(CONCATENATE("Table!",ADDRESS($Q163,MATCH(J$1,INDIRECT("Table!A" &amp; $U163):INDIRECT("Table!" &amp; $X$171 &amp; $U163),0)))))</f>
        <v>54921</v>
      </c>
      <c r="K163" s="33">
        <f ca="1">IF(ISERROR(MATCH(K$1,INDIRECT("Table!A"&amp;$U163):INDIRECT("Table!" &amp; $X$171 &amp; $U163),0)),"",INDIRECT(CONCATENATE("Table!",ADDRESS($Q163,MATCH(K$1,INDIRECT("Table!A" &amp; $U163):INDIRECT("Table!" &amp; $X$171 &amp; $U163),0)))))</f>
        <v>60665.9</v>
      </c>
      <c r="L163" s="33">
        <f ca="1">IF(ISERROR(MATCH(L$1,INDIRECT("Table!A"&amp;$U163):INDIRECT("Table!" &amp; $X$171 &amp; $U163),0)),"",INDIRECT(CONCATENATE("Table!",ADDRESS($Q163,MATCH(L$1,INDIRECT("Table!A" &amp; $U163):INDIRECT("Table!" &amp; $X$171 &amp; $U163),0)))))</f>
        <v>176482.7</v>
      </c>
      <c r="M163" s="33">
        <f ca="1">IF(ISERROR(MATCH(M$1,INDIRECT("Table!A"&amp;$U163):INDIRECT("Table!" &amp; $X$171 &amp; $U163),0)),"",INDIRECT(CONCATENATE("Table!",ADDRESS($Q163,MATCH(M$1,INDIRECT("Table!A" &amp; $U163):INDIRECT("Table!" &amp; $X$171 &amp; $U163),0)))))</f>
        <v>54921</v>
      </c>
      <c r="N163" s="123"/>
      <c r="O163" s="123"/>
      <c r="P163" s="123"/>
      <c r="Q163" s="31">
        <f>MATCH($A163,Table!$A:$A,0)+$S$14-1</f>
        <v>2157</v>
      </c>
      <c r="R163" s="123"/>
      <c r="S163" s="123"/>
      <c r="T163" s="123"/>
      <c r="U163" s="31">
        <f>MATCH($A163,Table!$A:$A,0)+$W$2-1</f>
        <v>2143</v>
      </c>
      <c r="V163" s="123"/>
      <c r="W163" s="123"/>
      <c r="X163" s="372" t="s">
        <v>209</v>
      </c>
    </row>
    <row r="164" spans="1:24" ht="18" customHeight="1">
      <c r="A164" s="5">
        <v>40926</v>
      </c>
      <c r="B164" s="33">
        <f ca="1">IF(ISERROR(MATCH(B$1,INDIRECT("Table!A"&amp;$U164):INDIRECT("Table!" &amp; $X$171 &amp; $U164),0)),"",INDIRECT(CONCATENATE("Table!",ADDRESS($Q164,MATCH(B$1,INDIRECT("Table!A" &amp; $U164):INDIRECT("Table!" &amp; $X$171 &amp; $U164),0)))))</f>
        <v>115816.8</v>
      </c>
      <c r="C164" s="33">
        <f ca="1">IF(ISERROR(MATCH(C$1,INDIRECT("Table!A"&amp;$U164):INDIRECT("Table!" &amp; $X$171 &amp; $U164),0)),"",INDIRECT(CONCATENATE("Table!",ADDRESS($Q164,MATCH(C$1,INDIRECT("Table!A" &amp; $U164):INDIRECT("Table!" &amp; $X$171 &amp; $U164),0)))))</f>
        <v>79968.7</v>
      </c>
      <c r="D164" s="33">
        <f ca="1">IF(ISERROR(MATCH(D$1,INDIRECT("Table!A"&amp;$U164):INDIRECT("Table!" &amp; $X$171 &amp; $U164),0)),"",INDIRECT(CONCATENATE("Table!",ADDRESS($Q164,MATCH(D$1,INDIRECT("Table!A" &amp; $U164):INDIRECT("Table!" &amp; $X$171 &amp; $U164),0)))))</f>
        <v>79968.7</v>
      </c>
      <c r="E164" s="33">
        <f ca="1">IF(ISERROR(MATCH(E$1,INDIRECT("Table!A"&amp;$U164):INDIRECT("Table!" &amp; $X$171 &amp; $U164),0)),"",INDIRECT(CONCATENATE("Table!",ADDRESS($Q164,MATCH(E$1,INDIRECT("Table!A" &amp; $U164):INDIRECT("Table!" &amp; $X$171 &amp; $U164),0)))))</f>
        <v>154422.39999999999</v>
      </c>
      <c r="F164" s="33">
        <f ca="1">IF(ISERROR(MATCH(F$1,INDIRECT("Table!A"&amp;$U164):INDIRECT("Table!" &amp; $X$171 &amp; $U164),0)),"",INDIRECT(CONCATENATE("Table!",ADDRESS($Q164,MATCH(F$1,INDIRECT("Table!A" &amp; $U164):INDIRECT("Table!" &amp; $X$171 &amp; $U164),0)))))</f>
        <v>121331.8</v>
      </c>
      <c r="G164" s="33">
        <f ca="1">IF(ISERROR(MATCH(G$1,INDIRECT("Table!A"&amp;$U164):INDIRECT("Table!" &amp; $X$171 &amp; $U164),0)),"",INDIRECT(CONCATENATE("Table!",ADDRESS($Q164,MATCH(G$1,INDIRECT("Table!A" &amp; $U164):INDIRECT("Table!" &amp; $X$171 &amp; $U164),0)))))</f>
        <v>110071.9</v>
      </c>
      <c r="H164" s="33">
        <f ca="1">IF(ISERROR(MATCH(H$1,INDIRECT("Table!A"&amp;$U164):INDIRECT("Table!" &amp; $X$171 &amp; $U164),0)),"",INDIRECT(CONCATENATE("Table!",ADDRESS($Q164,MATCH(H$1,INDIRECT("Table!A" &amp; $U164):INDIRECT("Table!" &amp; $X$171 &amp; $U164),0)))))</f>
        <v>121331.8</v>
      </c>
      <c r="I164" s="33">
        <f ca="1">IF(ISERROR(MATCH(I$1,INDIRECT("Table!A"&amp;$U164):INDIRECT("Table!" &amp; $X$171 &amp; $U164),0)),"",INDIRECT(CONCATENATE("Table!",ADDRESS($Q164,MATCH(I$1,INDIRECT("Table!A" &amp; $U164):INDIRECT("Table!" &amp; $X$171 &amp; $U164),0)))))</f>
        <v>170967.6</v>
      </c>
      <c r="J164" s="33">
        <f ca="1">IF(ISERROR(MATCH(J$1,INDIRECT("Table!A"&amp;$U164):INDIRECT("Table!" &amp; $X$171 &amp; $U164),0)),"",INDIRECT(CONCATENATE("Table!",ADDRESS($Q164,MATCH(J$1,INDIRECT("Table!A" &amp; $U164):INDIRECT("Table!" &amp; $X$171 &amp; $U164),0)))))</f>
        <v>54921</v>
      </c>
      <c r="K164" s="33">
        <f ca="1">IF(ISERROR(MATCH(K$1,INDIRECT("Table!A"&amp;$U164):INDIRECT("Table!" &amp; $X$171 &amp; $U164),0)),"",INDIRECT(CONCATENATE("Table!",ADDRESS($Q164,MATCH(K$1,INDIRECT("Table!A" &amp; $U164):INDIRECT("Table!" &amp; $X$171 &amp; $U164),0)))))</f>
        <v>60665.9</v>
      </c>
      <c r="L164" s="33">
        <f ca="1">IF(ISERROR(MATCH(L$1,INDIRECT("Table!A"&amp;$U164):INDIRECT("Table!" &amp; $X$171 &amp; $U164),0)),"",INDIRECT(CONCATENATE("Table!",ADDRESS($Q164,MATCH(L$1,INDIRECT("Table!A" &amp; $U164):INDIRECT("Table!" &amp; $X$171 &amp; $U164),0)))))</f>
        <v>176482.7</v>
      </c>
      <c r="M164" s="33">
        <f ca="1">IF(ISERROR(MATCH(M$1,INDIRECT("Table!A"&amp;$U164):INDIRECT("Table!" &amp; $X$171 &amp; $U164),0)),"",INDIRECT(CONCATENATE("Table!",ADDRESS($Q164,MATCH(M$1,INDIRECT("Table!A" &amp; $U164):INDIRECT("Table!" &amp; $X$171 &amp; $U164),0)))))</f>
        <v>54921</v>
      </c>
      <c r="N164" s="119"/>
      <c r="O164" s="119"/>
      <c r="P164" s="119"/>
      <c r="Q164" s="31">
        <f>MATCH($A164,Table!$A:$A,0)+$S$14-1</f>
        <v>2170</v>
      </c>
      <c r="R164" s="119"/>
      <c r="S164" s="119"/>
      <c r="T164" s="119"/>
      <c r="U164" s="31">
        <f>MATCH($A164,Table!$A:$A,0)+$W$2-1</f>
        <v>2156</v>
      </c>
      <c r="V164" s="119"/>
      <c r="W164" s="119"/>
      <c r="X164" s="372" t="s">
        <v>209</v>
      </c>
    </row>
    <row r="165" spans="1:24" ht="18" customHeight="1">
      <c r="A165" s="5">
        <v>40925</v>
      </c>
      <c r="B165" s="33">
        <f ca="1">IF(ISERROR(MATCH(B$1,INDIRECT("Table!A"&amp;$U165):INDIRECT("Table!" &amp; $X$171 &amp; $U165),0)),"",INDIRECT(CONCATENATE("Table!",ADDRESS($Q165,MATCH(B$1,INDIRECT("Table!A" &amp; $U165):INDIRECT("Table!" &amp; $X$171 &amp; $U165),0)))))</f>
        <v>115816.8</v>
      </c>
      <c r="C165" s="33">
        <f ca="1">IF(ISERROR(MATCH(C$1,INDIRECT("Table!A"&amp;$U165):INDIRECT("Table!" &amp; $X$171 &amp; $U165),0)),"",INDIRECT(CONCATENATE("Table!",ADDRESS($Q165,MATCH(C$1,INDIRECT("Table!A" &amp; $U165):INDIRECT("Table!" &amp; $X$171 &amp; $U165),0)))))</f>
        <v>79968.7</v>
      </c>
      <c r="D165" s="33">
        <f ca="1">IF(ISERROR(MATCH(D$1,INDIRECT("Table!A"&amp;$U165):INDIRECT("Table!" &amp; $X$171 &amp; $U165),0)),"",INDIRECT(CONCATENATE("Table!",ADDRESS($Q165,MATCH(D$1,INDIRECT("Table!A" &amp; $U165):INDIRECT("Table!" &amp; $X$171 &amp; $U165),0)))))</f>
        <v>79968.7</v>
      </c>
      <c r="E165" s="33">
        <f ca="1">IF(ISERROR(MATCH(E$1,INDIRECT("Table!A"&amp;$U165):INDIRECT("Table!" &amp; $X$171 &amp; $U165),0)),"",INDIRECT(CONCATENATE("Table!",ADDRESS($Q165,MATCH(E$1,INDIRECT("Table!A" &amp; $U165):INDIRECT("Table!" &amp; $X$171 &amp; $U165),0)))))</f>
        <v>154422.39999999999</v>
      </c>
      <c r="F165" s="33">
        <f ca="1">IF(ISERROR(MATCH(F$1,INDIRECT("Table!A"&amp;$U165):INDIRECT("Table!" &amp; $X$171 &amp; $U165),0)),"",INDIRECT(CONCATENATE("Table!",ADDRESS($Q165,MATCH(F$1,INDIRECT("Table!A" &amp; $U165):INDIRECT("Table!" &amp; $X$171 &amp; $U165),0)))))</f>
        <v>121331.8</v>
      </c>
      <c r="G165" s="33">
        <f ca="1">IF(ISERROR(MATCH(G$1,INDIRECT("Table!A"&amp;$U165):INDIRECT("Table!" &amp; $X$171 &amp; $U165),0)),"",INDIRECT(CONCATENATE("Table!",ADDRESS($Q165,MATCH(G$1,INDIRECT("Table!A" &amp; $U165):INDIRECT("Table!" &amp; $X$171 &amp; $U165),0)))))</f>
        <v>110071.9</v>
      </c>
      <c r="H165" s="33">
        <f ca="1">IF(ISERROR(MATCH(H$1,INDIRECT("Table!A"&amp;$U165):INDIRECT("Table!" &amp; $X$171 &amp; $U165),0)),"",INDIRECT(CONCATENATE("Table!",ADDRESS($Q165,MATCH(H$1,INDIRECT("Table!A" &amp; $U165):INDIRECT("Table!" &amp; $X$171 &amp; $U165),0)))))</f>
        <v>121331.8</v>
      </c>
      <c r="I165" s="33">
        <f ca="1">IF(ISERROR(MATCH(I$1,INDIRECT("Table!A"&amp;$U165):INDIRECT("Table!" &amp; $X$171 &amp; $U165),0)),"",INDIRECT(CONCATENATE("Table!",ADDRESS($Q165,MATCH(I$1,INDIRECT("Table!A" &amp; $U165):INDIRECT("Table!" &amp; $X$171 &amp; $U165),0)))))</f>
        <v>170967.6</v>
      </c>
      <c r="J165" s="33">
        <f ca="1">IF(ISERROR(MATCH(J$1,INDIRECT("Table!A"&amp;$U165):INDIRECT("Table!" &amp; $X$171 &amp; $U165),0)),"",INDIRECT(CONCATENATE("Table!",ADDRESS($Q165,MATCH(J$1,INDIRECT("Table!A" &amp; $U165):INDIRECT("Table!" &amp; $X$171 &amp; $U165),0)))))</f>
        <v>54921</v>
      </c>
      <c r="K165" s="33">
        <f ca="1">IF(ISERROR(MATCH(K$1,INDIRECT("Table!A"&amp;$U165):INDIRECT("Table!" &amp; $X$171 &amp; $U165),0)),"",INDIRECT(CONCATENATE("Table!",ADDRESS($Q165,MATCH(K$1,INDIRECT("Table!A" &amp; $U165):INDIRECT("Table!" &amp; $X$171 &amp; $U165),0)))))</f>
        <v>60665.9</v>
      </c>
      <c r="L165" s="33">
        <f ca="1">IF(ISERROR(MATCH(L$1,INDIRECT("Table!A"&amp;$U165):INDIRECT("Table!" &amp; $X$171 &amp; $U165),0)),"",INDIRECT(CONCATENATE("Table!",ADDRESS($Q165,MATCH(L$1,INDIRECT("Table!A" &amp; $U165):INDIRECT("Table!" &amp; $X$171 &amp; $U165),0)))))</f>
        <v>176482.7</v>
      </c>
      <c r="M165" s="33">
        <f ca="1">IF(ISERROR(MATCH(M$1,INDIRECT("Table!A"&amp;$U165):INDIRECT("Table!" &amp; $X$171 &amp; $U165),0)),"",INDIRECT(CONCATENATE("Table!",ADDRESS($Q165,MATCH(M$1,INDIRECT("Table!A" &amp; $U165):INDIRECT("Table!" &amp; $X$171 &amp; $U165),0)))))</f>
        <v>54921</v>
      </c>
      <c r="N165" s="118"/>
      <c r="O165" s="118"/>
      <c r="P165" s="118"/>
      <c r="Q165" s="31">
        <f>MATCH($A165,Table!$A:$A,0)+$S$14-1</f>
        <v>2183</v>
      </c>
      <c r="R165" s="118"/>
      <c r="S165" s="118"/>
      <c r="T165" s="118"/>
      <c r="U165" s="31">
        <f>MATCH($A165,Table!$A:$A,0)+$W$2-1</f>
        <v>2169</v>
      </c>
      <c r="V165" s="118"/>
      <c r="W165" s="118"/>
      <c r="X165" s="372" t="s">
        <v>209</v>
      </c>
    </row>
    <row r="166" spans="1:24" ht="18" customHeight="1">
      <c r="A166" s="5">
        <v>40924</v>
      </c>
      <c r="B166" s="33">
        <f ca="1">IF(ISERROR(MATCH(B$1,INDIRECT("Table!A"&amp;$U166):INDIRECT("Table!" &amp; $X$171 &amp; $U166),0)),"",INDIRECT(CONCATENATE("Table!",ADDRESS($Q166,MATCH(B$1,INDIRECT("Table!A" &amp; $U166):INDIRECT("Table!" &amp; $X$171 &amp; $U166),0)))))</f>
        <v>115816.8</v>
      </c>
      <c r="C166" s="33">
        <f ca="1">IF(ISERROR(MATCH(C$1,INDIRECT("Table!A"&amp;$U166):INDIRECT("Table!" &amp; $X$171 &amp; $U166),0)),"",INDIRECT(CONCATENATE("Table!",ADDRESS($Q166,MATCH(C$1,INDIRECT("Table!A" &amp; $U166):INDIRECT("Table!" &amp; $X$171 &amp; $U166),0)))))</f>
        <v>79968.7</v>
      </c>
      <c r="D166" s="33">
        <f ca="1">IF(ISERROR(MATCH(D$1,INDIRECT("Table!A"&amp;$U166):INDIRECT("Table!" &amp; $X$171 &amp; $U166),0)),"",INDIRECT(CONCATENATE("Table!",ADDRESS($Q166,MATCH(D$1,INDIRECT("Table!A" &amp; $U166):INDIRECT("Table!" &amp; $X$171 &amp; $U166),0)))))</f>
        <v>79968.7</v>
      </c>
      <c r="E166" s="33">
        <f ca="1">IF(ISERROR(MATCH(E$1,INDIRECT("Table!A"&amp;$U166):INDIRECT("Table!" &amp; $X$171 &amp; $U166),0)),"",INDIRECT(CONCATENATE("Table!",ADDRESS($Q166,MATCH(E$1,INDIRECT("Table!A" &amp; $U166):INDIRECT("Table!" &amp; $X$171 &amp; $U166),0)))))</f>
        <v>154422.39999999999</v>
      </c>
      <c r="F166" s="33">
        <f ca="1">IF(ISERROR(MATCH(F$1,INDIRECT("Table!A"&amp;$U166):INDIRECT("Table!" &amp; $X$171 &amp; $U166),0)),"",INDIRECT(CONCATENATE("Table!",ADDRESS($Q166,MATCH(F$1,INDIRECT("Table!A" &amp; $U166):INDIRECT("Table!" &amp; $X$171 &amp; $U166),0)))))</f>
        <v>121331.8</v>
      </c>
      <c r="G166" s="33">
        <f ca="1">IF(ISERROR(MATCH(G$1,INDIRECT("Table!A"&amp;$U166):INDIRECT("Table!" &amp; $X$171 &amp; $U166),0)),"",INDIRECT(CONCATENATE("Table!",ADDRESS($Q166,MATCH(G$1,INDIRECT("Table!A" &amp; $U166):INDIRECT("Table!" &amp; $X$171 &amp; $U166),0)))))</f>
        <v>110071.9</v>
      </c>
      <c r="H166" s="33">
        <f ca="1">IF(ISERROR(MATCH(H$1,INDIRECT("Table!A"&amp;$U166):INDIRECT("Table!" &amp; $X$171 &amp; $U166),0)),"",INDIRECT(CONCATENATE("Table!",ADDRESS($Q166,MATCH(H$1,INDIRECT("Table!A" &amp; $U166):INDIRECT("Table!" &amp; $X$171 &amp; $U166),0)))))</f>
        <v>121331.8</v>
      </c>
      <c r="I166" s="33">
        <f ca="1">IF(ISERROR(MATCH(I$1,INDIRECT("Table!A"&amp;$U166):INDIRECT("Table!" &amp; $X$171 &amp; $U166),0)),"",INDIRECT(CONCATENATE("Table!",ADDRESS($Q166,MATCH(I$1,INDIRECT("Table!A" &amp; $U166):INDIRECT("Table!" &amp; $X$171 &amp; $U166),0)))))</f>
        <v>170967.6</v>
      </c>
      <c r="J166" s="33">
        <f ca="1">IF(ISERROR(MATCH(J$1,INDIRECT("Table!A"&amp;$U166):INDIRECT("Table!" &amp; $X$171 &amp; $U166),0)),"",INDIRECT(CONCATENATE("Table!",ADDRESS($Q166,MATCH(J$1,INDIRECT("Table!A" &amp; $U166):INDIRECT("Table!" &amp; $X$171 &amp; $U166),0)))))</f>
        <v>54921</v>
      </c>
      <c r="K166" s="33">
        <f ca="1">IF(ISERROR(MATCH(K$1,INDIRECT("Table!A"&amp;$U166):INDIRECT("Table!" &amp; $X$171 &amp; $U166),0)),"",INDIRECT(CONCATENATE("Table!",ADDRESS($Q166,MATCH(K$1,INDIRECT("Table!A" &amp; $U166):INDIRECT("Table!" &amp; $X$171 &amp; $U166),0)))))</f>
        <v>60665.9</v>
      </c>
      <c r="L166" s="33">
        <f ca="1">IF(ISERROR(MATCH(L$1,INDIRECT("Table!A"&amp;$U166):INDIRECT("Table!" &amp; $X$171 &amp; $U166),0)),"",INDIRECT(CONCATENATE("Table!",ADDRESS($Q166,MATCH(L$1,INDIRECT("Table!A" &amp; $U166):INDIRECT("Table!" &amp; $X$171 &amp; $U166),0)))))</f>
        <v>176482.7</v>
      </c>
      <c r="M166" s="33">
        <f ca="1">IF(ISERROR(MATCH(M$1,INDIRECT("Table!A"&amp;$U166):INDIRECT("Table!" &amp; $X$171 &amp; $U166),0)),"",INDIRECT(CONCATENATE("Table!",ADDRESS($Q166,MATCH(M$1,INDIRECT("Table!A" &amp; $U166):INDIRECT("Table!" &amp; $X$171 &amp; $U166),0)))))</f>
        <v>54921</v>
      </c>
      <c r="N166" s="117"/>
      <c r="O166" s="117"/>
      <c r="P166" s="117"/>
      <c r="Q166" s="31">
        <f>MATCH($A166,Table!$A:$A,0)+$S$14-1</f>
        <v>2196</v>
      </c>
      <c r="R166" s="117"/>
      <c r="S166" s="117"/>
      <c r="T166" s="117"/>
      <c r="U166" s="31">
        <f>MATCH($A166,Table!$A:$A,0)+$W$2-1</f>
        <v>2182</v>
      </c>
      <c r="V166" s="117"/>
      <c r="W166" s="117"/>
      <c r="X166" s="372" t="s">
        <v>209</v>
      </c>
    </row>
    <row r="167" spans="1:24" ht="18" customHeight="1">
      <c r="A167" s="5">
        <v>40921</v>
      </c>
      <c r="B167" s="33">
        <f ca="1">IF(ISERROR(MATCH(B$1,INDIRECT("Table!A"&amp;$U167):INDIRECT("Table!" &amp; $X$171 &amp; $U167),0)),"",INDIRECT(CONCATENATE("Table!",ADDRESS($Q167,MATCH(B$1,INDIRECT("Table!A" &amp; $U167):INDIRECT("Table!" &amp; $X$171 &amp; $U167),0)))))</f>
        <v>115816.8</v>
      </c>
      <c r="C167" s="33">
        <f ca="1">IF(ISERROR(MATCH(C$1,INDIRECT("Table!A"&amp;$U167):INDIRECT("Table!" &amp; $X$171 &amp; $U167),0)),"",INDIRECT(CONCATENATE("Table!",ADDRESS($Q167,MATCH(C$1,INDIRECT("Table!A" &amp; $U167):INDIRECT("Table!" &amp; $X$171 &amp; $U167),0)))))</f>
        <v>79968.7</v>
      </c>
      <c r="D167" s="33">
        <f ca="1">IF(ISERROR(MATCH(D$1,INDIRECT("Table!A"&amp;$U167):INDIRECT("Table!" &amp; $X$171 &amp; $U167),0)),"",INDIRECT(CONCATENATE("Table!",ADDRESS($Q167,MATCH(D$1,INDIRECT("Table!A" &amp; $U167):INDIRECT("Table!" &amp; $X$171 &amp; $U167),0)))))</f>
        <v>79968.7</v>
      </c>
      <c r="E167" s="33">
        <f ca="1">IF(ISERROR(MATCH(E$1,INDIRECT("Table!A"&amp;$U167):INDIRECT("Table!" &amp; $X$171 &amp; $U167),0)),"",INDIRECT(CONCATENATE("Table!",ADDRESS($Q167,MATCH(E$1,INDIRECT("Table!A" &amp; $U167):INDIRECT("Table!" &amp; $X$171 &amp; $U167),0)))))</f>
        <v>154422.39999999999</v>
      </c>
      <c r="F167" s="33">
        <f ca="1">IF(ISERROR(MATCH(F$1,INDIRECT("Table!A"&amp;$U167):INDIRECT("Table!" &amp; $X$171 &amp; $U167),0)),"",INDIRECT(CONCATENATE("Table!",ADDRESS($Q167,MATCH(F$1,INDIRECT("Table!A" &amp; $U167):INDIRECT("Table!" &amp; $X$171 &amp; $U167),0)))))</f>
        <v>121331.8</v>
      </c>
      <c r="G167" s="33">
        <f ca="1">IF(ISERROR(MATCH(G$1,INDIRECT("Table!A"&amp;$U167):INDIRECT("Table!" &amp; $X$171 &amp; $U167),0)),"",INDIRECT(CONCATENATE("Table!",ADDRESS($Q167,MATCH(G$1,INDIRECT("Table!A" &amp; $U167):INDIRECT("Table!" &amp; $X$171 &amp; $U167),0)))))</f>
        <v>110071.9</v>
      </c>
      <c r="H167" s="33">
        <f ca="1">IF(ISERROR(MATCH(H$1,INDIRECT("Table!A"&amp;$U167):INDIRECT("Table!" &amp; $X$171 &amp; $U167),0)),"",INDIRECT(CONCATENATE("Table!",ADDRESS($Q167,MATCH(H$1,INDIRECT("Table!A" &amp; $U167):INDIRECT("Table!" &amp; $X$171 &amp; $U167),0)))))</f>
        <v>121331.8</v>
      </c>
      <c r="I167" s="33">
        <f ca="1">IF(ISERROR(MATCH(I$1,INDIRECT("Table!A"&amp;$U167):INDIRECT("Table!" &amp; $X$171 &amp; $U167),0)),"",INDIRECT(CONCATENATE("Table!",ADDRESS($Q167,MATCH(I$1,INDIRECT("Table!A" &amp; $U167):INDIRECT("Table!" &amp; $X$171 &amp; $U167),0)))))</f>
        <v>170967.6</v>
      </c>
      <c r="J167" s="33">
        <f ca="1">IF(ISERROR(MATCH(J$1,INDIRECT("Table!A"&amp;$U167):INDIRECT("Table!" &amp; $X$171 &amp; $U167),0)),"",INDIRECT(CONCATENATE("Table!",ADDRESS($Q167,MATCH(J$1,INDIRECT("Table!A" &amp; $U167):INDIRECT("Table!" &amp; $X$171 &amp; $U167),0)))))</f>
        <v>54921</v>
      </c>
      <c r="K167" s="33">
        <f ca="1">IF(ISERROR(MATCH(K$1,INDIRECT("Table!A"&amp;$U167):INDIRECT("Table!" &amp; $X$171 &amp; $U167),0)),"",INDIRECT(CONCATENATE("Table!",ADDRESS($Q167,MATCH(K$1,INDIRECT("Table!A" &amp; $U167):INDIRECT("Table!" &amp; $X$171 &amp; $U167),0)))))</f>
        <v>60665.9</v>
      </c>
      <c r="L167" s="33">
        <f ca="1">IF(ISERROR(MATCH(L$1,INDIRECT("Table!A"&amp;$U167):INDIRECT("Table!" &amp; $X$171 &amp; $U167),0)),"",INDIRECT(CONCATENATE("Table!",ADDRESS($Q167,MATCH(L$1,INDIRECT("Table!A" &amp; $U167):INDIRECT("Table!" &amp; $X$171 &amp; $U167),0)))))</f>
        <v>176482.7</v>
      </c>
      <c r="M167" s="33">
        <f ca="1">IF(ISERROR(MATCH(M$1,INDIRECT("Table!A"&amp;$U167):INDIRECT("Table!" &amp; $X$171 &amp; $U167),0)),"",INDIRECT(CONCATENATE("Table!",ADDRESS($Q167,MATCH(M$1,INDIRECT("Table!A" &amp; $U167):INDIRECT("Table!" &amp; $X$171 &amp; $U167),0)))))</f>
        <v>54921</v>
      </c>
      <c r="N167" s="116"/>
      <c r="O167" s="116"/>
      <c r="P167" s="116"/>
      <c r="Q167" s="31">
        <f>MATCH($A167,Table!$A:$A,0)+$S$14-1</f>
        <v>2209</v>
      </c>
      <c r="R167" s="116"/>
      <c r="S167" s="116"/>
      <c r="T167" s="116"/>
      <c r="U167" s="31">
        <f>MATCH($A167,Table!$A:$A,0)+$W$2-1</f>
        <v>2195</v>
      </c>
      <c r="V167" s="116"/>
      <c r="W167" s="116"/>
      <c r="X167" s="372" t="s">
        <v>209</v>
      </c>
    </row>
    <row r="168" spans="1:24" ht="18" customHeight="1">
      <c r="A168" s="5">
        <v>40920</v>
      </c>
      <c r="B168" s="33">
        <f ca="1">IF(ISERROR(MATCH(B$1,INDIRECT("Table!A"&amp;$U168):INDIRECT("Table!" &amp; $X$171 &amp; $U168),0)),"",INDIRECT(CONCATENATE("Table!",ADDRESS($Q168,MATCH(B$1,INDIRECT("Table!A" &amp; $U168):INDIRECT("Table!" &amp; $X$171 &amp; $U168),0)))))</f>
        <v>115816.8</v>
      </c>
      <c r="C168" s="33">
        <f ca="1">IF(ISERROR(MATCH(C$1,INDIRECT("Table!A"&amp;$U168):INDIRECT("Table!" &amp; $X$171 &amp; $U168),0)),"",INDIRECT(CONCATENATE("Table!",ADDRESS($Q168,MATCH(C$1,INDIRECT("Table!A" &amp; $U168):INDIRECT("Table!" &amp; $X$171 &amp; $U168),0)))))</f>
        <v>79968.7</v>
      </c>
      <c r="D168" s="33">
        <f ca="1">IF(ISERROR(MATCH(D$1,INDIRECT("Table!A"&amp;$U168):INDIRECT("Table!" &amp; $X$171 &amp; $U168),0)),"",INDIRECT(CONCATENATE("Table!",ADDRESS($Q168,MATCH(D$1,INDIRECT("Table!A" &amp; $U168):INDIRECT("Table!" &amp; $X$171 &amp; $U168),0)))))</f>
        <v>79968.7</v>
      </c>
      <c r="E168" s="33">
        <f ca="1">IF(ISERROR(MATCH(E$1,INDIRECT("Table!A"&amp;$U168):INDIRECT("Table!" &amp; $X$171 &amp; $U168),0)),"",INDIRECT(CONCATENATE("Table!",ADDRESS($Q168,MATCH(E$1,INDIRECT("Table!A" &amp; $U168):INDIRECT("Table!" &amp; $X$171 &amp; $U168),0)))))</f>
        <v>154422.39999999999</v>
      </c>
      <c r="F168" s="33">
        <f ca="1">IF(ISERROR(MATCH(F$1,INDIRECT("Table!A"&amp;$U168):INDIRECT("Table!" &amp; $X$171 &amp; $U168),0)),"",INDIRECT(CONCATENATE("Table!",ADDRESS($Q168,MATCH(F$1,INDIRECT("Table!A" &amp; $U168):INDIRECT("Table!" &amp; $X$171 &amp; $U168),0)))))</f>
        <v>121331.8</v>
      </c>
      <c r="G168" s="33">
        <f ca="1">IF(ISERROR(MATCH(G$1,INDIRECT("Table!A"&amp;$U168):INDIRECT("Table!" &amp; $X$171 &amp; $U168),0)),"",INDIRECT(CONCATENATE("Table!",ADDRESS($Q168,MATCH(G$1,INDIRECT("Table!A" &amp; $U168):INDIRECT("Table!" &amp; $X$171 &amp; $U168),0)))))</f>
        <v>110071.9</v>
      </c>
      <c r="H168" s="33">
        <f ca="1">IF(ISERROR(MATCH(H$1,INDIRECT("Table!A"&amp;$U168):INDIRECT("Table!" &amp; $X$171 &amp; $U168),0)),"",INDIRECT(CONCATENATE("Table!",ADDRESS($Q168,MATCH(H$1,INDIRECT("Table!A" &amp; $U168):INDIRECT("Table!" &amp; $X$171 &amp; $U168),0)))))</f>
        <v>121331.8</v>
      </c>
      <c r="I168" s="33">
        <f ca="1">IF(ISERROR(MATCH(I$1,INDIRECT("Table!A"&amp;$U168):INDIRECT("Table!" &amp; $X$171 &amp; $U168),0)),"",INDIRECT(CONCATENATE("Table!",ADDRESS($Q168,MATCH(I$1,INDIRECT("Table!A" &amp; $U168):INDIRECT("Table!" &amp; $X$171 &amp; $U168),0)))))</f>
        <v>170967.6</v>
      </c>
      <c r="J168" s="33">
        <f ca="1">IF(ISERROR(MATCH(J$1,INDIRECT("Table!A"&amp;$U168):INDIRECT("Table!" &amp; $X$171 &amp; $U168),0)),"",INDIRECT(CONCATENATE("Table!",ADDRESS($Q168,MATCH(J$1,INDIRECT("Table!A" &amp; $U168):INDIRECT("Table!" &amp; $X$171 &amp; $U168),0)))))</f>
        <v>54921</v>
      </c>
      <c r="K168" s="33">
        <f ca="1">IF(ISERROR(MATCH(K$1,INDIRECT("Table!A"&amp;$U168):INDIRECT("Table!" &amp; $X$171 &amp; $U168),0)),"",INDIRECT(CONCATENATE("Table!",ADDRESS($Q168,MATCH(K$1,INDIRECT("Table!A" &amp; $U168):INDIRECT("Table!" &amp; $X$171 &amp; $U168),0)))))</f>
        <v>60665.9</v>
      </c>
      <c r="L168" s="33">
        <f ca="1">IF(ISERROR(MATCH(L$1,INDIRECT("Table!A"&amp;$U168):INDIRECT("Table!" &amp; $X$171 &amp; $U168),0)),"",INDIRECT(CONCATENATE("Table!",ADDRESS($Q168,MATCH(L$1,INDIRECT("Table!A" &amp; $U168):INDIRECT("Table!" &amp; $X$171 &amp; $U168),0)))))</f>
        <v>176482.7</v>
      </c>
      <c r="M168" s="33">
        <f ca="1">IF(ISERROR(MATCH(M$1,INDIRECT("Table!A"&amp;$U168):INDIRECT("Table!" &amp; $X$171 &amp; $U168),0)),"",INDIRECT(CONCATENATE("Table!",ADDRESS($Q168,MATCH(M$1,INDIRECT("Table!A" &amp; $U168):INDIRECT("Table!" &amp; $X$171 &amp; $U168),0)))))</f>
        <v>54921</v>
      </c>
      <c r="N168" s="115"/>
      <c r="O168" s="115"/>
      <c r="P168" s="115"/>
      <c r="Q168" s="31">
        <f>MATCH($A168,Table!$A:$A,0)+$S$14-1</f>
        <v>2222</v>
      </c>
      <c r="R168" s="115"/>
      <c r="S168" s="115"/>
      <c r="T168" s="115"/>
      <c r="U168" s="31">
        <f>MATCH($A168,Table!$A:$A,0)+$W$2-1</f>
        <v>2208</v>
      </c>
      <c r="V168" s="115"/>
      <c r="W168" s="115"/>
      <c r="X168" s="372" t="s">
        <v>209</v>
      </c>
    </row>
    <row r="169" spans="1:24" ht="18" customHeight="1">
      <c r="A169" s="5">
        <v>40919</v>
      </c>
      <c r="B169" s="33">
        <f ca="1">IF(ISERROR(MATCH(B$1,INDIRECT("Table!A"&amp;$U169):INDIRECT("Table!" &amp; $X$171 &amp; $U169),0)),"",INDIRECT(CONCATENATE("Table!",ADDRESS($Q169,MATCH(B$1,INDIRECT("Table!A" &amp; $U169):INDIRECT("Table!" &amp; $X$171 &amp; $U169),0)))))</f>
        <v>115816.8</v>
      </c>
      <c r="C169" s="33">
        <f ca="1">IF(ISERROR(MATCH(C$1,INDIRECT("Table!A"&amp;$U169):INDIRECT("Table!" &amp; $X$171 &amp; $U169),0)),"",INDIRECT(CONCATENATE("Table!",ADDRESS($Q169,MATCH(C$1,INDIRECT("Table!A" &amp; $U169):INDIRECT("Table!" &amp; $X$171 &amp; $U169),0)))))</f>
        <v>79968.7</v>
      </c>
      <c r="D169" s="33">
        <f ca="1">IF(ISERROR(MATCH(D$1,INDIRECT("Table!A"&amp;$U169):INDIRECT("Table!" &amp; $X$171 &amp; $U169),0)),"",INDIRECT(CONCATENATE("Table!",ADDRESS($Q169,MATCH(D$1,INDIRECT("Table!A" &amp; $U169):INDIRECT("Table!" &amp; $X$171 &amp; $U169),0)))))</f>
        <v>79968.7</v>
      </c>
      <c r="E169" s="33">
        <f ca="1">IF(ISERROR(MATCH(E$1,INDIRECT("Table!A"&amp;$U169):INDIRECT("Table!" &amp; $X$171 &amp; $U169),0)),"",INDIRECT(CONCATENATE("Table!",ADDRESS($Q169,MATCH(E$1,INDIRECT("Table!A" &amp; $U169):INDIRECT("Table!" &amp; $X$171 &amp; $U169),0)))))</f>
        <v>154422.39999999999</v>
      </c>
      <c r="F169" s="33">
        <f ca="1">IF(ISERROR(MATCH(F$1,INDIRECT("Table!A"&amp;$U169):INDIRECT("Table!" &amp; $X$171 &amp; $U169),0)),"",INDIRECT(CONCATENATE("Table!",ADDRESS($Q169,MATCH(F$1,INDIRECT("Table!A" &amp; $U169):INDIRECT("Table!" &amp; $X$171 &amp; $U169),0)))))</f>
        <v>121331.8</v>
      </c>
      <c r="G169" s="33">
        <f ca="1">IF(ISERROR(MATCH(G$1,INDIRECT("Table!A"&amp;$U169):INDIRECT("Table!" &amp; $X$171 &amp; $U169),0)),"",INDIRECT(CONCATENATE("Table!",ADDRESS($Q169,MATCH(G$1,INDIRECT("Table!A" &amp; $U169):INDIRECT("Table!" &amp; $X$171 &amp; $U169),0)))))</f>
        <v>110071.9</v>
      </c>
      <c r="H169" s="33">
        <f ca="1">IF(ISERROR(MATCH(H$1,INDIRECT("Table!A"&amp;$U169):INDIRECT("Table!" &amp; $X$171 &amp; $U169),0)),"",INDIRECT(CONCATENATE("Table!",ADDRESS($Q169,MATCH(H$1,INDIRECT("Table!A" &amp; $U169):INDIRECT("Table!" &amp; $X$171 &amp; $U169),0)))))</f>
        <v>121331.8</v>
      </c>
      <c r="I169" s="33">
        <f ca="1">IF(ISERROR(MATCH(I$1,INDIRECT("Table!A"&amp;$U169):INDIRECT("Table!" &amp; $X$171 &amp; $U169),0)),"",INDIRECT(CONCATENATE("Table!",ADDRESS($Q169,MATCH(I$1,INDIRECT("Table!A" &amp; $U169):INDIRECT("Table!" &amp; $X$171 &amp; $U169),0)))))</f>
        <v>170967.6</v>
      </c>
      <c r="J169" s="33">
        <f ca="1">IF(ISERROR(MATCH(J$1,INDIRECT("Table!A"&amp;$U169):INDIRECT("Table!" &amp; $X$171 &amp; $U169),0)),"",INDIRECT(CONCATENATE("Table!",ADDRESS($Q169,MATCH(J$1,INDIRECT("Table!A" &amp; $U169):INDIRECT("Table!" &amp; $X$171 &amp; $U169),0)))))</f>
        <v>54921</v>
      </c>
      <c r="K169" s="33">
        <f ca="1">IF(ISERROR(MATCH(K$1,INDIRECT("Table!A"&amp;$U169):INDIRECT("Table!" &amp; $X$171 &amp; $U169),0)),"",INDIRECT(CONCATENATE("Table!",ADDRESS($Q169,MATCH(K$1,INDIRECT("Table!A" &amp; $U169):INDIRECT("Table!" &amp; $X$171 &amp; $U169),0)))))</f>
        <v>60665.9</v>
      </c>
      <c r="L169" s="33">
        <f ca="1">IF(ISERROR(MATCH(L$1,INDIRECT("Table!A"&amp;$U169):INDIRECT("Table!" &amp; $X$171 &amp; $U169),0)),"",INDIRECT(CONCATENATE("Table!",ADDRESS($Q169,MATCH(L$1,INDIRECT("Table!A" &amp; $U169):INDIRECT("Table!" &amp; $X$171 &amp; $U169),0)))))</f>
        <v>176482.7</v>
      </c>
      <c r="M169" s="33">
        <f ca="1">IF(ISERROR(MATCH(M$1,INDIRECT("Table!A"&amp;$U169):INDIRECT("Table!" &amp; $X$171 &amp; $U169),0)),"",INDIRECT(CONCATENATE("Table!",ADDRESS($Q169,MATCH(M$1,INDIRECT("Table!A" &amp; $U169):INDIRECT("Table!" &amp; $X$171 &amp; $U169),0)))))</f>
        <v>54921</v>
      </c>
      <c r="N169" s="114"/>
      <c r="O169" s="114"/>
      <c r="P169" s="114"/>
      <c r="Q169" s="31">
        <f>MATCH($A169,Table!$A:$A,0)+$S$14-1</f>
        <v>2235</v>
      </c>
      <c r="R169" s="114"/>
      <c r="S169" s="114"/>
      <c r="T169" s="114"/>
      <c r="U169" s="31">
        <f>MATCH($A169,Table!$A:$A,0)+$W$2-1</f>
        <v>2221</v>
      </c>
      <c r="V169" s="114"/>
      <c r="W169" s="114"/>
      <c r="X169" s="372" t="s">
        <v>209</v>
      </c>
    </row>
    <row r="170" spans="1:24" ht="18" customHeight="1">
      <c r="A170" s="5">
        <v>40918</v>
      </c>
      <c r="B170" s="33">
        <f ca="1">IF(ISERROR(MATCH(B$1,INDIRECT("Table!A"&amp;$U170):INDIRECT("Table!" &amp; $X$171 &amp; $U170),0)),"",INDIRECT(CONCATENATE("Table!",ADDRESS($Q170,MATCH(B$1,INDIRECT("Table!A" &amp; $U170):INDIRECT("Table!" &amp; $X$171 &amp; $U170),0)))))</f>
        <v>115816.8</v>
      </c>
      <c r="C170" s="33">
        <f ca="1">IF(ISERROR(MATCH(C$1,INDIRECT("Table!A"&amp;$U170):INDIRECT("Table!" &amp; $X$171 &amp; $U170),0)),"",INDIRECT(CONCATENATE("Table!",ADDRESS($Q170,MATCH(C$1,INDIRECT("Table!A" &amp; $U170):INDIRECT("Table!" &amp; $X$171 &amp; $U170),0)))))</f>
        <v>79968.7</v>
      </c>
      <c r="D170" s="33">
        <f ca="1">IF(ISERROR(MATCH(D$1,INDIRECT("Table!A"&amp;$U170):INDIRECT("Table!" &amp; $X$171 &amp; $U170),0)),"",INDIRECT(CONCATENATE("Table!",ADDRESS($Q170,MATCH(D$1,INDIRECT("Table!A" &amp; $U170):INDIRECT("Table!" &amp; $X$171 &amp; $U170),0)))))</f>
        <v>79968.7</v>
      </c>
      <c r="E170" s="33">
        <f ca="1">IF(ISERROR(MATCH(E$1,INDIRECT("Table!A"&amp;$U170):INDIRECT("Table!" &amp; $X$171 &amp; $U170),0)),"",INDIRECT(CONCATENATE("Table!",ADDRESS($Q170,MATCH(E$1,INDIRECT("Table!A" &amp; $U170):INDIRECT("Table!" &amp; $X$171 &amp; $U170),0)))))</f>
        <v>154422.39999999999</v>
      </c>
      <c r="F170" s="33">
        <f ca="1">IF(ISERROR(MATCH(F$1,INDIRECT("Table!A"&amp;$U170):INDIRECT("Table!" &amp; $X$171 &amp; $U170),0)),"",INDIRECT(CONCATENATE("Table!",ADDRESS($Q170,MATCH(F$1,INDIRECT("Table!A" &amp; $U170):INDIRECT("Table!" &amp; $X$171 &amp; $U170),0)))))</f>
        <v>121331.8</v>
      </c>
      <c r="G170" s="33">
        <f ca="1">IF(ISERROR(MATCH(G$1,INDIRECT("Table!A"&amp;$U170):INDIRECT("Table!" &amp; $X$171 &amp; $U170),0)),"",INDIRECT(CONCATENATE("Table!",ADDRESS($Q170,MATCH(G$1,INDIRECT("Table!A" &amp; $U170):INDIRECT("Table!" &amp; $X$171 &amp; $U170),0)))))</f>
        <v>110071.9</v>
      </c>
      <c r="H170" s="33">
        <f ca="1">IF(ISERROR(MATCH(H$1,INDIRECT("Table!A"&amp;$U170):INDIRECT("Table!" &amp; $X$171 &amp; $U170),0)),"",INDIRECT(CONCATENATE("Table!",ADDRESS($Q170,MATCH(H$1,INDIRECT("Table!A" &amp; $U170):INDIRECT("Table!" &amp; $X$171 &amp; $U170),0)))))</f>
        <v>121331.8</v>
      </c>
      <c r="I170" s="33">
        <f ca="1">IF(ISERROR(MATCH(I$1,INDIRECT("Table!A"&amp;$U170):INDIRECT("Table!" &amp; $X$171 &amp; $U170),0)),"",INDIRECT(CONCATENATE("Table!",ADDRESS($Q170,MATCH(I$1,INDIRECT("Table!A" &amp; $U170):INDIRECT("Table!" &amp; $X$171 &amp; $U170),0)))))</f>
        <v>170967.6</v>
      </c>
      <c r="J170" s="33">
        <f ca="1">IF(ISERROR(MATCH(J$1,INDIRECT("Table!A"&amp;$U170):INDIRECT("Table!" &amp; $X$171 &amp; $U170),0)),"",INDIRECT(CONCATENATE("Table!",ADDRESS($Q170,MATCH(J$1,INDIRECT("Table!A" &amp; $U170):INDIRECT("Table!" &amp; $X$171 &amp; $U170),0)))))</f>
        <v>54921</v>
      </c>
      <c r="K170" s="33">
        <f ca="1">IF(ISERROR(MATCH(K$1,INDIRECT("Table!A"&amp;$U170):INDIRECT("Table!" &amp; $X$171 &amp; $U170),0)),"",INDIRECT(CONCATENATE("Table!",ADDRESS($Q170,MATCH(K$1,INDIRECT("Table!A" &amp; $U170):INDIRECT("Table!" &amp; $X$171 &amp; $U170),0)))))</f>
        <v>60665.9</v>
      </c>
      <c r="L170" s="33">
        <f ca="1">IF(ISERROR(MATCH(L$1,INDIRECT("Table!A"&amp;$U170):INDIRECT("Table!" &amp; $X$171 &amp; $U170),0)),"",INDIRECT(CONCATENATE("Table!",ADDRESS($Q170,MATCH(L$1,INDIRECT("Table!A" &amp; $U170):INDIRECT("Table!" &amp; $X$171 &amp; $U170),0)))))</f>
        <v>176482.7</v>
      </c>
      <c r="M170" s="33">
        <f ca="1">IF(ISERROR(MATCH(M$1,INDIRECT("Table!A"&amp;$U170):INDIRECT("Table!" &amp; $X$171 &amp; $U170),0)),"",INDIRECT(CONCATENATE("Table!",ADDRESS($Q170,MATCH(M$1,INDIRECT("Table!A" &amp; $U170):INDIRECT("Table!" &amp; $X$171 &amp; $U170),0)))))</f>
        <v>54921</v>
      </c>
      <c r="N170" s="113"/>
      <c r="O170" s="113"/>
      <c r="P170" s="113"/>
      <c r="Q170" s="31">
        <f>MATCH($A170,Table!$A:$A,0)+$S$14-1</f>
        <v>2248</v>
      </c>
      <c r="R170" s="113"/>
      <c r="S170" s="113"/>
      <c r="T170" s="113"/>
      <c r="U170" s="31">
        <f>MATCH($A170,Table!$A:$A,0)+$W$2-1</f>
        <v>2234</v>
      </c>
      <c r="V170" s="113"/>
      <c r="W170" s="113"/>
      <c r="X170" s="372" t="s">
        <v>209</v>
      </c>
    </row>
    <row r="171" spans="1:24" ht="18" customHeight="1">
      <c r="A171" s="5">
        <v>40917</v>
      </c>
      <c r="B171" s="33">
        <f ca="1">IF(ISERROR(MATCH(B$1,INDIRECT("Table!A"&amp;$U171):INDIRECT("Table!" &amp; $X$171 &amp; $U171),0)),"",INDIRECT(CONCATENATE("Table!",ADDRESS($Q171,MATCH(B$1,INDIRECT("Table!A" &amp; $U171):INDIRECT("Table!" &amp; $X$171 &amp; $U171),0)))))</f>
        <v>115816.8</v>
      </c>
      <c r="C171" s="33">
        <f ca="1">IF(ISERROR(MATCH(C$1,INDIRECT("Table!A"&amp;$U171):INDIRECT("Table!" &amp; $X$171 &amp; $U171),0)),"",INDIRECT(CONCATENATE("Table!",ADDRESS($Q171,MATCH(C$1,INDIRECT("Table!A" &amp; $U171):INDIRECT("Table!" &amp; $X$171 &amp; $U171),0)))))</f>
        <v>79968.7</v>
      </c>
      <c r="D171" s="33">
        <f ca="1">IF(ISERROR(MATCH(D$1,INDIRECT("Table!A"&amp;$U171):INDIRECT("Table!" &amp; $X$171 &amp; $U171),0)),"",INDIRECT(CONCATENATE("Table!",ADDRESS($Q171,MATCH(D$1,INDIRECT("Table!A" &amp; $U171):INDIRECT("Table!" &amp; $X$171 &amp; $U171),0)))))</f>
        <v>79968.7</v>
      </c>
      <c r="E171" s="33">
        <f ca="1">IF(ISERROR(MATCH(E$1,INDIRECT("Table!A"&amp;$U171):INDIRECT("Table!" &amp; $X$171 &amp; $U171),0)),"",INDIRECT(CONCATENATE("Table!",ADDRESS($Q171,MATCH(E$1,INDIRECT("Table!A" &amp; $U171):INDIRECT("Table!" &amp; $X$171 &amp; $U171),0)))))</f>
        <v>154422.39999999999</v>
      </c>
      <c r="F171" s="33">
        <f ca="1">IF(ISERROR(MATCH(F$1,INDIRECT("Table!A"&amp;$U171):INDIRECT("Table!" &amp; $X$171 &amp; $U171),0)),"",INDIRECT(CONCATENATE("Table!",ADDRESS($Q171,MATCH(F$1,INDIRECT("Table!A" &amp; $U171):INDIRECT("Table!" &amp; $X$171 &amp; $U171),0)))))</f>
        <v>121331.8</v>
      </c>
      <c r="G171" s="33">
        <f ca="1">IF(ISERROR(MATCH(G$1,INDIRECT("Table!A"&amp;$U171):INDIRECT("Table!" &amp; $X$171 &amp; $U171),0)),"",INDIRECT(CONCATENATE("Table!",ADDRESS($Q171,MATCH(G$1,INDIRECT("Table!A" &amp; $U171):INDIRECT("Table!" &amp; $X$171 &amp; $U171),0)))))</f>
        <v>110071.9</v>
      </c>
      <c r="H171" s="33">
        <f ca="1">IF(ISERROR(MATCH(H$1,INDIRECT("Table!A"&amp;$U171):INDIRECT("Table!" &amp; $X$171 &amp; $U171),0)),"",INDIRECT(CONCATENATE("Table!",ADDRESS($Q171,MATCH(H$1,INDIRECT("Table!A" &amp; $U171):INDIRECT("Table!" &amp; $X$171 &amp; $U171),0)))))</f>
        <v>121331.8</v>
      </c>
      <c r="I171" s="33">
        <f ca="1">IF(ISERROR(MATCH(I$1,INDIRECT("Table!A"&amp;$U171):INDIRECT("Table!" &amp; $X$171 &amp; $U171),0)),"",INDIRECT(CONCATENATE("Table!",ADDRESS($Q171,MATCH(I$1,INDIRECT("Table!A" &amp; $U171):INDIRECT("Table!" &amp; $X$171 &amp; $U171),0)))))</f>
        <v>170967.6</v>
      </c>
      <c r="J171" s="33">
        <f ca="1">IF(ISERROR(MATCH(J$1,INDIRECT("Table!A"&amp;$U171):INDIRECT("Table!" &amp; $X$171 &amp; $U171),0)),"",INDIRECT(CONCATENATE("Table!",ADDRESS($Q171,MATCH(J$1,INDIRECT("Table!A" &amp; $U171):INDIRECT("Table!" &amp; $X$171 &amp; $U171),0)))))</f>
        <v>54921</v>
      </c>
      <c r="K171" s="33">
        <f ca="1">IF(ISERROR(MATCH(K$1,INDIRECT("Table!A"&amp;$U171):INDIRECT("Table!" &amp; $X$171 &amp; $U171),0)),"",INDIRECT(CONCATENATE("Table!",ADDRESS($Q171,MATCH(K$1,INDIRECT("Table!A" &amp; $U171):INDIRECT("Table!" &amp; $X$171 &amp; $U171),0)))))</f>
        <v>60665.9</v>
      </c>
      <c r="L171" s="33">
        <f ca="1">IF(ISERROR(MATCH(L$1,INDIRECT("Table!A"&amp;$U171):INDIRECT("Table!" &amp; $X$171 &amp; $U171),0)),"",INDIRECT(CONCATENATE("Table!",ADDRESS($Q171,MATCH(L$1,INDIRECT("Table!A" &amp; $U171):INDIRECT("Table!" &amp; $X$171 &amp; $U171),0)))))</f>
        <v>176482.7</v>
      </c>
      <c r="M171" s="33">
        <f ca="1">IF(ISERROR(MATCH(M$1,INDIRECT("Table!A"&amp;$U171):INDIRECT("Table!" &amp; $X$171 &amp; $U171),0)),"",INDIRECT(CONCATENATE("Table!",ADDRESS($Q171,MATCH(M$1,INDIRECT("Table!A" &amp; $U171):INDIRECT("Table!" &amp; $X$171 &amp; $U171),0)))))</f>
        <v>54921</v>
      </c>
      <c r="N171" s="41"/>
      <c r="O171" s="41"/>
      <c r="P171" s="41"/>
      <c r="Q171" s="31">
        <f>MATCH($A171,Table!$A:$A,0)+$S$14-1</f>
        <v>2261</v>
      </c>
      <c r="R171" s="41"/>
      <c r="S171" s="41"/>
      <c r="T171" s="41"/>
      <c r="U171" s="31">
        <f>MATCH($A171,Table!$A:$A,0)+$W$2-1</f>
        <v>2247</v>
      </c>
      <c r="V171" s="41"/>
      <c r="W171" s="41"/>
      <c r="X171" s="372" t="s">
        <v>209</v>
      </c>
    </row>
    <row r="172" spans="1:24" ht="18" customHeight="1">
      <c r="B172" s="33"/>
      <c r="C172" s="33"/>
      <c r="D172" s="33"/>
      <c r="E172" s="33"/>
      <c r="F172" s="33"/>
      <c r="G172" s="33"/>
      <c r="H172" s="33"/>
      <c r="I172" s="33"/>
      <c r="J172" s="33"/>
      <c r="K172" s="33"/>
      <c r="L172" s="33"/>
      <c r="M172" s="33"/>
      <c r="N172" s="94"/>
      <c r="O172" s="94"/>
      <c r="P172" s="94"/>
      <c r="Q172" s="31"/>
      <c r="R172" s="94"/>
      <c r="S172" s="94"/>
      <c r="T172" s="94"/>
      <c r="U172" s="31"/>
      <c r="V172" s="94"/>
      <c r="W172" s="94"/>
      <c r="X172" s="94"/>
    </row>
    <row r="173" spans="1:24" ht="18" customHeight="1">
      <c r="B173" s="33"/>
      <c r="C173" s="33"/>
      <c r="D173" s="33"/>
      <c r="E173" s="33"/>
      <c r="F173" s="33"/>
      <c r="G173" s="33"/>
      <c r="H173" s="33"/>
      <c r="I173" s="33"/>
      <c r="J173" s="33"/>
      <c r="K173" s="33"/>
      <c r="L173" s="33"/>
      <c r="M173" s="33"/>
      <c r="N173" s="62"/>
      <c r="O173" s="62"/>
      <c r="P173" s="62"/>
      <c r="Q173" s="31"/>
      <c r="R173" s="62"/>
      <c r="S173" s="62"/>
      <c r="T173" s="62"/>
      <c r="U173" s="31"/>
      <c r="V173" s="62"/>
      <c r="W173" s="62"/>
      <c r="X173" s="62"/>
    </row>
    <row r="174" spans="1:24" ht="18" customHeight="1">
      <c r="B174" s="33"/>
      <c r="C174" s="33"/>
      <c r="D174" s="33"/>
      <c r="E174" s="33"/>
      <c r="F174" s="33"/>
      <c r="G174" s="33"/>
      <c r="H174" s="33"/>
      <c r="I174" s="33"/>
      <c r="J174" s="33"/>
      <c r="K174" s="33"/>
      <c r="L174" s="33"/>
      <c r="M174" s="33"/>
      <c r="N174" s="61"/>
      <c r="O174" s="61"/>
      <c r="P174" s="61"/>
      <c r="Q174" s="31"/>
      <c r="R174" s="61"/>
      <c r="S174" s="61"/>
      <c r="T174" s="61"/>
      <c r="U174" s="31"/>
      <c r="V174" s="61"/>
      <c r="W174" s="61"/>
      <c r="X174" s="61"/>
    </row>
    <row r="175" spans="1:24" ht="18" customHeight="1">
      <c r="B175" s="33"/>
      <c r="C175" s="33"/>
      <c r="D175" s="33"/>
      <c r="E175" s="33"/>
      <c r="F175" s="33"/>
      <c r="G175" s="33"/>
      <c r="H175" s="33"/>
      <c r="I175" s="33"/>
      <c r="J175" s="33"/>
      <c r="K175" s="33"/>
      <c r="L175" s="33"/>
      <c r="M175" s="33"/>
      <c r="N175" s="60"/>
      <c r="O175" s="60"/>
      <c r="P175" s="60"/>
      <c r="Q175" s="31"/>
      <c r="R175" s="60"/>
      <c r="S175" s="60"/>
      <c r="T175" s="60"/>
      <c r="U175" s="31"/>
      <c r="V175" s="60"/>
      <c r="W175" s="60"/>
      <c r="X175" s="60"/>
    </row>
    <row r="176" spans="1:24" ht="18" customHeight="1">
      <c r="B176" s="33"/>
      <c r="C176" s="33"/>
      <c r="D176" s="33"/>
      <c r="E176" s="33"/>
      <c r="F176" s="33"/>
      <c r="G176" s="33"/>
      <c r="H176" s="33"/>
      <c r="I176" s="33"/>
      <c r="J176" s="33"/>
      <c r="K176" s="33"/>
      <c r="L176" s="33"/>
      <c r="M176" s="33"/>
      <c r="N176" s="59"/>
      <c r="O176" s="59"/>
      <c r="P176" s="59"/>
      <c r="Q176" s="31"/>
      <c r="R176" s="59"/>
      <c r="S176" s="59"/>
      <c r="T176" s="59"/>
      <c r="U176" s="31"/>
      <c r="V176" s="59"/>
      <c r="W176" s="59"/>
      <c r="X176" s="59"/>
    </row>
    <row r="177" spans="2:24" ht="18" customHeight="1">
      <c r="B177" s="33"/>
      <c r="C177" s="33"/>
      <c r="D177" s="33"/>
      <c r="E177" s="33"/>
      <c r="F177" s="33"/>
      <c r="G177" s="33"/>
      <c r="H177" s="33"/>
      <c r="I177" s="33"/>
      <c r="J177" s="33"/>
      <c r="K177" s="33"/>
      <c r="L177" s="33"/>
      <c r="M177" s="33"/>
      <c r="N177" s="58"/>
      <c r="O177" s="58"/>
      <c r="P177" s="58"/>
      <c r="Q177" s="31"/>
      <c r="R177" s="58"/>
      <c r="S177" s="58"/>
      <c r="T177" s="58"/>
      <c r="U177" s="31"/>
      <c r="V177" s="58"/>
      <c r="W177" s="58"/>
      <c r="X177" s="58"/>
    </row>
    <row r="178" spans="2:24" ht="18" customHeight="1">
      <c r="B178" s="33"/>
      <c r="C178" s="33"/>
      <c r="D178" s="33"/>
      <c r="E178" s="33"/>
      <c r="F178" s="33"/>
      <c r="G178" s="33"/>
      <c r="H178" s="33"/>
      <c r="I178" s="33"/>
      <c r="J178" s="33"/>
      <c r="K178" s="33"/>
      <c r="L178" s="33"/>
      <c r="M178" s="33"/>
      <c r="N178" s="57"/>
      <c r="O178" s="57"/>
      <c r="P178" s="57"/>
      <c r="Q178" s="31"/>
      <c r="R178" s="57"/>
      <c r="S178" s="57"/>
      <c r="T178" s="57"/>
      <c r="U178" s="31"/>
      <c r="V178" s="57"/>
      <c r="W178" s="57"/>
      <c r="X178" s="57"/>
    </row>
    <row r="179" spans="2:24" ht="18" customHeight="1">
      <c r="B179" s="33"/>
      <c r="C179" s="33"/>
      <c r="D179" s="33"/>
      <c r="E179" s="33"/>
      <c r="F179" s="33"/>
      <c r="G179" s="33"/>
      <c r="H179" s="33"/>
      <c r="I179" s="33"/>
      <c r="J179" s="33"/>
      <c r="K179" s="33"/>
      <c r="L179" s="33"/>
      <c r="M179" s="33"/>
      <c r="N179" s="56"/>
      <c r="O179" s="56"/>
      <c r="P179" s="56"/>
      <c r="Q179" s="31"/>
      <c r="R179" s="56"/>
      <c r="S179" s="56"/>
      <c r="T179" s="56"/>
      <c r="U179" s="31"/>
      <c r="V179" s="56"/>
      <c r="W179" s="56"/>
      <c r="X179" s="56"/>
    </row>
    <row r="180" spans="2:24" ht="18" customHeight="1">
      <c r="B180" s="33"/>
      <c r="C180" s="33"/>
      <c r="D180" s="33"/>
      <c r="E180" s="33"/>
      <c r="F180" s="33"/>
      <c r="G180" s="33"/>
      <c r="H180" s="33"/>
      <c r="I180" s="33"/>
      <c r="J180" s="33"/>
      <c r="K180" s="33"/>
      <c r="L180" s="33"/>
      <c r="M180" s="33"/>
      <c r="N180" s="56"/>
      <c r="O180" s="56"/>
      <c r="P180" s="56"/>
      <c r="Q180" s="31"/>
      <c r="R180" s="56"/>
      <c r="S180" s="56"/>
      <c r="T180" s="56"/>
      <c r="U180" s="31"/>
      <c r="V180" s="56"/>
      <c r="W180" s="56"/>
      <c r="X180" s="56"/>
    </row>
    <row r="181" spans="2:24" ht="18" customHeight="1">
      <c r="B181" s="33"/>
      <c r="C181" s="33"/>
      <c r="D181" s="33"/>
      <c r="E181" s="33"/>
      <c r="F181" s="33"/>
      <c r="G181" s="33"/>
      <c r="H181" s="33"/>
      <c r="I181" s="33"/>
      <c r="J181" s="33"/>
      <c r="K181" s="33"/>
      <c r="L181" s="33"/>
      <c r="M181" s="33"/>
      <c r="N181" s="55"/>
      <c r="O181" s="55"/>
      <c r="P181" s="55"/>
      <c r="Q181" s="31"/>
      <c r="R181" s="55"/>
      <c r="S181" s="55"/>
      <c r="T181" s="55"/>
      <c r="U181" s="31"/>
      <c r="V181" s="55"/>
      <c r="W181" s="55"/>
      <c r="X181" s="55"/>
    </row>
    <row r="182" spans="2:24" ht="18" customHeight="1">
      <c r="B182" s="33"/>
      <c r="C182" s="33"/>
      <c r="D182" s="33"/>
      <c r="E182" s="33"/>
      <c r="F182" s="33"/>
      <c r="G182" s="33"/>
      <c r="H182" s="33"/>
      <c r="I182" s="33"/>
      <c r="J182" s="33"/>
      <c r="K182" s="33"/>
      <c r="L182" s="33"/>
      <c r="M182" s="33"/>
      <c r="N182" s="54"/>
      <c r="O182" s="54"/>
      <c r="P182" s="54"/>
      <c r="Q182" s="31"/>
      <c r="R182" s="54"/>
      <c r="S182" s="54"/>
      <c r="T182" s="54"/>
      <c r="U182" s="31"/>
      <c r="V182" s="54"/>
      <c r="W182" s="54"/>
      <c r="X182" s="54"/>
    </row>
    <row r="183" spans="2:24" ht="18" customHeight="1">
      <c r="B183" s="33"/>
      <c r="C183" s="33"/>
      <c r="D183" s="33"/>
      <c r="E183" s="33"/>
      <c r="F183" s="33"/>
      <c r="G183" s="33"/>
      <c r="H183" s="33"/>
      <c r="I183" s="33"/>
      <c r="J183" s="33"/>
      <c r="K183" s="33"/>
      <c r="L183" s="33"/>
      <c r="M183" s="33"/>
      <c r="N183" s="54"/>
      <c r="O183" s="54"/>
      <c r="P183" s="54"/>
      <c r="Q183" s="31"/>
      <c r="R183" s="54"/>
      <c r="S183" s="54"/>
      <c r="T183" s="54"/>
      <c r="U183" s="31"/>
      <c r="V183" s="54"/>
      <c r="W183" s="54"/>
      <c r="X183" s="54"/>
    </row>
    <row r="184" spans="2:24" ht="18" customHeight="1">
      <c r="B184" s="33"/>
      <c r="C184" s="33"/>
      <c r="D184" s="33"/>
      <c r="E184" s="33"/>
      <c r="F184" s="33"/>
      <c r="G184" s="33"/>
      <c r="H184" s="33"/>
      <c r="I184" s="33"/>
      <c r="J184" s="33"/>
      <c r="K184" s="33"/>
      <c r="L184" s="33"/>
      <c r="M184" s="33"/>
      <c r="N184" s="53"/>
      <c r="O184" s="53"/>
      <c r="P184" s="53"/>
      <c r="Q184" s="31"/>
      <c r="R184" s="53"/>
      <c r="S184" s="53"/>
      <c r="T184" s="53"/>
      <c r="U184" s="31"/>
      <c r="V184" s="53"/>
      <c r="W184" s="53"/>
      <c r="X184" s="53"/>
    </row>
    <row r="185" spans="2:24" ht="18" customHeight="1">
      <c r="B185" s="33"/>
      <c r="C185" s="33"/>
      <c r="D185" s="33"/>
      <c r="E185" s="33"/>
      <c r="F185" s="33"/>
      <c r="G185" s="33"/>
      <c r="H185" s="33"/>
      <c r="I185" s="33"/>
      <c r="J185" s="33"/>
      <c r="K185" s="33"/>
      <c r="L185" s="33"/>
      <c r="M185" s="33"/>
      <c r="N185" s="52"/>
      <c r="O185" s="52"/>
      <c r="P185" s="52"/>
      <c r="Q185" s="31"/>
      <c r="R185" s="52"/>
      <c r="S185" s="52"/>
      <c r="T185" s="52"/>
      <c r="U185" s="31"/>
      <c r="V185" s="52"/>
      <c r="W185" s="52"/>
      <c r="X185" s="52"/>
    </row>
    <row r="186" spans="2:24" ht="18" customHeight="1">
      <c r="B186" s="33"/>
      <c r="C186" s="33"/>
      <c r="D186" s="33"/>
      <c r="E186" s="33"/>
      <c r="F186" s="33"/>
      <c r="G186" s="33"/>
      <c r="H186" s="33"/>
      <c r="I186" s="33"/>
      <c r="J186" s="33"/>
      <c r="K186" s="33"/>
      <c r="L186" s="33"/>
      <c r="M186" s="33"/>
      <c r="N186" s="51"/>
      <c r="O186" s="51"/>
      <c r="P186" s="51"/>
      <c r="Q186" s="31"/>
      <c r="R186" s="51"/>
      <c r="S186" s="51"/>
      <c r="T186" s="51"/>
      <c r="U186" s="31"/>
      <c r="V186" s="51"/>
      <c r="W186" s="51"/>
      <c r="X186" s="51"/>
    </row>
    <row r="187" spans="2:24" ht="18" customHeight="1">
      <c r="B187" s="33"/>
      <c r="C187" s="33"/>
      <c r="D187" s="33"/>
      <c r="E187" s="33"/>
      <c r="F187" s="33"/>
      <c r="G187" s="33"/>
      <c r="H187" s="33"/>
      <c r="I187" s="33"/>
      <c r="J187" s="33"/>
      <c r="K187" s="33"/>
      <c r="L187" s="33"/>
      <c r="M187" s="33"/>
      <c r="N187" s="50"/>
      <c r="O187" s="50"/>
      <c r="P187" s="50"/>
      <c r="Q187" s="31"/>
      <c r="R187" s="50"/>
      <c r="S187" s="50"/>
      <c r="T187" s="50"/>
      <c r="U187" s="31"/>
      <c r="V187" s="50"/>
      <c r="W187" s="50"/>
      <c r="X187" s="50"/>
    </row>
    <row r="188" spans="2:24" ht="18" customHeight="1">
      <c r="B188" s="33"/>
      <c r="C188" s="33"/>
      <c r="D188" s="33"/>
      <c r="E188" s="33"/>
      <c r="F188" s="33"/>
      <c r="G188" s="33"/>
      <c r="H188" s="33"/>
      <c r="I188" s="33"/>
      <c r="J188" s="33"/>
      <c r="K188" s="33"/>
      <c r="L188" s="33"/>
      <c r="M188" s="33"/>
      <c r="N188" s="47"/>
      <c r="O188" s="47"/>
      <c r="P188" s="47"/>
      <c r="Q188" s="31"/>
      <c r="R188" s="47"/>
      <c r="S188" s="47"/>
      <c r="T188" s="47"/>
      <c r="U188" s="31"/>
      <c r="V188" s="47"/>
      <c r="W188" s="47"/>
      <c r="X188" s="47"/>
    </row>
    <row r="189" spans="2:24" ht="18" customHeight="1">
      <c r="B189" s="33"/>
      <c r="C189" s="33"/>
      <c r="D189" s="33"/>
      <c r="E189" s="33"/>
      <c r="F189" s="33"/>
      <c r="G189" s="33"/>
      <c r="H189" s="33"/>
      <c r="I189" s="33"/>
      <c r="J189" s="33"/>
      <c r="K189" s="33"/>
      <c r="L189" s="33"/>
      <c r="M189" s="33"/>
      <c r="N189" s="44"/>
      <c r="O189" s="44"/>
      <c r="P189" s="44"/>
      <c r="Q189" s="31"/>
      <c r="R189" s="44"/>
      <c r="S189" s="44"/>
      <c r="T189" s="44"/>
      <c r="U189" s="31"/>
      <c r="V189" s="44"/>
      <c r="W189" s="44"/>
      <c r="X189" s="44"/>
    </row>
    <row r="190" spans="2:24" ht="18" customHeight="1">
      <c r="B190" s="33"/>
      <c r="C190" s="33"/>
      <c r="D190" s="33"/>
      <c r="E190" s="33"/>
      <c r="F190" s="33"/>
      <c r="G190" s="33"/>
      <c r="H190" s="33"/>
      <c r="I190" s="33"/>
      <c r="J190" s="33"/>
      <c r="K190" s="33"/>
      <c r="L190" s="33"/>
      <c r="M190" s="33"/>
      <c r="N190" s="42"/>
      <c r="O190" s="42"/>
      <c r="P190" s="42"/>
      <c r="Q190" s="31"/>
      <c r="R190" s="42"/>
      <c r="S190" s="42"/>
      <c r="T190" s="42"/>
      <c r="U190" s="31"/>
      <c r="V190" s="42"/>
      <c r="W190" s="42"/>
      <c r="X190" s="42"/>
    </row>
    <row r="191" spans="2:24" ht="18" customHeight="1">
      <c r="B191" s="33"/>
      <c r="C191" s="33"/>
      <c r="D191" s="33"/>
      <c r="E191" s="33"/>
      <c r="F191" s="33"/>
      <c r="G191" s="33"/>
      <c r="H191" s="33"/>
      <c r="I191" s="33"/>
      <c r="J191" s="33"/>
      <c r="K191" s="33"/>
      <c r="L191" s="33"/>
      <c r="M191" s="33"/>
      <c r="N191" s="37"/>
      <c r="O191" s="37"/>
      <c r="P191" s="37"/>
      <c r="Q191" s="31"/>
      <c r="R191" s="37"/>
      <c r="S191" s="37"/>
      <c r="T191" s="37"/>
      <c r="U191" s="31"/>
      <c r="V191" s="37"/>
      <c r="W191" s="37"/>
      <c r="X191" s="37"/>
    </row>
    <row r="192" spans="2:24" ht="18" customHeight="1">
      <c r="B192" s="33"/>
      <c r="C192" s="33"/>
      <c r="D192" s="33"/>
      <c r="E192" s="33"/>
      <c r="F192" s="33"/>
      <c r="G192" s="33"/>
      <c r="H192" s="33"/>
      <c r="I192" s="33"/>
      <c r="J192" s="33"/>
      <c r="K192" s="33"/>
      <c r="L192" s="33"/>
      <c r="M192" s="33"/>
      <c r="Q192" s="31"/>
      <c r="U192" s="31"/>
    </row>
    <row r="193" spans="2:21" ht="18" customHeight="1">
      <c r="B193" s="33"/>
      <c r="C193" s="33"/>
      <c r="D193" s="33"/>
      <c r="E193" s="33"/>
      <c r="F193" s="33"/>
      <c r="G193" s="33"/>
      <c r="H193" s="33"/>
      <c r="I193" s="33"/>
      <c r="J193" s="33"/>
      <c r="K193" s="33"/>
      <c r="L193" s="33"/>
      <c r="M193" s="33"/>
      <c r="Q193" s="31"/>
      <c r="U193" s="31"/>
    </row>
    <row r="194" spans="2:21" ht="18" customHeight="1">
      <c r="B194" s="33"/>
      <c r="C194" s="33"/>
      <c r="D194" s="33"/>
      <c r="E194" s="33"/>
      <c r="F194" s="33"/>
      <c r="G194" s="33"/>
      <c r="H194" s="33"/>
      <c r="I194" s="33"/>
      <c r="J194" s="33"/>
      <c r="K194" s="33"/>
      <c r="L194" s="33"/>
      <c r="M194" s="33"/>
      <c r="Q194" s="31"/>
      <c r="U194" s="31"/>
    </row>
    <row r="195" spans="2:21" ht="18" customHeight="1">
      <c r="B195" s="33"/>
      <c r="C195" s="33"/>
      <c r="D195" s="33"/>
      <c r="E195" s="33"/>
      <c r="F195" s="33"/>
      <c r="G195" s="33"/>
      <c r="H195" s="33"/>
      <c r="I195" s="33"/>
      <c r="J195" s="33"/>
      <c r="K195" s="33"/>
      <c r="L195" s="33"/>
      <c r="M195" s="33"/>
      <c r="Q195" s="31"/>
      <c r="U195" s="31"/>
    </row>
    <row r="196" spans="2:21" ht="18" customHeight="1">
      <c r="B196" s="33"/>
      <c r="C196" s="33"/>
      <c r="D196" s="33"/>
      <c r="E196" s="33"/>
      <c r="F196" s="33"/>
      <c r="G196" s="33"/>
      <c r="H196" s="33"/>
      <c r="I196" s="33"/>
      <c r="J196" s="33"/>
      <c r="K196" s="33"/>
      <c r="L196" s="33"/>
      <c r="M196" s="33"/>
      <c r="Q196" s="31"/>
      <c r="U196" s="31"/>
    </row>
    <row r="197" spans="2:21" ht="18" customHeight="1">
      <c r="B197" s="33"/>
      <c r="C197" s="33"/>
      <c r="D197" s="33"/>
      <c r="E197" s="33"/>
      <c r="F197" s="33"/>
      <c r="G197" s="33"/>
      <c r="H197" s="33"/>
      <c r="I197" s="33"/>
      <c r="J197" s="33"/>
      <c r="K197" s="33"/>
      <c r="L197" s="33"/>
      <c r="M197" s="33"/>
      <c r="Q197" s="31"/>
      <c r="U197" s="31"/>
    </row>
    <row r="198" spans="2:21" ht="18" customHeight="1">
      <c r="B198" s="33"/>
      <c r="C198" s="33"/>
      <c r="D198" s="33"/>
      <c r="E198" s="33"/>
      <c r="F198" s="33"/>
      <c r="G198" s="33"/>
      <c r="H198" s="33"/>
      <c r="I198" s="33"/>
      <c r="J198" s="33"/>
      <c r="K198" s="33"/>
      <c r="L198" s="33"/>
      <c r="M198" s="33"/>
      <c r="Q198" s="31"/>
      <c r="U198" s="31"/>
    </row>
    <row r="199" spans="2:21" ht="18" customHeight="1">
      <c r="B199" s="33"/>
      <c r="C199" s="33"/>
      <c r="D199" s="33"/>
      <c r="E199" s="33"/>
      <c r="F199" s="33"/>
      <c r="G199" s="33"/>
      <c r="H199" s="33"/>
      <c r="I199" s="33"/>
      <c r="J199" s="33"/>
      <c r="K199" s="33"/>
      <c r="L199" s="33"/>
      <c r="M199" s="33"/>
      <c r="Q199" s="31"/>
      <c r="U199" s="31"/>
    </row>
    <row r="200" spans="2:21" ht="18" customHeight="1">
      <c r="B200" s="33"/>
      <c r="C200" s="33"/>
      <c r="D200" s="33"/>
      <c r="E200" s="33"/>
      <c r="F200" s="33"/>
      <c r="G200" s="33"/>
      <c r="H200" s="33"/>
      <c r="I200" s="33"/>
      <c r="J200" s="33"/>
      <c r="K200" s="33"/>
      <c r="L200" s="33"/>
      <c r="M200" s="33"/>
      <c r="Q200" s="31"/>
      <c r="U200" s="31"/>
    </row>
    <row r="201" spans="2:21" ht="18" customHeight="1">
      <c r="B201" s="33"/>
      <c r="C201" s="33"/>
      <c r="D201" s="33"/>
      <c r="E201" s="33"/>
      <c r="F201" s="33"/>
      <c r="G201" s="33"/>
      <c r="H201" s="33"/>
      <c r="I201" s="33"/>
      <c r="J201" s="33"/>
      <c r="K201" s="33"/>
      <c r="L201" s="33"/>
      <c r="M201" s="33"/>
      <c r="Q201" s="31"/>
      <c r="U201" s="31"/>
    </row>
    <row r="202" spans="2:21" ht="18" customHeight="1">
      <c r="B202" s="33"/>
      <c r="C202" s="33"/>
      <c r="D202" s="33"/>
      <c r="E202" s="33"/>
      <c r="I202" s="33"/>
      <c r="L202" s="33"/>
      <c r="M202" s="33"/>
      <c r="Q202" s="31"/>
      <c r="U202" s="31"/>
    </row>
    <row r="203" spans="2:21" ht="18" customHeight="1">
      <c r="B203" s="33"/>
      <c r="C203" s="33"/>
      <c r="D203" s="33"/>
      <c r="E203" s="33"/>
      <c r="I203" s="33"/>
      <c r="L203" s="33"/>
      <c r="M203" s="33"/>
      <c r="Q203" s="31"/>
      <c r="U203" s="31"/>
    </row>
    <row r="204" spans="2:21" ht="18" customHeight="1">
      <c r="B204" s="33"/>
      <c r="C204" s="33"/>
      <c r="D204" s="33"/>
      <c r="E204" s="33"/>
      <c r="I204" s="33"/>
      <c r="L204" s="33"/>
      <c r="M204" s="33"/>
      <c r="Q204" s="31"/>
      <c r="U204" s="31"/>
    </row>
    <row r="205" spans="2:21" ht="18" customHeight="1">
      <c r="B205" s="33"/>
      <c r="C205" s="33"/>
      <c r="D205" s="33"/>
      <c r="E205" s="33"/>
      <c r="I205" s="33"/>
      <c r="L205" s="33"/>
      <c r="M205" s="33"/>
      <c r="Q205" s="31"/>
      <c r="U205" s="31"/>
    </row>
    <row r="206" spans="2:21" ht="18" customHeight="1">
      <c r="B206" s="33"/>
      <c r="C206" s="33"/>
      <c r="D206" s="33"/>
      <c r="E206" s="33"/>
      <c r="I206" s="33"/>
      <c r="L206" s="33"/>
      <c r="M206" s="33"/>
      <c r="Q206" s="31"/>
      <c r="U206" s="31"/>
    </row>
    <row r="207" spans="2:21" ht="18" customHeight="1">
      <c r="B207" s="33"/>
      <c r="C207" s="33"/>
      <c r="D207" s="33"/>
      <c r="E207" s="33"/>
      <c r="I207" s="33"/>
      <c r="L207" s="33"/>
      <c r="M207" s="33"/>
      <c r="Q207" s="31"/>
      <c r="U207" s="31"/>
    </row>
    <row r="208" spans="2:21" ht="18" customHeight="1">
      <c r="B208" s="33"/>
      <c r="C208" s="33"/>
      <c r="D208" s="33"/>
      <c r="E208" s="33"/>
      <c r="I208" s="33"/>
      <c r="L208" s="33"/>
      <c r="M208" s="33"/>
      <c r="Q208" s="31"/>
      <c r="U208" s="31"/>
    </row>
    <row r="209" spans="2:21" ht="18" customHeight="1">
      <c r="B209" s="33"/>
      <c r="C209" s="33"/>
      <c r="D209" s="33"/>
      <c r="E209" s="33"/>
      <c r="I209" s="33"/>
      <c r="L209" s="33"/>
      <c r="M209" s="33"/>
      <c r="Q209" s="31"/>
      <c r="U209" s="31"/>
    </row>
    <row r="210" spans="2:21" ht="18" customHeight="1">
      <c r="B210" s="33"/>
      <c r="C210" s="33"/>
      <c r="D210" s="33"/>
      <c r="E210" s="33"/>
      <c r="I210" s="33"/>
      <c r="L210" s="33"/>
      <c r="M210" s="33"/>
      <c r="Q210" s="31"/>
      <c r="U210" s="31"/>
    </row>
    <row r="211" spans="2:21" ht="18" customHeight="1">
      <c r="B211" s="33"/>
      <c r="C211" s="33"/>
      <c r="D211" s="33"/>
      <c r="E211" s="33"/>
      <c r="I211" s="33"/>
      <c r="L211" s="33"/>
      <c r="M211" s="33"/>
      <c r="Q211" s="31"/>
      <c r="U211" s="31"/>
    </row>
    <row r="212" spans="2:21" ht="18" customHeight="1">
      <c r="B212" s="33"/>
      <c r="C212" s="33"/>
      <c r="D212" s="33"/>
      <c r="E212" s="33"/>
      <c r="I212" s="33"/>
      <c r="L212" s="33"/>
      <c r="M212" s="33"/>
      <c r="Q212" s="31"/>
      <c r="U212" s="31"/>
    </row>
    <row r="213" spans="2:21" ht="18" customHeight="1">
      <c r="B213" s="33"/>
      <c r="C213" s="33"/>
      <c r="D213" s="33"/>
      <c r="E213" s="33"/>
      <c r="I213" s="33"/>
      <c r="L213" s="33"/>
      <c r="M213" s="33"/>
      <c r="Q213" s="31"/>
      <c r="U213" s="31"/>
    </row>
    <row r="214" spans="2:21" ht="18" customHeight="1">
      <c r="B214" s="33"/>
      <c r="C214" s="33"/>
      <c r="D214" s="33"/>
      <c r="E214" s="33"/>
      <c r="I214" s="33"/>
      <c r="L214" s="33"/>
      <c r="M214" s="33"/>
      <c r="Q214" s="31"/>
      <c r="U214" s="31"/>
    </row>
    <row r="215" spans="2:21" ht="18" customHeight="1">
      <c r="B215" s="33"/>
      <c r="C215" s="33"/>
      <c r="D215" s="33"/>
      <c r="E215" s="33"/>
      <c r="I215" s="33"/>
      <c r="L215" s="33"/>
      <c r="M215" s="33"/>
      <c r="Q215" s="31"/>
      <c r="U215" s="31"/>
    </row>
    <row r="216" spans="2:21" ht="18" customHeight="1">
      <c r="B216" s="33"/>
      <c r="C216" s="33"/>
      <c r="D216" s="33"/>
      <c r="E216" s="33"/>
      <c r="I216" s="33"/>
      <c r="L216" s="33"/>
      <c r="M216" s="33"/>
      <c r="Q216" s="31"/>
      <c r="U216" s="31"/>
    </row>
    <row r="217" spans="2:21" ht="18" customHeight="1">
      <c r="B217" s="33"/>
      <c r="C217" s="33"/>
      <c r="D217" s="33"/>
      <c r="E217" s="33"/>
      <c r="I217" s="33"/>
      <c r="L217" s="33"/>
      <c r="M217" s="33"/>
      <c r="Q217" s="31"/>
      <c r="U217" s="31"/>
    </row>
    <row r="218" spans="2:21" ht="18" customHeight="1">
      <c r="B218" s="33"/>
      <c r="C218" s="33"/>
      <c r="D218" s="33"/>
      <c r="E218" s="33"/>
      <c r="I218" s="33"/>
      <c r="L218" s="33"/>
      <c r="M218" s="33"/>
      <c r="Q218" s="31"/>
      <c r="U218" s="31"/>
    </row>
    <row r="219" spans="2:21" ht="18" customHeight="1">
      <c r="B219" s="33"/>
      <c r="C219" s="33"/>
      <c r="D219" s="33"/>
      <c r="E219" s="33"/>
      <c r="I219" s="33"/>
      <c r="L219" s="33"/>
      <c r="M219" s="33"/>
      <c r="Q219" s="31"/>
      <c r="U219" s="31"/>
    </row>
    <row r="220" spans="2:21" ht="18" customHeight="1">
      <c r="B220" s="33"/>
      <c r="C220" s="33"/>
      <c r="D220" s="33"/>
      <c r="E220" s="33"/>
      <c r="I220" s="33"/>
      <c r="L220" s="33"/>
      <c r="M220" s="33"/>
      <c r="Q220" s="31"/>
      <c r="U220" s="31"/>
    </row>
    <row r="221" spans="2:21" ht="18" customHeight="1">
      <c r="B221" s="33"/>
      <c r="C221" s="33"/>
      <c r="D221" s="33"/>
      <c r="E221" s="33"/>
      <c r="I221" s="33"/>
      <c r="L221" s="33"/>
      <c r="M221" s="33"/>
      <c r="Q221" s="31"/>
      <c r="U221" s="31"/>
    </row>
    <row r="222" spans="2:21" ht="18" customHeight="1">
      <c r="B222" s="33"/>
      <c r="C222" s="33"/>
      <c r="D222" s="33"/>
      <c r="E222" s="33"/>
      <c r="I222" s="33"/>
      <c r="L222" s="33"/>
      <c r="M222" s="33"/>
      <c r="Q222" s="31"/>
      <c r="U222" s="31"/>
    </row>
    <row r="223" spans="2:21" ht="18" customHeight="1">
      <c r="B223" s="33"/>
      <c r="C223" s="33"/>
      <c r="D223" s="33"/>
      <c r="E223" s="33"/>
      <c r="I223" s="33"/>
      <c r="L223" s="33"/>
      <c r="M223" s="33"/>
      <c r="Q223" s="31"/>
      <c r="U223" s="31"/>
    </row>
    <row r="224" spans="2:21" ht="18" customHeight="1">
      <c r="B224" s="33"/>
      <c r="C224" s="33"/>
      <c r="D224" s="33"/>
      <c r="E224" s="33"/>
      <c r="I224" s="33"/>
      <c r="L224" s="33"/>
      <c r="M224" s="33"/>
      <c r="Q224" s="31"/>
      <c r="U224" s="31"/>
    </row>
    <row r="225" spans="2:21" ht="18" customHeight="1">
      <c r="B225" s="33"/>
      <c r="C225" s="33"/>
      <c r="D225" s="33"/>
      <c r="E225" s="33"/>
      <c r="I225" s="33"/>
      <c r="L225" s="33"/>
      <c r="M225" s="33"/>
      <c r="Q225" s="31"/>
      <c r="U225" s="31"/>
    </row>
    <row r="226" spans="2:21" ht="18" customHeight="1">
      <c r="B226" s="33"/>
      <c r="C226" s="33"/>
      <c r="D226" s="33"/>
      <c r="E226" s="33"/>
      <c r="I226" s="33"/>
      <c r="L226" s="33"/>
      <c r="M226" s="33"/>
      <c r="Q226" s="31"/>
      <c r="U226" s="31"/>
    </row>
    <row r="227" spans="2:21" ht="18" customHeight="1">
      <c r="B227" s="33"/>
      <c r="C227" s="33"/>
      <c r="D227" s="33"/>
      <c r="E227" s="33"/>
      <c r="I227" s="33"/>
      <c r="L227" s="33"/>
      <c r="M227" s="33"/>
      <c r="Q227" s="31"/>
      <c r="U227" s="31"/>
    </row>
    <row r="228" spans="2:21" ht="18" customHeight="1">
      <c r="B228" s="33"/>
      <c r="C228" s="33"/>
      <c r="D228" s="33"/>
      <c r="E228" s="33"/>
      <c r="I228" s="33"/>
      <c r="L228" s="33"/>
      <c r="M228" s="33"/>
      <c r="Q228" s="31"/>
      <c r="U228" s="31"/>
    </row>
    <row r="229" spans="2:21" ht="18" customHeight="1">
      <c r="B229" s="33"/>
      <c r="C229" s="33"/>
      <c r="D229" s="33"/>
      <c r="E229" s="33"/>
      <c r="I229" s="33"/>
      <c r="L229" s="33"/>
      <c r="M229" s="33"/>
      <c r="Q229" s="31"/>
      <c r="U229" s="31"/>
    </row>
    <row r="230" spans="2:21" ht="18" customHeight="1">
      <c r="B230" s="33"/>
      <c r="C230" s="33"/>
      <c r="D230" s="33"/>
      <c r="E230" s="33"/>
      <c r="I230" s="33"/>
      <c r="L230" s="33"/>
      <c r="M230" s="33"/>
      <c r="Q230" s="31"/>
      <c r="U230" s="31"/>
    </row>
    <row r="231" spans="2:21" ht="18" customHeight="1">
      <c r="B231" s="33"/>
      <c r="C231" s="33"/>
      <c r="D231" s="33"/>
      <c r="E231" s="33"/>
      <c r="I231" s="33"/>
      <c r="L231" s="33"/>
      <c r="M231" s="33"/>
      <c r="Q231" s="31"/>
      <c r="U231" s="31"/>
    </row>
    <row r="232" spans="2:21" ht="18" customHeight="1">
      <c r="B232" s="33"/>
      <c r="C232" s="33"/>
      <c r="D232" s="33"/>
      <c r="E232" s="33"/>
      <c r="I232" s="33"/>
      <c r="L232" s="33"/>
      <c r="M232" s="33"/>
      <c r="Q232" s="31"/>
      <c r="U232" s="31"/>
    </row>
    <row r="233" spans="2:21" ht="18" customHeight="1">
      <c r="B233" s="33"/>
      <c r="C233" s="33"/>
      <c r="D233" s="33"/>
      <c r="E233" s="33"/>
      <c r="I233" s="33"/>
      <c r="L233" s="33"/>
      <c r="M233" s="33"/>
      <c r="Q233" s="31"/>
      <c r="U233" s="31"/>
    </row>
    <row r="234" spans="2:21" ht="18" customHeight="1">
      <c r="B234" s="33"/>
      <c r="C234" s="33"/>
      <c r="D234" s="33"/>
      <c r="E234" s="33"/>
      <c r="I234" s="33"/>
      <c r="L234" s="33"/>
      <c r="M234" s="33"/>
      <c r="Q234" s="31"/>
      <c r="U234" s="31"/>
    </row>
    <row r="235" spans="2:21" ht="18" customHeight="1">
      <c r="B235" s="33"/>
      <c r="C235" s="33"/>
      <c r="D235" s="33"/>
      <c r="E235" s="33"/>
      <c r="I235" s="33"/>
      <c r="L235" s="33"/>
      <c r="M235" s="33"/>
      <c r="Q235" s="31"/>
      <c r="U235" s="31"/>
    </row>
    <row r="236" spans="2:21" ht="18" customHeight="1">
      <c r="B236" s="33"/>
      <c r="C236" s="33"/>
      <c r="D236" s="33"/>
      <c r="E236" s="33"/>
      <c r="I236" s="33"/>
      <c r="L236" s="33"/>
      <c r="M236" s="33"/>
      <c r="Q236" s="31"/>
      <c r="U236" s="31"/>
    </row>
    <row r="237" spans="2:21" ht="18" customHeight="1">
      <c r="B237" s="33"/>
      <c r="C237" s="33"/>
      <c r="D237" s="33"/>
      <c r="E237" s="33"/>
      <c r="I237" s="33"/>
      <c r="L237" s="33"/>
      <c r="M237" s="33"/>
      <c r="Q237" s="31"/>
      <c r="U237" s="31"/>
    </row>
    <row r="238" spans="2:21" ht="18" customHeight="1">
      <c r="B238" s="33"/>
      <c r="C238" s="33"/>
      <c r="D238" s="33"/>
      <c r="E238" s="33"/>
      <c r="I238" s="33"/>
      <c r="L238" s="33"/>
      <c r="M238" s="33"/>
      <c r="Q238" s="31"/>
      <c r="U238" s="31"/>
    </row>
    <row r="239" spans="2:21" ht="18" customHeight="1">
      <c r="B239" s="33"/>
      <c r="C239" s="33"/>
      <c r="D239" s="33"/>
      <c r="E239" s="33"/>
      <c r="I239" s="33"/>
      <c r="L239" s="33"/>
      <c r="M239" s="33"/>
      <c r="Q239" s="31"/>
      <c r="U239" s="31"/>
    </row>
    <row r="240" spans="2:21" ht="18" customHeight="1">
      <c r="B240" s="33"/>
      <c r="C240" s="33"/>
      <c r="D240" s="33"/>
      <c r="E240" s="33"/>
      <c r="I240" s="33"/>
      <c r="L240" s="33"/>
      <c r="M240" s="33"/>
      <c r="Q240" s="31"/>
      <c r="U240" s="31"/>
    </row>
    <row r="241" spans="2:21" ht="18" customHeight="1">
      <c r="B241" s="33"/>
      <c r="C241" s="33"/>
      <c r="D241" s="33"/>
      <c r="E241" s="33"/>
      <c r="I241" s="33"/>
      <c r="L241" s="33"/>
      <c r="M241" s="33"/>
      <c r="Q241" s="31"/>
      <c r="U241" s="31"/>
    </row>
    <row r="242" spans="2:21" ht="18" customHeight="1">
      <c r="B242" s="33"/>
      <c r="C242" s="33"/>
      <c r="D242" s="33"/>
      <c r="E242" s="33"/>
      <c r="I242" s="33"/>
      <c r="L242" s="33"/>
      <c r="M242" s="33"/>
      <c r="Q242" s="31"/>
      <c r="U242" s="31"/>
    </row>
    <row r="243" spans="2:21" ht="18" customHeight="1">
      <c r="B243" s="33"/>
      <c r="C243" s="33"/>
      <c r="D243" s="33"/>
      <c r="E243" s="33"/>
      <c r="I243" s="33"/>
      <c r="L243" s="33"/>
      <c r="M243" s="33"/>
      <c r="Q243" s="31"/>
      <c r="U243" s="31"/>
    </row>
    <row r="244" spans="2:21" ht="18" customHeight="1">
      <c r="B244" s="33"/>
      <c r="C244" s="33"/>
      <c r="D244" s="33"/>
      <c r="E244" s="33"/>
      <c r="I244" s="33"/>
      <c r="L244" s="33"/>
      <c r="M244" s="33"/>
      <c r="Q244" s="31"/>
      <c r="U244" s="31"/>
    </row>
    <row r="245" spans="2:21" ht="18" customHeight="1">
      <c r="B245" s="33"/>
      <c r="C245" s="33"/>
      <c r="D245" s="33"/>
      <c r="E245" s="33"/>
      <c r="I245" s="33"/>
      <c r="L245" s="33"/>
      <c r="M245" s="33"/>
      <c r="Q245" s="31"/>
      <c r="U245" s="31"/>
    </row>
    <row r="246" spans="2:21" ht="18" customHeight="1">
      <c r="B246" s="33"/>
      <c r="C246" s="33"/>
      <c r="D246" s="33"/>
      <c r="E246" s="33"/>
      <c r="I246" s="33"/>
      <c r="L246" s="33"/>
      <c r="M246" s="33"/>
      <c r="Q246" s="31"/>
      <c r="U246" s="31"/>
    </row>
    <row r="247" spans="2:21" ht="18" customHeight="1">
      <c r="B247" s="33"/>
      <c r="C247" s="33"/>
      <c r="D247" s="33"/>
      <c r="E247" s="33"/>
      <c r="I247" s="33"/>
      <c r="L247" s="33"/>
      <c r="M247" s="33"/>
      <c r="Q247" s="31"/>
      <c r="U247" s="31"/>
    </row>
    <row r="248" spans="2:21" ht="18" customHeight="1">
      <c r="B248" s="33"/>
      <c r="C248" s="33"/>
      <c r="D248" s="33"/>
      <c r="E248" s="33"/>
      <c r="I248" s="33"/>
      <c r="L248" s="33"/>
      <c r="M248" s="33"/>
      <c r="Q248" s="31"/>
      <c r="U248" s="31"/>
    </row>
    <row r="249" spans="2:21" ht="18" customHeight="1">
      <c r="B249" s="33"/>
      <c r="C249" s="33"/>
      <c r="D249" s="33"/>
      <c r="E249" s="33"/>
      <c r="I249" s="33"/>
      <c r="L249" s="33"/>
      <c r="M249" s="33"/>
      <c r="Q249" s="31"/>
      <c r="U249" s="31"/>
    </row>
    <row r="250" spans="2:21" ht="18" customHeight="1">
      <c r="B250" s="33"/>
      <c r="C250" s="33"/>
      <c r="D250" s="33"/>
      <c r="E250" s="33"/>
      <c r="I250" s="33"/>
      <c r="L250" s="33"/>
      <c r="M250" s="33"/>
      <c r="Q250" s="31"/>
      <c r="U250" s="31"/>
    </row>
    <row r="251" spans="2:21" ht="18" customHeight="1">
      <c r="B251" s="33"/>
      <c r="C251" s="33"/>
      <c r="D251" s="33"/>
      <c r="E251" s="33"/>
      <c r="I251" s="33"/>
      <c r="L251" s="33"/>
      <c r="M251" s="33"/>
      <c r="Q251" s="31"/>
      <c r="U251" s="31"/>
    </row>
    <row r="252" spans="2:21" ht="18" customHeight="1">
      <c r="B252" s="33"/>
      <c r="C252" s="33"/>
      <c r="D252" s="33"/>
      <c r="E252" s="33"/>
      <c r="I252" s="33"/>
      <c r="L252" s="33"/>
      <c r="M252" s="33"/>
      <c r="Q252" s="31"/>
      <c r="U252" s="31"/>
    </row>
    <row r="253" spans="2:21" ht="18" customHeight="1">
      <c r="B253" s="33"/>
      <c r="C253" s="33"/>
      <c r="D253" s="33"/>
      <c r="E253" s="33"/>
      <c r="I253" s="33"/>
      <c r="L253" s="33"/>
      <c r="M253" s="33"/>
      <c r="Q253" s="31"/>
      <c r="U253" s="31"/>
    </row>
    <row r="254" spans="2:21" ht="18" customHeight="1">
      <c r="B254" s="33"/>
      <c r="C254" s="33"/>
      <c r="D254" s="33"/>
      <c r="E254" s="33"/>
      <c r="I254" s="33"/>
      <c r="L254" s="33"/>
      <c r="M254" s="33"/>
      <c r="Q254" s="31"/>
      <c r="U254" s="31"/>
    </row>
    <row r="255" spans="2:21" ht="18" customHeight="1">
      <c r="B255" s="33"/>
      <c r="C255" s="33"/>
      <c r="D255" s="33"/>
      <c r="E255" s="33"/>
      <c r="I255" s="33"/>
      <c r="L255" s="33"/>
      <c r="M255" s="33"/>
      <c r="Q255" s="31"/>
      <c r="U255" s="31"/>
    </row>
    <row r="256" spans="2:21" ht="18" customHeight="1">
      <c r="B256" s="33"/>
      <c r="C256" s="33"/>
      <c r="D256" s="33"/>
      <c r="E256" s="33"/>
      <c r="I256" s="33"/>
      <c r="L256" s="33"/>
      <c r="M256" s="33"/>
      <c r="Q256" s="31"/>
      <c r="U256" s="31"/>
    </row>
    <row r="257" spans="2:21" ht="18" customHeight="1">
      <c r="B257" s="33"/>
      <c r="C257" s="33"/>
      <c r="D257" s="33"/>
      <c r="E257" s="33"/>
      <c r="I257" s="33"/>
      <c r="L257" s="33"/>
      <c r="M257" s="33"/>
      <c r="Q257" s="31"/>
      <c r="U257" s="31"/>
    </row>
    <row r="258" spans="2:21" ht="18" customHeight="1">
      <c r="B258" s="33"/>
      <c r="C258" s="33"/>
      <c r="D258" s="33"/>
      <c r="E258" s="33"/>
      <c r="I258" s="33"/>
      <c r="L258" s="33"/>
      <c r="M258" s="33"/>
      <c r="Q258" s="31"/>
      <c r="U258" s="31"/>
    </row>
    <row r="259" spans="2:21" ht="18" customHeight="1">
      <c r="B259" s="33"/>
      <c r="C259" s="33"/>
      <c r="D259" s="33"/>
      <c r="E259" s="33"/>
      <c r="I259" s="33"/>
      <c r="L259" s="33"/>
      <c r="M259" s="33"/>
      <c r="Q259" s="31"/>
      <c r="U259" s="31"/>
    </row>
    <row r="260" spans="2:21" ht="18" customHeight="1">
      <c r="B260" s="33"/>
      <c r="C260" s="33"/>
      <c r="D260" s="33"/>
      <c r="E260" s="33"/>
      <c r="I260" s="33"/>
      <c r="L260" s="33"/>
      <c r="M260" s="33"/>
      <c r="Q260" s="31"/>
      <c r="U260" s="31"/>
    </row>
    <row r="261" spans="2:21" ht="18" customHeight="1">
      <c r="B261" s="33"/>
      <c r="C261" s="33"/>
      <c r="D261" s="33"/>
      <c r="E261" s="33"/>
      <c r="I261" s="33"/>
      <c r="L261" s="33"/>
      <c r="M261" s="33"/>
      <c r="Q261" s="31"/>
      <c r="U261" s="31"/>
    </row>
    <row r="262" spans="2:21" ht="18" customHeight="1">
      <c r="B262" s="33"/>
      <c r="C262" s="33"/>
      <c r="D262" s="33"/>
      <c r="E262" s="33"/>
      <c r="I262" s="33"/>
      <c r="L262" s="33"/>
      <c r="M262" s="33"/>
      <c r="Q262" s="31"/>
      <c r="U262" s="31"/>
    </row>
    <row r="263" spans="2:21" ht="18" customHeight="1">
      <c r="B263" s="33"/>
      <c r="C263" s="33"/>
      <c r="D263" s="33"/>
      <c r="E263" s="33"/>
      <c r="I263" s="33"/>
      <c r="L263" s="33"/>
      <c r="M263" s="33"/>
      <c r="Q263" s="31"/>
      <c r="U263" s="31"/>
    </row>
    <row r="264" spans="2:21" ht="18" customHeight="1">
      <c r="B264" s="33"/>
      <c r="C264" s="33"/>
      <c r="D264" s="33"/>
      <c r="E264" s="33"/>
      <c r="I264" s="33"/>
      <c r="L264" s="33"/>
      <c r="M264" s="33"/>
      <c r="Q264" s="31"/>
      <c r="U264" s="31"/>
    </row>
    <row r="265" spans="2:21" ht="18" customHeight="1">
      <c r="B265" s="33"/>
      <c r="C265" s="33"/>
      <c r="D265" s="33"/>
      <c r="E265" s="33"/>
      <c r="I265" s="33"/>
      <c r="L265" s="33"/>
      <c r="M265" s="33"/>
      <c r="Q265" s="31"/>
      <c r="U265" s="31"/>
    </row>
    <row r="266" spans="2:21" ht="18" customHeight="1">
      <c r="B266" s="33"/>
      <c r="C266" s="33"/>
      <c r="D266" s="33"/>
      <c r="E266" s="33"/>
      <c r="I266" s="33"/>
      <c r="L266" s="33"/>
      <c r="M266" s="33"/>
      <c r="Q266" s="31"/>
      <c r="U266" s="31"/>
    </row>
    <row r="267" spans="2:21" ht="18" customHeight="1">
      <c r="B267" s="33"/>
      <c r="C267" s="33"/>
      <c r="D267" s="33"/>
      <c r="E267" s="33"/>
      <c r="I267" s="33"/>
      <c r="L267" s="33"/>
      <c r="M267" s="33"/>
      <c r="Q267" s="31"/>
      <c r="U267" s="31"/>
    </row>
    <row r="268" spans="2:21" ht="18" customHeight="1">
      <c r="B268" s="33"/>
      <c r="C268" s="33"/>
      <c r="D268" s="33"/>
      <c r="E268" s="33"/>
      <c r="I268" s="33"/>
      <c r="L268" s="33"/>
      <c r="M268" s="33"/>
      <c r="Q268" s="31"/>
      <c r="U268" s="31"/>
    </row>
    <row r="269" spans="2:21" ht="18" customHeight="1">
      <c r="B269" s="33"/>
      <c r="C269" s="33"/>
      <c r="D269" s="33"/>
      <c r="E269" s="33"/>
      <c r="I269" s="33"/>
      <c r="L269" s="33"/>
      <c r="M269" s="33"/>
      <c r="Q269" s="31"/>
      <c r="U269" s="31"/>
    </row>
    <row r="270" spans="2:21" ht="18" customHeight="1">
      <c r="B270" s="33"/>
      <c r="C270" s="33"/>
      <c r="D270" s="33"/>
      <c r="E270" s="33"/>
      <c r="I270" s="33"/>
      <c r="L270" s="33"/>
      <c r="M270" s="33"/>
      <c r="Q270" s="31"/>
      <c r="U270" s="31"/>
    </row>
    <row r="271" spans="2:21" ht="18" customHeight="1">
      <c r="B271" s="33"/>
      <c r="C271" s="33"/>
      <c r="D271" s="33"/>
      <c r="E271" s="33"/>
      <c r="I271" s="33"/>
      <c r="L271" s="33"/>
      <c r="M271" s="33"/>
      <c r="Q271" s="31"/>
      <c r="U271" s="31"/>
    </row>
    <row r="272" spans="2:21" ht="18" customHeight="1">
      <c r="B272" s="33"/>
      <c r="C272" s="33"/>
      <c r="D272" s="33"/>
      <c r="E272" s="33"/>
      <c r="I272" s="33"/>
      <c r="L272" s="33"/>
      <c r="M272" s="33"/>
      <c r="Q272" s="31"/>
      <c r="U272" s="31"/>
    </row>
    <row r="273" spans="2:21" ht="18" customHeight="1">
      <c r="B273" s="33"/>
      <c r="C273" s="33"/>
      <c r="D273" s="33"/>
      <c r="E273" s="33"/>
      <c r="I273" s="33"/>
      <c r="L273" s="33"/>
      <c r="M273" s="33"/>
      <c r="Q273" s="31"/>
      <c r="U273" s="31"/>
    </row>
    <row r="274" spans="2:21" ht="18" customHeight="1">
      <c r="B274" s="33"/>
      <c r="C274" s="33"/>
      <c r="D274" s="33"/>
      <c r="E274" s="33"/>
      <c r="I274" s="33"/>
      <c r="L274" s="33"/>
      <c r="M274" s="33"/>
      <c r="Q274" s="31"/>
      <c r="U274" s="31"/>
    </row>
    <row r="275" spans="2:21">
      <c r="B275" s="33"/>
      <c r="C275" s="33"/>
      <c r="D275" s="33"/>
      <c r="E275" s="33"/>
      <c r="I275" s="33"/>
      <c r="L275" s="33"/>
      <c r="M275" s="33"/>
      <c r="Q275" s="31"/>
      <c r="U275" s="31"/>
    </row>
    <row r="276" spans="2:21">
      <c r="B276" s="33"/>
      <c r="C276" s="33"/>
      <c r="D276" s="33"/>
      <c r="E276" s="33"/>
      <c r="I276" s="33"/>
      <c r="L276" s="33"/>
      <c r="M276" s="33"/>
      <c r="Q276" s="31"/>
      <c r="U276" s="31"/>
    </row>
    <row r="277" spans="2:21">
      <c r="B277" s="33"/>
      <c r="C277" s="33"/>
      <c r="D277" s="33"/>
      <c r="E277" s="33"/>
      <c r="I277" s="33"/>
      <c r="L277" s="33"/>
      <c r="M277" s="33"/>
    </row>
    <row r="278" spans="2:21">
      <c r="B278" s="33"/>
      <c r="C278" s="33"/>
      <c r="D278" s="33"/>
      <c r="E278" s="33"/>
      <c r="I278" s="33"/>
      <c r="L278" s="33"/>
      <c r="M278" s="33"/>
    </row>
    <row r="279" spans="2:21">
      <c r="B279" s="33"/>
      <c r="C279" s="33"/>
      <c r="D279" s="33"/>
      <c r="E279" s="33"/>
      <c r="I279" s="33"/>
      <c r="L279" s="33"/>
      <c r="M279" s="33"/>
    </row>
    <row r="280" spans="2:21">
      <c r="B280" s="33"/>
      <c r="C280" s="33"/>
      <c r="D280" s="33"/>
      <c r="E280" s="33"/>
      <c r="I280" s="33"/>
      <c r="L280" s="33"/>
      <c r="M280" s="33"/>
    </row>
    <row r="281" spans="2:21">
      <c r="B281" s="33"/>
      <c r="C281" s="33"/>
      <c r="D281" s="33"/>
      <c r="E281" s="33"/>
      <c r="I281" s="33"/>
      <c r="L281" s="33"/>
      <c r="M281" s="33"/>
    </row>
    <row r="282" spans="2:21">
      <c r="B282" s="33"/>
      <c r="C282" s="33"/>
      <c r="D282" s="33"/>
      <c r="E282" s="33"/>
      <c r="I282" s="33"/>
      <c r="L282" s="33"/>
      <c r="M282" s="33"/>
    </row>
    <row r="283" spans="2:21">
      <c r="B283" s="33"/>
      <c r="C283" s="33"/>
      <c r="D283" s="33"/>
      <c r="E283" s="33"/>
      <c r="I283" s="33"/>
      <c r="L283" s="33"/>
      <c r="M283" s="33"/>
    </row>
    <row r="284" spans="2:21">
      <c r="B284" s="33"/>
      <c r="C284" s="33"/>
      <c r="D284" s="33"/>
      <c r="E284" s="33"/>
      <c r="I284" s="33"/>
      <c r="L284" s="33"/>
      <c r="M284" s="33"/>
    </row>
    <row r="285" spans="2:21">
      <c r="B285" s="33"/>
      <c r="C285" s="33"/>
      <c r="D285" s="33"/>
      <c r="E285" s="33"/>
      <c r="I285" s="33"/>
      <c r="L285" s="33"/>
      <c r="M285" s="33"/>
    </row>
    <row r="286" spans="2:21">
      <c r="B286" s="33"/>
      <c r="C286" s="33"/>
      <c r="D286" s="33"/>
      <c r="E286" s="33"/>
      <c r="I286" s="33"/>
      <c r="L286" s="33"/>
      <c r="M286" s="33"/>
    </row>
    <row r="287" spans="2:21">
      <c r="B287" s="33"/>
      <c r="C287" s="33"/>
      <c r="D287" s="33"/>
      <c r="E287" s="33"/>
      <c r="I287" s="33"/>
      <c r="L287" s="33"/>
      <c r="M287" s="33"/>
    </row>
    <row r="288" spans="2:21">
      <c r="B288" s="33"/>
      <c r="C288" s="33"/>
      <c r="D288" s="33"/>
      <c r="E288" s="33"/>
      <c r="I288" s="33"/>
      <c r="L288" s="33"/>
      <c r="M288" s="33"/>
    </row>
    <row r="289" spans="2:13">
      <c r="B289" s="33"/>
      <c r="C289" s="33"/>
      <c r="D289" s="33"/>
      <c r="E289" s="33"/>
      <c r="I289" s="33"/>
      <c r="L289" s="33"/>
      <c r="M289" s="33"/>
    </row>
    <row r="290" spans="2:13">
      <c r="B290" s="33"/>
      <c r="C290" s="33"/>
      <c r="D290" s="33"/>
      <c r="E290" s="33"/>
      <c r="I290" s="33"/>
      <c r="L290" s="33"/>
      <c r="M290" s="33"/>
    </row>
    <row r="291" spans="2:13">
      <c r="B291" s="33"/>
      <c r="C291" s="33"/>
      <c r="D291" s="33"/>
      <c r="E291" s="33"/>
      <c r="I291" s="33"/>
      <c r="L291" s="33"/>
      <c r="M291" s="33"/>
    </row>
    <row r="292" spans="2:13">
      <c r="B292" s="33"/>
      <c r="C292" s="33"/>
      <c r="D292" s="33"/>
      <c r="E292" s="33"/>
      <c r="I292" s="33"/>
      <c r="L292" s="33"/>
      <c r="M292" s="33"/>
    </row>
    <row r="293" spans="2:13">
      <c r="B293" s="33"/>
      <c r="C293" s="33"/>
      <c r="D293" s="33"/>
      <c r="E293" s="33"/>
      <c r="I293" s="33"/>
      <c r="L293" s="33"/>
      <c r="M293" s="33"/>
    </row>
    <row r="294" spans="2:13">
      <c r="B294" s="33"/>
      <c r="C294" s="33"/>
      <c r="D294" s="33"/>
      <c r="E294" s="33"/>
      <c r="I294" s="33"/>
      <c r="L294" s="33"/>
      <c r="M294" s="33"/>
    </row>
    <row r="295" spans="2:13">
      <c r="B295" s="33"/>
      <c r="C295" s="33"/>
      <c r="D295" s="33"/>
      <c r="E295" s="33"/>
      <c r="I295" s="33"/>
      <c r="L295" s="33"/>
      <c r="M295" s="33"/>
    </row>
    <row r="296" spans="2:13">
      <c r="B296" s="33"/>
      <c r="C296" s="33"/>
      <c r="D296" s="33"/>
      <c r="E296" s="33"/>
      <c r="I296" s="33"/>
      <c r="L296" s="33"/>
      <c r="M296" s="33"/>
    </row>
    <row r="297" spans="2:13">
      <c r="B297" s="33"/>
      <c r="C297" s="33"/>
      <c r="D297" s="33"/>
      <c r="E297" s="33"/>
      <c r="I297" s="33"/>
      <c r="L297" s="33"/>
      <c r="M297" s="33"/>
    </row>
    <row r="298" spans="2:13">
      <c r="B298" s="33"/>
      <c r="C298" s="33"/>
      <c r="D298" s="33"/>
      <c r="E298" s="33"/>
      <c r="I298" s="33"/>
      <c r="L298" s="33"/>
      <c r="M298" s="33"/>
    </row>
    <row r="299" spans="2:13">
      <c r="B299" s="33"/>
      <c r="C299" s="33"/>
      <c r="D299" s="33"/>
      <c r="E299" s="33"/>
      <c r="I299" s="33"/>
      <c r="L299" s="33"/>
      <c r="M299" s="33"/>
    </row>
    <row r="300" spans="2:13">
      <c r="B300" s="33"/>
      <c r="C300" s="33"/>
      <c r="D300" s="33"/>
      <c r="E300" s="33"/>
      <c r="I300" s="33"/>
      <c r="L300" s="33"/>
      <c r="M300" s="33"/>
    </row>
    <row r="301" spans="2:13">
      <c r="B301" s="33"/>
      <c r="C301" s="33"/>
      <c r="D301" s="33"/>
      <c r="E301" s="33"/>
      <c r="I301" s="33"/>
      <c r="L301" s="33"/>
      <c r="M301" s="33"/>
    </row>
    <row r="302" spans="2:13">
      <c r="B302" s="33"/>
      <c r="C302" s="33"/>
      <c r="D302" s="33"/>
      <c r="E302" s="33"/>
      <c r="I302" s="33"/>
      <c r="L302" s="33"/>
      <c r="M302" s="33"/>
    </row>
    <row r="303" spans="2:13">
      <c r="B303" s="33"/>
      <c r="C303" s="33"/>
      <c r="D303" s="33"/>
      <c r="E303" s="33"/>
      <c r="I303" s="33"/>
      <c r="L303" s="33"/>
      <c r="M303" s="33"/>
    </row>
    <row r="304" spans="2:13">
      <c r="B304" s="33"/>
      <c r="C304" s="33"/>
      <c r="D304" s="33"/>
      <c r="E304" s="33"/>
      <c r="I304" s="33"/>
      <c r="L304" s="33"/>
      <c r="M304" s="33"/>
    </row>
    <row r="305" spans="2:13">
      <c r="B305" s="33"/>
      <c r="C305" s="33"/>
      <c r="D305" s="33"/>
      <c r="E305" s="33"/>
      <c r="I305" s="33"/>
      <c r="L305" s="33"/>
      <c r="M305" s="33"/>
    </row>
    <row r="306" spans="2:13">
      <c r="B306" s="33"/>
      <c r="C306" s="33"/>
      <c r="D306" s="33"/>
      <c r="E306" s="33"/>
      <c r="I306" s="33"/>
      <c r="L306" s="33"/>
      <c r="M306" s="33"/>
    </row>
    <row r="307" spans="2:13">
      <c r="B307" s="33"/>
      <c r="C307" s="33"/>
      <c r="D307" s="33"/>
      <c r="E307" s="33"/>
      <c r="I307" s="33"/>
      <c r="L307" s="33"/>
      <c r="M307" s="33"/>
    </row>
    <row r="308" spans="2:13">
      <c r="B308" s="33"/>
      <c r="C308" s="33"/>
      <c r="D308" s="33"/>
      <c r="E308" s="33"/>
      <c r="I308" s="33"/>
      <c r="L308" s="33"/>
      <c r="M308" s="33"/>
    </row>
    <row r="309" spans="2:13">
      <c r="B309" s="33"/>
      <c r="C309" s="33"/>
      <c r="D309" s="33"/>
      <c r="E309" s="33"/>
      <c r="I309" s="33"/>
      <c r="L309" s="33"/>
      <c r="M309" s="33"/>
    </row>
    <row r="310" spans="2:13">
      <c r="B310" s="33"/>
      <c r="C310" s="33"/>
      <c r="D310" s="33"/>
      <c r="E310" s="33"/>
      <c r="I310" s="33"/>
      <c r="L310" s="33"/>
      <c r="M310" s="33"/>
    </row>
    <row r="311" spans="2:13">
      <c r="B311" s="33"/>
      <c r="C311" s="33"/>
      <c r="D311" s="33"/>
      <c r="E311" s="33"/>
      <c r="I311" s="33"/>
      <c r="L311" s="33"/>
      <c r="M311" s="33"/>
    </row>
    <row r="312" spans="2:13">
      <c r="B312" s="33"/>
      <c r="C312" s="33"/>
      <c r="D312" s="33"/>
      <c r="E312" s="33"/>
      <c r="I312" s="33"/>
    </row>
    <row r="313" spans="2:13">
      <c r="B313" s="33"/>
      <c r="C313" s="33"/>
      <c r="D313" s="33"/>
      <c r="E313" s="33"/>
      <c r="I313" s="33"/>
    </row>
    <row r="314" spans="2:13">
      <c r="B314" s="33"/>
      <c r="C314" s="33"/>
      <c r="D314" s="33"/>
      <c r="E314" s="33"/>
      <c r="I314" s="33"/>
    </row>
    <row r="315" spans="2:13">
      <c r="B315" s="33"/>
      <c r="C315" s="33"/>
      <c r="D315" s="33"/>
      <c r="E315" s="33"/>
      <c r="I315" s="33"/>
    </row>
    <row r="316" spans="2:13">
      <c r="B316" s="33"/>
      <c r="C316" s="33"/>
      <c r="D316" s="33"/>
      <c r="E316" s="33"/>
      <c r="I316" s="33"/>
    </row>
    <row r="317" spans="2:13">
      <c r="B317" s="33"/>
      <c r="C317" s="33"/>
      <c r="D317" s="33"/>
      <c r="E317" s="33"/>
      <c r="I317" s="33"/>
    </row>
  </sheetData>
  <phoneticPr fontId="3"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sheetPr codeName="Sheet5"/>
  <dimension ref="A1:AR543"/>
  <sheetViews>
    <sheetView topLeftCell="A139" zoomScale="70" zoomScaleNormal="70" workbookViewId="0">
      <selection activeCell="A4" sqref="A4"/>
    </sheetView>
  </sheetViews>
  <sheetFormatPr defaultRowHeight="15"/>
  <cols>
    <col min="1" max="1" width="11.7109375" style="18" bestFit="1" customWidth="1"/>
    <col min="2" max="4" width="10.85546875" style="19" customWidth="1"/>
    <col min="5" max="13" width="10.85546875" customWidth="1"/>
    <col min="14" max="14" width="8.28515625" customWidth="1"/>
    <col min="15" max="19" width="11.5703125" customWidth="1"/>
    <col min="20" max="20" width="9.85546875" customWidth="1"/>
    <col min="21" max="27" width="11.140625" customWidth="1"/>
  </cols>
  <sheetData>
    <row r="1" spans="1:44">
      <c r="B1" s="38" t="s">
        <v>102</v>
      </c>
      <c r="C1" s="38" t="s">
        <v>103</v>
      </c>
      <c r="D1" s="38" t="s">
        <v>104</v>
      </c>
      <c r="E1" s="38" t="s">
        <v>105</v>
      </c>
      <c r="F1" s="38" t="s">
        <v>100</v>
      </c>
      <c r="G1" s="38" t="s">
        <v>107</v>
      </c>
      <c r="H1" s="38" t="s">
        <v>106</v>
      </c>
      <c r="I1" s="38" t="s">
        <v>108</v>
      </c>
      <c r="J1" s="38" t="s">
        <v>110</v>
      </c>
      <c r="K1" s="38" t="s">
        <v>101</v>
      </c>
      <c r="L1" s="38" t="s">
        <v>109</v>
      </c>
      <c r="M1" s="38" t="s">
        <v>111</v>
      </c>
      <c r="O1" s="38" t="s">
        <v>102</v>
      </c>
      <c r="P1" s="38" t="s">
        <v>103</v>
      </c>
      <c r="Q1" s="38" t="s">
        <v>104</v>
      </c>
      <c r="R1" s="38" t="s">
        <v>105</v>
      </c>
      <c r="S1" s="38" t="s">
        <v>100</v>
      </c>
      <c r="T1" s="38" t="s">
        <v>107</v>
      </c>
      <c r="U1" s="38" t="s">
        <v>106</v>
      </c>
      <c r="V1" s="38" t="s">
        <v>108</v>
      </c>
      <c r="W1" s="38" t="s">
        <v>110</v>
      </c>
      <c r="X1" s="38" t="s">
        <v>101</v>
      </c>
      <c r="Y1" s="38" t="s">
        <v>109</v>
      </c>
      <c r="Z1" s="38" t="s">
        <v>111</v>
      </c>
      <c r="AR1" s="39"/>
    </row>
    <row r="2" spans="1:44" s="16" customFormat="1" ht="30.75" customHeight="1">
      <c r="A2" s="21" t="s">
        <v>81</v>
      </c>
      <c r="B2" s="39" t="s">
        <v>14</v>
      </c>
      <c r="C2" s="39" t="s">
        <v>21</v>
      </c>
      <c r="D2" s="39" t="s">
        <v>15</v>
      </c>
      <c r="E2" s="39" t="s">
        <v>16</v>
      </c>
      <c r="F2" s="39" t="s">
        <v>112</v>
      </c>
      <c r="G2" s="39" t="s">
        <v>113</v>
      </c>
      <c r="H2" s="39" t="s">
        <v>114</v>
      </c>
      <c r="I2" s="39" t="s">
        <v>22</v>
      </c>
      <c r="J2" s="39" t="s">
        <v>115</v>
      </c>
      <c r="K2" s="39" t="s">
        <v>116</v>
      </c>
      <c r="L2" s="39" t="s">
        <v>88</v>
      </c>
      <c r="M2" s="39" t="s">
        <v>89</v>
      </c>
      <c r="N2" s="20" t="s">
        <v>80</v>
      </c>
      <c r="O2" s="39" t="s">
        <v>14</v>
      </c>
      <c r="P2" s="39" t="s">
        <v>21</v>
      </c>
      <c r="Q2" s="39" t="s">
        <v>15</v>
      </c>
      <c r="R2" s="39" t="s">
        <v>16</v>
      </c>
      <c r="S2" s="39" t="s">
        <v>112</v>
      </c>
      <c r="T2" s="39" t="s">
        <v>113</v>
      </c>
      <c r="U2" s="39" t="s">
        <v>114</v>
      </c>
      <c r="V2" s="39" t="s">
        <v>22</v>
      </c>
      <c r="W2" s="39" t="s">
        <v>115</v>
      </c>
      <c r="X2" s="39" t="s">
        <v>116</v>
      </c>
      <c r="Y2" s="39" t="s">
        <v>88</v>
      </c>
      <c r="Z2" s="39" t="s">
        <v>89</v>
      </c>
      <c r="AA2" s="17"/>
      <c r="AB2" t="s">
        <v>99</v>
      </c>
      <c r="AC2" t="s">
        <v>5</v>
      </c>
      <c r="AD2">
        <f>MATCH(AC2,Table!$B:$B,0)</f>
        <v>5</v>
      </c>
      <c r="AF2" t="s">
        <v>99</v>
      </c>
      <c r="AG2" t="s">
        <v>0</v>
      </c>
      <c r="AH2">
        <f>MATCH(AG2,Table!$A:$A,0)</f>
        <v>3</v>
      </c>
      <c r="AJ2" t="s">
        <v>99</v>
      </c>
      <c r="AK2" t="s">
        <v>4</v>
      </c>
      <c r="AL2">
        <f>MATCH(AK2,Table!$B:$B,0)</f>
        <v>4</v>
      </c>
      <c r="AN2" t="s">
        <v>99</v>
      </c>
      <c r="AO2" t="s">
        <v>0</v>
      </c>
      <c r="AP2">
        <f>MATCH(AO2,Table!$A:$A,0)</f>
        <v>3</v>
      </c>
      <c r="AR2" s="39" t="s">
        <v>117</v>
      </c>
    </row>
    <row r="3" spans="1:44">
      <c r="A3" s="5">
        <v>41242</v>
      </c>
      <c r="B3" s="35">
        <f ca="1">IF(ISERROR(MATCH(B$1,INDIRECT("Table!A"&amp;$AF3):INDIRECT("Table!" &amp; $AR$159 &amp; $AF3),0)),"",INDIRECT(CONCATENATE("Table!",ADDRESS($AB3,MATCH(B$1,INDIRECT("Table!A" &amp; $AF3):INDIRECT("Table!" &amp; $AR$159 &amp; $AF3),0)))))</f>
        <v>45320.6</v>
      </c>
      <c r="C3" s="35">
        <f ca="1">IF(ISERROR(MATCH(C$1,INDIRECT("Table!A"&amp;$AF3):INDIRECT("Table!" &amp; $AR$159 &amp; $AF3),0)),"",INDIRECT(CONCATENATE("Table!",ADDRESS($AB3,MATCH(C$1,INDIRECT("Table!A" &amp; $AF3):INDIRECT("Table!" &amp; $AR$159 &amp; $AF3),0)))))</f>
        <v>74987.100000000006</v>
      </c>
      <c r="D3" s="35">
        <f ca="1">IF(ISERROR(MATCH(D$1,INDIRECT("Table!A"&amp;$AF3):INDIRECT("Table!" &amp; $AR$159 &amp; $AF3),0)),"",INDIRECT(CONCATENATE("Table!",ADDRESS($AB3,MATCH(D$1,INDIRECT("Table!A" &amp; $AF3):INDIRECT("Table!" &amp; $AR$159 &amp; $AF3),0)))))</f>
        <v>76403</v>
      </c>
      <c r="E3" s="35">
        <f ca="1">IF(ISERROR(MATCH(E$1,INDIRECT("Table!A"&amp;$AF3):INDIRECT("Table!" &amp; $AR$159 &amp; $AF3),0)),"",INDIRECT(CONCATENATE("Table!",ADDRESS($AB3,MATCH(E$1,INDIRECT("Table!A" &amp; $AF3):INDIRECT("Table!" &amp; $AR$159 &amp; $AF3),0)))))</f>
        <v>159714.6</v>
      </c>
      <c r="F3" s="35">
        <f ca="1">IF(ISERROR(MATCH(F$1,INDIRECT("Table!A"&amp;$AF3):INDIRECT("Table!" &amp; $AR$159 &amp; $AF3),0)),"",INDIRECT(CONCATENATE("Table!",ADDRESS($AB3,MATCH(F$1,INDIRECT("Table!A" &amp; $AF3):INDIRECT("Table!" &amp; $AR$159 &amp; $AF3),0)))))</f>
        <v>63470.400000000001</v>
      </c>
      <c r="G3" s="35">
        <f ca="1">IF(ISERROR(MATCH(G$1,INDIRECT("Table!A"&amp;$AF3):INDIRECT("Table!" &amp; $AR$159 &amp; $AF3),0)),"",INDIRECT(CONCATENATE("Table!",ADDRESS($AB3,MATCH(G$1,INDIRECT("Table!A" &amp; $AF3):INDIRECT("Table!" &amp; $AR$159 &amp; $AF3),0)))))</f>
        <v>27289.1</v>
      </c>
      <c r="H3" s="35">
        <f ca="1">IF(ISERROR(MATCH(H$1,INDIRECT("Table!A"&amp;$AF3):INDIRECT("Table!" &amp; $AR$159 &amp; $AF3),0)),"",INDIRECT(CONCATENATE("Table!",ADDRESS($AB3,MATCH(H$1,INDIRECT("Table!A" &amp; $AF3):INDIRECT("Table!" &amp; $AR$159 &amp; $AF3),0)))))</f>
        <v>49132.6</v>
      </c>
      <c r="I3" s="35">
        <f ca="1">IF(ISERROR(MATCH(I$1,INDIRECT("Table!A"&amp;$AF3):INDIRECT("Table!" &amp; $AR$159 &amp; $AF3),0)),"",INDIRECT(CONCATENATE("Table!",ADDRESS($AB3,MATCH(I$1,INDIRECT("Table!A" &amp; $AF3):INDIRECT("Table!" &amp; $AR$159 &amp; $AF3),0)))))</f>
        <v>147978.6</v>
      </c>
      <c r="J3" s="35">
        <f ca="1">IF(ISERROR(MATCH(J$1,INDIRECT("Table!A"&amp;$AF3):INDIRECT("Table!" &amp; $AR$159 &amp; $AF3),0)),"",INDIRECT(CONCATENATE("Table!",ADDRESS($AB3,MATCH(J$1,INDIRECT("Table!A" &amp; $AF3):INDIRECT("Table!" &amp; $AR$159 &amp; $AF3),0)))))</f>
        <v>37457</v>
      </c>
      <c r="K3" s="35">
        <f ca="1">IF(ISERROR(MATCH(K$1,INDIRECT("Table!A"&amp;$AF3):INDIRECT("Table!" &amp; $AR$159 &amp; $AF3),0)),"",INDIRECT(CONCATENATE("Table!",ADDRESS($AB3,MATCH(K$1,INDIRECT("Table!A" &amp; $AF3):INDIRECT("Table!" &amp; $AR$159 &amp; $AF3),0)))))</f>
        <v>33279.199999999997</v>
      </c>
      <c r="L3" s="35">
        <f ca="1">IF(ISERROR(MATCH(L$1,INDIRECT("Table!A"&amp;$AF3):INDIRECT("Table!" &amp; $AR$159 &amp; $AF3),0)),"",INDIRECT(CONCATENATE("Table!",ADDRESS($AB3,MATCH(L$1,INDIRECT("Table!A" &amp; $AF3):INDIRECT("Table!" &amp; $AR$159 &amp; $AF3),0)))))</f>
        <v>99567.1</v>
      </c>
      <c r="M3" s="35">
        <f ca="1">IF(ISERROR(MATCH(M$1,INDIRECT("Table!A"&amp;$AF3):INDIRECT("Table!" &amp; $AR$159 &amp; $AF3),0)),"",INDIRECT(CONCATENATE("Table!",ADDRESS($AB3,MATCH(M$1,INDIRECT("Table!A" &amp; $AF3):INDIRECT("Table!" &amp; $AR$159 &amp; $AF3),0)))))</f>
        <v>20795</v>
      </c>
      <c r="N3" s="35" t="str">
        <f ca="1">IF(ISERROR(MATCH(N$1,INDIRECT("Table!A"&amp;$AF3):INDIRECT("Table!" &amp; $AR$188 &amp; $AF3),0)),"",INDIRECT(CONCATENATE("Table!",ADDRESS($AB3,MATCH(N$1,INDIRECT("Table!A" &amp; $AF3):INDIRECT("Table!" &amp; $AR$188 &amp; $AF3),0)))))</f>
        <v/>
      </c>
      <c r="O3" s="35">
        <f ca="1">IF(ISERROR(MATCH(O$1,INDIRECT("Table!A"&amp;$AN3):INDIRECT("Table!" &amp; $AR$159 &amp; $AN3),0)),"",INDIRECT(CONCATENATE("Table!",ADDRESS($AJ3,MATCH(O$1,INDIRECT("Table!A" &amp; $AN3):INDIRECT("Table!" &amp; $AR$159 &amp; $AN3),0)))))</f>
        <v>143392.20000000001</v>
      </c>
      <c r="P3" s="35">
        <f ca="1">IF(ISERROR(MATCH(P$1,INDIRECT("Table!A"&amp;$AN3):INDIRECT("Table!" &amp; $AR$159 &amp; $AN3),0)),"",INDIRECT(CONCATENATE("Table!",ADDRESS($AJ3,MATCH(P$1,INDIRECT("Table!A" &amp; $AN3):INDIRECT("Table!" &amp; $AR$159 &amp; $AN3),0)))))</f>
        <v>150515.79999999999</v>
      </c>
      <c r="Q3" s="35">
        <f ca="1">IF(ISERROR(MATCH(Q$1,INDIRECT("Table!A"&amp;$AN3):INDIRECT("Table!" &amp; $AR$159 &amp; $AN3),0)),"",INDIRECT(CONCATENATE("Table!",ADDRESS($AJ3,MATCH(Q$1,INDIRECT("Table!A" &amp; $AN3):INDIRECT("Table!" &amp; $AR$159 &amp; $AN3),0)))))</f>
        <v>150515.79999999999</v>
      </c>
      <c r="R3" s="35">
        <f ca="1">IF(ISERROR(MATCH(R$1,INDIRECT("Table!A"&amp;$AN3):INDIRECT("Table!" &amp; $AR$159 &amp; $AN3),0)),"",INDIRECT(CONCATENATE("Table!",ADDRESS($AJ3,MATCH(R$1,INDIRECT("Table!A" &amp; $AN3):INDIRECT("Table!" &amp; $AR$159 &amp; $AN3),0)))))</f>
        <v>181997.8</v>
      </c>
      <c r="S3" s="35">
        <f ca="1">IF(ISERROR(MATCH(S$1,INDIRECT("Table!A"&amp;$AN3):INDIRECT("Table!" &amp; $AR$159 &amp; $AN3),0)),"",INDIRECT(CONCATENATE("Table!",ADDRESS($AJ3,MATCH(S$1,INDIRECT("Table!A" &amp; $AN3):INDIRECT("Table!" &amp; $AR$159 &amp; $AN3),0)))))</f>
        <v>165452.5</v>
      </c>
      <c r="T3" s="35">
        <f ca="1">IF(ISERROR(MATCH(T$1,INDIRECT("Table!A"&amp;$AN3):INDIRECT("Table!" &amp; $AR$159 &amp; $AN3),0)),"",INDIRECT(CONCATENATE("Table!",ADDRESS($AJ3,MATCH(T$1,INDIRECT("Table!A" &amp; $AN3):INDIRECT("Table!" &amp; $AR$159 &amp; $AN3),0)))))</f>
        <v>132132</v>
      </c>
      <c r="U3" s="35">
        <f ca="1">IF(ISERROR(MATCH(U$1,INDIRECT("Table!A"&amp;$AN3):INDIRECT("Table!" &amp; $AR$159 &amp; $AN3),0)),"",INDIRECT(CONCATENATE("Table!",ADDRESS($AJ3,MATCH(U$1,INDIRECT("Table!A" &amp; $AN3):INDIRECT("Table!" &amp; $AR$159 &amp; $AN3),0)))))</f>
        <v>121331.8</v>
      </c>
      <c r="V3" s="35">
        <f ca="1">IF(ISERROR(MATCH(V$1,INDIRECT("Table!A"&amp;$AN3):INDIRECT("Table!" &amp; $AR$159 &amp; $AN3),0)),"",INDIRECT(CONCATENATE("Table!",ADDRESS($AJ3,MATCH(V$1,INDIRECT("Table!A" &amp; $AN3):INDIRECT("Table!" &amp; $AR$159 &amp; $AN3),0)))))</f>
        <v>193027</v>
      </c>
      <c r="W3" s="35">
        <f ca="1">IF(ISERROR(MATCH(W$1,INDIRECT("Table!A"&amp;$AN3):INDIRECT("Table!" &amp; $AR$159 &amp; $AN3),0)),"",INDIRECT(CONCATENATE("Table!",ADDRESS($AJ3,MATCH(W$1,INDIRECT("Table!A" &amp; $AN3):INDIRECT("Table!" &amp; $AR$159 &amp; $AN3),0)))))</f>
        <v>132132.20000000001</v>
      </c>
      <c r="X3" s="35">
        <f ca="1">IF(ISERROR(MATCH(X$1,INDIRECT("Table!A"&amp;$AN3):INDIRECT("Table!" &amp; $AR$159 &amp; $AN3),0)),"",INDIRECT(CONCATENATE("Table!",ADDRESS($AJ3,MATCH(X$1,INDIRECT("Table!A" &amp; $AN3):INDIRECT("Table!" &amp; $AR$159 &amp; $AN3),0)))))</f>
        <v>82726.3</v>
      </c>
      <c r="Y3" s="35">
        <f ca="1">IF(ISERROR(MATCH(Y$1,INDIRECT("Table!A"&amp;$AN3):INDIRECT("Table!" &amp; $AR$159 &amp; $AN3),0)),"",INDIRECT(CONCATENATE("Table!",ADDRESS($AJ3,MATCH(Y$1,INDIRECT("Table!A" &amp; $AN3):INDIRECT("Table!" &amp; $AR$159 &amp; $AN3),0)))))</f>
        <v>176482.7</v>
      </c>
      <c r="Z3" s="35">
        <f ca="1">IF(ISERROR(MATCH(Z$1,INDIRECT("Table!A"&amp;$AN3):INDIRECT("Table!" &amp; $AR$159 &amp; $AN3),0)),"",INDIRECT(CONCATENATE("Table!",ADDRESS($AJ3,MATCH(Z$1,INDIRECT("Table!A" &amp; $AN3):INDIRECT("Table!" &amp; $AR$159 &amp; $AN3),0)))))</f>
        <v>54921</v>
      </c>
      <c r="AA3" s="12"/>
      <c r="AB3" s="12">
        <f>MATCH($A3,Table!$A:$A,0)+$AD$2-1</f>
        <v>220</v>
      </c>
      <c r="AF3" s="31">
        <f>MATCH($A3,Table!$A:$A,0)+$AH$2-1</f>
        <v>218</v>
      </c>
      <c r="AJ3" s="12">
        <f>MATCH($A3,Table!$A:$A,0)+$AL$2-1</f>
        <v>219</v>
      </c>
      <c r="AN3" s="31">
        <f>MATCH($A3,Table!$A:$A,0)+$AH$2-1</f>
        <v>218</v>
      </c>
      <c r="AR3" s="216" t="s">
        <v>118</v>
      </c>
    </row>
    <row r="4" spans="1:44">
      <c r="A4" s="5">
        <v>41241</v>
      </c>
      <c r="B4" s="35">
        <f ca="1">IF(ISERROR(MATCH(B$1,INDIRECT("Table!A"&amp;$AF4):INDIRECT("Table!" &amp; $AR$159 &amp; $AF4),0)),"",INDIRECT(CONCATENATE("Table!",ADDRESS($AB4,MATCH(B$1,INDIRECT("Table!A" &amp; $AF4):INDIRECT("Table!" &amp; $AR$159 &amp; $AF4),0)))))</f>
        <v>46680.5</v>
      </c>
      <c r="C4" s="35">
        <f ca="1">IF(ISERROR(MATCH(C$1,INDIRECT("Table!A"&amp;$AF4):INDIRECT("Table!" &amp; $AR$159 &amp; $AF4),0)),"",INDIRECT(CONCATENATE("Table!",ADDRESS($AB4,MATCH(C$1,INDIRECT("Table!A" &amp; $AF4):INDIRECT("Table!" &amp; $AR$159 &amp; $AF4),0)))))</f>
        <v>74972.600000000006</v>
      </c>
      <c r="D4" s="35">
        <f ca="1">IF(ISERROR(MATCH(D$1,INDIRECT("Table!A"&amp;$AF4):INDIRECT("Table!" &amp; $AR$159 &amp; $AF4),0)),"",INDIRECT(CONCATENATE("Table!",ADDRESS($AB4,MATCH(D$1,INDIRECT("Table!A" &amp; $AF4):INDIRECT("Table!" &amp; $AR$159 &amp; $AF4),0)))))</f>
        <v>76388.600000000006</v>
      </c>
      <c r="E4" s="35">
        <f ca="1">IF(ISERROR(MATCH(E$1,INDIRECT("Table!A"&amp;$AF4):INDIRECT("Table!" &amp; $AR$159 &amp; $AF4),0)),"",INDIRECT(CONCATENATE("Table!",ADDRESS($AB4,MATCH(E$1,INDIRECT("Table!A" &amp; $AF4):INDIRECT("Table!" &amp; $AR$159 &amp; $AF4),0)))))</f>
        <v>159662.79999999999</v>
      </c>
      <c r="F4" s="35">
        <f ca="1">IF(ISERROR(MATCH(F$1,INDIRECT("Table!A"&amp;$AF4):INDIRECT("Table!" &amp; $AR$159 &amp; $AF4),0)),"",INDIRECT(CONCATENATE("Table!",ADDRESS($AB4,MATCH(F$1,INDIRECT("Table!A" &amp; $AF4):INDIRECT("Table!" &amp; $AR$159 &amp; $AF4),0)))))</f>
        <v>63381</v>
      </c>
      <c r="G4" s="35">
        <f ca="1">IF(ISERROR(MATCH(G$1,INDIRECT("Table!A"&amp;$AF4):INDIRECT("Table!" &amp; $AR$159 &amp; $AF4),0)),"",INDIRECT(CONCATENATE("Table!",ADDRESS($AB4,MATCH(G$1,INDIRECT("Table!A" &amp; $AF4):INDIRECT("Table!" &amp; $AR$159 &amp; $AF4),0)))))</f>
        <v>28317.4</v>
      </c>
      <c r="H4" s="35">
        <f ca="1">IF(ISERROR(MATCH(H$1,INDIRECT("Table!A"&amp;$AF4):INDIRECT("Table!" &amp; $AR$159 &amp; $AF4),0)),"",INDIRECT(CONCATENATE("Table!",ADDRESS($AB4,MATCH(H$1,INDIRECT("Table!A" &amp; $AF4):INDIRECT("Table!" &amp; $AR$159 &amp; $AF4),0)))))</f>
        <v>49098.3</v>
      </c>
      <c r="I4" s="35">
        <f ca="1">IF(ISERROR(MATCH(I$1,INDIRECT("Table!A"&amp;$AF4):INDIRECT("Table!" &amp; $AR$159 &amp; $AF4),0)),"",INDIRECT(CONCATENATE("Table!",ADDRESS($AB4,MATCH(I$1,INDIRECT("Table!A" &amp; $AF4):INDIRECT("Table!" &amp; $AR$159 &amp; $AF4),0)))))</f>
        <v>147912.70000000001</v>
      </c>
      <c r="J4" s="35">
        <f ca="1">IF(ISERROR(MATCH(J$1,INDIRECT("Table!A"&amp;$AF4):INDIRECT("Table!" &amp; $AR$159 &amp; $AF4),0)),"",INDIRECT(CONCATENATE("Table!",ADDRESS($AB4,MATCH(J$1,INDIRECT("Table!A" &amp; $AF4):INDIRECT("Table!" &amp; $AR$159 &amp; $AF4),0)))))</f>
        <v>37797.5</v>
      </c>
      <c r="K4" s="35">
        <f ca="1">IF(ISERROR(MATCH(K$1,INDIRECT("Table!A"&amp;$AF4):INDIRECT("Table!" &amp; $AR$159 &amp; $AF4),0)),"",INDIRECT(CONCATENATE("Table!",ADDRESS($AB4,MATCH(K$1,INDIRECT("Table!A" &amp; $AF4):INDIRECT("Table!" &amp; $AR$159 &amp; $AF4),0)))))</f>
        <v>33220.1</v>
      </c>
      <c r="L4" s="35">
        <f ca="1">IF(ISERROR(MATCH(L$1,INDIRECT("Table!A"&amp;$AF4):INDIRECT("Table!" &amp; $AR$159 &amp; $AF4),0)),"",INDIRECT(CONCATENATE("Table!",ADDRESS($AB4,MATCH(L$1,INDIRECT("Table!A" &amp; $AF4):INDIRECT("Table!" &amp; $AR$159 &amp; $AF4),0)))))</f>
        <v>99501.1</v>
      </c>
      <c r="M4" s="35">
        <f ca="1">IF(ISERROR(MATCH(M$1,INDIRECT("Table!A"&amp;$AF4):INDIRECT("Table!" &amp; $AR$159 &amp; $AF4),0)),"",INDIRECT(CONCATENATE("Table!",ADDRESS($AB4,MATCH(M$1,INDIRECT("Table!A" &amp; $AF4):INDIRECT("Table!" &amp; $AR$159 &amp; $AF4),0)))))</f>
        <v>20795</v>
      </c>
      <c r="N4" s="35" t="str">
        <f ca="1">IF(ISERROR(MATCH(N$1,INDIRECT("Table!A"&amp;$AF4):INDIRECT("Table!" &amp; $AR$188 &amp; $AF4),0)),"",INDIRECT(CONCATENATE("Table!",ADDRESS($AB4,MATCH(N$1,INDIRECT("Table!A" &amp; $AF4):INDIRECT("Table!" &amp; $AR$188 &amp; $AF4),0)))))</f>
        <v/>
      </c>
      <c r="O4" s="35">
        <f ca="1">IF(ISERROR(MATCH(O$1,INDIRECT("Table!A"&amp;$AN4):INDIRECT("Table!" &amp; $AR$159 &amp; $AN4),0)),"",INDIRECT(CONCATENATE("Table!",ADDRESS($AJ4,MATCH(O$1,INDIRECT("Table!A" &amp; $AN4):INDIRECT("Table!" &amp; $AR$159 &amp; $AN4),0)))))</f>
        <v>143392.20000000001</v>
      </c>
      <c r="P4" s="35">
        <f ca="1">IF(ISERROR(MATCH(P$1,INDIRECT("Table!A"&amp;$AN4):INDIRECT("Table!" &amp; $AR$159 &amp; $AN4),0)),"",INDIRECT(CONCATENATE("Table!",ADDRESS($AJ4,MATCH(P$1,INDIRECT("Table!A" &amp; $AN4):INDIRECT("Table!" &amp; $AR$159 &amp; $AN4),0)))))</f>
        <v>150515.79999999999</v>
      </c>
      <c r="Q4" s="35">
        <f ca="1">IF(ISERROR(MATCH(Q$1,INDIRECT("Table!A"&amp;$AN4):INDIRECT("Table!" &amp; $AR$159 &amp; $AN4),0)),"",INDIRECT(CONCATENATE("Table!",ADDRESS($AJ4,MATCH(Q$1,INDIRECT("Table!A" &amp; $AN4):INDIRECT("Table!" &amp; $AR$159 &amp; $AN4),0)))))</f>
        <v>150515.79999999999</v>
      </c>
      <c r="R4" s="35">
        <f ca="1">IF(ISERROR(MATCH(R$1,INDIRECT("Table!A"&amp;$AN4):INDIRECT("Table!" &amp; $AR$159 &amp; $AN4),0)),"",INDIRECT(CONCATENATE("Table!",ADDRESS($AJ4,MATCH(R$1,INDIRECT("Table!A" &amp; $AN4):INDIRECT("Table!" &amp; $AR$159 &amp; $AN4),0)))))</f>
        <v>181997.8</v>
      </c>
      <c r="S4" s="35">
        <f ca="1">IF(ISERROR(MATCH(S$1,INDIRECT("Table!A"&amp;$AN4):INDIRECT("Table!" &amp; $AR$159 &amp; $AN4),0)),"",INDIRECT(CONCATENATE("Table!",ADDRESS($AJ4,MATCH(S$1,INDIRECT("Table!A" &amp; $AN4):INDIRECT("Table!" &amp; $AR$159 &amp; $AN4),0)))))</f>
        <v>165452.5</v>
      </c>
      <c r="T4" s="35">
        <f ca="1">IF(ISERROR(MATCH(T$1,INDIRECT("Table!A"&amp;$AN4):INDIRECT("Table!" &amp; $AR$159 &amp; $AN4),0)),"",INDIRECT(CONCATENATE("Table!",ADDRESS($AJ4,MATCH(T$1,INDIRECT("Table!A" &amp; $AN4):INDIRECT("Table!" &amp; $AR$159 &amp; $AN4),0)))))</f>
        <v>132132</v>
      </c>
      <c r="U4" s="35">
        <f ca="1">IF(ISERROR(MATCH(U$1,INDIRECT("Table!A"&amp;$AN4):INDIRECT("Table!" &amp; $AR$159 &amp; $AN4),0)),"",INDIRECT(CONCATENATE("Table!",ADDRESS($AJ4,MATCH(U$1,INDIRECT("Table!A" &amp; $AN4):INDIRECT("Table!" &amp; $AR$159 &amp; $AN4),0)))))</f>
        <v>121331.8</v>
      </c>
      <c r="V4" s="35">
        <f ca="1">IF(ISERROR(MATCH(V$1,INDIRECT("Table!A"&amp;$AN4):INDIRECT("Table!" &amp; $AR$159 &amp; $AN4),0)),"",INDIRECT(CONCATENATE("Table!",ADDRESS($AJ4,MATCH(V$1,INDIRECT("Table!A" &amp; $AN4):INDIRECT("Table!" &amp; $AR$159 &amp; $AN4),0)))))</f>
        <v>193027</v>
      </c>
      <c r="W4" s="35">
        <f ca="1">IF(ISERROR(MATCH(W$1,INDIRECT("Table!A"&amp;$AN4):INDIRECT("Table!" &amp; $AR$159 &amp; $AN4),0)),"",INDIRECT(CONCATENATE("Table!",ADDRESS($AJ4,MATCH(W$1,INDIRECT("Table!A" &amp; $AN4):INDIRECT("Table!" &amp; $AR$159 &amp; $AN4),0)))))</f>
        <v>132132.20000000001</v>
      </c>
      <c r="X4" s="35">
        <f ca="1">IF(ISERROR(MATCH(X$1,INDIRECT("Table!A"&amp;$AN4):INDIRECT("Table!" &amp; $AR$159 &amp; $AN4),0)),"",INDIRECT(CONCATENATE("Table!",ADDRESS($AJ4,MATCH(X$1,INDIRECT("Table!A" &amp; $AN4):INDIRECT("Table!" &amp; $AR$159 &amp; $AN4),0)))))</f>
        <v>82726.3</v>
      </c>
      <c r="Y4" s="35">
        <f ca="1">IF(ISERROR(MATCH(Y$1,INDIRECT("Table!A"&amp;$AN4):INDIRECT("Table!" &amp; $AR$159 &amp; $AN4),0)),"",INDIRECT(CONCATENATE("Table!",ADDRESS($AJ4,MATCH(Y$1,INDIRECT("Table!A" &amp; $AN4):INDIRECT("Table!" &amp; $AR$159 &amp; $AN4),0)))))</f>
        <v>176482.7</v>
      </c>
      <c r="Z4" s="35">
        <f ca="1">IF(ISERROR(MATCH(Z$1,INDIRECT("Table!A"&amp;$AN4):INDIRECT("Table!" &amp; $AR$159 &amp; $AN4),0)),"",INDIRECT(CONCATENATE("Table!",ADDRESS($AJ4,MATCH(Z$1,INDIRECT("Table!A" &amp; $AN4):INDIRECT("Table!" &amp; $AR$159 &amp; $AN4),0)))))</f>
        <v>54921</v>
      </c>
      <c r="AA4" s="12"/>
      <c r="AB4" s="12">
        <f>MATCH($A4,Table!$A:$A,0)+$AD$2-1</f>
        <v>237</v>
      </c>
      <c r="AF4" s="31">
        <f>MATCH($A4,Table!$A:$A,0)+$AH$2-1</f>
        <v>235</v>
      </c>
      <c r="AJ4" s="12">
        <f>MATCH($A4,Table!$A:$A,0)+$AL$2-1</f>
        <v>236</v>
      </c>
      <c r="AN4" s="31">
        <f>MATCH($A4,Table!$A:$A,0)+$AH$2-1</f>
        <v>235</v>
      </c>
      <c r="AR4" s="270" t="s">
        <v>118</v>
      </c>
    </row>
    <row r="5" spans="1:44">
      <c r="A5" s="5">
        <v>41239</v>
      </c>
      <c r="B5" s="35">
        <f ca="1">IF(ISERROR(MATCH(B$1,INDIRECT("Table!A"&amp;$AF5):INDIRECT("Table!" &amp; $AR$159 &amp; $AF5),0)),"",INDIRECT(CONCATENATE("Table!",ADDRESS($AB5,MATCH(B$1,INDIRECT("Table!A" &amp; $AF5):INDIRECT("Table!" &amp; $AR$159 &amp; $AF5),0)))))</f>
        <v>48923.7</v>
      </c>
      <c r="C5" s="35">
        <f ca="1">IF(ISERROR(MATCH(C$1,INDIRECT("Table!A"&amp;$AF5):INDIRECT("Table!" &amp; $AR$159 &amp; $AF5),0)),"",INDIRECT(CONCATENATE("Table!",ADDRESS($AB5,MATCH(C$1,INDIRECT("Table!A" &amp; $AF5):INDIRECT("Table!" &amp; $AR$159 &amp; $AF5),0)))))</f>
        <v>74934.2</v>
      </c>
      <c r="D5" s="35">
        <f ca="1">IF(ISERROR(MATCH(D$1,INDIRECT("Table!A"&amp;$AF5):INDIRECT("Table!" &amp; $AR$159 &amp; $AF5),0)),"",INDIRECT(CONCATENATE("Table!",ADDRESS($AB5,MATCH(D$1,INDIRECT("Table!A" &amp; $AF5):INDIRECT("Table!" &amp; $AR$159 &amp; $AF5),0)))))</f>
        <v>76350.2</v>
      </c>
      <c r="E5" s="35">
        <f ca="1">IF(ISERROR(MATCH(E$1,INDIRECT("Table!A"&amp;$AF5):INDIRECT("Table!" &amp; $AR$159 &amp; $AF5),0)),"",INDIRECT(CONCATENATE("Table!",ADDRESS($AB5,MATCH(E$1,INDIRECT("Table!A" &amp; $AF5):INDIRECT("Table!" &amp; $AR$159 &amp; $AF5),0)))))</f>
        <v>159588.6</v>
      </c>
      <c r="F5" s="35">
        <f ca="1">IF(ISERROR(MATCH(F$1,INDIRECT("Table!A"&amp;$AF5):INDIRECT("Table!" &amp; $AR$159 &amp; $AF5),0)),"",INDIRECT(CONCATENATE("Table!",ADDRESS($AB5,MATCH(F$1,INDIRECT("Table!A" &amp; $AF5):INDIRECT("Table!" &amp; $AR$159 &amp; $AF5),0)))))</f>
        <v>63182.8</v>
      </c>
      <c r="G5" s="35">
        <f ca="1">IF(ISERROR(MATCH(G$1,INDIRECT("Table!A"&amp;$AF5):INDIRECT("Table!" &amp; $AR$159 &amp; $AF5),0)),"",INDIRECT(CONCATENATE("Table!",ADDRESS($AB5,MATCH(G$1,INDIRECT("Table!A" &amp; $AF5):INDIRECT("Table!" &amp; $AR$159 &amp; $AF5),0)))))</f>
        <v>29434.7</v>
      </c>
      <c r="H5" s="35">
        <f ca="1">IF(ISERROR(MATCH(H$1,INDIRECT("Table!A"&amp;$AF5):INDIRECT("Table!" &amp; $AR$159 &amp; $AF5),0)),"",INDIRECT(CONCATENATE("Table!",ADDRESS($AB5,MATCH(H$1,INDIRECT("Table!A" &amp; $AF5):INDIRECT("Table!" &amp; $AR$159 &amp; $AF5),0)))))</f>
        <v>48608</v>
      </c>
      <c r="I5" s="35">
        <f ca="1">IF(ISERROR(MATCH(I$1,INDIRECT("Table!A"&amp;$AF5):INDIRECT("Table!" &amp; $AR$159 &amp; $AF5),0)),"",INDIRECT(CONCATENATE("Table!",ADDRESS($AB5,MATCH(I$1,INDIRECT("Table!A" &amp; $AF5):INDIRECT("Table!" &amp; $AR$159 &amp; $AF5),0)))))</f>
        <v>147764.9</v>
      </c>
      <c r="J5" s="35">
        <f ca="1">IF(ISERROR(MATCH(J$1,INDIRECT("Table!A"&amp;$AF5):INDIRECT("Table!" &amp; $AR$159 &amp; $AF5),0)),"",INDIRECT(CONCATENATE("Table!",ADDRESS($AB5,MATCH(J$1,INDIRECT("Table!A" &amp; $AF5):INDIRECT("Table!" &amp; $AR$159 &amp; $AF5),0)))))</f>
        <v>36995.800000000003</v>
      </c>
      <c r="K5" s="35">
        <f ca="1">IF(ISERROR(MATCH(K$1,INDIRECT("Table!A"&amp;$AF5):INDIRECT("Table!" &amp; $AR$159 &amp; $AF5),0)),"",INDIRECT(CONCATENATE("Table!",ADDRESS($AB5,MATCH(K$1,INDIRECT("Table!A" &amp; $AF5):INDIRECT("Table!" &amp; $AR$159 &amp; $AF5),0)))))</f>
        <v>32880</v>
      </c>
      <c r="L5" s="35">
        <f ca="1">IF(ISERROR(MATCH(L$1,INDIRECT("Table!A"&amp;$AF5):INDIRECT("Table!" &amp; $AR$159 &amp; $AF5),0)),"",INDIRECT(CONCATENATE("Table!",ADDRESS($AB5,MATCH(L$1,INDIRECT("Table!A" &amp; $AF5):INDIRECT("Table!" &amp; $AR$159 &amp; $AF5),0)))))</f>
        <v>98561.5</v>
      </c>
      <c r="M5" s="35">
        <f ca="1">IF(ISERROR(MATCH(M$1,INDIRECT("Table!A"&amp;$AF5):INDIRECT("Table!" &amp; $AR$159 &amp; $AF5),0)),"",INDIRECT(CONCATENATE("Table!",ADDRESS($AB5,MATCH(M$1,INDIRECT("Table!A" &amp; $AF5):INDIRECT("Table!" &amp; $AR$159 &amp; $AF5),0)))))</f>
        <v>20795</v>
      </c>
      <c r="N5" s="35" t="str">
        <f ca="1">IF(ISERROR(MATCH(N$1,INDIRECT("Table!A"&amp;$AF5):INDIRECT("Table!" &amp; $AR$188 &amp; $AF5),0)),"",INDIRECT(CONCATENATE("Table!",ADDRESS($AB5,MATCH(N$1,INDIRECT("Table!A" &amp; $AF5):INDIRECT("Table!" &amp; $AR$188 &amp; $AF5),0)))))</f>
        <v/>
      </c>
      <c r="O5" s="35">
        <f ca="1">IF(ISERROR(MATCH(O$1,INDIRECT("Table!A"&amp;$AN5):INDIRECT("Table!" &amp; $AR$159 &amp; $AN5),0)),"",INDIRECT(CONCATENATE("Table!",ADDRESS($AJ5,MATCH(O$1,INDIRECT("Table!A" &amp; $AN5):INDIRECT("Table!" &amp; $AR$159 &amp; $AN5),0)))))</f>
        <v>143392.20000000001</v>
      </c>
      <c r="P5" s="35">
        <f ca="1">IF(ISERROR(MATCH(P$1,INDIRECT("Table!A"&amp;$AN5):INDIRECT("Table!" &amp; $AR$159 &amp; $AN5),0)),"",INDIRECT(CONCATENATE("Table!",ADDRESS($AJ5,MATCH(P$1,INDIRECT("Table!A" &amp; $AN5):INDIRECT("Table!" &amp; $AR$159 &amp; $AN5),0)))))</f>
        <v>150515.79999999999</v>
      </c>
      <c r="Q5" s="35">
        <f ca="1">IF(ISERROR(MATCH(Q$1,INDIRECT("Table!A"&amp;$AN5):INDIRECT("Table!" &amp; $AR$159 &amp; $AN5),0)),"",INDIRECT(CONCATENATE("Table!",ADDRESS($AJ5,MATCH(Q$1,INDIRECT("Table!A" &amp; $AN5):INDIRECT("Table!" &amp; $AR$159 &amp; $AN5),0)))))</f>
        <v>150515.79999999999</v>
      </c>
      <c r="R5" s="35">
        <f ca="1">IF(ISERROR(MATCH(R$1,INDIRECT("Table!A"&amp;$AN5):INDIRECT("Table!" &amp; $AR$159 &amp; $AN5),0)),"",INDIRECT(CONCATENATE("Table!",ADDRESS($AJ5,MATCH(R$1,INDIRECT("Table!A" &amp; $AN5):INDIRECT("Table!" &amp; $AR$159 &amp; $AN5),0)))))</f>
        <v>181997.8</v>
      </c>
      <c r="S5" s="35">
        <f ca="1">IF(ISERROR(MATCH(S$1,INDIRECT("Table!A"&amp;$AN5):INDIRECT("Table!" &amp; $AR$159 &amp; $AN5),0)),"",INDIRECT(CONCATENATE("Table!",ADDRESS($AJ5,MATCH(S$1,INDIRECT("Table!A" &amp; $AN5):INDIRECT("Table!" &amp; $AR$159 &amp; $AN5),0)))))</f>
        <v>165452.5</v>
      </c>
      <c r="T5" s="35">
        <f ca="1">IF(ISERROR(MATCH(T$1,INDIRECT("Table!A"&amp;$AN5):INDIRECT("Table!" &amp; $AR$159 &amp; $AN5),0)),"",INDIRECT(CONCATENATE("Table!",ADDRESS($AJ5,MATCH(T$1,INDIRECT("Table!A" &amp; $AN5):INDIRECT("Table!" &amp; $AR$159 &amp; $AN5),0)))))</f>
        <v>132132</v>
      </c>
      <c r="U5" s="35">
        <f ca="1">IF(ISERROR(MATCH(U$1,INDIRECT("Table!A"&amp;$AN5):INDIRECT("Table!" &amp; $AR$159 &amp; $AN5),0)),"",INDIRECT(CONCATENATE("Table!",ADDRESS($AJ5,MATCH(U$1,INDIRECT("Table!A" &amp; $AN5):INDIRECT("Table!" &amp; $AR$159 &amp; $AN5),0)))))</f>
        <v>121331.8</v>
      </c>
      <c r="V5" s="35">
        <f ca="1">IF(ISERROR(MATCH(V$1,INDIRECT("Table!A"&amp;$AN5):INDIRECT("Table!" &amp; $AR$159 &amp; $AN5),0)),"",INDIRECT(CONCATENATE("Table!",ADDRESS($AJ5,MATCH(V$1,INDIRECT("Table!A" &amp; $AN5):INDIRECT("Table!" &amp; $AR$159 &amp; $AN5),0)))))</f>
        <v>193027</v>
      </c>
      <c r="W5" s="35">
        <f ca="1">IF(ISERROR(MATCH(W$1,INDIRECT("Table!A"&amp;$AN5):INDIRECT("Table!" &amp; $AR$159 &amp; $AN5),0)),"",INDIRECT(CONCATENATE("Table!",ADDRESS($AJ5,MATCH(W$1,INDIRECT("Table!A" &amp; $AN5):INDIRECT("Table!" &amp; $AR$159 &amp; $AN5),0)))))</f>
        <v>132132.20000000001</v>
      </c>
      <c r="X5" s="35">
        <f ca="1">IF(ISERROR(MATCH(X$1,INDIRECT("Table!A"&amp;$AN5):INDIRECT("Table!" &amp; $AR$159 &amp; $AN5),0)),"",INDIRECT(CONCATENATE("Table!",ADDRESS($AJ5,MATCH(X$1,INDIRECT("Table!A" &amp; $AN5):INDIRECT("Table!" &amp; $AR$159 &amp; $AN5),0)))))</f>
        <v>82726.3</v>
      </c>
      <c r="Y5" s="35">
        <f ca="1">IF(ISERROR(MATCH(Y$1,INDIRECT("Table!A"&amp;$AN5):INDIRECT("Table!" &amp; $AR$159 &amp; $AN5),0)),"",INDIRECT(CONCATENATE("Table!",ADDRESS($AJ5,MATCH(Y$1,INDIRECT("Table!A" &amp; $AN5):INDIRECT("Table!" &amp; $AR$159 &amp; $AN5),0)))))</f>
        <v>176482.7</v>
      </c>
      <c r="Z5" s="35">
        <f ca="1">IF(ISERROR(MATCH(Z$1,INDIRECT("Table!A"&amp;$AN5):INDIRECT("Table!" &amp; $AR$159 &amp; $AN5),0)),"",INDIRECT(CONCATENATE("Table!",ADDRESS($AJ5,MATCH(Z$1,INDIRECT("Table!A" &amp; $AN5):INDIRECT("Table!" &amp; $AR$159 &amp; $AN5),0)))))</f>
        <v>54921</v>
      </c>
      <c r="AA5" s="12"/>
      <c r="AB5" s="12">
        <f>MATCH($A5,Table!$A:$A,0)+$AD$2-1</f>
        <v>249</v>
      </c>
      <c r="AF5" s="31">
        <f>MATCH($A5,Table!$A:$A,0)+$AH$2-1</f>
        <v>247</v>
      </c>
      <c r="AJ5" s="12">
        <f>MATCH($A5,Table!$A:$A,0)+$AL$2-1</f>
        <v>248</v>
      </c>
      <c r="AN5" s="31">
        <f>MATCH($A5,Table!$A:$A,0)+$AH$2-1</f>
        <v>247</v>
      </c>
      <c r="AR5" s="269" t="s">
        <v>118</v>
      </c>
    </row>
    <row r="6" spans="1:44">
      <c r="A6" s="5">
        <v>41234</v>
      </c>
      <c r="B6" s="35">
        <f ca="1">IF(ISERROR(MATCH(B$1,INDIRECT("Table!A"&amp;$AF6):INDIRECT("Table!" &amp; $AR$159 &amp; $AF6),0)),"",INDIRECT(CONCATENATE("Table!",ADDRESS($AB6,MATCH(B$1,INDIRECT("Table!A" &amp; $AF6):INDIRECT("Table!" &amp; $AR$159 &amp; $AF6),0)))))</f>
        <v>50060.2</v>
      </c>
      <c r="C6" s="35">
        <f ca="1">IF(ISERROR(MATCH(C$1,INDIRECT("Table!A"&amp;$AF6):INDIRECT("Table!" &amp; $AR$159 &amp; $AF6),0)),"",INDIRECT(CONCATENATE("Table!",ADDRESS($AB6,MATCH(C$1,INDIRECT("Table!A" &amp; $AF6):INDIRECT("Table!" &amp; $AR$159 &amp; $AF6),0)))))</f>
        <v>74664.899999999994</v>
      </c>
      <c r="D6" s="35">
        <f ca="1">IF(ISERROR(MATCH(D$1,INDIRECT("Table!A"&amp;$AF6):INDIRECT("Table!" &amp; $AR$159 &amp; $AF6),0)),"",INDIRECT(CONCATENATE("Table!",ADDRESS($AB6,MATCH(D$1,INDIRECT("Table!A" &amp; $AF6):INDIRECT("Table!" &amp; $AR$159 &amp; $AF6),0)))))</f>
        <v>76090.7</v>
      </c>
      <c r="E6" s="35">
        <f ca="1">IF(ISERROR(MATCH(E$1,INDIRECT("Table!A"&amp;$AF6):INDIRECT("Table!" &amp; $AR$159 &amp; $AF6),0)),"",INDIRECT(CONCATENATE("Table!",ADDRESS($AB6,MATCH(E$1,INDIRECT("Table!A" &amp; $AF6):INDIRECT("Table!" &amp; $AR$159 &amp; $AF6),0)))))</f>
        <v>159178.6</v>
      </c>
      <c r="F6" s="35">
        <f ca="1">IF(ISERROR(MATCH(F$1,INDIRECT("Table!A"&amp;$AF6):INDIRECT("Table!" &amp; $AR$159 &amp; $AF6),0)),"",INDIRECT(CONCATENATE("Table!",ADDRESS($AB6,MATCH(F$1,INDIRECT("Table!A" &amp; $AF6):INDIRECT("Table!" &amp; $AR$159 &amp; $AF6),0)))))</f>
        <v>62179.3</v>
      </c>
      <c r="G6" s="35">
        <f ca="1">IF(ISERROR(MATCH(G$1,INDIRECT("Table!A"&amp;$AF6):INDIRECT("Table!" &amp; $AR$159 &amp; $AF6),0)),"",INDIRECT(CONCATENATE("Table!",ADDRESS($AB6,MATCH(G$1,INDIRECT("Table!A" &amp; $AF6):INDIRECT("Table!" &amp; $AR$159 &amp; $AF6),0)))))</f>
        <v>29760.5</v>
      </c>
      <c r="H6" s="35">
        <f ca="1">IF(ISERROR(MATCH(H$1,INDIRECT("Table!A"&amp;$AF6):INDIRECT("Table!" &amp; $AR$159 &amp; $AF6),0)),"",INDIRECT(CONCATENATE("Table!",ADDRESS($AB6,MATCH(H$1,INDIRECT("Table!A" &amp; $AF6):INDIRECT("Table!" &amp; $AR$159 &amp; $AF6),0)))))</f>
        <v>48355.8</v>
      </c>
      <c r="I6" s="35">
        <f ca="1">IF(ISERROR(MATCH(I$1,INDIRECT("Table!A"&amp;$AF6):INDIRECT("Table!" &amp; $AR$159 &amp; $AF6),0)),"",INDIRECT(CONCATENATE("Table!",ADDRESS($AB6,MATCH(I$1,INDIRECT("Table!A" &amp; $AF6):INDIRECT("Table!" &amp; $AR$159 &amp; $AF6),0)))))</f>
        <v>147365.29999999999</v>
      </c>
      <c r="J6" s="35">
        <f ca="1">IF(ISERROR(MATCH(J$1,INDIRECT("Table!A"&amp;$AF6):INDIRECT("Table!" &amp; $AR$159 &amp; $AF6),0)),"",INDIRECT(CONCATENATE("Table!",ADDRESS($AB6,MATCH(J$1,INDIRECT("Table!A" &amp; $AF6):INDIRECT("Table!" &amp; $AR$159 &amp; $AF6),0)))))</f>
        <v>38439.800000000003</v>
      </c>
      <c r="K6" s="35">
        <f ca="1">IF(ISERROR(MATCH(K$1,INDIRECT("Table!A"&amp;$AF6):INDIRECT("Table!" &amp; $AR$159 &amp; $AF6),0)),"",INDIRECT(CONCATENATE("Table!",ADDRESS($AB6,MATCH(K$1,INDIRECT("Table!A" &amp; $AF6):INDIRECT("Table!" &amp; $AR$159 &amp; $AF6),0)))))</f>
        <v>32075.599999999999</v>
      </c>
      <c r="L6" s="35">
        <f ca="1">IF(ISERROR(MATCH(L$1,INDIRECT("Table!A"&amp;$AF6):INDIRECT("Table!" &amp; $AR$159 &amp; $AF6),0)),"",INDIRECT(CONCATENATE("Table!",ADDRESS($AB6,MATCH(L$1,INDIRECT("Table!A" &amp; $AF6):INDIRECT("Table!" &amp; $AR$159 &amp; $AF6),0)))))</f>
        <v>98473.2</v>
      </c>
      <c r="M6" s="35">
        <f ca="1">IF(ISERROR(MATCH(M$1,INDIRECT("Table!A"&amp;$AF6):INDIRECT("Table!" &amp; $AR$159 &amp; $AF6),0)),"",INDIRECT(CONCATENATE("Table!",ADDRESS($AB6,MATCH(M$1,INDIRECT("Table!A" &amp; $AF6):INDIRECT("Table!" &amp; $AR$159 &amp; $AF6),0)))))</f>
        <v>20795</v>
      </c>
      <c r="N6" s="35" t="str">
        <f ca="1">IF(ISERROR(MATCH(N$1,INDIRECT("Table!A"&amp;$AF6):INDIRECT("Table!" &amp; $AR$188 &amp; $AF6),0)),"",INDIRECT(CONCATENATE("Table!",ADDRESS($AB6,MATCH(N$1,INDIRECT("Table!A" &amp; $AF6):INDIRECT("Table!" &amp; $AR$188 &amp; $AF6),0)))))</f>
        <v/>
      </c>
      <c r="O6" s="35">
        <f ca="1">IF(ISERROR(MATCH(O$1,INDIRECT("Table!A"&amp;$AN6):INDIRECT("Table!" &amp; $AR$159 &amp; $AN6),0)),"",INDIRECT(CONCATENATE("Table!",ADDRESS($AJ6,MATCH(O$1,INDIRECT("Table!A" &amp; $AN6):INDIRECT("Table!" &amp; $AR$159 &amp; $AN6),0)))))</f>
        <v>143392.20000000001</v>
      </c>
      <c r="P6" s="35">
        <f ca="1">IF(ISERROR(MATCH(P$1,INDIRECT("Table!A"&amp;$AN6):INDIRECT("Table!" &amp; $AR$159 &amp; $AN6),0)),"",INDIRECT(CONCATENATE("Table!",ADDRESS($AJ6,MATCH(P$1,INDIRECT("Table!A" &amp; $AN6):INDIRECT("Table!" &amp; $AR$159 &amp; $AN6),0)))))</f>
        <v>150515.79999999999</v>
      </c>
      <c r="Q6" s="35">
        <f ca="1">IF(ISERROR(MATCH(Q$1,INDIRECT("Table!A"&amp;$AN6):INDIRECT("Table!" &amp; $AR$159 &amp; $AN6),0)),"",INDIRECT(CONCATENATE("Table!",ADDRESS($AJ6,MATCH(Q$1,INDIRECT("Table!A" &amp; $AN6):INDIRECT("Table!" &amp; $AR$159 &amp; $AN6),0)))))</f>
        <v>150515.79999999999</v>
      </c>
      <c r="R6" s="35">
        <f ca="1">IF(ISERROR(MATCH(R$1,INDIRECT("Table!A"&amp;$AN6):INDIRECT("Table!" &amp; $AR$159 &amp; $AN6),0)),"",INDIRECT(CONCATENATE("Table!",ADDRESS($AJ6,MATCH(R$1,INDIRECT("Table!A" &amp; $AN6):INDIRECT("Table!" &amp; $AR$159 &amp; $AN6),0)))))</f>
        <v>181997.8</v>
      </c>
      <c r="S6" s="35">
        <f ca="1">IF(ISERROR(MATCH(S$1,INDIRECT("Table!A"&amp;$AN6):INDIRECT("Table!" &amp; $AR$159 &amp; $AN6),0)),"",INDIRECT(CONCATENATE("Table!",ADDRESS($AJ6,MATCH(S$1,INDIRECT("Table!A" &amp; $AN6):INDIRECT("Table!" &amp; $AR$159 &amp; $AN6),0)))))</f>
        <v>165452.5</v>
      </c>
      <c r="T6" s="35">
        <f ca="1">IF(ISERROR(MATCH(T$1,INDIRECT("Table!A"&amp;$AN6):INDIRECT("Table!" &amp; $AR$159 &amp; $AN6),0)),"",INDIRECT(CONCATENATE("Table!",ADDRESS($AJ6,MATCH(T$1,INDIRECT("Table!A" &amp; $AN6):INDIRECT("Table!" &amp; $AR$159 &amp; $AN6),0)))))</f>
        <v>132132</v>
      </c>
      <c r="U6" s="35">
        <f ca="1">IF(ISERROR(MATCH(U$1,INDIRECT("Table!A"&amp;$AN6):INDIRECT("Table!" &amp; $AR$159 &amp; $AN6),0)),"",INDIRECT(CONCATENATE("Table!",ADDRESS($AJ6,MATCH(U$1,INDIRECT("Table!A" &amp; $AN6):INDIRECT("Table!" &amp; $AR$159 &amp; $AN6),0)))))</f>
        <v>121331.8</v>
      </c>
      <c r="V6" s="35">
        <f ca="1">IF(ISERROR(MATCH(V$1,INDIRECT("Table!A"&amp;$AN6):INDIRECT("Table!" &amp; $AR$159 &amp; $AN6),0)),"",INDIRECT(CONCATENATE("Table!",ADDRESS($AJ6,MATCH(V$1,INDIRECT("Table!A" &amp; $AN6):INDIRECT("Table!" &amp; $AR$159 &amp; $AN6),0)))))</f>
        <v>193027</v>
      </c>
      <c r="W6" s="35">
        <f ca="1">IF(ISERROR(MATCH(W$1,INDIRECT("Table!A"&amp;$AN6):INDIRECT("Table!" &amp; $AR$159 &amp; $AN6),0)),"",INDIRECT(CONCATENATE("Table!",ADDRESS($AJ6,MATCH(W$1,INDIRECT("Table!A" &amp; $AN6):INDIRECT("Table!" &amp; $AR$159 &amp; $AN6),0)))))</f>
        <v>132132.20000000001</v>
      </c>
      <c r="X6" s="35">
        <f ca="1">IF(ISERROR(MATCH(X$1,INDIRECT("Table!A"&amp;$AN6):INDIRECT("Table!" &amp; $AR$159 &amp; $AN6),0)),"",INDIRECT(CONCATENATE("Table!",ADDRESS($AJ6,MATCH(X$1,INDIRECT("Table!A" &amp; $AN6):INDIRECT("Table!" &amp; $AR$159 &amp; $AN6),0)))))</f>
        <v>82726.3</v>
      </c>
      <c r="Y6" s="35">
        <f ca="1">IF(ISERROR(MATCH(Y$1,INDIRECT("Table!A"&amp;$AN6):INDIRECT("Table!" &amp; $AR$159 &amp; $AN6),0)),"",INDIRECT(CONCATENATE("Table!",ADDRESS($AJ6,MATCH(Y$1,INDIRECT("Table!A" &amp; $AN6):INDIRECT("Table!" &amp; $AR$159 &amp; $AN6),0)))))</f>
        <v>176482.7</v>
      </c>
      <c r="Z6" s="35">
        <f ca="1">IF(ISERROR(MATCH(Z$1,INDIRECT("Table!A"&amp;$AN6):INDIRECT("Table!" &amp; $AR$159 &amp; $AN6),0)),"",INDIRECT(CONCATENATE("Table!",ADDRESS($AJ6,MATCH(Z$1,INDIRECT("Table!A" &amp; $AN6):INDIRECT("Table!" &amp; $AR$159 &amp; $AN6),0)))))</f>
        <v>54921</v>
      </c>
      <c r="AA6" s="12"/>
      <c r="AB6" s="12">
        <f>MATCH($A6,Table!$A:$A,0)+$AD$2-1</f>
        <v>261</v>
      </c>
      <c r="AF6" s="31">
        <f>MATCH($A6,Table!$A:$A,0)+$AH$2-1</f>
        <v>259</v>
      </c>
      <c r="AJ6" s="12">
        <f>MATCH($A6,Table!$A:$A,0)+$AL$2-1</f>
        <v>260</v>
      </c>
      <c r="AN6" s="31">
        <f>MATCH($A6,Table!$A:$A,0)+$AH$2-1</f>
        <v>259</v>
      </c>
      <c r="AR6" s="268" t="s">
        <v>118</v>
      </c>
    </row>
    <row r="7" spans="1:44">
      <c r="A7" s="5">
        <v>41232</v>
      </c>
      <c r="B7" s="35">
        <f ca="1">IF(ISERROR(MATCH(B$1,INDIRECT("Table!A"&amp;$AF7):INDIRECT("Table!" &amp; $AR$159 &amp; $AF7),0)),"",INDIRECT(CONCATENATE("Table!",ADDRESS($AB7,MATCH(B$1,INDIRECT("Table!A" &amp; $AF7):INDIRECT("Table!" &amp; $AR$159 &amp; $AF7),0)))))</f>
        <v>54116.9</v>
      </c>
      <c r="C7" s="35">
        <f ca="1">IF(ISERROR(MATCH(C$1,INDIRECT("Table!A"&amp;$AF7):INDIRECT("Table!" &amp; $AR$159 &amp; $AF7),0)),"",INDIRECT(CONCATENATE("Table!",ADDRESS($AB7,MATCH(C$1,INDIRECT("Table!A" &amp; $AF7):INDIRECT("Table!" &amp; $AR$159 &amp; $AF7),0)))))</f>
        <v>74607.399999999994</v>
      </c>
      <c r="D7" s="35">
        <f ca="1">IF(ISERROR(MATCH(D$1,INDIRECT("Table!A"&amp;$AF7):INDIRECT("Table!" &amp; $AR$159 &amp; $AF7),0)),"",INDIRECT(CONCATENATE("Table!",ADDRESS($AB7,MATCH(D$1,INDIRECT("Table!A" &amp; $AF7):INDIRECT("Table!" &amp; $AR$159 &amp; $AF7),0)))))</f>
        <v>76034.399999999994</v>
      </c>
      <c r="E7" s="35">
        <f ca="1">IF(ISERROR(MATCH(E$1,INDIRECT("Table!A"&amp;$AF7):INDIRECT("Table!" &amp; $AR$159 &amp; $AF7),0)),"",INDIRECT(CONCATENATE("Table!",ADDRESS($AB7,MATCH(E$1,INDIRECT("Table!A" &amp; $AF7):INDIRECT("Table!" &amp; $AR$159 &amp; $AF7),0)))))</f>
        <v>158852.5</v>
      </c>
      <c r="F7" s="35">
        <f ca="1">IF(ISERROR(MATCH(F$1,INDIRECT("Table!A"&amp;$AF7):INDIRECT("Table!" &amp; $AR$159 &amp; $AF7),0)),"",INDIRECT(CONCATENATE("Table!",ADDRESS($AB7,MATCH(F$1,INDIRECT("Table!A" &amp; $AF7):INDIRECT("Table!" &amp; $AR$159 &amp; $AF7),0)))))</f>
        <v>60905.599999999999</v>
      </c>
      <c r="G7" s="35">
        <f ca="1">IF(ISERROR(MATCH(G$1,INDIRECT("Table!A"&amp;$AF7):INDIRECT("Table!" &amp; $AR$159 &amp; $AF7),0)),"",INDIRECT(CONCATENATE("Table!",ADDRESS($AB7,MATCH(G$1,INDIRECT("Table!A" &amp; $AF7):INDIRECT("Table!" &amp; $AR$159 &amp; $AF7),0)))))</f>
        <v>30629.1</v>
      </c>
      <c r="H7" s="35">
        <f ca="1">IF(ISERROR(MATCH(H$1,INDIRECT("Table!A"&amp;$AF7):INDIRECT("Table!" &amp; $AR$159 &amp; $AF7),0)),"",INDIRECT(CONCATENATE("Table!",ADDRESS($AB7,MATCH(H$1,INDIRECT("Table!A" &amp; $AF7):INDIRECT("Table!" &amp; $AR$159 &amp; $AF7),0)))))</f>
        <v>48141.8</v>
      </c>
      <c r="I7" s="35">
        <f ca="1">IF(ISERROR(MATCH(I$1,INDIRECT("Table!A"&amp;$AF7):INDIRECT("Table!" &amp; $AR$159 &amp; $AF7),0)),"",INDIRECT(CONCATENATE("Table!",ADDRESS($AB7,MATCH(I$1,INDIRECT("Table!A" &amp; $AF7):INDIRECT("Table!" &amp; $AR$159 &amp; $AF7),0)))))</f>
        <v>147226.1</v>
      </c>
      <c r="J7" s="35">
        <f ca="1">IF(ISERROR(MATCH(J$1,INDIRECT("Table!A"&amp;$AF7):INDIRECT("Table!" &amp; $AR$159 &amp; $AF7),0)),"",INDIRECT(CONCATENATE("Table!",ADDRESS($AB7,MATCH(J$1,INDIRECT("Table!A" &amp; $AF7):INDIRECT("Table!" &amp; $AR$159 &amp; $AF7),0)))))</f>
        <v>37466.199999999997</v>
      </c>
      <c r="K7" s="35">
        <f ca="1">IF(ISERROR(MATCH(K$1,INDIRECT("Table!A"&amp;$AF7):INDIRECT("Table!" &amp; $AR$159 &amp; $AF7),0)),"",INDIRECT(CONCATENATE("Table!",ADDRESS($AB7,MATCH(K$1,INDIRECT("Table!A" &amp; $AF7):INDIRECT("Table!" &amp; $AR$159 &amp; $AF7),0)))))</f>
        <v>32009.200000000001</v>
      </c>
      <c r="L7" s="35">
        <f ca="1">IF(ISERROR(MATCH(L$1,INDIRECT("Table!A"&amp;$AF7):INDIRECT("Table!" &amp; $AR$159 &amp; $AF7),0)),"",INDIRECT(CONCATENATE("Table!",ADDRESS($AB7,MATCH(L$1,INDIRECT("Table!A" &amp; $AF7):INDIRECT("Table!" &amp; $AR$159 &amp; $AF7),0)))))</f>
        <v>98436.7</v>
      </c>
      <c r="M7" s="35">
        <f ca="1">IF(ISERROR(MATCH(M$1,INDIRECT("Table!A"&amp;$AF7):INDIRECT("Table!" &amp; $AR$159 &amp; $AF7),0)),"",INDIRECT(CONCATENATE("Table!",ADDRESS($AB7,MATCH(M$1,INDIRECT("Table!A" &amp; $AF7):INDIRECT("Table!" &amp; $AR$159 &amp; $AF7),0)))))</f>
        <v>20795</v>
      </c>
      <c r="N7" s="35" t="str">
        <f ca="1">IF(ISERROR(MATCH(N$1,INDIRECT("Table!A"&amp;$AF7):INDIRECT("Table!" &amp; $AR$188 &amp; $AF7),0)),"",INDIRECT(CONCATENATE("Table!",ADDRESS($AB7,MATCH(N$1,INDIRECT("Table!A" &amp; $AF7):INDIRECT("Table!" &amp; $AR$188 &amp; $AF7),0)))))</f>
        <v/>
      </c>
      <c r="O7" s="35">
        <f ca="1">IF(ISERROR(MATCH(O$1,INDIRECT("Table!A"&amp;$AN7):INDIRECT("Table!" &amp; $AR$159 &amp; $AN7),0)),"",INDIRECT(CONCATENATE("Table!",ADDRESS($AJ7,MATCH(O$1,INDIRECT("Table!A" &amp; $AN7):INDIRECT("Table!" &amp; $AR$159 &amp; $AN7),0)))))</f>
        <v>143392.20000000001</v>
      </c>
      <c r="P7" s="35">
        <f ca="1">IF(ISERROR(MATCH(P$1,INDIRECT("Table!A"&amp;$AN7):INDIRECT("Table!" &amp; $AR$159 &amp; $AN7),0)),"",INDIRECT(CONCATENATE("Table!",ADDRESS($AJ7,MATCH(P$1,INDIRECT("Table!A" &amp; $AN7):INDIRECT("Table!" &amp; $AR$159 &amp; $AN7),0)))))</f>
        <v>150515.79999999999</v>
      </c>
      <c r="Q7" s="35">
        <f ca="1">IF(ISERROR(MATCH(Q$1,INDIRECT("Table!A"&amp;$AN7):INDIRECT("Table!" &amp; $AR$159 &amp; $AN7),0)),"",INDIRECT(CONCATENATE("Table!",ADDRESS($AJ7,MATCH(Q$1,INDIRECT("Table!A" &amp; $AN7):INDIRECT("Table!" &amp; $AR$159 &amp; $AN7),0)))))</f>
        <v>150515.79999999999</v>
      </c>
      <c r="R7" s="35">
        <f ca="1">IF(ISERROR(MATCH(R$1,INDIRECT("Table!A"&amp;$AN7):INDIRECT("Table!" &amp; $AR$159 &amp; $AN7),0)),"",INDIRECT(CONCATENATE("Table!",ADDRESS($AJ7,MATCH(R$1,INDIRECT("Table!A" &amp; $AN7):INDIRECT("Table!" &amp; $AR$159 &amp; $AN7),0)))))</f>
        <v>181997.8</v>
      </c>
      <c r="S7" s="35">
        <f ca="1">IF(ISERROR(MATCH(S$1,INDIRECT("Table!A"&amp;$AN7):INDIRECT("Table!" &amp; $AR$159 &amp; $AN7),0)),"",INDIRECT(CONCATENATE("Table!",ADDRESS($AJ7,MATCH(S$1,INDIRECT("Table!A" &amp; $AN7):INDIRECT("Table!" &amp; $AR$159 &amp; $AN7),0)))))</f>
        <v>165452.5</v>
      </c>
      <c r="T7" s="35">
        <f ca="1">IF(ISERROR(MATCH(T$1,INDIRECT("Table!A"&amp;$AN7):INDIRECT("Table!" &amp; $AR$159 &amp; $AN7),0)),"",INDIRECT(CONCATENATE("Table!",ADDRESS($AJ7,MATCH(T$1,INDIRECT("Table!A" &amp; $AN7):INDIRECT("Table!" &amp; $AR$159 &amp; $AN7),0)))))</f>
        <v>132132</v>
      </c>
      <c r="U7" s="35">
        <f ca="1">IF(ISERROR(MATCH(U$1,INDIRECT("Table!A"&amp;$AN7):INDIRECT("Table!" &amp; $AR$159 &amp; $AN7),0)),"",INDIRECT(CONCATENATE("Table!",ADDRESS($AJ7,MATCH(U$1,INDIRECT("Table!A" &amp; $AN7):INDIRECT("Table!" &amp; $AR$159 &amp; $AN7),0)))))</f>
        <v>121331.8</v>
      </c>
      <c r="V7" s="35">
        <f ca="1">IF(ISERROR(MATCH(V$1,INDIRECT("Table!A"&amp;$AN7):INDIRECT("Table!" &amp; $AR$159 &amp; $AN7),0)),"",INDIRECT(CONCATENATE("Table!",ADDRESS($AJ7,MATCH(V$1,INDIRECT("Table!A" &amp; $AN7):INDIRECT("Table!" &amp; $AR$159 &amp; $AN7),0)))))</f>
        <v>193027</v>
      </c>
      <c r="W7" s="35">
        <f ca="1">IF(ISERROR(MATCH(W$1,INDIRECT("Table!A"&amp;$AN7):INDIRECT("Table!" &amp; $AR$159 &amp; $AN7),0)),"",INDIRECT(CONCATENATE("Table!",ADDRESS($AJ7,MATCH(W$1,INDIRECT("Table!A" &amp; $AN7):INDIRECT("Table!" &amp; $AR$159 &amp; $AN7),0)))))</f>
        <v>132132.20000000001</v>
      </c>
      <c r="X7" s="35">
        <f ca="1">IF(ISERROR(MATCH(X$1,INDIRECT("Table!A"&amp;$AN7):INDIRECT("Table!" &amp; $AR$159 &amp; $AN7),0)),"",INDIRECT(CONCATENATE("Table!",ADDRESS($AJ7,MATCH(X$1,INDIRECT("Table!A" &amp; $AN7):INDIRECT("Table!" &amp; $AR$159 &amp; $AN7),0)))))</f>
        <v>82726.3</v>
      </c>
      <c r="Y7" s="35">
        <f ca="1">IF(ISERROR(MATCH(Y$1,INDIRECT("Table!A"&amp;$AN7):INDIRECT("Table!" &amp; $AR$159 &amp; $AN7),0)),"",INDIRECT(CONCATENATE("Table!",ADDRESS($AJ7,MATCH(Y$1,INDIRECT("Table!A" &amp; $AN7):INDIRECT("Table!" &amp; $AR$159 &amp; $AN7),0)))))</f>
        <v>176482.7</v>
      </c>
      <c r="Z7" s="35">
        <f ca="1">IF(ISERROR(MATCH(Z$1,INDIRECT("Table!A"&amp;$AN7):INDIRECT("Table!" &amp; $AR$159 &amp; $AN7),0)),"",INDIRECT(CONCATENATE("Table!",ADDRESS($AJ7,MATCH(Z$1,INDIRECT("Table!A" &amp; $AN7):INDIRECT("Table!" &amp; $AR$159 &amp; $AN7),0)))))</f>
        <v>54921</v>
      </c>
      <c r="AA7" s="12"/>
      <c r="AB7" s="12">
        <f>MATCH($A7,Table!$A:$A,0)+$AD$2-1</f>
        <v>273</v>
      </c>
      <c r="AF7" s="31">
        <f>MATCH($A7,Table!$A:$A,0)+$AH$2-1</f>
        <v>271</v>
      </c>
      <c r="AJ7" s="12">
        <f>MATCH($A7,Table!$A:$A,0)+$AL$2-1</f>
        <v>272</v>
      </c>
      <c r="AN7" s="31">
        <f>MATCH($A7,Table!$A:$A,0)+$AH$2-1</f>
        <v>271</v>
      </c>
      <c r="AR7" s="267" t="s">
        <v>118</v>
      </c>
    </row>
    <row r="8" spans="1:44">
      <c r="A8" s="5">
        <v>41227</v>
      </c>
      <c r="B8" s="35">
        <f ca="1">IF(ISERROR(MATCH(B$1,INDIRECT("Table!A"&amp;$AF8):INDIRECT("Table!" &amp; $AR$159 &amp; $AF8),0)),"",INDIRECT(CONCATENATE("Table!",ADDRESS($AB8,MATCH(B$1,INDIRECT("Table!A" &amp; $AF8):INDIRECT("Table!" &amp; $AR$159 &amp; $AF8),0)))))</f>
        <v>55627.7</v>
      </c>
      <c r="C8" s="35">
        <f ca="1">IF(ISERROR(MATCH(C$1,INDIRECT("Table!A"&amp;$AF8):INDIRECT("Table!" &amp; $AR$159 &amp; $AF8),0)),"",INDIRECT(CONCATENATE("Table!",ADDRESS($AB8,MATCH(C$1,INDIRECT("Table!A" &amp; $AF8):INDIRECT("Table!" &amp; $AR$159 &amp; $AF8),0)))))</f>
        <v>73841</v>
      </c>
      <c r="D8" s="35">
        <f ca="1">IF(ISERROR(MATCH(D$1,INDIRECT("Table!A"&amp;$AF8):INDIRECT("Table!" &amp; $AR$159 &amp; $AF8),0)),"",INDIRECT(CONCATENATE("Table!",ADDRESS($AB8,MATCH(D$1,INDIRECT("Table!A" &amp; $AF8):INDIRECT("Table!" &amp; $AR$159 &amp; $AF8),0)))))</f>
        <v>75268</v>
      </c>
      <c r="E8" s="35">
        <f ca="1">IF(ISERROR(MATCH(E$1,INDIRECT("Table!A"&amp;$AF8):INDIRECT("Table!" &amp; $AR$159 &amp; $AF8),0)),"",INDIRECT(CONCATENATE("Table!",ADDRESS($AB8,MATCH(E$1,INDIRECT("Table!A" &amp; $AF8):INDIRECT("Table!" &amp; $AR$159 &amp; $AF8),0)))))</f>
        <v>158586.5</v>
      </c>
      <c r="F8" s="35">
        <f ca="1">IF(ISERROR(MATCH(F$1,INDIRECT("Table!A"&amp;$AF8):INDIRECT("Table!" &amp; $AR$159 &amp; $AF8),0)),"",INDIRECT(CONCATENATE("Table!",ADDRESS($AB8,MATCH(F$1,INDIRECT("Table!A" &amp; $AF8):INDIRECT("Table!" &amp; $AR$159 &amp; $AF8),0)))))</f>
        <v>60477.4</v>
      </c>
      <c r="G8" s="35">
        <f ca="1">IF(ISERROR(MATCH(G$1,INDIRECT("Table!A"&amp;$AF8):INDIRECT("Table!" &amp; $AR$159 &amp; $AF8),0)),"",INDIRECT(CONCATENATE("Table!",ADDRESS($AB8,MATCH(G$1,INDIRECT("Table!A" &amp; $AF8):INDIRECT("Table!" &amp; $AR$159 &amp; $AF8),0)))))</f>
        <v>34199.199999999997</v>
      </c>
      <c r="H8" s="35">
        <f ca="1">IF(ISERROR(MATCH(H$1,INDIRECT("Table!A"&amp;$AF8):INDIRECT("Table!" &amp; $AR$159 &amp; $AF8),0)),"",INDIRECT(CONCATENATE("Table!",ADDRESS($AB8,MATCH(H$1,INDIRECT("Table!A" &amp; $AF8):INDIRECT("Table!" &amp; $AR$159 &amp; $AF8),0)))))</f>
        <v>48045.9</v>
      </c>
      <c r="I8" s="35">
        <f ca="1">IF(ISERROR(MATCH(I$1,INDIRECT("Table!A"&amp;$AF8):INDIRECT("Table!" &amp; $AR$159 &amp; $AF8),0)),"",INDIRECT(CONCATENATE("Table!",ADDRESS($AB8,MATCH(I$1,INDIRECT("Table!A" &amp; $AF8):INDIRECT("Table!" &amp; $AR$159 &amp; $AF8),0)))))</f>
        <v>147015.4</v>
      </c>
      <c r="J8" s="35">
        <f ca="1">IF(ISERROR(MATCH(J$1,INDIRECT("Table!A"&amp;$AF8):INDIRECT("Table!" &amp; $AR$159 &amp; $AF8),0)),"",INDIRECT(CONCATENATE("Table!",ADDRESS($AB8,MATCH(J$1,INDIRECT("Table!A" &amp; $AF8):INDIRECT("Table!" &amp; $AR$159 &amp; $AF8),0)))))</f>
        <v>37379</v>
      </c>
      <c r="K8" s="35">
        <f ca="1">IF(ISERROR(MATCH(K$1,INDIRECT("Table!A"&amp;$AF8):INDIRECT("Table!" &amp; $AR$159 &amp; $AF8),0)),"",INDIRECT(CONCATENATE("Table!",ADDRESS($AB8,MATCH(K$1,INDIRECT("Table!A" &amp; $AF8):INDIRECT("Table!" &amp; $AR$159 &amp; $AF8),0)))))</f>
        <v>31465</v>
      </c>
      <c r="L8" s="35">
        <f ca="1">IF(ISERROR(MATCH(L$1,INDIRECT("Table!A"&amp;$AF8):INDIRECT("Table!" &amp; $AR$159 &amp; $AF8),0)),"",INDIRECT(CONCATENATE("Table!",ADDRESS($AB8,MATCH(L$1,INDIRECT("Table!A" &amp; $AF8):INDIRECT("Table!" &amp; $AR$159 &amp; $AF8),0)))))</f>
        <v>98245.3</v>
      </c>
      <c r="M8" s="35">
        <f ca="1">IF(ISERROR(MATCH(M$1,INDIRECT("Table!A"&amp;$AF8):INDIRECT("Table!" &amp; $AR$159 &amp; $AF8),0)),"",INDIRECT(CONCATENATE("Table!",ADDRESS($AB8,MATCH(M$1,INDIRECT("Table!A" &amp; $AF8):INDIRECT("Table!" &amp; $AR$159 &amp; $AF8),0)))))</f>
        <v>20795</v>
      </c>
      <c r="N8" s="35" t="str">
        <f ca="1">IF(ISERROR(MATCH(N$1,INDIRECT("Table!A"&amp;$AF8):INDIRECT("Table!" &amp; $AR$188 &amp; $AF8),0)),"",INDIRECT(CONCATENATE("Table!",ADDRESS($AB8,MATCH(N$1,INDIRECT("Table!A" &amp; $AF8):INDIRECT("Table!" &amp; $AR$188 &amp; $AF8),0)))))</f>
        <v/>
      </c>
      <c r="O8" s="35">
        <f ca="1">IF(ISERROR(MATCH(O$1,INDIRECT("Table!A"&amp;$AN8):INDIRECT("Table!" &amp; $AR$159 &amp; $AN8),0)),"",INDIRECT(CONCATENATE("Table!",ADDRESS($AJ8,MATCH(O$1,INDIRECT("Table!A" &amp; $AN8):INDIRECT("Table!" &amp; $AR$159 &amp; $AN8),0)))))</f>
        <v>143392.20000000001</v>
      </c>
      <c r="P8" s="35">
        <f ca="1">IF(ISERROR(MATCH(P$1,INDIRECT("Table!A"&amp;$AN8):INDIRECT("Table!" &amp; $AR$159 &amp; $AN8),0)),"",INDIRECT(CONCATENATE("Table!",ADDRESS($AJ8,MATCH(P$1,INDIRECT("Table!A" &amp; $AN8):INDIRECT("Table!" &amp; $AR$159 &amp; $AN8),0)))))</f>
        <v>150515.79999999999</v>
      </c>
      <c r="Q8" s="35">
        <f ca="1">IF(ISERROR(MATCH(Q$1,INDIRECT("Table!A"&amp;$AN8):INDIRECT("Table!" &amp; $AR$159 &amp; $AN8),0)),"",INDIRECT(CONCATENATE("Table!",ADDRESS($AJ8,MATCH(Q$1,INDIRECT("Table!A" &amp; $AN8):INDIRECT("Table!" &amp; $AR$159 &amp; $AN8),0)))))</f>
        <v>150515.79999999999</v>
      </c>
      <c r="R8" s="35">
        <f ca="1">IF(ISERROR(MATCH(R$1,INDIRECT("Table!A"&amp;$AN8):INDIRECT("Table!" &amp; $AR$159 &amp; $AN8),0)),"",INDIRECT(CONCATENATE("Table!",ADDRESS($AJ8,MATCH(R$1,INDIRECT("Table!A" &amp; $AN8):INDIRECT("Table!" &amp; $AR$159 &amp; $AN8),0)))))</f>
        <v>181997.8</v>
      </c>
      <c r="S8" s="35">
        <f ca="1">IF(ISERROR(MATCH(S$1,INDIRECT("Table!A"&amp;$AN8):INDIRECT("Table!" &amp; $AR$159 &amp; $AN8),0)),"",INDIRECT(CONCATENATE("Table!",ADDRESS($AJ8,MATCH(S$1,INDIRECT("Table!A" &amp; $AN8):INDIRECT("Table!" &amp; $AR$159 &amp; $AN8),0)))))</f>
        <v>165452.5</v>
      </c>
      <c r="T8" s="35">
        <f ca="1">IF(ISERROR(MATCH(T$1,INDIRECT("Table!A"&amp;$AN8):INDIRECT("Table!" &amp; $AR$159 &amp; $AN8),0)),"",INDIRECT(CONCATENATE("Table!",ADDRESS($AJ8,MATCH(T$1,INDIRECT("Table!A" &amp; $AN8):INDIRECT("Table!" &amp; $AR$159 &amp; $AN8),0)))))</f>
        <v>132132</v>
      </c>
      <c r="U8" s="35">
        <f ca="1">IF(ISERROR(MATCH(U$1,INDIRECT("Table!A"&amp;$AN8):INDIRECT("Table!" &amp; $AR$159 &amp; $AN8),0)),"",INDIRECT(CONCATENATE("Table!",ADDRESS($AJ8,MATCH(U$1,INDIRECT("Table!A" &amp; $AN8):INDIRECT("Table!" &amp; $AR$159 &amp; $AN8),0)))))</f>
        <v>121331.8</v>
      </c>
      <c r="V8" s="35">
        <f ca="1">IF(ISERROR(MATCH(V$1,INDIRECT("Table!A"&amp;$AN8):INDIRECT("Table!" &amp; $AR$159 &amp; $AN8),0)),"",INDIRECT(CONCATENATE("Table!",ADDRESS($AJ8,MATCH(V$1,INDIRECT("Table!A" &amp; $AN8):INDIRECT("Table!" &amp; $AR$159 &amp; $AN8),0)))))</f>
        <v>193027</v>
      </c>
      <c r="W8" s="35">
        <f ca="1">IF(ISERROR(MATCH(W$1,INDIRECT("Table!A"&amp;$AN8):INDIRECT("Table!" &amp; $AR$159 &amp; $AN8),0)),"",INDIRECT(CONCATENATE("Table!",ADDRESS($AJ8,MATCH(W$1,INDIRECT("Table!A" &amp; $AN8):INDIRECT("Table!" &amp; $AR$159 &amp; $AN8),0)))))</f>
        <v>132132.20000000001</v>
      </c>
      <c r="X8" s="35">
        <f ca="1">IF(ISERROR(MATCH(X$1,INDIRECT("Table!A"&amp;$AN8):INDIRECT("Table!" &amp; $AR$159 &amp; $AN8),0)),"",INDIRECT(CONCATENATE("Table!",ADDRESS($AJ8,MATCH(X$1,INDIRECT("Table!A" &amp; $AN8):INDIRECT("Table!" &amp; $AR$159 &amp; $AN8),0)))))</f>
        <v>82726.3</v>
      </c>
      <c r="Y8" s="35">
        <f ca="1">IF(ISERROR(MATCH(Y$1,INDIRECT("Table!A"&amp;$AN8):INDIRECT("Table!" &amp; $AR$159 &amp; $AN8),0)),"",INDIRECT(CONCATENATE("Table!",ADDRESS($AJ8,MATCH(Y$1,INDIRECT("Table!A" &amp; $AN8):INDIRECT("Table!" &amp; $AR$159 &amp; $AN8),0)))))</f>
        <v>176482.7</v>
      </c>
      <c r="Z8" s="35">
        <f ca="1">IF(ISERROR(MATCH(Z$1,INDIRECT("Table!A"&amp;$AN8):INDIRECT("Table!" &amp; $AR$159 &amp; $AN8),0)),"",INDIRECT(CONCATENATE("Table!",ADDRESS($AJ8,MATCH(Z$1,INDIRECT("Table!A" &amp; $AN8):INDIRECT("Table!" &amp; $AR$159 &amp; $AN8),0)))))</f>
        <v>54921</v>
      </c>
      <c r="AA8" s="12"/>
      <c r="AB8" s="12">
        <f>MATCH($A8,Table!$A:$A,0)+$AD$2-1</f>
        <v>285</v>
      </c>
      <c r="AF8" s="31">
        <f>MATCH($A8,Table!$A:$A,0)+$AH$2-1</f>
        <v>283</v>
      </c>
      <c r="AJ8" s="12">
        <f>MATCH($A8,Table!$A:$A,0)+$AL$2-1</f>
        <v>284</v>
      </c>
      <c r="AN8" s="31">
        <f>MATCH($A8,Table!$A:$A,0)+$AH$2-1</f>
        <v>283</v>
      </c>
      <c r="AR8" s="266" t="s">
        <v>118</v>
      </c>
    </row>
    <row r="9" spans="1:44">
      <c r="A9" s="5">
        <v>41225</v>
      </c>
      <c r="B9" s="35">
        <f ca="1">IF(ISERROR(MATCH(B$1,INDIRECT("Table!A"&amp;$AF9):INDIRECT("Table!" &amp; $AR$159 &amp; $AF9),0)),"",INDIRECT(CONCATENATE("Table!",ADDRESS($AB9,MATCH(B$1,INDIRECT("Table!A" &amp; $AF9):INDIRECT("Table!" &amp; $AR$159 &amp; $AF9),0)))))</f>
        <v>55783.7</v>
      </c>
      <c r="C9" s="35">
        <f ca="1">IF(ISERROR(MATCH(C$1,INDIRECT("Table!A"&amp;$AF9):INDIRECT("Table!" &amp; $AR$159 &amp; $AF9),0)),"",INDIRECT(CONCATENATE("Table!",ADDRESS($AB9,MATCH(C$1,INDIRECT("Table!A" &amp; $AF9):INDIRECT("Table!" &amp; $AR$159 &amp; $AF9),0)))))</f>
        <v>73738.7</v>
      </c>
      <c r="D9" s="35">
        <f ca="1">IF(ISERROR(MATCH(D$1,INDIRECT("Table!A"&amp;$AF9):INDIRECT("Table!" &amp; $AR$159 &amp; $AF9),0)),"",INDIRECT(CONCATENATE("Table!",ADDRESS($AB9,MATCH(D$1,INDIRECT("Table!A" &amp; $AF9):INDIRECT("Table!" &amp; $AR$159 &amp; $AF9),0)))))</f>
        <v>75165.7</v>
      </c>
      <c r="E9" s="35">
        <f ca="1">IF(ISERROR(MATCH(E$1,INDIRECT("Table!A"&amp;$AF9):INDIRECT("Table!" &amp; $AR$159 &amp; $AF9),0)),"",INDIRECT(CONCATENATE("Table!",ADDRESS($AB9,MATCH(E$1,INDIRECT("Table!A" &amp; $AF9):INDIRECT("Table!" &amp; $AR$159 &amp; $AF9),0)))))</f>
        <v>158449.60000000001</v>
      </c>
      <c r="F9" s="35">
        <f ca="1">IF(ISERROR(MATCH(F$1,INDIRECT("Table!A"&amp;$AF9):INDIRECT("Table!" &amp; $AR$159 &amp; $AF9),0)),"",INDIRECT(CONCATENATE("Table!",ADDRESS($AB9,MATCH(F$1,INDIRECT("Table!A" &amp; $AF9):INDIRECT("Table!" &amp; $AR$159 &amp; $AF9),0)))))</f>
        <v>60313.9</v>
      </c>
      <c r="G9" s="35">
        <f ca="1">IF(ISERROR(MATCH(G$1,INDIRECT("Table!A"&amp;$AF9):INDIRECT("Table!" &amp; $AR$159 &amp; $AF9),0)),"",INDIRECT(CONCATENATE("Table!",ADDRESS($AB9,MATCH(G$1,INDIRECT("Table!A" &amp; $AF9):INDIRECT("Table!" &amp; $AR$159 &amp; $AF9),0)))))</f>
        <v>36558</v>
      </c>
      <c r="H9" s="35">
        <f ca="1">IF(ISERROR(MATCH(H$1,INDIRECT("Table!A"&amp;$AF9):INDIRECT("Table!" &amp; $AR$159 &amp; $AF9),0)),"",INDIRECT(CONCATENATE("Table!",ADDRESS($AB9,MATCH(H$1,INDIRECT("Table!A" &amp; $AF9):INDIRECT("Table!" &amp; $AR$159 &amp; $AF9),0)))))</f>
        <v>47977.7</v>
      </c>
      <c r="I9" s="35">
        <f ca="1">IF(ISERROR(MATCH(I$1,INDIRECT("Table!A"&amp;$AF9):INDIRECT("Table!" &amp; $AR$159 &amp; $AF9),0)),"",INDIRECT(CONCATENATE("Table!",ADDRESS($AB9,MATCH(I$1,INDIRECT("Table!A" &amp; $AF9):INDIRECT("Table!" &amp; $AR$159 &amp; $AF9),0)))))</f>
        <v>146922.29999999999</v>
      </c>
      <c r="J9" s="35">
        <f ca="1">IF(ISERROR(MATCH(J$1,INDIRECT("Table!A"&amp;$AF9):INDIRECT("Table!" &amp; $AR$159 &amp; $AF9),0)),"",INDIRECT(CONCATENATE("Table!",ADDRESS($AB9,MATCH(J$1,INDIRECT("Table!A" &amp; $AF9):INDIRECT("Table!" &amp; $AR$159 &amp; $AF9),0)))))</f>
        <v>37088.9</v>
      </c>
      <c r="K9" s="35">
        <f ca="1">IF(ISERROR(MATCH(K$1,INDIRECT("Table!A"&amp;$AF9):INDIRECT("Table!" &amp; $AR$159 &amp; $AF9),0)),"",INDIRECT(CONCATENATE("Table!",ADDRESS($AB9,MATCH(K$1,INDIRECT("Table!A" &amp; $AF9):INDIRECT("Table!" &amp; $AR$159 &amp; $AF9),0)))))</f>
        <v>31381.8</v>
      </c>
      <c r="L9" s="35">
        <f ca="1">IF(ISERROR(MATCH(L$1,INDIRECT("Table!A"&amp;$AF9):INDIRECT("Table!" &amp; $AR$159 &amp; $AF9),0)),"",INDIRECT(CONCATENATE("Table!",ADDRESS($AB9,MATCH(L$1,INDIRECT("Table!A" &amp; $AF9):INDIRECT("Table!" &amp; $AR$159 &amp; $AF9),0)))))</f>
        <v>98115.5</v>
      </c>
      <c r="M9" s="35">
        <f ca="1">IF(ISERROR(MATCH(M$1,INDIRECT("Table!A"&amp;$AF9):INDIRECT("Table!" &amp; $AR$159 &amp; $AF9),0)),"",INDIRECT(CONCATENATE("Table!",ADDRESS($AB9,MATCH(M$1,INDIRECT("Table!A" &amp; $AF9):INDIRECT("Table!" &amp; $AR$159 &amp; $AF9),0)))))</f>
        <v>20795</v>
      </c>
      <c r="N9" s="35" t="str">
        <f ca="1">IF(ISERROR(MATCH(N$1,INDIRECT("Table!A"&amp;$AF9):INDIRECT("Table!" &amp; $AR$188 &amp; $AF9),0)),"",INDIRECT(CONCATENATE("Table!",ADDRESS($AB9,MATCH(N$1,INDIRECT("Table!A" &amp; $AF9):INDIRECT("Table!" &amp; $AR$188 &amp; $AF9),0)))))</f>
        <v/>
      </c>
      <c r="O9" s="35">
        <f ca="1">IF(ISERROR(MATCH(O$1,INDIRECT("Table!A"&amp;$AN9):INDIRECT("Table!" &amp; $AR$159 &amp; $AN9),0)),"",INDIRECT(CONCATENATE("Table!",ADDRESS($AJ9,MATCH(O$1,INDIRECT("Table!A" &amp; $AN9):INDIRECT("Table!" &amp; $AR$159 &amp; $AN9),0)))))</f>
        <v>143392.20000000001</v>
      </c>
      <c r="P9" s="35">
        <f ca="1">IF(ISERROR(MATCH(P$1,INDIRECT("Table!A"&amp;$AN9):INDIRECT("Table!" &amp; $AR$159 &amp; $AN9),0)),"",INDIRECT(CONCATENATE("Table!",ADDRESS($AJ9,MATCH(P$1,INDIRECT("Table!A" &amp; $AN9):INDIRECT("Table!" &amp; $AR$159 &amp; $AN9),0)))))</f>
        <v>150515.79999999999</v>
      </c>
      <c r="Q9" s="35">
        <f ca="1">IF(ISERROR(MATCH(Q$1,INDIRECT("Table!A"&amp;$AN9):INDIRECT("Table!" &amp; $AR$159 &amp; $AN9),0)),"",INDIRECT(CONCATENATE("Table!",ADDRESS($AJ9,MATCH(Q$1,INDIRECT("Table!A" &amp; $AN9):INDIRECT("Table!" &amp; $AR$159 &amp; $AN9),0)))))</f>
        <v>150515.79999999999</v>
      </c>
      <c r="R9" s="35">
        <f ca="1">IF(ISERROR(MATCH(R$1,INDIRECT("Table!A"&amp;$AN9):INDIRECT("Table!" &amp; $AR$159 &amp; $AN9),0)),"",INDIRECT(CONCATENATE("Table!",ADDRESS($AJ9,MATCH(R$1,INDIRECT("Table!A" &amp; $AN9):INDIRECT("Table!" &amp; $AR$159 &amp; $AN9),0)))))</f>
        <v>181997.8</v>
      </c>
      <c r="S9" s="35">
        <f ca="1">IF(ISERROR(MATCH(S$1,INDIRECT("Table!A"&amp;$AN9):INDIRECT("Table!" &amp; $AR$159 &amp; $AN9),0)),"",INDIRECT(CONCATENATE("Table!",ADDRESS($AJ9,MATCH(S$1,INDIRECT("Table!A" &amp; $AN9):INDIRECT("Table!" &amp; $AR$159 &amp; $AN9),0)))))</f>
        <v>165452.5</v>
      </c>
      <c r="T9" s="35">
        <f ca="1">IF(ISERROR(MATCH(T$1,INDIRECT("Table!A"&amp;$AN9):INDIRECT("Table!" &amp; $AR$159 &amp; $AN9),0)),"",INDIRECT(CONCATENATE("Table!",ADDRESS($AJ9,MATCH(T$1,INDIRECT("Table!A" &amp; $AN9):INDIRECT("Table!" &amp; $AR$159 &amp; $AN9),0)))))</f>
        <v>132132</v>
      </c>
      <c r="U9" s="35">
        <f ca="1">IF(ISERROR(MATCH(U$1,INDIRECT("Table!A"&amp;$AN9):INDIRECT("Table!" &amp; $AR$159 &amp; $AN9),0)),"",INDIRECT(CONCATENATE("Table!",ADDRESS($AJ9,MATCH(U$1,INDIRECT("Table!A" &amp; $AN9):INDIRECT("Table!" &amp; $AR$159 &amp; $AN9),0)))))</f>
        <v>121331.8</v>
      </c>
      <c r="V9" s="35">
        <f ca="1">IF(ISERROR(MATCH(V$1,INDIRECT("Table!A"&amp;$AN9):INDIRECT("Table!" &amp; $AR$159 &amp; $AN9),0)),"",INDIRECT(CONCATENATE("Table!",ADDRESS($AJ9,MATCH(V$1,INDIRECT("Table!A" &amp; $AN9):INDIRECT("Table!" &amp; $AR$159 &amp; $AN9),0)))))</f>
        <v>193027</v>
      </c>
      <c r="W9" s="35">
        <f ca="1">IF(ISERROR(MATCH(W$1,INDIRECT("Table!A"&amp;$AN9):INDIRECT("Table!" &amp; $AR$159 &amp; $AN9),0)),"",INDIRECT(CONCATENATE("Table!",ADDRESS($AJ9,MATCH(W$1,INDIRECT("Table!A" &amp; $AN9):INDIRECT("Table!" &amp; $AR$159 &amp; $AN9),0)))))</f>
        <v>132132.20000000001</v>
      </c>
      <c r="X9" s="35">
        <f ca="1">IF(ISERROR(MATCH(X$1,INDIRECT("Table!A"&amp;$AN9):INDIRECT("Table!" &amp; $AR$159 &amp; $AN9),0)),"",INDIRECT(CONCATENATE("Table!",ADDRESS($AJ9,MATCH(X$1,INDIRECT("Table!A" &amp; $AN9):INDIRECT("Table!" &amp; $AR$159 &amp; $AN9),0)))))</f>
        <v>82726.3</v>
      </c>
      <c r="Y9" s="35">
        <f ca="1">IF(ISERROR(MATCH(Y$1,INDIRECT("Table!A"&amp;$AN9):INDIRECT("Table!" &amp; $AR$159 &amp; $AN9),0)),"",INDIRECT(CONCATENATE("Table!",ADDRESS($AJ9,MATCH(Y$1,INDIRECT("Table!A" &amp; $AN9):INDIRECT("Table!" &amp; $AR$159 &amp; $AN9),0)))))</f>
        <v>176482.7</v>
      </c>
      <c r="Z9" s="35">
        <f ca="1">IF(ISERROR(MATCH(Z$1,INDIRECT("Table!A"&amp;$AN9):INDIRECT("Table!" &amp; $AR$159 &amp; $AN9),0)),"",INDIRECT(CONCATENATE("Table!",ADDRESS($AJ9,MATCH(Z$1,INDIRECT("Table!A" &amp; $AN9):INDIRECT("Table!" &amp; $AR$159 &amp; $AN9),0)))))</f>
        <v>54921</v>
      </c>
      <c r="AA9" s="12"/>
      <c r="AB9" s="12">
        <f>MATCH($A9,Table!$A:$A,0)+$AD$2-1</f>
        <v>297</v>
      </c>
      <c r="AF9" s="31">
        <f>MATCH($A9,Table!$A:$A,0)+$AH$2-1</f>
        <v>295</v>
      </c>
      <c r="AJ9" s="12">
        <f>MATCH($A9,Table!$A:$A,0)+$AL$2-1</f>
        <v>296</v>
      </c>
      <c r="AN9" s="31">
        <f>MATCH($A9,Table!$A:$A,0)+$AH$2-1</f>
        <v>295</v>
      </c>
      <c r="AR9" s="265" t="s">
        <v>118</v>
      </c>
    </row>
    <row r="10" spans="1:44">
      <c r="A10" s="5">
        <v>41221</v>
      </c>
      <c r="B10" s="35">
        <f ca="1">IF(ISERROR(MATCH(B$1,INDIRECT("Table!A"&amp;$AF10):INDIRECT("Table!" &amp; $AR$159 &amp; $AF10),0)),"",INDIRECT(CONCATENATE("Table!",ADDRESS($AB10,MATCH(B$1,INDIRECT("Table!A" &amp; $AF10):INDIRECT("Table!" &amp; $AR$159 &amp; $AF10),0)))))</f>
        <v>62457.1</v>
      </c>
      <c r="C10" s="35">
        <f ca="1">IF(ISERROR(MATCH(C$1,INDIRECT("Table!A"&amp;$AF10):INDIRECT("Table!" &amp; $AR$159 &amp; $AF10),0)),"",INDIRECT(CONCATENATE("Table!",ADDRESS($AB10,MATCH(C$1,INDIRECT("Table!A" &amp; $AF10):INDIRECT("Table!" &amp; $AR$159 &amp; $AF10),0)))))</f>
        <v>73564.2</v>
      </c>
      <c r="D10" s="35">
        <f ca="1">IF(ISERROR(MATCH(D$1,INDIRECT("Table!A"&amp;$AF10):INDIRECT("Table!" &amp; $AR$159 &amp; $AF10),0)),"",INDIRECT(CONCATENATE("Table!",ADDRESS($AB10,MATCH(D$1,INDIRECT("Table!A" &amp; $AF10):INDIRECT("Table!" &amp; $AR$159 &amp; $AF10),0)))))</f>
        <v>74991.3</v>
      </c>
      <c r="E10" s="35">
        <f ca="1">IF(ISERROR(MATCH(E$1,INDIRECT("Table!A"&amp;$AF10):INDIRECT("Table!" &amp; $AR$159 &amp; $AF10),0)),"",INDIRECT(CONCATENATE("Table!",ADDRESS($AB10,MATCH(E$1,INDIRECT("Table!A" &amp; $AF10):INDIRECT("Table!" &amp; $AR$159 &amp; $AF10),0)))))</f>
        <v>158263.79999999999</v>
      </c>
      <c r="F10" s="35">
        <f ca="1">IF(ISERROR(MATCH(F$1,INDIRECT("Table!A"&amp;$AF10):INDIRECT("Table!" &amp; $AR$159 &amp; $AF10),0)),"",INDIRECT(CONCATENATE("Table!",ADDRESS($AB10,MATCH(F$1,INDIRECT("Table!A" &amp; $AF10):INDIRECT("Table!" &amp; $AR$159 &amp; $AF10),0)))))</f>
        <v>60005</v>
      </c>
      <c r="G10" s="35">
        <f ca="1">IF(ISERROR(MATCH(G$1,INDIRECT("Table!A"&amp;$AF10):INDIRECT("Table!" &amp; $AR$159 &amp; $AF10),0)),"",INDIRECT(CONCATENATE("Table!",ADDRESS($AB10,MATCH(G$1,INDIRECT("Table!A" &amp; $AF10):INDIRECT("Table!" &amp; $AR$159 &amp; $AF10),0)))))</f>
        <v>38091.1</v>
      </c>
      <c r="H10" s="35">
        <f ca="1">IF(ISERROR(MATCH(H$1,INDIRECT("Table!A"&amp;$AF10):INDIRECT("Table!" &amp; $AR$159 &amp; $AF10),0)),"",INDIRECT(CONCATENATE("Table!",ADDRESS($AB10,MATCH(H$1,INDIRECT("Table!A" &amp; $AF10):INDIRECT("Table!" &amp; $AR$159 &amp; $AF10),0)))))</f>
        <v>47809.4</v>
      </c>
      <c r="I10" s="35">
        <f ca="1">IF(ISERROR(MATCH(I$1,INDIRECT("Table!A"&amp;$AF10):INDIRECT("Table!" &amp; $AR$159 &amp; $AF10),0)),"",INDIRECT(CONCATENATE("Table!",ADDRESS($AB10,MATCH(I$1,INDIRECT("Table!A" &amp; $AF10):INDIRECT("Table!" &amp; $AR$159 &amp; $AF10),0)))))</f>
        <v>146582.29999999999</v>
      </c>
      <c r="J10" s="35">
        <f ca="1">IF(ISERROR(MATCH(J$1,INDIRECT("Table!A"&amp;$AF10):INDIRECT("Table!" &amp; $AR$159 &amp; $AF10),0)),"",INDIRECT(CONCATENATE("Table!",ADDRESS($AB10,MATCH(J$1,INDIRECT("Table!A" &amp; $AF10):INDIRECT("Table!" &amp; $AR$159 &amp; $AF10),0)))))</f>
        <v>41645.800000000003</v>
      </c>
      <c r="K10" s="35">
        <f ca="1">IF(ISERROR(MATCH(K$1,INDIRECT("Table!A"&amp;$AF10):INDIRECT("Table!" &amp; $AR$159 &amp; $AF10),0)),"",INDIRECT(CONCATENATE("Table!",ADDRESS($AB10,MATCH(K$1,INDIRECT("Table!A" &amp; $AF10):INDIRECT("Table!" &amp; $AR$159 &amp; $AF10),0)))))</f>
        <v>31223.3</v>
      </c>
      <c r="L10" s="35">
        <f ca="1">IF(ISERROR(MATCH(L$1,INDIRECT("Table!A"&amp;$AF10):INDIRECT("Table!" &amp; $AR$159 &amp; $AF10),0)),"",INDIRECT(CONCATENATE("Table!",ADDRESS($AB10,MATCH(L$1,INDIRECT("Table!A" &amp; $AF10):INDIRECT("Table!" &amp; $AR$159 &amp; $AF10),0)))))</f>
        <v>97855.1</v>
      </c>
      <c r="M10" s="35">
        <f ca="1">IF(ISERROR(MATCH(M$1,INDIRECT("Table!A"&amp;$AF10):INDIRECT("Table!" &amp; $AR$159 &amp; $AF10),0)),"",INDIRECT(CONCATENATE("Table!",ADDRESS($AB10,MATCH(M$1,INDIRECT("Table!A" &amp; $AF10):INDIRECT("Table!" &amp; $AR$159 &amp; $AF10),0)))))</f>
        <v>20795</v>
      </c>
      <c r="N10" s="35" t="str">
        <f ca="1">IF(ISERROR(MATCH(N$1,INDIRECT("Table!A"&amp;$AF10):INDIRECT("Table!" &amp; $AR$188 &amp; $AF10),0)),"",INDIRECT(CONCATENATE("Table!",ADDRESS($AB10,MATCH(N$1,INDIRECT("Table!A" &amp; $AF10):INDIRECT("Table!" &amp; $AR$188 &amp; $AF10),0)))))</f>
        <v/>
      </c>
      <c r="O10" s="35">
        <f ca="1">IF(ISERROR(MATCH(O$1,INDIRECT("Table!A"&amp;$AN10):INDIRECT("Table!" &amp; $AR$159 &amp; $AN10),0)),"",INDIRECT(CONCATENATE("Table!",ADDRESS($AJ10,MATCH(O$1,INDIRECT("Table!A" &amp; $AN10):INDIRECT("Table!" &amp; $AR$159 &amp; $AN10),0)))))</f>
        <v>143392.20000000001</v>
      </c>
      <c r="P10" s="35">
        <f ca="1">IF(ISERROR(MATCH(P$1,INDIRECT("Table!A"&amp;$AN10):INDIRECT("Table!" &amp; $AR$159 &amp; $AN10),0)),"",INDIRECT(CONCATENATE("Table!",ADDRESS($AJ10,MATCH(P$1,INDIRECT("Table!A" &amp; $AN10):INDIRECT("Table!" &amp; $AR$159 &amp; $AN10),0)))))</f>
        <v>150515.79999999999</v>
      </c>
      <c r="Q10" s="35">
        <f ca="1">IF(ISERROR(MATCH(Q$1,INDIRECT("Table!A"&amp;$AN10):INDIRECT("Table!" &amp; $AR$159 &amp; $AN10),0)),"",INDIRECT(CONCATENATE("Table!",ADDRESS($AJ10,MATCH(Q$1,INDIRECT("Table!A" &amp; $AN10):INDIRECT("Table!" &amp; $AR$159 &amp; $AN10),0)))))</f>
        <v>150515.79999999999</v>
      </c>
      <c r="R10" s="35">
        <f ca="1">IF(ISERROR(MATCH(R$1,INDIRECT("Table!A"&amp;$AN10):INDIRECT("Table!" &amp; $AR$159 &amp; $AN10),0)),"",INDIRECT(CONCATENATE("Table!",ADDRESS($AJ10,MATCH(R$1,INDIRECT("Table!A" &amp; $AN10):INDIRECT("Table!" &amp; $AR$159 &amp; $AN10),0)))))</f>
        <v>181997.8</v>
      </c>
      <c r="S10" s="35">
        <f ca="1">IF(ISERROR(MATCH(S$1,INDIRECT("Table!A"&amp;$AN10):INDIRECT("Table!" &amp; $AR$159 &amp; $AN10),0)),"",INDIRECT(CONCATENATE("Table!",ADDRESS($AJ10,MATCH(S$1,INDIRECT("Table!A" &amp; $AN10):INDIRECT("Table!" &amp; $AR$159 &amp; $AN10),0)))))</f>
        <v>165452.5</v>
      </c>
      <c r="T10" s="35">
        <f ca="1">IF(ISERROR(MATCH(T$1,INDIRECT("Table!A"&amp;$AN10):INDIRECT("Table!" &amp; $AR$159 &amp; $AN10),0)),"",INDIRECT(CONCATENATE("Table!",ADDRESS($AJ10,MATCH(T$1,INDIRECT("Table!A" &amp; $AN10):INDIRECT("Table!" &amp; $AR$159 &amp; $AN10),0)))))</f>
        <v>132132</v>
      </c>
      <c r="U10" s="35">
        <f ca="1">IF(ISERROR(MATCH(U$1,INDIRECT("Table!A"&amp;$AN10):INDIRECT("Table!" &amp; $AR$159 &amp; $AN10),0)),"",INDIRECT(CONCATENATE("Table!",ADDRESS($AJ10,MATCH(U$1,INDIRECT("Table!A" &amp; $AN10):INDIRECT("Table!" &amp; $AR$159 &amp; $AN10),0)))))</f>
        <v>121331.8</v>
      </c>
      <c r="V10" s="35">
        <f ca="1">IF(ISERROR(MATCH(V$1,INDIRECT("Table!A"&amp;$AN10):INDIRECT("Table!" &amp; $AR$159 &amp; $AN10),0)),"",INDIRECT(CONCATENATE("Table!",ADDRESS($AJ10,MATCH(V$1,INDIRECT("Table!A" &amp; $AN10):INDIRECT("Table!" &amp; $AR$159 &amp; $AN10),0)))))</f>
        <v>170967.6</v>
      </c>
      <c r="W10" s="35">
        <f ca="1">IF(ISERROR(MATCH(W$1,INDIRECT("Table!A"&amp;$AN10):INDIRECT("Table!" &amp; $AR$159 &amp; $AN10),0)),"",INDIRECT(CONCATENATE("Table!",ADDRESS($AJ10,MATCH(W$1,INDIRECT("Table!A" &amp; $AN10):INDIRECT("Table!" &amp; $AR$159 &amp; $AN10),0)))))</f>
        <v>132132.20000000001</v>
      </c>
      <c r="X10" s="35">
        <f ca="1">IF(ISERROR(MATCH(X$1,INDIRECT("Table!A"&amp;$AN10):INDIRECT("Table!" &amp; $AR$159 &amp; $AN10),0)),"",INDIRECT(CONCATENATE("Table!",ADDRESS($AJ10,MATCH(X$1,INDIRECT("Table!A" &amp; $AN10):INDIRECT("Table!" &amp; $AR$159 &amp; $AN10),0)))))</f>
        <v>82726.3</v>
      </c>
      <c r="Y10" s="35">
        <f ca="1">IF(ISERROR(MATCH(Y$1,INDIRECT("Table!A"&amp;$AN10):INDIRECT("Table!" &amp; $AR$159 &amp; $AN10),0)),"",INDIRECT(CONCATENATE("Table!",ADDRESS($AJ10,MATCH(Y$1,INDIRECT("Table!A" &amp; $AN10):INDIRECT("Table!" &amp; $AR$159 &amp; $AN10),0)))))</f>
        <v>176482.7</v>
      </c>
      <c r="Z10" s="35">
        <f ca="1">IF(ISERROR(MATCH(Z$1,INDIRECT("Table!A"&amp;$AN10):INDIRECT("Table!" &amp; $AR$159 &amp; $AN10),0)),"",INDIRECT(CONCATENATE("Table!",ADDRESS($AJ10,MATCH(Z$1,INDIRECT("Table!A" &amp; $AN10):INDIRECT("Table!" &amp; $AR$159 &amp; $AN10),0)))))</f>
        <v>54921</v>
      </c>
      <c r="AA10" s="12"/>
      <c r="AB10" s="12">
        <f>MATCH($A10,Table!$A:$A,0)+$AD$2-1</f>
        <v>309</v>
      </c>
      <c r="AF10" s="31">
        <f>MATCH($A10,Table!$A:$A,0)+$AH$2-1</f>
        <v>307</v>
      </c>
      <c r="AJ10" s="12">
        <f>MATCH($A10,Table!$A:$A,0)+$AL$2-1</f>
        <v>308</v>
      </c>
      <c r="AN10" s="31">
        <f>MATCH($A10,Table!$A:$A,0)+$AH$2-1</f>
        <v>307</v>
      </c>
      <c r="AR10" s="264" t="s">
        <v>118</v>
      </c>
    </row>
    <row r="11" spans="1:44">
      <c r="A11" s="5">
        <v>41220</v>
      </c>
      <c r="B11" s="35">
        <f ca="1">IF(ISERROR(MATCH(B$1,INDIRECT("Table!A"&amp;$AF11):INDIRECT("Table!" &amp; $AR$159 &amp; $AF11),0)),"",INDIRECT(CONCATENATE("Table!",ADDRESS($AB11,MATCH(B$1,INDIRECT("Table!A" &amp; $AF11):INDIRECT("Table!" &amp; $AR$159 &amp; $AF11),0)))))</f>
        <v>63919.6</v>
      </c>
      <c r="C11" s="35">
        <f ca="1">IF(ISERROR(MATCH(C$1,INDIRECT("Table!A"&amp;$AF11):INDIRECT("Table!" &amp; $AR$159 &amp; $AF11),0)),"",INDIRECT(CONCATENATE("Table!",ADDRESS($AB11,MATCH(C$1,INDIRECT("Table!A" &amp; $AF11):INDIRECT("Table!" &amp; $AR$159 &amp; $AF11),0)))))</f>
        <v>73539.399999999994</v>
      </c>
      <c r="D11" s="35">
        <f ca="1">IF(ISERROR(MATCH(D$1,INDIRECT("Table!A"&amp;$AF11):INDIRECT("Table!" &amp; $AR$159 &amp; $AF11),0)),"",INDIRECT(CONCATENATE("Table!",ADDRESS($AB11,MATCH(D$1,INDIRECT("Table!A" &amp; $AF11):INDIRECT("Table!" &amp; $AR$159 &amp; $AF11),0)))))</f>
        <v>74966.7</v>
      </c>
      <c r="E11" s="35">
        <f ca="1">IF(ISERROR(MATCH(E$1,INDIRECT("Table!A"&amp;$AF11):INDIRECT("Table!" &amp; $AR$159 &amp; $AF11),0)),"",INDIRECT(CONCATENATE("Table!",ADDRESS($AB11,MATCH(E$1,INDIRECT("Table!A" &amp; $AF11):INDIRECT("Table!" &amp; $AR$159 &amp; $AF11),0)))))</f>
        <v>158054.20000000001</v>
      </c>
      <c r="F11" s="35">
        <f ca="1">IF(ISERROR(MATCH(F$1,INDIRECT("Table!A"&amp;$AF11):INDIRECT("Table!" &amp; $AR$159 &amp; $AF11),0)),"",INDIRECT(CONCATENATE("Table!",ADDRESS($AB11,MATCH(F$1,INDIRECT("Table!A" &amp; $AF11):INDIRECT("Table!" &amp; $AR$159 &amp; $AF11),0)))))</f>
        <v>59708.1</v>
      </c>
      <c r="G11" s="35">
        <f ca="1">IF(ISERROR(MATCH(G$1,INDIRECT("Table!A"&amp;$AF11):INDIRECT("Table!" &amp; $AR$159 &amp; $AF11),0)),"",INDIRECT(CONCATENATE("Table!",ADDRESS($AB11,MATCH(G$1,INDIRECT("Table!A" &amp; $AF11):INDIRECT("Table!" &amp; $AR$159 &amp; $AF11),0)))))</f>
        <v>39024.199999999997</v>
      </c>
      <c r="H11" s="35">
        <f ca="1">IF(ISERROR(MATCH(H$1,INDIRECT("Table!A"&amp;$AF11):INDIRECT("Table!" &amp; $AR$159 &amp; $AF11),0)),"",INDIRECT(CONCATENATE("Table!",ADDRESS($AB11,MATCH(H$1,INDIRECT("Table!A" &amp; $AF11):INDIRECT("Table!" &amp; $AR$159 &amp; $AF11),0)))))</f>
        <v>47764.2</v>
      </c>
      <c r="I11" s="35">
        <f ca="1">IF(ISERROR(MATCH(I$1,INDIRECT("Table!A"&amp;$AF11):INDIRECT("Table!" &amp; $AR$159 &amp; $AF11),0)),"",INDIRECT(CONCATENATE("Table!",ADDRESS($AB11,MATCH(I$1,INDIRECT("Table!A" &amp; $AF11):INDIRECT("Table!" &amp; $AR$159 &amp; $AF11),0)))))</f>
        <v>146504.20000000001</v>
      </c>
      <c r="J11" s="35">
        <f ca="1">IF(ISERROR(MATCH(J$1,INDIRECT("Table!A"&amp;$AF11):INDIRECT("Table!" &amp; $AR$159 &amp; $AF11),0)),"",INDIRECT(CONCATENATE("Table!",ADDRESS($AB11,MATCH(J$1,INDIRECT("Table!A" &amp; $AF11):INDIRECT("Table!" &amp; $AR$159 &amp; $AF11),0)))))</f>
        <v>38574.699999999997</v>
      </c>
      <c r="K11" s="35">
        <f ca="1">IF(ISERROR(MATCH(K$1,INDIRECT("Table!A"&amp;$AF11):INDIRECT("Table!" &amp; $AR$159 &amp; $AF11),0)),"",INDIRECT(CONCATENATE("Table!",ADDRESS($AB11,MATCH(K$1,INDIRECT("Table!A" &amp; $AF11):INDIRECT("Table!" &amp; $AR$159 &amp; $AF11),0)))))</f>
        <v>31068.400000000001</v>
      </c>
      <c r="L11" s="35">
        <f ca="1">IF(ISERROR(MATCH(L$1,INDIRECT("Table!A"&amp;$AF11):INDIRECT("Table!" &amp; $AR$159 &amp; $AF11),0)),"",INDIRECT(CONCATENATE("Table!",ADDRESS($AB11,MATCH(L$1,INDIRECT("Table!A" &amp; $AF11):INDIRECT("Table!" &amp; $AR$159 &amp; $AF11),0)))))</f>
        <v>97775.9</v>
      </c>
      <c r="M11" s="35">
        <f ca="1">IF(ISERROR(MATCH(M$1,INDIRECT("Table!A"&amp;$AF11):INDIRECT("Table!" &amp; $AR$159 &amp; $AF11),0)),"",INDIRECT(CONCATENATE("Table!",ADDRESS($AB11,MATCH(M$1,INDIRECT("Table!A" &amp; $AF11):INDIRECT("Table!" &amp; $AR$159 &amp; $AF11),0)))))</f>
        <v>20795</v>
      </c>
      <c r="N11" s="35" t="str">
        <f ca="1">IF(ISERROR(MATCH(N$1,INDIRECT("Table!A"&amp;$AF11):INDIRECT("Table!" &amp; $AR$188 &amp; $AF11),0)),"",INDIRECT(CONCATENATE("Table!",ADDRESS($AB11,MATCH(N$1,INDIRECT("Table!A" &amp; $AF11):INDIRECT("Table!" &amp; $AR$188 &amp; $AF11),0)))))</f>
        <v/>
      </c>
      <c r="O11" s="35">
        <f ca="1">IF(ISERROR(MATCH(O$1,INDIRECT("Table!A"&amp;$AN11):INDIRECT("Table!" &amp; $AR$159 &amp; $AN11),0)),"",INDIRECT(CONCATENATE("Table!",ADDRESS($AJ11,MATCH(O$1,INDIRECT("Table!A" &amp; $AN11):INDIRECT("Table!" &amp; $AR$159 &amp; $AN11),0)))))</f>
        <v>143392.20000000001</v>
      </c>
      <c r="P11" s="35">
        <f ca="1">IF(ISERROR(MATCH(P$1,INDIRECT("Table!A"&amp;$AN11):INDIRECT("Table!" &amp; $AR$159 &amp; $AN11),0)),"",INDIRECT(CONCATENATE("Table!",ADDRESS($AJ11,MATCH(P$1,INDIRECT("Table!A" &amp; $AN11):INDIRECT("Table!" &amp; $AR$159 &amp; $AN11),0)))))</f>
        <v>150515.79999999999</v>
      </c>
      <c r="Q11" s="35">
        <f ca="1">IF(ISERROR(MATCH(Q$1,INDIRECT("Table!A"&amp;$AN11):INDIRECT("Table!" &amp; $AR$159 &amp; $AN11),0)),"",INDIRECT(CONCATENATE("Table!",ADDRESS($AJ11,MATCH(Q$1,INDIRECT("Table!A" &amp; $AN11):INDIRECT("Table!" &amp; $AR$159 &amp; $AN11),0)))))</f>
        <v>150515.79999999999</v>
      </c>
      <c r="R11" s="35">
        <f ca="1">IF(ISERROR(MATCH(R$1,INDIRECT("Table!A"&amp;$AN11):INDIRECT("Table!" &amp; $AR$159 &amp; $AN11),0)),"",INDIRECT(CONCATENATE("Table!",ADDRESS($AJ11,MATCH(R$1,INDIRECT("Table!A" &amp; $AN11):INDIRECT("Table!" &amp; $AR$159 &amp; $AN11),0)))))</f>
        <v>181997.8</v>
      </c>
      <c r="S11" s="35">
        <f ca="1">IF(ISERROR(MATCH(S$1,INDIRECT("Table!A"&amp;$AN11):INDIRECT("Table!" &amp; $AR$159 &amp; $AN11),0)),"",INDIRECT(CONCATENATE("Table!",ADDRESS($AJ11,MATCH(S$1,INDIRECT("Table!A" &amp; $AN11):INDIRECT("Table!" &amp; $AR$159 &amp; $AN11),0)))))</f>
        <v>165452.5</v>
      </c>
      <c r="T11" s="35">
        <f ca="1">IF(ISERROR(MATCH(T$1,INDIRECT("Table!A"&amp;$AN11):INDIRECT("Table!" &amp; $AR$159 &amp; $AN11),0)),"",INDIRECT(CONCATENATE("Table!",ADDRESS($AJ11,MATCH(T$1,INDIRECT("Table!A" &amp; $AN11):INDIRECT("Table!" &amp; $AR$159 &amp; $AN11),0)))))</f>
        <v>132132</v>
      </c>
      <c r="U11" s="35">
        <f ca="1">IF(ISERROR(MATCH(U$1,INDIRECT("Table!A"&amp;$AN11):INDIRECT("Table!" &amp; $AR$159 &amp; $AN11),0)),"",INDIRECT(CONCATENATE("Table!",ADDRESS($AJ11,MATCH(U$1,INDIRECT("Table!A" &amp; $AN11):INDIRECT("Table!" &amp; $AR$159 &amp; $AN11),0)))))</f>
        <v>121331.8</v>
      </c>
      <c r="V11" s="35">
        <f ca="1">IF(ISERROR(MATCH(V$1,INDIRECT("Table!A"&amp;$AN11):INDIRECT("Table!" &amp; $AR$159 &amp; $AN11),0)),"",INDIRECT(CONCATENATE("Table!",ADDRESS($AJ11,MATCH(V$1,INDIRECT("Table!A" &amp; $AN11):INDIRECT("Table!" &amp; $AR$159 &amp; $AN11),0)))))</f>
        <v>170967.6</v>
      </c>
      <c r="W11" s="35">
        <f ca="1">IF(ISERROR(MATCH(W$1,INDIRECT("Table!A"&amp;$AN11):INDIRECT("Table!" &amp; $AR$159 &amp; $AN11),0)),"",INDIRECT(CONCATENATE("Table!",ADDRESS($AJ11,MATCH(W$1,INDIRECT("Table!A" &amp; $AN11):INDIRECT("Table!" &amp; $AR$159 &amp; $AN11),0)))))</f>
        <v>132132.20000000001</v>
      </c>
      <c r="X11" s="35">
        <f ca="1">IF(ISERROR(MATCH(X$1,INDIRECT("Table!A"&amp;$AN11):INDIRECT("Table!" &amp; $AR$159 &amp; $AN11),0)),"",INDIRECT(CONCATENATE("Table!",ADDRESS($AJ11,MATCH(X$1,INDIRECT("Table!A" &amp; $AN11):INDIRECT("Table!" &amp; $AR$159 &amp; $AN11),0)))))</f>
        <v>82726.3</v>
      </c>
      <c r="Y11" s="35">
        <f ca="1">IF(ISERROR(MATCH(Y$1,INDIRECT("Table!A"&amp;$AN11):INDIRECT("Table!" &amp; $AR$159 &amp; $AN11),0)),"",INDIRECT(CONCATENATE("Table!",ADDRESS($AJ11,MATCH(Y$1,INDIRECT("Table!A" &amp; $AN11):INDIRECT("Table!" &amp; $AR$159 &amp; $AN11),0)))))</f>
        <v>176482.7</v>
      </c>
      <c r="Z11" s="35">
        <f ca="1">IF(ISERROR(MATCH(Z$1,INDIRECT("Table!A"&amp;$AN11):INDIRECT("Table!" &amp; $AR$159 &amp; $AN11),0)),"",INDIRECT(CONCATENATE("Table!",ADDRESS($AJ11,MATCH(Z$1,INDIRECT("Table!A" &amp; $AN11):INDIRECT("Table!" &amp; $AR$159 &amp; $AN11),0)))))</f>
        <v>54921</v>
      </c>
      <c r="AA11" s="12"/>
      <c r="AB11" s="12">
        <f>MATCH($A11,Table!$A:$A,0)+$AD$2-1</f>
        <v>321</v>
      </c>
      <c r="AF11" s="31">
        <f>MATCH($A11,Table!$A:$A,0)+$AH$2-1</f>
        <v>319</v>
      </c>
      <c r="AJ11" s="12">
        <f>MATCH($A11,Table!$A:$A,0)+$AL$2-1</f>
        <v>320</v>
      </c>
      <c r="AN11" s="31">
        <f>MATCH($A11,Table!$A:$A,0)+$AH$2-1</f>
        <v>319</v>
      </c>
      <c r="AR11" s="263" t="s">
        <v>118</v>
      </c>
    </row>
    <row r="12" spans="1:44">
      <c r="A12" s="5">
        <v>41215</v>
      </c>
      <c r="B12" s="35">
        <f ca="1">IF(ISERROR(MATCH(B$1,INDIRECT("Table!A"&amp;$AF12):INDIRECT("Table!" &amp; $AR$159 &amp; $AF12),0)),"",INDIRECT(CONCATENATE("Table!",ADDRESS($AB12,MATCH(B$1,INDIRECT("Table!A" &amp; $AF12):INDIRECT("Table!" &amp; $AR$159 &amp; $AF12),0)))))</f>
        <v>67593</v>
      </c>
      <c r="C12" s="35">
        <f ca="1">IF(ISERROR(MATCH(C$1,INDIRECT("Table!A"&amp;$AF12):INDIRECT("Table!" &amp; $AR$159 &amp; $AF12),0)),"",INDIRECT(CONCATENATE("Table!",ADDRESS($AB12,MATCH(C$1,INDIRECT("Table!A" &amp; $AF12):INDIRECT("Table!" &amp; $AR$159 &amp; $AF12),0)))))</f>
        <v>73478.399999999994</v>
      </c>
      <c r="D12" s="35">
        <f ca="1">IF(ISERROR(MATCH(D$1,INDIRECT("Table!A"&amp;$AF12):INDIRECT("Table!" &amp; $AR$159 &amp; $AF12),0)),"",INDIRECT(CONCATENATE("Table!",ADDRESS($AB12,MATCH(D$1,INDIRECT("Table!A" &amp; $AF12):INDIRECT("Table!" &amp; $AR$159 &amp; $AF12),0)))))</f>
        <v>74921.399999999994</v>
      </c>
      <c r="E12" s="35">
        <f ca="1">IF(ISERROR(MATCH(E$1,INDIRECT("Table!A"&amp;$AF12):INDIRECT("Table!" &amp; $AR$159 &amp; $AF12),0)),"",INDIRECT(CONCATENATE("Table!",ADDRESS($AB12,MATCH(E$1,INDIRECT("Table!A" &amp; $AF12):INDIRECT("Table!" &amp; $AR$159 &amp; $AF12),0)))))</f>
        <v>161637.5</v>
      </c>
      <c r="F12" s="35">
        <f ca="1">IF(ISERROR(MATCH(F$1,INDIRECT("Table!A"&amp;$AF12):INDIRECT("Table!" &amp; $AR$159 &amp; $AF12),0)),"",INDIRECT(CONCATENATE("Table!",ADDRESS($AB12,MATCH(F$1,INDIRECT("Table!A" &amp; $AF12):INDIRECT("Table!" &amp; $AR$159 &amp; $AF12),0)))))</f>
        <v>59176.7</v>
      </c>
      <c r="G12" s="35">
        <f ca="1">IF(ISERROR(MATCH(G$1,INDIRECT("Table!A"&amp;$AF12):INDIRECT("Table!" &amp; $AR$159 &amp; $AF12),0)),"",INDIRECT(CONCATENATE("Table!",ADDRESS($AB12,MATCH(G$1,INDIRECT("Table!A" &amp; $AF12):INDIRECT("Table!" &amp; $AR$159 &amp; $AF12),0)))))</f>
        <v>40779.800000000003</v>
      </c>
      <c r="H12" s="35">
        <f ca="1">IF(ISERROR(MATCH(H$1,INDIRECT("Table!A"&amp;$AF12):INDIRECT("Table!" &amp; $AR$159 &amp; $AF12),0)),"",INDIRECT(CONCATENATE("Table!",ADDRESS($AB12,MATCH(H$1,INDIRECT("Table!A" &amp; $AF12):INDIRECT("Table!" &amp; $AR$159 &amp; $AF12),0)))))</f>
        <v>47374.6</v>
      </c>
      <c r="I12" s="35">
        <f ca="1">IF(ISERROR(MATCH(I$1,INDIRECT("Table!A"&amp;$AF12):INDIRECT("Table!" &amp; $AR$159 &amp; $AF12),0)),"",INDIRECT(CONCATENATE("Table!",ADDRESS($AB12,MATCH(I$1,INDIRECT("Table!A" &amp; $AF12):INDIRECT("Table!" &amp; $AR$159 &amp; $AF12),0)))))</f>
        <v>146156.79999999999</v>
      </c>
      <c r="J12" s="35">
        <f ca="1">IF(ISERROR(MATCH(J$1,INDIRECT("Table!A"&amp;$AF12):INDIRECT("Table!" &amp; $AR$159 &amp; $AF12),0)),"",INDIRECT(CONCATENATE("Table!",ADDRESS($AB12,MATCH(J$1,INDIRECT("Table!A" &amp; $AF12):INDIRECT("Table!" &amp; $AR$159 &amp; $AF12),0)))))</f>
        <v>38845.300000000003</v>
      </c>
      <c r="K12" s="35">
        <f ca="1">IF(ISERROR(MATCH(K$1,INDIRECT("Table!A"&amp;$AF12):INDIRECT("Table!" &amp; $AR$159 &amp; $AF12),0)),"",INDIRECT(CONCATENATE("Table!",ADDRESS($AB12,MATCH(K$1,INDIRECT("Table!A" &amp; $AF12):INDIRECT("Table!" &amp; $AR$159 &amp; $AF12),0)))))</f>
        <v>30785.9</v>
      </c>
      <c r="L12" s="35">
        <f ca="1">IF(ISERROR(MATCH(L$1,INDIRECT("Table!A"&amp;$AF12):INDIRECT("Table!" &amp; $AR$159 &amp; $AF12),0)),"",INDIRECT(CONCATENATE("Table!",ADDRESS($AB12,MATCH(L$1,INDIRECT("Table!A" &amp; $AF12):INDIRECT("Table!" &amp; $AR$159 &amp; $AF12),0)))))</f>
        <v>97591.4</v>
      </c>
      <c r="M12" s="35">
        <f ca="1">IF(ISERROR(MATCH(M$1,INDIRECT("Table!A"&amp;$AF12):INDIRECT("Table!" &amp; $AR$159 &amp; $AF12),0)),"",INDIRECT(CONCATENATE("Table!",ADDRESS($AB12,MATCH(M$1,INDIRECT("Table!A" &amp; $AF12):INDIRECT("Table!" &amp; $AR$159 &amp; $AF12),0)))))</f>
        <v>23055</v>
      </c>
      <c r="N12" s="35" t="str">
        <f ca="1">IF(ISERROR(MATCH(N$1,INDIRECT("Table!A"&amp;$AF12):INDIRECT("Table!" &amp; $AR$188 &amp; $AF12),0)),"",INDIRECT(CONCATENATE("Table!",ADDRESS($AB12,MATCH(N$1,INDIRECT("Table!A" &amp; $AF12):INDIRECT("Table!" &amp; $AR$188 &amp; $AF12),0)))))</f>
        <v/>
      </c>
      <c r="O12" s="35">
        <f ca="1">IF(ISERROR(MATCH(O$1,INDIRECT("Table!A"&amp;$AN12):INDIRECT("Table!" &amp; $AR$159 &amp; $AN12),0)),"",INDIRECT(CONCATENATE("Table!",ADDRESS($AJ12,MATCH(O$1,INDIRECT("Table!A" &amp; $AN12):INDIRECT("Table!" &amp; $AR$159 &amp; $AN12),0)))))</f>
        <v>143392.20000000001</v>
      </c>
      <c r="P12" s="35">
        <f ca="1">IF(ISERROR(MATCH(P$1,INDIRECT("Table!A"&amp;$AN12):INDIRECT("Table!" &amp; $AR$159 &amp; $AN12),0)),"",INDIRECT(CONCATENATE("Table!",ADDRESS($AJ12,MATCH(P$1,INDIRECT("Table!A" &amp; $AN12):INDIRECT("Table!" &amp; $AR$159 &amp; $AN12),0)))))</f>
        <v>150515.79999999999</v>
      </c>
      <c r="Q12" s="35">
        <f ca="1">IF(ISERROR(MATCH(Q$1,INDIRECT("Table!A"&amp;$AN12):INDIRECT("Table!" &amp; $AR$159 &amp; $AN12),0)),"",INDIRECT(CONCATENATE("Table!",ADDRESS($AJ12,MATCH(Q$1,INDIRECT("Table!A" &amp; $AN12):INDIRECT("Table!" &amp; $AR$159 &amp; $AN12),0)))))</f>
        <v>150515.79999999999</v>
      </c>
      <c r="R12" s="35">
        <f ca="1">IF(ISERROR(MATCH(R$1,INDIRECT("Table!A"&amp;$AN12):INDIRECT("Table!" &amp; $AR$159 &amp; $AN12),0)),"",INDIRECT(CONCATENATE("Table!",ADDRESS($AJ12,MATCH(R$1,INDIRECT("Table!A" &amp; $AN12):INDIRECT("Table!" &amp; $AR$159 &amp; $AN12),0)))))</f>
        <v>181997.8</v>
      </c>
      <c r="S12" s="35">
        <f ca="1">IF(ISERROR(MATCH(S$1,INDIRECT("Table!A"&amp;$AN12):INDIRECT("Table!" &amp; $AR$159 &amp; $AN12),0)),"",INDIRECT(CONCATENATE("Table!",ADDRESS($AJ12,MATCH(S$1,INDIRECT("Table!A" &amp; $AN12):INDIRECT("Table!" &amp; $AR$159 &amp; $AN12),0)))))</f>
        <v>165452.5</v>
      </c>
      <c r="T12" s="35">
        <f ca="1">IF(ISERROR(MATCH(T$1,INDIRECT("Table!A"&amp;$AN12):INDIRECT("Table!" &amp; $AR$159 &amp; $AN12),0)),"",INDIRECT(CONCATENATE("Table!",ADDRESS($AJ12,MATCH(T$1,INDIRECT("Table!A" &amp; $AN12):INDIRECT("Table!" &amp; $AR$159 &amp; $AN12),0)))))</f>
        <v>132132</v>
      </c>
      <c r="U12" s="35">
        <f ca="1">IF(ISERROR(MATCH(U$1,INDIRECT("Table!A"&amp;$AN12):INDIRECT("Table!" &amp; $AR$159 &amp; $AN12),0)),"",INDIRECT(CONCATENATE("Table!",ADDRESS($AJ12,MATCH(U$1,INDIRECT("Table!A" &amp; $AN12):INDIRECT("Table!" &amp; $AR$159 &amp; $AN12),0)))))</f>
        <v>121331.8</v>
      </c>
      <c r="V12" s="35">
        <f ca="1">IF(ISERROR(MATCH(V$1,INDIRECT("Table!A"&amp;$AN12):INDIRECT("Table!" &amp; $AR$159 &amp; $AN12),0)),"",INDIRECT(CONCATENATE("Table!",ADDRESS($AJ12,MATCH(V$1,INDIRECT("Table!A" &amp; $AN12):INDIRECT("Table!" &amp; $AR$159 &amp; $AN12),0)))))</f>
        <v>170967.6</v>
      </c>
      <c r="W12" s="35">
        <f ca="1">IF(ISERROR(MATCH(W$1,INDIRECT("Table!A"&amp;$AN12):INDIRECT("Table!" &amp; $AR$159 &amp; $AN12),0)),"",INDIRECT(CONCATENATE("Table!",ADDRESS($AJ12,MATCH(W$1,INDIRECT("Table!A" &amp; $AN12):INDIRECT("Table!" &amp; $AR$159 &amp; $AN12),0)))))</f>
        <v>132132.20000000001</v>
      </c>
      <c r="X12" s="35">
        <f ca="1">IF(ISERROR(MATCH(X$1,INDIRECT("Table!A"&amp;$AN12):INDIRECT("Table!" &amp; $AR$159 &amp; $AN12),0)),"",INDIRECT(CONCATENATE("Table!",ADDRESS($AJ12,MATCH(X$1,INDIRECT("Table!A" &amp; $AN12):INDIRECT("Table!" &amp; $AR$159 &amp; $AN12),0)))))</f>
        <v>82726.3</v>
      </c>
      <c r="Y12" s="35">
        <f ca="1">IF(ISERROR(MATCH(Y$1,INDIRECT("Table!A"&amp;$AN12):INDIRECT("Table!" &amp; $AR$159 &amp; $AN12),0)),"",INDIRECT(CONCATENATE("Table!",ADDRESS($AJ12,MATCH(Y$1,INDIRECT("Table!A" &amp; $AN12):INDIRECT("Table!" &amp; $AR$159 &amp; $AN12),0)))))</f>
        <v>176482.7</v>
      </c>
      <c r="Z12" s="35">
        <f ca="1">IF(ISERROR(MATCH(Z$1,INDIRECT("Table!A"&amp;$AN12):INDIRECT("Table!" &amp; $AR$159 &amp; $AN12),0)),"",INDIRECT(CONCATENATE("Table!",ADDRESS($AJ12,MATCH(Z$1,INDIRECT("Table!A" &amp; $AN12):INDIRECT("Table!" &amp; $AR$159 &amp; $AN12),0)))))</f>
        <v>54921</v>
      </c>
      <c r="AA12" s="12"/>
      <c r="AB12" s="12">
        <f>MATCH($A12,Table!$A:$A,0)+$AD$2-1</f>
        <v>345</v>
      </c>
      <c r="AF12" s="31">
        <f>MATCH($A12,Table!$A:$A,0)+$AH$2-1</f>
        <v>343</v>
      </c>
      <c r="AJ12" s="12">
        <f>MATCH($A12,Table!$A:$A,0)+$AL$2-1</f>
        <v>344</v>
      </c>
      <c r="AN12" s="31">
        <f>MATCH($A12,Table!$A:$A,0)+$AH$2-1</f>
        <v>343</v>
      </c>
      <c r="AR12" s="262" t="s">
        <v>118</v>
      </c>
    </row>
    <row r="13" spans="1:44">
      <c r="A13" s="5">
        <v>41214</v>
      </c>
      <c r="B13" s="35">
        <f ca="1">IF(ISERROR(MATCH(B$1,INDIRECT("Table!A"&amp;$AF13):INDIRECT("Table!" &amp; $AR$159 &amp; $AF13),0)),"",INDIRECT(CONCATENATE("Table!",ADDRESS($AB13,MATCH(B$1,INDIRECT("Table!A" &amp; $AF13):INDIRECT("Table!" &amp; $AR$159 &amp; $AF13),0)))))</f>
        <v>68904.5</v>
      </c>
      <c r="C13" s="35">
        <f ca="1">IF(ISERROR(MATCH(C$1,INDIRECT("Table!A"&amp;$AF13):INDIRECT("Table!" &amp; $AR$159 &amp; $AF13),0)),"",INDIRECT(CONCATENATE("Table!",ADDRESS($AB13,MATCH(C$1,INDIRECT("Table!A" &amp; $AF13):INDIRECT("Table!" &amp; $AR$159 &amp; $AF13),0)))))</f>
        <v>73467.100000000006</v>
      </c>
      <c r="D13" s="35">
        <f ca="1">IF(ISERROR(MATCH(D$1,INDIRECT("Table!A"&amp;$AF13):INDIRECT("Table!" &amp; $AR$159 &amp; $AF13),0)),"",INDIRECT(CONCATENATE("Table!",ADDRESS($AB13,MATCH(D$1,INDIRECT("Table!A" &amp; $AF13):INDIRECT("Table!" &amp; $AR$159 &amp; $AF13),0)))))</f>
        <v>74910</v>
      </c>
      <c r="E13" s="35">
        <f ca="1">IF(ISERROR(MATCH(E$1,INDIRECT("Table!A"&amp;$AF13):INDIRECT("Table!" &amp; $AR$159 &amp; $AF13),0)),"",INDIRECT(CONCATENATE("Table!",ADDRESS($AB13,MATCH(E$1,INDIRECT("Table!A" &amp; $AF13):INDIRECT("Table!" &amp; $AR$159 &amp; $AF13),0)))))</f>
        <v>161575.20000000001</v>
      </c>
      <c r="F13" s="35">
        <f ca="1">IF(ISERROR(MATCH(F$1,INDIRECT("Table!A"&amp;$AF13):INDIRECT("Table!" &amp; $AR$159 &amp; $AF13),0)),"",INDIRECT(CONCATENATE("Table!",ADDRESS($AB13,MATCH(F$1,INDIRECT("Table!A" &amp; $AF13):INDIRECT("Table!" &amp; $AR$159 &amp; $AF13),0)))))</f>
        <v>58797.9</v>
      </c>
      <c r="G13" s="35">
        <f ca="1">IF(ISERROR(MATCH(G$1,INDIRECT("Table!A"&amp;$AF13):INDIRECT("Table!" &amp; $AR$159 &amp; $AF13),0)),"",INDIRECT(CONCATENATE("Table!",ADDRESS($AB13,MATCH(G$1,INDIRECT("Table!A" &amp; $AF13):INDIRECT("Table!" &amp; $AR$159 &amp; $AF13),0)))))</f>
        <v>41472.300000000003</v>
      </c>
      <c r="H13" s="35">
        <f ca="1">IF(ISERROR(MATCH(H$1,INDIRECT("Table!A"&amp;$AF13):INDIRECT("Table!" &amp; $AR$159 &amp; $AF13),0)),"",INDIRECT(CONCATENATE("Table!",ADDRESS($AB13,MATCH(H$1,INDIRECT("Table!A" &amp; $AF13):INDIRECT("Table!" &amp; $AR$159 &amp; $AF13),0)))))</f>
        <v>47359.199999999997</v>
      </c>
      <c r="I13" s="35">
        <f ca="1">IF(ISERROR(MATCH(I$1,INDIRECT("Table!A"&amp;$AF13):INDIRECT("Table!" &amp; $AR$159 &amp; $AF13),0)),"",INDIRECT(CONCATENATE("Table!",ADDRESS($AB13,MATCH(I$1,INDIRECT("Table!A" &amp; $AF13):INDIRECT("Table!" &amp; $AR$159 &amp; $AF13),0)))))</f>
        <v>146112.5</v>
      </c>
      <c r="J13" s="35">
        <f ca="1">IF(ISERROR(MATCH(J$1,INDIRECT("Table!A"&amp;$AF13):INDIRECT("Table!" &amp; $AR$159 &amp; $AF13),0)),"",INDIRECT(CONCATENATE("Table!",ADDRESS($AB13,MATCH(J$1,INDIRECT("Table!A" &amp; $AF13):INDIRECT("Table!" &amp; $AR$159 &amp; $AF13),0)))))</f>
        <v>39254</v>
      </c>
      <c r="K13" s="35">
        <f ca="1">IF(ISERROR(MATCH(K$1,INDIRECT("Table!A"&amp;$AF13):INDIRECT("Table!" &amp; $AR$159 &amp; $AF13),0)),"",INDIRECT(CONCATENATE("Table!",ADDRESS($AB13,MATCH(K$1,INDIRECT("Table!A" &amp; $AF13):INDIRECT("Table!" &amp; $AR$159 &amp; $AF13),0)))))</f>
        <v>30595.3</v>
      </c>
      <c r="L13" s="35">
        <f ca="1">IF(ISERROR(MATCH(L$1,INDIRECT("Table!A"&amp;$AF13):INDIRECT("Table!" &amp; $AR$159 &amp; $AF13),0)),"",INDIRECT(CONCATENATE("Table!",ADDRESS($AB13,MATCH(L$1,INDIRECT("Table!A" &amp; $AF13):INDIRECT("Table!" &amp; $AR$159 &amp; $AF13),0)))))</f>
        <v>97560.3</v>
      </c>
      <c r="M13" s="35">
        <f ca="1">IF(ISERROR(MATCH(M$1,INDIRECT("Table!A"&amp;$AF13):INDIRECT("Table!" &amp; $AR$159 &amp; $AF13),0)),"",INDIRECT(CONCATENATE("Table!",ADDRESS($AB13,MATCH(M$1,INDIRECT("Table!A" &amp; $AF13):INDIRECT("Table!" &amp; $AR$159 &amp; $AF13),0)))))</f>
        <v>23055</v>
      </c>
      <c r="N13" s="35" t="str">
        <f ca="1">IF(ISERROR(MATCH(N$1,INDIRECT("Table!A"&amp;$AF13):INDIRECT("Table!" &amp; $AR$188 &amp; $AF13),0)),"",INDIRECT(CONCATENATE("Table!",ADDRESS($AB13,MATCH(N$1,INDIRECT("Table!A" &amp; $AF13):INDIRECT("Table!" &amp; $AR$188 &amp; $AF13),0)))))</f>
        <v/>
      </c>
      <c r="O13" s="35">
        <f ca="1">IF(ISERROR(MATCH(O$1,INDIRECT("Table!A"&amp;$AN13):INDIRECT("Table!" &amp; $AR$159 &amp; $AN13),0)),"",INDIRECT(CONCATENATE("Table!",ADDRESS($AJ13,MATCH(O$1,INDIRECT("Table!A" &amp; $AN13):INDIRECT("Table!" &amp; $AR$159 &amp; $AN13),0)))))</f>
        <v>143392.20000000001</v>
      </c>
      <c r="P13" s="35">
        <f ca="1">IF(ISERROR(MATCH(P$1,INDIRECT("Table!A"&amp;$AN13):INDIRECT("Table!" &amp; $AR$159 &amp; $AN13),0)),"",INDIRECT(CONCATENATE("Table!",ADDRESS($AJ13,MATCH(P$1,INDIRECT("Table!A" &amp; $AN13):INDIRECT("Table!" &amp; $AR$159 &amp; $AN13),0)))))</f>
        <v>150515.79999999999</v>
      </c>
      <c r="Q13" s="35">
        <f ca="1">IF(ISERROR(MATCH(Q$1,INDIRECT("Table!A"&amp;$AN13):INDIRECT("Table!" &amp; $AR$159 &amp; $AN13),0)),"",INDIRECT(CONCATENATE("Table!",ADDRESS($AJ13,MATCH(Q$1,INDIRECT("Table!A" &amp; $AN13):INDIRECT("Table!" &amp; $AR$159 &amp; $AN13),0)))))</f>
        <v>150515.79999999999</v>
      </c>
      <c r="R13" s="35">
        <f ca="1">IF(ISERROR(MATCH(R$1,INDIRECT("Table!A"&amp;$AN13):INDIRECT("Table!" &amp; $AR$159 &amp; $AN13),0)),"",INDIRECT(CONCATENATE("Table!",ADDRESS($AJ13,MATCH(R$1,INDIRECT("Table!A" &amp; $AN13):INDIRECT("Table!" &amp; $AR$159 &amp; $AN13),0)))))</f>
        <v>181997.8</v>
      </c>
      <c r="S13" s="35">
        <f ca="1">IF(ISERROR(MATCH(S$1,INDIRECT("Table!A"&amp;$AN13):INDIRECT("Table!" &amp; $AR$159 &amp; $AN13),0)),"",INDIRECT(CONCATENATE("Table!",ADDRESS($AJ13,MATCH(S$1,INDIRECT("Table!A" &amp; $AN13):INDIRECT("Table!" &amp; $AR$159 &amp; $AN13),0)))))</f>
        <v>165452.5</v>
      </c>
      <c r="T13" s="35">
        <f ca="1">IF(ISERROR(MATCH(T$1,INDIRECT("Table!A"&amp;$AN13):INDIRECT("Table!" &amp; $AR$159 &amp; $AN13),0)),"",INDIRECT(CONCATENATE("Table!",ADDRESS($AJ13,MATCH(T$1,INDIRECT("Table!A" &amp; $AN13):INDIRECT("Table!" &amp; $AR$159 &amp; $AN13),0)))))</f>
        <v>132132</v>
      </c>
      <c r="U13" s="35">
        <f ca="1">IF(ISERROR(MATCH(U$1,INDIRECT("Table!A"&amp;$AN13):INDIRECT("Table!" &amp; $AR$159 &amp; $AN13),0)),"",INDIRECT(CONCATENATE("Table!",ADDRESS($AJ13,MATCH(U$1,INDIRECT("Table!A" &amp; $AN13):INDIRECT("Table!" &amp; $AR$159 &amp; $AN13),0)))))</f>
        <v>121331.8</v>
      </c>
      <c r="V13" s="35">
        <f ca="1">IF(ISERROR(MATCH(V$1,INDIRECT("Table!A"&amp;$AN13):INDIRECT("Table!" &amp; $AR$159 &amp; $AN13),0)),"",INDIRECT(CONCATENATE("Table!",ADDRESS($AJ13,MATCH(V$1,INDIRECT("Table!A" &amp; $AN13):INDIRECT("Table!" &amp; $AR$159 &amp; $AN13),0)))))</f>
        <v>170967.6</v>
      </c>
      <c r="W13" s="35">
        <f ca="1">IF(ISERROR(MATCH(W$1,INDIRECT("Table!A"&amp;$AN13):INDIRECT("Table!" &amp; $AR$159 &amp; $AN13),0)),"",INDIRECT(CONCATENATE("Table!",ADDRESS($AJ13,MATCH(W$1,INDIRECT("Table!A" &amp; $AN13):INDIRECT("Table!" &amp; $AR$159 &amp; $AN13),0)))))</f>
        <v>132132.20000000001</v>
      </c>
      <c r="X13" s="35">
        <f ca="1">IF(ISERROR(MATCH(X$1,INDIRECT("Table!A"&amp;$AN13):INDIRECT("Table!" &amp; $AR$159 &amp; $AN13),0)),"",INDIRECT(CONCATENATE("Table!",ADDRESS($AJ13,MATCH(X$1,INDIRECT("Table!A" &amp; $AN13):INDIRECT("Table!" &amp; $AR$159 &amp; $AN13),0)))))</f>
        <v>82726.3</v>
      </c>
      <c r="Y13" s="35">
        <f ca="1">IF(ISERROR(MATCH(Y$1,INDIRECT("Table!A"&amp;$AN13):INDIRECT("Table!" &amp; $AR$159 &amp; $AN13),0)),"",INDIRECT(CONCATENATE("Table!",ADDRESS($AJ13,MATCH(Y$1,INDIRECT("Table!A" &amp; $AN13):INDIRECT("Table!" &amp; $AR$159 &amp; $AN13),0)))))</f>
        <v>176482.7</v>
      </c>
      <c r="Z13" s="35">
        <f ca="1">IF(ISERROR(MATCH(Z$1,INDIRECT("Table!A"&amp;$AN13):INDIRECT("Table!" &amp; $AR$159 &amp; $AN13),0)),"",INDIRECT(CONCATENATE("Table!",ADDRESS($AJ13,MATCH(Z$1,INDIRECT("Table!A" &amp; $AN13):INDIRECT("Table!" &amp; $AR$159 &amp; $AN13),0)))))</f>
        <v>54921</v>
      </c>
      <c r="AA13" s="12"/>
      <c r="AB13" s="12">
        <f>MATCH($A13,Table!$A:$A,0)+$AD$2-1</f>
        <v>357</v>
      </c>
      <c r="AF13" s="31">
        <f>MATCH($A13,Table!$A:$A,0)+$AH$2-1</f>
        <v>355</v>
      </c>
      <c r="AJ13" s="12">
        <f>MATCH($A13,Table!$A:$A,0)+$AL$2-1</f>
        <v>356</v>
      </c>
      <c r="AN13" s="31">
        <f>MATCH($A13,Table!$A:$A,0)+$AH$2-1</f>
        <v>355</v>
      </c>
      <c r="AR13" s="261" t="s">
        <v>118</v>
      </c>
    </row>
    <row r="14" spans="1:44">
      <c r="A14" s="5">
        <v>41213</v>
      </c>
      <c r="B14" s="35">
        <f ca="1">IF(ISERROR(MATCH(B$1,INDIRECT("Table!A"&amp;$AF14):INDIRECT("Table!" &amp; $AR$159 &amp; $AF14),0)),"",INDIRECT(CONCATENATE("Table!",ADDRESS($AB14,MATCH(B$1,INDIRECT("Table!A" &amp; $AF14):INDIRECT("Table!" &amp; $AR$159 &amp; $AF14),0)))))</f>
        <v>70253.399999999994</v>
      </c>
      <c r="C14" s="35">
        <f ca="1">IF(ISERROR(MATCH(C$1,INDIRECT("Table!A"&amp;$AF14):INDIRECT("Table!" &amp; $AR$159 &amp; $AF14),0)),"",INDIRECT(CONCATENATE("Table!",ADDRESS($AB14,MATCH(C$1,INDIRECT("Table!A" &amp; $AF14):INDIRECT("Table!" &amp; $AR$159 &amp; $AF14),0)))))</f>
        <v>73454.899999999994</v>
      </c>
      <c r="D14" s="35">
        <f ca="1">IF(ISERROR(MATCH(D$1,INDIRECT("Table!A"&amp;$AF14):INDIRECT("Table!" &amp; $AR$159 &amp; $AF14),0)),"",INDIRECT(CONCATENATE("Table!",ADDRESS($AB14,MATCH(D$1,INDIRECT("Table!A" &amp; $AF14):INDIRECT("Table!" &amp; $AR$159 &amp; $AF14),0)))))</f>
        <v>74897.899999999994</v>
      </c>
      <c r="E14" s="35">
        <f ca="1">IF(ISERROR(MATCH(E$1,INDIRECT("Table!A"&amp;$AF14):INDIRECT("Table!" &amp; $AR$159 &amp; $AF14),0)),"",INDIRECT(CONCATENATE("Table!",ADDRESS($AB14,MATCH(E$1,INDIRECT("Table!A" &amp; $AF14):INDIRECT("Table!" &amp; $AR$159 &amp; $AF14),0)))))</f>
        <v>161535.70000000001</v>
      </c>
      <c r="F14" s="35">
        <f ca="1">IF(ISERROR(MATCH(F$1,INDIRECT("Table!A"&amp;$AF14):INDIRECT("Table!" &amp; $AR$159 &amp; $AF14),0)),"",INDIRECT(CONCATENATE("Table!",ADDRESS($AB14,MATCH(F$1,INDIRECT("Table!A" &amp; $AF14):INDIRECT("Table!" &amp; $AR$159 &amp; $AF14),0)))))</f>
        <v>58495.4</v>
      </c>
      <c r="G14" s="35">
        <f ca="1">IF(ISERROR(MATCH(G$1,INDIRECT("Table!A"&amp;$AF14):INDIRECT("Table!" &amp; $AR$159 &amp; $AF14),0)),"",INDIRECT(CONCATENATE("Table!",ADDRESS($AB14,MATCH(G$1,INDIRECT("Table!A" &amp; $AF14):INDIRECT("Table!" &amp; $AR$159 &amp; $AF14),0)))))</f>
        <v>40783.4</v>
      </c>
      <c r="H14" s="35">
        <f ca="1">IF(ISERROR(MATCH(H$1,INDIRECT("Table!A"&amp;$AF14):INDIRECT("Table!" &amp; $AR$159 &amp; $AF14),0)),"",INDIRECT(CONCATENATE("Table!",ADDRESS($AB14,MATCH(H$1,INDIRECT("Table!A" &amp; $AF14):INDIRECT("Table!" &amp; $AR$159 &amp; $AF14),0)))))</f>
        <v>47322.8</v>
      </c>
      <c r="I14" s="35">
        <f ca="1">IF(ISERROR(MATCH(I$1,INDIRECT("Table!A"&amp;$AF14):INDIRECT("Table!" &amp; $AR$159 &amp; $AF14),0)),"",INDIRECT(CONCATENATE("Table!",ADDRESS($AB14,MATCH(I$1,INDIRECT("Table!A" &amp; $AF14):INDIRECT("Table!" &amp; $AR$159 &amp; $AF14),0)))))</f>
        <v>146089</v>
      </c>
      <c r="J14" s="35">
        <f ca="1">IF(ISERROR(MATCH(J$1,INDIRECT("Table!A"&amp;$AF14):INDIRECT("Table!" &amp; $AR$159 &amp; $AF14),0)),"",INDIRECT(CONCATENATE("Table!",ADDRESS($AB14,MATCH(J$1,INDIRECT("Table!A" &amp; $AF14):INDIRECT("Table!" &amp; $AR$159 &amp; $AF14),0)))))</f>
        <v>39135.5</v>
      </c>
      <c r="K14" s="35">
        <f ca="1">IF(ISERROR(MATCH(K$1,INDIRECT("Table!A"&amp;$AF14):INDIRECT("Table!" &amp; $AR$159 &amp; $AF14),0)),"",INDIRECT(CONCATENATE("Table!",ADDRESS($AB14,MATCH(K$1,INDIRECT("Table!A" &amp; $AF14):INDIRECT("Table!" &amp; $AR$159 &amp; $AF14),0)))))</f>
        <v>30444.6</v>
      </c>
      <c r="L14" s="35">
        <f ca="1">IF(ISERROR(MATCH(L$1,INDIRECT("Table!A"&amp;$AF14):INDIRECT("Table!" &amp; $AR$159 &amp; $AF14),0)),"",INDIRECT(CONCATENATE("Table!",ADDRESS($AB14,MATCH(L$1,INDIRECT("Table!A" &amp; $AF14):INDIRECT("Table!" &amp; $AR$159 &amp; $AF14),0)))))</f>
        <v>97487.4</v>
      </c>
      <c r="M14" s="35">
        <f ca="1">IF(ISERROR(MATCH(M$1,INDIRECT("Table!A"&amp;$AF14):INDIRECT("Table!" &amp; $AR$159 &amp; $AF14),0)),"",INDIRECT(CONCATENATE("Table!",ADDRESS($AB14,MATCH(M$1,INDIRECT("Table!A" &amp; $AF14):INDIRECT("Table!" &amp; $AR$159 &amp; $AF14),0)))))</f>
        <v>23055</v>
      </c>
      <c r="N14" s="35" t="str">
        <f ca="1">IF(ISERROR(MATCH(N$1,INDIRECT("Table!A"&amp;$AF14):INDIRECT("Table!" &amp; $AR$188 &amp; $AF14),0)),"",INDIRECT(CONCATENATE("Table!",ADDRESS($AB14,MATCH(N$1,INDIRECT("Table!A" &amp; $AF14):INDIRECT("Table!" &amp; $AR$188 &amp; $AF14),0)))))</f>
        <v/>
      </c>
      <c r="O14" s="35">
        <f ca="1">IF(ISERROR(MATCH(O$1,INDIRECT("Table!A"&amp;$AN14):INDIRECT("Table!" &amp; $AR$159 &amp; $AN14),0)),"",INDIRECT(CONCATENATE("Table!",ADDRESS($AJ14,MATCH(O$1,INDIRECT("Table!A" &amp; $AN14):INDIRECT("Table!" &amp; $AR$159 &amp; $AN14),0)))))</f>
        <v>143392.20000000001</v>
      </c>
      <c r="P14" s="35">
        <f ca="1">IF(ISERROR(MATCH(P$1,INDIRECT("Table!A"&amp;$AN14):INDIRECT("Table!" &amp; $AR$159 &amp; $AN14),0)),"",INDIRECT(CONCATENATE("Table!",ADDRESS($AJ14,MATCH(P$1,INDIRECT("Table!A" &amp; $AN14):INDIRECT("Table!" &amp; $AR$159 &amp; $AN14),0)))))</f>
        <v>150515.79999999999</v>
      </c>
      <c r="Q14" s="35">
        <f ca="1">IF(ISERROR(MATCH(Q$1,INDIRECT("Table!A"&amp;$AN14):INDIRECT("Table!" &amp; $AR$159 &amp; $AN14),0)),"",INDIRECT(CONCATENATE("Table!",ADDRESS($AJ14,MATCH(Q$1,INDIRECT("Table!A" &amp; $AN14):INDIRECT("Table!" &amp; $AR$159 &amp; $AN14),0)))))</f>
        <v>150515.79999999999</v>
      </c>
      <c r="R14" s="35">
        <f ca="1">IF(ISERROR(MATCH(R$1,INDIRECT("Table!A"&amp;$AN14):INDIRECT("Table!" &amp; $AR$159 &amp; $AN14),0)),"",INDIRECT(CONCATENATE("Table!",ADDRESS($AJ14,MATCH(R$1,INDIRECT("Table!A" &amp; $AN14):INDIRECT("Table!" &amp; $AR$159 &amp; $AN14),0)))))</f>
        <v>181997.8</v>
      </c>
      <c r="S14" s="35">
        <f ca="1">IF(ISERROR(MATCH(S$1,INDIRECT("Table!A"&amp;$AN14):INDIRECT("Table!" &amp; $AR$159 &amp; $AN14),0)),"",INDIRECT(CONCATENATE("Table!",ADDRESS($AJ14,MATCH(S$1,INDIRECT("Table!A" &amp; $AN14):INDIRECT("Table!" &amp; $AR$159 &amp; $AN14),0)))))</f>
        <v>165452.5</v>
      </c>
      <c r="T14" s="35">
        <f ca="1">IF(ISERROR(MATCH(T$1,INDIRECT("Table!A"&amp;$AN14):INDIRECT("Table!" &amp; $AR$159 &amp; $AN14),0)),"",INDIRECT(CONCATENATE("Table!",ADDRESS($AJ14,MATCH(T$1,INDIRECT("Table!A" &amp; $AN14):INDIRECT("Table!" &amp; $AR$159 &amp; $AN14),0)))))</f>
        <v>132132</v>
      </c>
      <c r="U14" s="35">
        <f ca="1">IF(ISERROR(MATCH(U$1,INDIRECT("Table!A"&amp;$AN14):INDIRECT("Table!" &amp; $AR$159 &amp; $AN14),0)),"",INDIRECT(CONCATENATE("Table!",ADDRESS($AJ14,MATCH(U$1,INDIRECT("Table!A" &amp; $AN14):INDIRECT("Table!" &amp; $AR$159 &amp; $AN14),0)))))</f>
        <v>121331.8</v>
      </c>
      <c r="V14" s="35">
        <f ca="1">IF(ISERROR(MATCH(V$1,INDIRECT("Table!A"&amp;$AN14):INDIRECT("Table!" &amp; $AR$159 &amp; $AN14),0)),"",INDIRECT(CONCATENATE("Table!",ADDRESS($AJ14,MATCH(V$1,INDIRECT("Table!A" &amp; $AN14):INDIRECT("Table!" &amp; $AR$159 &amp; $AN14),0)))))</f>
        <v>170967.6</v>
      </c>
      <c r="W14" s="35">
        <f ca="1">IF(ISERROR(MATCH(W$1,INDIRECT("Table!A"&amp;$AN14):INDIRECT("Table!" &amp; $AR$159 &amp; $AN14),0)),"",INDIRECT(CONCATENATE("Table!",ADDRESS($AJ14,MATCH(W$1,INDIRECT("Table!A" &amp; $AN14):INDIRECT("Table!" &amp; $AR$159 &amp; $AN14),0)))))</f>
        <v>132132.20000000001</v>
      </c>
      <c r="X14" s="35">
        <f ca="1">IF(ISERROR(MATCH(X$1,INDIRECT("Table!A"&amp;$AN14):INDIRECT("Table!" &amp; $AR$159 &amp; $AN14),0)),"",INDIRECT(CONCATENATE("Table!",ADDRESS($AJ14,MATCH(X$1,INDIRECT("Table!A" &amp; $AN14):INDIRECT("Table!" &amp; $AR$159 &amp; $AN14),0)))))</f>
        <v>82726.3</v>
      </c>
      <c r="Y14" s="35">
        <f ca="1">IF(ISERROR(MATCH(Y$1,INDIRECT("Table!A"&amp;$AN14):INDIRECT("Table!" &amp; $AR$159 &amp; $AN14),0)),"",INDIRECT(CONCATENATE("Table!",ADDRESS($AJ14,MATCH(Y$1,INDIRECT("Table!A" &amp; $AN14):INDIRECT("Table!" &amp; $AR$159 &amp; $AN14),0)))))</f>
        <v>176482.7</v>
      </c>
      <c r="Z14" s="35">
        <f ca="1">IF(ISERROR(MATCH(Z$1,INDIRECT("Table!A"&amp;$AN14):INDIRECT("Table!" &amp; $AR$159 &amp; $AN14),0)),"",INDIRECT(CONCATENATE("Table!",ADDRESS($AJ14,MATCH(Z$1,INDIRECT("Table!A" &amp; $AN14):INDIRECT("Table!" &amp; $AR$159 &amp; $AN14),0)))))</f>
        <v>54921</v>
      </c>
      <c r="AA14" s="12"/>
      <c r="AB14" s="12">
        <f>MATCH($A14,Table!$A:$A,0)+$AD$2-1</f>
        <v>369</v>
      </c>
      <c r="AF14" s="31">
        <f>MATCH($A14,Table!$A:$A,0)+$AH$2-1</f>
        <v>367</v>
      </c>
      <c r="AJ14" s="12">
        <f>MATCH($A14,Table!$A:$A,0)+$AL$2-1</f>
        <v>368</v>
      </c>
      <c r="AN14" s="31">
        <f>MATCH($A14,Table!$A:$A,0)+$AH$2-1</f>
        <v>367</v>
      </c>
      <c r="AR14" s="260" t="s">
        <v>118</v>
      </c>
    </row>
    <row r="15" spans="1:44">
      <c r="A15" s="5">
        <v>41211</v>
      </c>
      <c r="B15" s="35">
        <f ca="1">IF(ISERROR(MATCH(B$1,INDIRECT("Table!A"&amp;$AF15):INDIRECT("Table!" &amp; $AR$159 &amp; $AF15),0)),"",INDIRECT(CONCATENATE("Table!",ADDRESS($AB15,MATCH(B$1,INDIRECT("Table!A" &amp; $AF15):INDIRECT("Table!" &amp; $AR$159 &amp; $AF15),0)))))</f>
        <v>71967.199999999997</v>
      </c>
      <c r="C15" s="35">
        <f ca="1">IF(ISERROR(MATCH(C$1,INDIRECT("Table!A"&amp;$AF15):INDIRECT("Table!" &amp; $AR$159 &amp; $AF15),0)),"",INDIRECT(CONCATENATE("Table!",ADDRESS($AB15,MATCH(C$1,INDIRECT("Table!A" &amp; $AF15):INDIRECT("Table!" &amp; $AR$159 &amp; $AF15),0)))))</f>
        <v>73291.7</v>
      </c>
      <c r="D15" s="35">
        <f ca="1">IF(ISERROR(MATCH(D$1,INDIRECT("Table!A"&amp;$AF15):INDIRECT("Table!" &amp; $AR$159 &amp; $AF15),0)),"",INDIRECT(CONCATENATE("Table!",ADDRESS($AB15,MATCH(D$1,INDIRECT("Table!A" &amp; $AF15):INDIRECT("Table!" &amp; $AR$159 &amp; $AF15),0)))))</f>
        <v>74723.5</v>
      </c>
      <c r="E15" s="35">
        <f ca="1">IF(ISERROR(MATCH(E$1,INDIRECT("Table!A"&amp;$AF15):INDIRECT("Table!" &amp; $AR$159 &amp; $AF15),0)),"",INDIRECT(CONCATENATE("Table!",ADDRESS($AB15,MATCH(E$1,INDIRECT("Table!A" &amp; $AF15):INDIRECT("Table!" &amp; $AR$159 &amp; $AF15),0)))))</f>
        <v>161437.5</v>
      </c>
      <c r="F15" s="35">
        <f ca="1">IF(ISERROR(MATCH(F$1,INDIRECT("Table!A"&amp;$AF15):INDIRECT("Table!" &amp; $AR$159 &amp; $AF15),0)),"",INDIRECT(CONCATENATE("Table!",ADDRESS($AB15,MATCH(F$1,INDIRECT("Table!A" &amp; $AF15):INDIRECT("Table!" &amp; $AR$159 &amp; $AF15),0)))))</f>
        <v>58140.4</v>
      </c>
      <c r="G15" s="35">
        <f ca="1">IF(ISERROR(MATCH(G$1,INDIRECT("Table!A"&amp;$AF15):INDIRECT("Table!" &amp; $AR$159 &amp; $AF15),0)),"",INDIRECT(CONCATENATE("Table!",ADDRESS($AB15,MATCH(G$1,INDIRECT("Table!A" &amp; $AF15):INDIRECT("Table!" &amp; $AR$159 &amp; $AF15),0)))))</f>
        <v>39658.699999999997</v>
      </c>
      <c r="H15" s="35">
        <f ca="1">IF(ISERROR(MATCH(H$1,INDIRECT("Table!A"&amp;$AF15):INDIRECT("Table!" &amp; $AR$159 &amp; $AF15),0)),"",INDIRECT(CONCATENATE("Table!",ADDRESS($AB15,MATCH(H$1,INDIRECT("Table!A" &amp; $AF15):INDIRECT("Table!" &amp; $AR$159 &amp; $AF15),0)))))</f>
        <v>47274.7</v>
      </c>
      <c r="I15" s="35">
        <f ca="1">IF(ISERROR(MATCH(I$1,INDIRECT("Table!A"&amp;$AF15):INDIRECT("Table!" &amp; $AR$159 &amp; $AF15),0)),"",INDIRECT(CONCATENATE("Table!",ADDRESS($AB15,MATCH(I$1,INDIRECT("Table!A" &amp; $AF15):INDIRECT("Table!" &amp; $AR$159 &amp; $AF15),0)))))</f>
        <v>145976.1</v>
      </c>
      <c r="J15" s="35">
        <f ca="1">IF(ISERROR(MATCH(J$1,INDIRECT("Table!A"&amp;$AF15):INDIRECT("Table!" &amp; $AR$159 &amp; $AF15),0)),"",INDIRECT(CONCATENATE("Table!",ADDRESS($AB15,MATCH(J$1,INDIRECT("Table!A" &amp; $AF15):INDIRECT("Table!" &amp; $AR$159 &amp; $AF15),0)))))</f>
        <v>39607.300000000003</v>
      </c>
      <c r="K15" s="35">
        <f ca="1">IF(ISERROR(MATCH(K$1,INDIRECT("Table!A"&amp;$AF15):INDIRECT("Table!" &amp; $AR$159 &amp; $AF15),0)),"",INDIRECT(CONCATENATE("Table!",ADDRESS($AB15,MATCH(K$1,INDIRECT("Table!A" &amp; $AF15):INDIRECT("Table!" &amp; $AR$159 &amp; $AF15),0)))))</f>
        <v>30266.6</v>
      </c>
      <c r="L15" s="35">
        <f ca="1">IF(ISERROR(MATCH(L$1,INDIRECT("Table!A"&amp;$AF15):INDIRECT("Table!" &amp; $AR$159 &amp; $AF15),0)),"",INDIRECT(CONCATENATE("Table!",ADDRESS($AB15,MATCH(L$1,INDIRECT("Table!A" &amp; $AF15):INDIRECT("Table!" &amp; $AR$159 &amp; $AF15),0)))))</f>
        <v>97394.3</v>
      </c>
      <c r="M15" s="35">
        <f ca="1">IF(ISERROR(MATCH(M$1,INDIRECT("Table!A"&amp;$AF15):INDIRECT("Table!" &amp; $AR$159 &amp; $AF15),0)),"",INDIRECT(CONCATENATE("Table!",ADDRESS($AB15,MATCH(M$1,INDIRECT("Table!A" &amp; $AF15):INDIRECT("Table!" &amp; $AR$159 &amp; $AF15),0)))))</f>
        <v>23055</v>
      </c>
      <c r="N15" s="35" t="str">
        <f ca="1">IF(ISERROR(MATCH(N$1,INDIRECT("Table!A"&amp;$AF15):INDIRECT("Table!" &amp; $AR$188 &amp; $AF15),0)),"",INDIRECT(CONCATENATE("Table!",ADDRESS($AB15,MATCH(N$1,INDIRECT("Table!A" &amp; $AF15):INDIRECT("Table!" &amp; $AR$188 &amp; $AF15),0)))))</f>
        <v/>
      </c>
      <c r="O15" s="35">
        <f ca="1">IF(ISERROR(MATCH(O$1,INDIRECT("Table!A"&amp;$AN15):INDIRECT("Table!" &amp; $AR$159 &amp; $AN15),0)),"",INDIRECT(CONCATENATE("Table!",ADDRESS($AJ15,MATCH(O$1,INDIRECT("Table!A" &amp; $AN15):INDIRECT("Table!" &amp; $AR$159 &amp; $AN15),0)))))</f>
        <v>143392.20000000001</v>
      </c>
      <c r="P15" s="35">
        <f ca="1">IF(ISERROR(MATCH(P$1,INDIRECT("Table!A"&amp;$AN15):INDIRECT("Table!" &amp; $AR$159 &amp; $AN15),0)),"",INDIRECT(CONCATENATE("Table!",ADDRESS($AJ15,MATCH(P$1,INDIRECT("Table!A" &amp; $AN15):INDIRECT("Table!" &amp; $AR$159 &amp; $AN15),0)))))</f>
        <v>150515.79999999999</v>
      </c>
      <c r="Q15" s="35">
        <f ca="1">IF(ISERROR(MATCH(Q$1,INDIRECT("Table!A"&amp;$AN15):INDIRECT("Table!" &amp; $AR$159 &amp; $AN15),0)),"",INDIRECT(CONCATENATE("Table!",ADDRESS($AJ15,MATCH(Q$1,INDIRECT("Table!A" &amp; $AN15):INDIRECT("Table!" &amp; $AR$159 &amp; $AN15),0)))))</f>
        <v>150515.79999999999</v>
      </c>
      <c r="R15" s="35">
        <f ca="1">IF(ISERROR(MATCH(R$1,INDIRECT("Table!A"&amp;$AN15):INDIRECT("Table!" &amp; $AR$159 &amp; $AN15),0)),"",INDIRECT(CONCATENATE("Table!",ADDRESS($AJ15,MATCH(R$1,INDIRECT("Table!A" &amp; $AN15):INDIRECT("Table!" &amp; $AR$159 &amp; $AN15),0)))))</f>
        <v>181997.8</v>
      </c>
      <c r="S15" s="35">
        <f ca="1">IF(ISERROR(MATCH(S$1,INDIRECT("Table!A"&amp;$AN15):INDIRECT("Table!" &amp; $AR$159 &amp; $AN15),0)),"",INDIRECT(CONCATENATE("Table!",ADDRESS($AJ15,MATCH(S$1,INDIRECT("Table!A" &amp; $AN15):INDIRECT("Table!" &amp; $AR$159 &amp; $AN15),0)))))</f>
        <v>165452.5</v>
      </c>
      <c r="T15" s="35">
        <f ca="1">IF(ISERROR(MATCH(T$1,INDIRECT("Table!A"&amp;$AN15):INDIRECT("Table!" &amp; $AR$159 &amp; $AN15),0)),"",INDIRECT(CONCATENATE("Table!",ADDRESS($AJ15,MATCH(T$1,INDIRECT("Table!A" &amp; $AN15):INDIRECT("Table!" &amp; $AR$159 &amp; $AN15),0)))))</f>
        <v>132132</v>
      </c>
      <c r="U15" s="35">
        <f ca="1">IF(ISERROR(MATCH(U$1,INDIRECT("Table!A"&amp;$AN15):INDIRECT("Table!" &amp; $AR$159 &amp; $AN15),0)),"",INDIRECT(CONCATENATE("Table!",ADDRESS($AJ15,MATCH(U$1,INDIRECT("Table!A" &amp; $AN15):INDIRECT("Table!" &amp; $AR$159 &amp; $AN15),0)))))</f>
        <v>121331.8</v>
      </c>
      <c r="V15" s="35">
        <f ca="1">IF(ISERROR(MATCH(V$1,INDIRECT("Table!A"&amp;$AN15):INDIRECT("Table!" &amp; $AR$159 &amp; $AN15),0)),"",INDIRECT(CONCATENATE("Table!",ADDRESS($AJ15,MATCH(V$1,INDIRECT("Table!A" &amp; $AN15):INDIRECT("Table!" &amp; $AR$159 &amp; $AN15),0)))))</f>
        <v>170967.6</v>
      </c>
      <c r="W15" s="35">
        <f ca="1">IF(ISERROR(MATCH(W$1,INDIRECT("Table!A"&amp;$AN15):INDIRECT("Table!" &amp; $AR$159 &amp; $AN15),0)),"",INDIRECT(CONCATENATE("Table!",ADDRESS($AJ15,MATCH(W$1,INDIRECT("Table!A" &amp; $AN15):INDIRECT("Table!" &amp; $AR$159 &amp; $AN15),0)))))</f>
        <v>132132.20000000001</v>
      </c>
      <c r="X15" s="35">
        <f ca="1">IF(ISERROR(MATCH(X$1,INDIRECT("Table!A"&amp;$AN15):INDIRECT("Table!" &amp; $AR$159 &amp; $AN15),0)),"",INDIRECT(CONCATENATE("Table!",ADDRESS($AJ15,MATCH(X$1,INDIRECT("Table!A" &amp; $AN15):INDIRECT("Table!" &amp; $AR$159 &amp; $AN15),0)))))</f>
        <v>82726.3</v>
      </c>
      <c r="Y15" s="35">
        <f ca="1">IF(ISERROR(MATCH(Y$1,INDIRECT("Table!A"&amp;$AN15):INDIRECT("Table!" &amp; $AR$159 &amp; $AN15),0)),"",INDIRECT(CONCATENATE("Table!",ADDRESS($AJ15,MATCH(Y$1,INDIRECT("Table!A" &amp; $AN15):INDIRECT("Table!" &amp; $AR$159 &amp; $AN15),0)))))</f>
        <v>176482.7</v>
      </c>
      <c r="Z15" s="35">
        <f ca="1">IF(ISERROR(MATCH(Z$1,INDIRECT("Table!A"&amp;$AN15):INDIRECT("Table!" &amp; $AR$159 &amp; $AN15),0)),"",INDIRECT(CONCATENATE("Table!",ADDRESS($AJ15,MATCH(Z$1,INDIRECT("Table!A" &amp; $AN15):INDIRECT("Table!" &amp; $AR$159 &amp; $AN15),0)))))</f>
        <v>54921</v>
      </c>
      <c r="AA15" s="12"/>
      <c r="AB15" s="12">
        <f>MATCH($A15,Table!$A:$A,0)+$AD$2-1</f>
        <v>381</v>
      </c>
      <c r="AF15" s="31">
        <f>MATCH($A15,Table!$A:$A,0)+$AH$2-1</f>
        <v>379</v>
      </c>
      <c r="AJ15" s="12">
        <f>MATCH($A15,Table!$A:$A,0)+$AL$2-1</f>
        <v>380</v>
      </c>
      <c r="AN15" s="31">
        <f>MATCH($A15,Table!$A:$A,0)+$AH$2-1</f>
        <v>379</v>
      </c>
      <c r="AR15" s="259" t="s">
        <v>118</v>
      </c>
    </row>
    <row r="16" spans="1:44">
      <c r="A16" s="5">
        <v>41208</v>
      </c>
      <c r="B16" s="35">
        <f ca="1">IF(ISERROR(MATCH(B$1,INDIRECT("Table!A"&amp;$AF16):INDIRECT("Table!" &amp; $AR$159 &amp; $AF16),0)),"",INDIRECT(CONCATENATE("Table!",ADDRESS($AB16,MATCH(B$1,INDIRECT("Table!A" &amp; $AF16):INDIRECT("Table!" &amp; $AR$159 &amp; $AF16),0)))))</f>
        <v>62709.3</v>
      </c>
      <c r="C16" s="35">
        <f ca="1">IF(ISERROR(MATCH(C$1,INDIRECT("Table!A"&amp;$AF16):INDIRECT("Table!" &amp; $AR$159 &amp; $AF16),0)),"",INDIRECT(CONCATENATE("Table!",ADDRESS($AB16,MATCH(C$1,INDIRECT("Table!A" &amp; $AF16):INDIRECT("Table!" &amp; $AR$159 &amp; $AF16),0)))))</f>
        <v>72056.399999999994</v>
      </c>
      <c r="D16" s="35">
        <f ca="1">IF(ISERROR(MATCH(D$1,INDIRECT("Table!A"&amp;$AF16):INDIRECT("Table!" &amp; $AR$159 &amp; $AF16),0)),"",INDIRECT(CONCATENATE("Table!",ADDRESS($AB16,MATCH(D$1,INDIRECT("Table!A" &amp; $AF16):INDIRECT("Table!" &amp; $AR$159 &amp; $AF16),0)))))</f>
        <v>73485.7</v>
      </c>
      <c r="E16" s="35">
        <f ca="1">IF(ISERROR(MATCH(E$1,INDIRECT("Table!A"&amp;$AF16):INDIRECT("Table!" &amp; $AR$159 &amp; $AF16),0)),"",INDIRECT(CONCATENATE("Table!",ADDRESS($AB16,MATCH(E$1,INDIRECT("Table!A" &amp; $AF16):INDIRECT("Table!" &amp; $AR$159 &amp; $AF16),0)))))</f>
        <v>161306.9</v>
      </c>
      <c r="F16" s="35">
        <f ca="1">IF(ISERROR(MATCH(F$1,INDIRECT("Table!A"&amp;$AF16):INDIRECT("Table!" &amp; $AR$159 &amp; $AF16),0)),"",INDIRECT(CONCATENATE("Table!",ADDRESS($AB16,MATCH(F$1,INDIRECT("Table!A" &amp; $AF16):INDIRECT("Table!" &amp; $AR$159 &amp; $AF16),0)))))</f>
        <v>57799.3</v>
      </c>
      <c r="G16" s="35">
        <f ca="1">IF(ISERROR(MATCH(G$1,INDIRECT("Table!A"&amp;$AF16):INDIRECT("Table!" &amp; $AR$159 &amp; $AF16),0)),"",INDIRECT(CONCATENATE("Table!",ADDRESS($AB16,MATCH(G$1,INDIRECT("Table!A" &amp; $AF16):INDIRECT("Table!" &amp; $AR$159 &amp; $AF16),0)))))</f>
        <v>38654.400000000001</v>
      </c>
      <c r="H16" s="35">
        <f ca="1">IF(ISERROR(MATCH(H$1,INDIRECT("Table!A"&amp;$AF16):INDIRECT("Table!" &amp; $AR$159 &amp; $AF16),0)),"",INDIRECT(CONCATENATE("Table!",ADDRESS($AB16,MATCH(H$1,INDIRECT("Table!A" &amp; $AF16):INDIRECT("Table!" &amp; $AR$159 &amp; $AF16),0)))))</f>
        <v>47150.9</v>
      </c>
      <c r="I16" s="35">
        <f ca="1">IF(ISERROR(MATCH(I$1,INDIRECT("Table!A"&amp;$AF16):INDIRECT("Table!" &amp; $AR$159 &amp; $AF16),0)),"",INDIRECT(CONCATENATE("Table!",ADDRESS($AB16,MATCH(I$1,INDIRECT("Table!A" &amp; $AF16):INDIRECT("Table!" &amp; $AR$159 &amp; $AF16),0)))))</f>
        <v>145832</v>
      </c>
      <c r="J16" s="35">
        <f ca="1">IF(ISERROR(MATCH(J$1,INDIRECT("Table!A"&amp;$AF16):INDIRECT("Table!" &amp; $AR$159 &amp; $AF16),0)),"",INDIRECT(CONCATENATE("Table!",ADDRESS($AB16,MATCH(J$1,INDIRECT("Table!A" &amp; $AF16):INDIRECT("Table!" &amp; $AR$159 &amp; $AF16),0)))))</f>
        <v>40672.9</v>
      </c>
      <c r="K16" s="35">
        <f ca="1">IF(ISERROR(MATCH(K$1,INDIRECT("Table!A"&amp;$AF16):INDIRECT("Table!" &amp; $AR$159 &amp; $AF16),0)),"",INDIRECT(CONCATENATE("Table!",ADDRESS($AB16,MATCH(K$1,INDIRECT("Table!A" &amp; $AF16):INDIRECT("Table!" &amp; $AR$159 &amp; $AF16),0)))))</f>
        <v>29817.7</v>
      </c>
      <c r="L16" s="35">
        <f ca="1">IF(ISERROR(MATCH(L$1,INDIRECT("Table!A"&amp;$AF16):INDIRECT("Table!" &amp; $AR$159 &amp; $AF16),0)),"",INDIRECT(CONCATENATE("Table!",ADDRESS($AB16,MATCH(L$1,INDIRECT("Table!A" &amp; $AF16):INDIRECT("Table!" &amp; $AR$159 &amp; $AF16),0)))))</f>
        <v>97146.2</v>
      </c>
      <c r="M16" s="35">
        <f ca="1">IF(ISERROR(MATCH(M$1,INDIRECT("Table!A"&amp;$AF16):INDIRECT("Table!" &amp; $AR$159 &amp; $AF16),0)),"",INDIRECT(CONCATENATE("Table!",ADDRESS($AB16,MATCH(M$1,INDIRECT("Table!A" &amp; $AF16):INDIRECT("Table!" &amp; $AR$159 &amp; $AF16),0)))))</f>
        <v>23054.799999999999</v>
      </c>
      <c r="N16" s="35" t="str">
        <f ca="1">IF(ISERROR(MATCH(N$1,INDIRECT("Table!A"&amp;$AF16):INDIRECT("Table!" &amp; $AR$188 &amp; $AF16),0)),"",INDIRECT(CONCATENATE("Table!",ADDRESS($AB16,MATCH(N$1,INDIRECT("Table!A" &amp; $AF16):INDIRECT("Table!" &amp; $AR$188 &amp; $AF16),0)))))</f>
        <v/>
      </c>
      <c r="O16" s="35">
        <f ca="1">IF(ISERROR(MATCH(O$1,INDIRECT("Table!A"&amp;$AN16):INDIRECT("Table!" &amp; $AR$159 &amp; $AN16),0)),"",INDIRECT(CONCATENATE("Table!",ADDRESS($AJ16,MATCH(O$1,INDIRECT("Table!A" &amp; $AN16):INDIRECT("Table!" &amp; $AR$159 &amp; $AN16),0)))))</f>
        <v>143392.20000000001</v>
      </c>
      <c r="P16" s="35">
        <f ca="1">IF(ISERROR(MATCH(P$1,INDIRECT("Table!A"&amp;$AN16):INDIRECT("Table!" &amp; $AR$159 &amp; $AN16),0)),"",INDIRECT(CONCATENATE("Table!",ADDRESS($AJ16,MATCH(P$1,INDIRECT("Table!A" &amp; $AN16):INDIRECT("Table!" &amp; $AR$159 &amp; $AN16),0)))))</f>
        <v>150515.79999999999</v>
      </c>
      <c r="Q16" s="35">
        <f ca="1">IF(ISERROR(MATCH(Q$1,INDIRECT("Table!A"&amp;$AN16):INDIRECT("Table!" &amp; $AR$159 &amp; $AN16),0)),"",INDIRECT(CONCATENATE("Table!",ADDRESS($AJ16,MATCH(Q$1,INDIRECT("Table!A" &amp; $AN16):INDIRECT("Table!" &amp; $AR$159 &amp; $AN16),0)))))</f>
        <v>150515.79999999999</v>
      </c>
      <c r="R16" s="35">
        <f ca="1">IF(ISERROR(MATCH(R$1,INDIRECT("Table!A"&amp;$AN16):INDIRECT("Table!" &amp; $AR$159 &amp; $AN16),0)),"",INDIRECT(CONCATENATE("Table!",ADDRESS($AJ16,MATCH(R$1,INDIRECT("Table!A" &amp; $AN16):INDIRECT("Table!" &amp; $AR$159 &amp; $AN16),0)))))</f>
        <v>181997.8</v>
      </c>
      <c r="S16" s="35">
        <f ca="1">IF(ISERROR(MATCH(S$1,INDIRECT("Table!A"&amp;$AN16):INDIRECT("Table!" &amp; $AR$159 &amp; $AN16),0)),"",INDIRECT(CONCATENATE("Table!",ADDRESS($AJ16,MATCH(S$1,INDIRECT("Table!A" &amp; $AN16):INDIRECT("Table!" &amp; $AR$159 &amp; $AN16),0)))))</f>
        <v>165452.5</v>
      </c>
      <c r="T16" s="35">
        <f ca="1">IF(ISERROR(MATCH(T$1,INDIRECT("Table!A"&amp;$AN16):INDIRECT("Table!" &amp; $AR$159 &amp; $AN16),0)),"",INDIRECT(CONCATENATE("Table!",ADDRESS($AJ16,MATCH(T$1,INDIRECT("Table!A" &amp; $AN16):INDIRECT("Table!" &amp; $AR$159 &amp; $AN16),0)))))</f>
        <v>132132</v>
      </c>
      <c r="U16" s="35">
        <f ca="1">IF(ISERROR(MATCH(U$1,INDIRECT("Table!A"&amp;$AN16):INDIRECT("Table!" &amp; $AR$159 &amp; $AN16),0)),"",INDIRECT(CONCATENATE("Table!",ADDRESS($AJ16,MATCH(U$1,INDIRECT("Table!A" &amp; $AN16):INDIRECT("Table!" &amp; $AR$159 &amp; $AN16),0)))))</f>
        <v>121331.8</v>
      </c>
      <c r="V16" s="35">
        <f ca="1">IF(ISERROR(MATCH(V$1,INDIRECT("Table!A"&amp;$AN16):INDIRECT("Table!" &amp; $AR$159 &amp; $AN16),0)),"",INDIRECT(CONCATENATE("Table!",ADDRESS($AJ16,MATCH(V$1,INDIRECT("Table!A" &amp; $AN16):INDIRECT("Table!" &amp; $AR$159 &amp; $AN16),0)))))</f>
        <v>170967.6</v>
      </c>
      <c r="W16" s="35">
        <f ca="1">IF(ISERROR(MATCH(W$1,INDIRECT("Table!A"&amp;$AN16):INDIRECT("Table!" &amp; $AR$159 &amp; $AN16),0)),"",INDIRECT(CONCATENATE("Table!",ADDRESS($AJ16,MATCH(W$1,INDIRECT("Table!A" &amp; $AN16):INDIRECT("Table!" &amp; $AR$159 &amp; $AN16),0)))))</f>
        <v>132132.20000000001</v>
      </c>
      <c r="X16" s="35">
        <f ca="1">IF(ISERROR(MATCH(X$1,INDIRECT("Table!A"&amp;$AN16):INDIRECT("Table!" &amp; $AR$159 &amp; $AN16),0)),"",INDIRECT(CONCATENATE("Table!",ADDRESS($AJ16,MATCH(X$1,INDIRECT("Table!A" &amp; $AN16):INDIRECT("Table!" &amp; $AR$159 &amp; $AN16),0)))))</f>
        <v>82726.3</v>
      </c>
      <c r="Y16" s="35">
        <f ca="1">IF(ISERROR(MATCH(Y$1,INDIRECT("Table!A"&amp;$AN16):INDIRECT("Table!" &amp; $AR$159 &amp; $AN16),0)),"",INDIRECT(CONCATENATE("Table!",ADDRESS($AJ16,MATCH(Y$1,INDIRECT("Table!A" &amp; $AN16):INDIRECT("Table!" &amp; $AR$159 &amp; $AN16),0)))))</f>
        <v>176482.7</v>
      </c>
      <c r="Z16" s="35">
        <f ca="1">IF(ISERROR(MATCH(Z$1,INDIRECT("Table!A"&amp;$AN16):INDIRECT("Table!" &amp; $AR$159 &amp; $AN16),0)),"",INDIRECT(CONCATENATE("Table!",ADDRESS($AJ16,MATCH(Z$1,INDIRECT("Table!A" &amp; $AN16):INDIRECT("Table!" &amp; $AR$159 &amp; $AN16),0)))))</f>
        <v>54921</v>
      </c>
      <c r="AA16" s="12"/>
      <c r="AB16" s="12">
        <f>MATCH($A16,Table!$A:$A,0)+$AD$2-1</f>
        <v>393</v>
      </c>
      <c r="AF16" s="31">
        <f>MATCH($A16,Table!$A:$A,0)+$AH$2-1</f>
        <v>391</v>
      </c>
      <c r="AJ16" s="12">
        <f>MATCH($A16,Table!$A:$A,0)+$AL$2-1</f>
        <v>392</v>
      </c>
      <c r="AN16" s="31">
        <f>MATCH($A16,Table!$A:$A,0)+$AH$2-1</f>
        <v>391</v>
      </c>
      <c r="AR16" s="258" t="s">
        <v>118</v>
      </c>
    </row>
    <row r="17" spans="1:44">
      <c r="A17" s="5">
        <v>41207</v>
      </c>
      <c r="B17" s="35">
        <f ca="1">IF(ISERROR(MATCH(B$1,INDIRECT("Table!A"&amp;$AF17):INDIRECT("Table!" &amp; $AR$159 &amp; $AF17),0)),"",INDIRECT(CONCATENATE("Table!",ADDRESS($AB17,MATCH(B$1,INDIRECT("Table!A" &amp; $AF17):INDIRECT("Table!" &amp; $AR$159 &amp; $AF17),0)))))</f>
        <v>64251.8</v>
      </c>
      <c r="C17" s="35">
        <f ca="1">IF(ISERROR(MATCH(C$1,INDIRECT("Table!A"&amp;$AF17):INDIRECT("Table!" &amp; $AR$159 &amp; $AF17),0)),"",INDIRECT(CONCATENATE("Table!",ADDRESS($AB17,MATCH(C$1,INDIRECT("Table!A" &amp; $AF17):INDIRECT("Table!" &amp; $AR$159 &amp; $AF17),0)))))</f>
        <v>72039.399999999994</v>
      </c>
      <c r="D17" s="35">
        <f ca="1">IF(ISERROR(MATCH(D$1,INDIRECT("Table!A"&amp;$AF17):INDIRECT("Table!" &amp; $AR$159 &amp; $AF17),0)),"",INDIRECT(CONCATENATE("Table!",ADDRESS($AB17,MATCH(D$1,INDIRECT("Table!A" &amp; $AF17):INDIRECT("Table!" &amp; $AR$159 &amp; $AF17),0)))))</f>
        <v>73460.899999999994</v>
      </c>
      <c r="E17" s="35">
        <f ca="1">IF(ISERROR(MATCH(E$1,INDIRECT("Table!A"&amp;$AF17):INDIRECT("Table!" &amp; $AR$159 &amp; $AF17),0)),"",INDIRECT(CONCATENATE("Table!",ADDRESS($AB17,MATCH(E$1,INDIRECT("Table!A" &amp; $AF17):INDIRECT("Table!" &amp; $AR$159 &amp; $AF17),0)))))</f>
        <v>161279.29999999999</v>
      </c>
      <c r="F17" s="35">
        <f ca="1">IF(ISERROR(MATCH(F$1,INDIRECT("Table!A"&amp;$AF17):INDIRECT("Table!" &amp; $AR$159 &amp; $AF17),0)),"",INDIRECT(CONCATENATE("Table!",ADDRESS($AB17,MATCH(F$1,INDIRECT("Table!A" &amp; $AF17):INDIRECT("Table!" &amp; $AR$159 &amp; $AF17),0)))))</f>
        <v>57167.5</v>
      </c>
      <c r="G17" s="35">
        <f ca="1">IF(ISERROR(MATCH(G$1,INDIRECT("Table!A"&amp;$AF17):INDIRECT("Table!" &amp; $AR$159 &amp; $AF17),0)),"",INDIRECT(CONCATENATE("Table!",ADDRESS($AB17,MATCH(G$1,INDIRECT("Table!A" &amp; $AF17):INDIRECT("Table!" &amp; $AR$159 &amp; $AF17),0)))))</f>
        <v>38501.1</v>
      </c>
      <c r="H17" s="35">
        <f ca="1">IF(ISERROR(MATCH(H$1,INDIRECT("Table!A"&amp;$AF17):INDIRECT("Table!" &amp; $AR$159 &amp; $AF17),0)),"",INDIRECT(CONCATENATE("Table!",ADDRESS($AB17,MATCH(H$1,INDIRECT("Table!A" &amp; $AF17):INDIRECT("Table!" &amp; $AR$159 &amp; $AF17),0)))))</f>
        <v>47144.1</v>
      </c>
      <c r="I17" s="35">
        <f ca="1">IF(ISERROR(MATCH(I$1,INDIRECT("Table!A"&amp;$AF17):INDIRECT("Table!" &amp; $AR$159 &amp; $AF17),0)),"",INDIRECT(CONCATENATE("Table!",ADDRESS($AB17,MATCH(I$1,INDIRECT("Table!A" &amp; $AF17):INDIRECT("Table!" &amp; $AR$159 &amp; $AF17),0)))))</f>
        <v>145803.1</v>
      </c>
      <c r="J17" s="35">
        <f ca="1">IF(ISERROR(MATCH(J$1,INDIRECT("Table!A"&amp;$AF17):INDIRECT("Table!" &amp; $AR$159 &amp; $AF17),0)),"",INDIRECT(CONCATENATE("Table!",ADDRESS($AB17,MATCH(J$1,INDIRECT("Table!A" &amp; $AF17):INDIRECT("Table!" &amp; $AR$159 &amp; $AF17),0)))))</f>
        <v>39978.699999999997</v>
      </c>
      <c r="K17" s="35">
        <f ca="1">IF(ISERROR(MATCH(K$1,INDIRECT("Table!A"&amp;$AF17):INDIRECT("Table!" &amp; $AR$159 &amp; $AF17),0)),"",INDIRECT(CONCATENATE("Table!",ADDRESS($AB17,MATCH(K$1,INDIRECT("Table!A" &amp; $AF17):INDIRECT("Table!" &amp; $AR$159 &amp; $AF17),0)))))</f>
        <v>29488.5</v>
      </c>
      <c r="L17" s="35">
        <f ca="1">IF(ISERROR(MATCH(L$1,INDIRECT("Table!A"&amp;$AF17):INDIRECT("Table!" &amp; $AR$159 &amp; $AF17),0)),"",INDIRECT(CONCATENATE("Table!",ADDRESS($AB17,MATCH(L$1,INDIRECT("Table!A" &amp; $AF17):INDIRECT("Table!" &amp; $AR$159 &amp; $AF17),0)))))</f>
        <v>97132.4</v>
      </c>
      <c r="M17" s="35">
        <f ca="1">IF(ISERROR(MATCH(M$1,INDIRECT("Table!A"&amp;$AF17):INDIRECT("Table!" &amp; $AR$159 &amp; $AF17),0)),"",INDIRECT(CONCATENATE("Table!",ADDRESS($AB17,MATCH(M$1,INDIRECT("Table!A" &amp; $AF17):INDIRECT("Table!" &amp; $AR$159 &amp; $AF17),0)))))</f>
        <v>23054.799999999999</v>
      </c>
      <c r="N17" s="35" t="str">
        <f ca="1">IF(ISERROR(MATCH(N$1,INDIRECT("Table!A"&amp;$AF17):INDIRECT("Table!" &amp; $AR$188 &amp; $AF17),0)),"",INDIRECT(CONCATENATE("Table!",ADDRESS($AB17,MATCH(N$1,INDIRECT("Table!A" &amp; $AF17):INDIRECT("Table!" &amp; $AR$188 &amp; $AF17),0)))))</f>
        <v/>
      </c>
      <c r="O17" s="35">
        <f ca="1">IF(ISERROR(MATCH(O$1,INDIRECT("Table!A"&amp;$AN17):INDIRECT("Table!" &amp; $AR$159 &amp; $AN17),0)),"",INDIRECT(CONCATENATE("Table!",ADDRESS($AJ17,MATCH(O$1,INDIRECT("Table!A" &amp; $AN17):INDIRECT("Table!" &amp; $AR$159 &amp; $AN17),0)))))</f>
        <v>143392.20000000001</v>
      </c>
      <c r="P17" s="35">
        <f ca="1">IF(ISERROR(MATCH(P$1,INDIRECT("Table!A"&amp;$AN17):INDIRECT("Table!" &amp; $AR$159 &amp; $AN17),0)),"",INDIRECT(CONCATENATE("Table!",ADDRESS($AJ17,MATCH(P$1,INDIRECT("Table!A" &amp; $AN17):INDIRECT("Table!" &amp; $AR$159 &amp; $AN17),0)))))</f>
        <v>150515.79999999999</v>
      </c>
      <c r="Q17" s="35">
        <f ca="1">IF(ISERROR(MATCH(Q$1,INDIRECT("Table!A"&amp;$AN17):INDIRECT("Table!" &amp; $AR$159 &amp; $AN17),0)),"",INDIRECT(CONCATENATE("Table!",ADDRESS($AJ17,MATCH(Q$1,INDIRECT("Table!A" &amp; $AN17):INDIRECT("Table!" &amp; $AR$159 &amp; $AN17),0)))))</f>
        <v>150515.79999999999</v>
      </c>
      <c r="R17" s="35">
        <f ca="1">IF(ISERROR(MATCH(R$1,INDIRECT("Table!A"&amp;$AN17):INDIRECT("Table!" &amp; $AR$159 &amp; $AN17),0)),"",INDIRECT(CONCATENATE("Table!",ADDRESS($AJ17,MATCH(R$1,INDIRECT("Table!A" &amp; $AN17):INDIRECT("Table!" &amp; $AR$159 &amp; $AN17),0)))))</f>
        <v>181997.8</v>
      </c>
      <c r="S17" s="35">
        <f ca="1">IF(ISERROR(MATCH(S$1,INDIRECT("Table!A"&amp;$AN17):INDIRECT("Table!" &amp; $AR$159 &amp; $AN17),0)),"",INDIRECT(CONCATENATE("Table!",ADDRESS($AJ17,MATCH(S$1,INDIRECT("Table!A" &amp; $AN17):INDIRECT("Table!" &amp; $AR$159 &amp; $AN17),0)))))</f>
        <v>165452.5</v>
      </c>
      <c r="T17" s="35">
        <f ca="1">IF(ISERROR(MATCH(T$1,INDIRECT("Table!A"&amp;$AN17):INDIRECT("Table!" &amp; $AR$159 &amp; $AN17),0)),"",INDIRECT(CONCATENATE("Table!",ADDRESS($AJ17,MATCH(T$1,INDIRECT("Table!A" &amp; $AN17):INDIRECT("Table!" &amp; $AR$159 &amp; $AN17),0)))))</f>
        <v>132132</v>
      </c>
      <c r="U17" s="35">
        <f ca="1">IF(ISERROR(MATCH(U$1,INDIRECT("Table!A"&amp;$AN17):INDIRECT("Table!" &amp; $AR$159 &amp; $AN17),0)),"",INDIRECT(CONCATENATE("Table!",ADDRESS($AJ17,MATCH(U$1,INDIRECT("Table!A" &amp; $AN17):INDIRECT("Table!" &amp; $AR$159 &amp; $AN17),0)))))</f>
        <v>121331.8</v>
      </c>
      <c r="V17" s="35">
        <f ca="1">IF(ISERROR(MATCH(V$1,INDIRECT("Table!A"&amp;$AN17):INDIRECT("Table!" &amp; $AR$159 &amp; $AN17),0)),"",INDIRECT(CONCATENATE("Table!",ADDRESS($AJ17,MATCH(V$1,INDIRECT("Table!A" &amp; $AN17):INDIRECT("Table!" &amp; $AR$159 &amp; $AN17),0)))))</f>
        <v>170967.6</v>
      </c>
      <c r="W17" s="35">
        <f ca="1">IF(ISERROR(MATCH(W$1,INDIRECT("Table!A"&amp;$AN17):INDIRECT("Table!" &amp; $AR$159 &amp; $AN17),0)),"",INDIRECT(CONCATENATE("Table!",ADDRESS($AJ17,MATCH(W$1,INDIRECT("Table!A" &amp; $AN17):INDIRECT("Table!" &amp; $AR$159 &amp; $AN17),0)))))</f>
        <v>132132.20000000001</v>
      </c>
      <c r="X17" s="35">
        <f ca="1">IF(ISERROR(MATCH(X$1,INDIRECT("Table!A"&amp;$AN17):INDIRECT("Table!" &amp; $AR$159 &amp; $AN17),0)),"",INDIRECT(CONCATENATE("Table!",ADDRESS($AJ17,MATCH(X$1,INDIRECT("Table!A" &amp; $AN17):INDIRECT("Table!" &amp; $AR$159 &amp; $AN17),0)))))</f>
        <v>82726.3</v>
      </c>
      <c r="Y17" s="35">
        <f ca="1">IF(ISERROR(MATCH(Y$1,INDIRECT("Table!A"&amp;$AN17):INDIRECT("Table!" &amp; $AR$159 &amp; $AN17),0)),"",INDIRECT(CONCATENATE("Table!",ADDRESS($AJ17,MATCH(Y$1,INDIRECT("Table!A" &amp; $AN17):INDIRECT("Table!" &amp; $AR$159 &amp; $AN17),0)))))</f>
        <v>176482.7</v>
      </c>
      <c r="Z17" s="35">
        <f ca="1">IF(ISERROR(MATCH(Z$1,INDIRECT("Table!A"&amp;$AN17):INDIRECT("Table!" &amp; $AR$159 &amp; $AN17),0)),"",INDIRECT(CONCATENATE("Table!",ADDRESS($AJ17,MATCH(Z$1,INDIRECT("Table!A" &amp; $AN17):INDIRECT("Table!" &amp; $AR$159 &amp; $AN17),0)))))</f>
        <v>54921</v>
      </c>
      <c r="AA17" s="12"/>
      <c r="AB17" s="12">
        <f>MATCH($A17,Table!$A:$A,0)+$AD$2-1</f>
        <v>405</v>
      </c>
      <c r="AF17" s="31">
        <f>MATCH($A17,Table!$A:$A,0)+$AH$2-1</f>
        <v>403</v>
      </c>
      <c r="AJ17" s="12">
        <f>MATCH($A17,Table!$A:$A,0)+$AL$2-1</f>
        <v>404</v>
      </c>
      <c r="AN17" s="31">
        <f>MATCH($A17,Table!$A:$A,0)+$AH$2-1</f>
        <v>403</v>
      </c>
      <c r="AR17" s="257" t="s">
        <v>118</v>
      </c>
    </row>
    <row r="18" spans="1:44">
      <c r="A18" s="5">
        <v>41205</v>
      </c>
      <c r="B18" s="35">
        <f ca="1">IF(ISERROR(MATCH(B$1,INDIRECT("Table!A"&amp;$AF18):INDIRECT("Table!" &amp; $AR$159 &amp; $AF18),0)),"",INDIRECT(CONCATENATE("Table!",ADDRESS($AB18,MATCH(B$1,INDIRECT("Table!A" &amp; $AF18):INDIRECT("Table!" &amp; $AR$159 &amp; $AF18),0)))))</f>
        <v>67167.7</v>
      </c>
      <c r="C18" s="35">
        <f ca="1">IF(ISERROR(MATCH(C$1,INDIRECT("Table!A"&amp;$AF18):INDIRECT("Table!" &amp; $AR$159 &amp; $AF18),0)),"",INDIRECT(CONCATENATE("Table!",ADDRESS($AB18,MATCH(C$1,INDIRECT("Table!A" &amp; $AF18):INDIRECT("Table!" &amp; $AR$159 &amp; $AF18),0)))))</f>
        <v>72004.100000000006</v>
      </c>
      <c r="D18" s="35">
        <f ca="1">IF(ISERROR(MATCH(D$1,INDIRECT("Table!A"&amp;$AF18):INDIRECT("Table!" &amp; $AR$159 &amp; $AF18),0)),"",INDIRECT(CONCATENATE("Table!",ADDRESS($AB18,MATCH(D$1,INDIRECT("Table!A" &amp; $AF18):INDIRECT("Table!" &amp; $AR$159 &amp; $AF18),0)))))</f>
        <v>73425.5</v>
      </c>
      <c r="E18" s="35">
        <f ca="1">IF(ISERROR(MATCH(E$1,INDIRECT("Table!A"&amp;$AF18):INDIRECT("Table!" &amp; $AR$159 &amp; $AF18),0)),"",INDIRECT(CONCATENATE("Table!",ADDRESS($AB18,MATCH(E$1,INDIRECT("Table!A" &amp; $AF18):INDIRECT("Table!" &amp; $AR$159 &amp; $AF18),0)))))</f>
        <v>161216.9</v>
      </c>
      <c r="F18" s="35">
        <f ca="1">IF(ISERROR(MATCH(F$1,INDIRECT("Table!A"&amp;$AF18):INDIRECT("Table!" &amp; $AR$159 &amp; $AF18),0)),"",INDIRECT(CONCATENATE("Table!",ADDRESS($AB18,MATCH(F$1,INDIRECT("Table!A" &amp; $AF18):INDIRECT("Table!" &amp; $AR$159 &amp; $AF18),0)))))</f>
        <v>55488.4</v>
      </c>
      <c r="G18" s="35">
        <f ca="1">IF(ISERROR(MATCH(G$1,INDIRECT("Table!A"&amp;$AF18):INDIRECT("Table!" &amp; $AR$159 &amp; $AF18),0)),"",INDIRECT(CONCATENATE("Table!",ADDRESS($AB18,MATCH(G$1,INDIRECT("Table!A" &amp; $AF18):INDIRECT("Table!" &amp; $AR$159 &amp; $AF18),0)))))</f>
        <v>31728.2</v>
      </c>
      <c r="H18" s="35">
        <f ca="1">IF(ISERROR(MATCH(H$1,INDIRECT("Table!A"&amp;$AF18):INDIRECT("Table!" &amp; $AR$159 &amp; $AF18),0)),"",INDIRECT(CONCATENATE("Table!",ADDRESS($AB18,MATCH(H$1,INDIRECT("Table!A" &amp; $AF18):INDIRECT("Table!" &amp; $AR$159 &amp; $AF18),0)))))</f>
        <v>47121.7</v>
      </c>
      <c r="I18" s="35">
        <f ca="1">IF(ISERROR(MATCH(I$1,INDIRECT("Table!A"&amp;$AF18):INDIRECT("Table!" &amp; $AR$159 &amp; $AF18),0)),"",INDIRECT(CONCATENATE("Table!",ADDRESS($AB18,MATCH(I$1,INDIRECT("Table!A" &amp; $AF18):INDIRECT("Table!" &amp; $AR$159 &amp; $AF18),0)))))</f>
        <v>145574.5</v>
      </c>
      <c r="J18" s="35">
        <f ca="1">IF(ISERROR(MATCH(J$1,INDIRECT("Table!A"&amp;$AF18):INDIRECT("Table!" &amp; $AR$159 &amp; $AF18),0)),"",INDIRECT(CONCATENATE("Table!",ADDRESS($AB18,MATCH(J$1,INDIRECT("Table!A" &amp; $AF18):INDIRECT("Table!" &amp; $AR$159 &amp; $AF18),0)))))</f>
        <v>41742.1</v>
      </c>
      <c r="K18" s="35">
        <f ca="1">IF(ISERROR(MATCH(K$1,INDIRECT("Table!A"&amp;$AF18):INDIRECT("Table!" &amp; $AR$159 &amp; $AF18),0)),"",INDIRECT(CONCATENATE("Table!",ADDRESS($AB18,MATCH(K$1,INDIRECT("Table!A" &amp; $AF18):INDIRECT("Table!" &amp; $AR$159 &amp; $AF18),0)))))</f>
        <v>29130</v>
      </c>
      <c r="L18" s="35">
        <f ca="1">IF(ISERROR(MATCH(L$1,INDIRECT("Table!A"&amp;$AF18):INDIRECT("Table!" &amp; $AR$159 &amp; $AF18),0)),"",INDIRECT(CONCATENATE("Table!",ADDRESS($AB18,MATCH(L$1,INDIRECT("Table!A" &amp; $AF18):INDIRECT("Table!" &amp; $AR$159 &amp; $AF18),0)))))</f>
        <v>97087.6</v>
      </c>
      <c r="M18" s="35">
        <f ca="1">IF(ISERROR(MATCH(M$1,INDIRECT("Table!A"&amp;$AF18):INDIRECT("Table!" &amp; $AR$159 &amp; $AF18),0)),"",INDIRECT(CONCATENATE("Table!",ADDRESS($AB18,MATCH(M$1,INDIRECT("Table!A" &amp; $AF18):INDIRECT("Table!" &amp; $AR$159 &amp; $AF18),0)))))</f>
        <v>23054.799999999999</v>
      </c>
      <c r="N18" s="35" t="str">
        <f ca="1">IF(ISERROR(MATCH(N$1,INDIRECT("Table!A"&amp;$AF18):INDIRECT("Table!" &amp; $AR$188 &amp; $AF18),0)),"",INDIRECT(CONCATENATE("Table!",ADDRESS($AB18,MATCH(N$1,INDIRECT("Table!A" &amp; $AF18):INDIRECT("Table!" &amp; $AR$188 &amp; $AF18),0)))))</f>
        <v/>
      </c>
      <c r="O18" s="35">
        <f ca="1">IF(ISERROR(MATCH(O$1,INDIRECT("Table!A"&amp;$AN18):INDIRECT("Table!" &amp; $AR$159 &amp; $AN18),0)),"",INDIRECT(CONCATENATE("Table!",ADDRESS($AJ18,MATCH(O$1,INDIRECT("Table!A" &amp; $AN18):INDIRECT("Table!" &amp; $AR$159 &amp; $AN18),0)))))</f>
        <v>143392.20000000001</v>
      </c>
      <c r="P18" s="35">
        <f ca="1">IF(ISERROR(MATCH(P$1,INDIRECT("Table!A"&amp;$AN18):INDIRECT("Table!" &amp; $AR$159 &amp; $AN18),0)),"",INDIRECT(CONCATENATE("Table!",ADDRESS($AJ18,MATCH(P$1,INDIRECT("Table!A" &amp; $AN18):INDIRECT("Table!" &amp; $AR$159 &amp; $AN18),0)))))</f>
        <v>150515.79999999999</v>
      </c>
      <c r="Q18" s="35">
        <f ca="1">IF(ISERROR(MATCH(Q$1,INDIRECT("Table!A"&amp;$AN18):INDIRECT("Table!" &amp; $AR$159 &amp; $AN18),0)),"",INDIRECT(CONCATENATE("Table!",ADDRESS($AJ18,MATCH(Q$1,INDIRECT("Table!A" &amp; $AN18):INDIRECT("Table!" &amp; $AR$159 &amp; $AN18),0)))))</f>
        <v>150515.79999999999</v>
      </c>
      <c r="R18" s="35">
        <f ca="1">IF(ISERROR(MATCH(R$1,INDIRECT("Table!A"&amp;$AN18):INDIRECT("Table!" &amp; $AR$159 &amp; $AN18),0)),"",INDIRECT(CONCATENATE("Table!",ADDRESS($AJ18,MATCH(R$1,INDIRECT("Table!A" &amp; $AN18):INDIRECT("Table!" &amp; $AR$159 &amp; $AN18),0)))))</f>
        <v>181997.8</v>
      </c>
      <c r="S18" s="35">
        <f ca="1">IF(ISERROR(MATCH(S$1,INDIRECT("Table!A"&amp;$AN18):INDIRECT("Table!" &amp; $AR$159 &amp; $AN18),0)),"",INDIRECT(CONCATENATE("Table!",ADDRESS($AJ18,MATCH(S$1,INDIRECT("Table!A" &amp; $AN18):INDIRECT("Table!" &amp; $AR$159 &amp; $AN18),0)))))</f>
        <v>165452.5</v>
      </c>
      <c r="T18" s="35">
        <f ca="1">IF(ISERROR(MATCH(T$1,INDIRECT("Table!A"&amp;$AN18):INDIRECT("Table!" &amp; $AR$159 &amp; $AN18),0)),"",INDIRECT(CONCATENATE("Table!",ADDRESS($AJ18,MATCH(T$1,INDIRECT("Table!A" &amp; $AN18):INDIRECT("Table!" &amp; $AR$159 &amp; $AN18),0)))))</f>
        <v>110071.9</v>
      </c>
      <c r="U18" s="35">
        <f ca="1">IF(ISERROR(MATCH(U$1,INDIRECT("Table!A"&amp;$AN18):INDIRECT("Table!" &amp; $AR$159 &amp; $AN18),0)),"",INDIRECT(CONCATENATE("Table!",ADDRESS($AJ18,MATCH(U$1,INDIRECT("Table!A" &amp; $AN18):INDIRECT("Table!" &amp; $AR$159 &amp; $AN18),0)))))</f>
        <v>121331.8</v>
      </c>
      <c r="V18" s="35">
        <f ca="1">IF(ISERROR(MATCH(V$1,INDIRECT("Table!A"&amp;$AN18):INDIRECT("Table!" &amp; $AR$159 &amp; $AN18),0)),"",INDIRECT(CONCATENATE("Table!",ADDRESS($AJ18,MATCH(V$1,INDIRECT("Table!A" &amp; $AN18):INDIRECT("Table!" &amp; $AR$159 &amp; $AN18),0)))))</f>
        <v>170967.6</v>
      </c>
      <c r="W18" s="35">
        <f ca="1">IF(ISERROR(MATCH(W$1,INDIRECT("Table!A"&amp;$AN18):INDIRECT("Table!" &amp; $AR$159 &amp; $AN18),0)),"",INDIRECT(CONCATENATE("Table!",ADDRESS($AJ18,MATCH(W$1,INDIRECT("Table!A" &amp; $AN18):INDIRECT("Table!" &amp; $AR$159 &amp; $AN18),0)))))</f>
        <v>132132.20000000001</v>
      </c>
      <c r="X18" s="35">
        <f ca="1">IF(ISERROR(MATCH(X$1,INDIRECT("Table!A"&amp;$AN18):INDIRECT("Table!" &amp; $AR$159 &amp; $AN18),0)),"",INDIRECT(CONCATENATE("Table!",ADDRESS($AJ18,MATCH(X$1,INDIRECT("Table!A" &amp; $AN18):INDIRECT("Table!" &amp; $AR$159 &amp; $AN18),0)))))</f>
        <v>82726.3</v>
      </c>
      <c r="Y18" s="35">
        <f ca="1">IF(ISERROR(MATCH(Y$1,INDIRECT("Table!A"&amp;$AN18):INDIRECT("Table!" &amp; $AR$159 &amp; $AN18),0)),"",INDIRECT(CONCATENATE("Table!",ADDRESS($AJ18,MATCH(Y$1,INDIRECT("Table!A" &amp; $AN18):INDIRECT("Table!" &amp; $AR$159 &amp; $AN18),0)))))</f>
        <v>176482.7</v>
      </c>
      <c r="Z18" s="35">
        <f ca="1">IF(ISERROR(MATCH(Z$1,INDIRECT("Table!A"&amp;$AN18):INDIRECT("Table!" &amp; $AR$159 &amp; $AN18),0)),"",INDIRECT(CONCATENATE("Table!",ADDRESS($AJ18,MATCH(Z$1,INDIRECT("Table!A" &amp; $AN18):INDIRECT("Table!" &amp; $AR$159 &amp; $AN18),0)))))</f>
        <v>54921</v>
      </c>
      <c r="AA18" s="12"/>
      <c r="AB18" s="12">
        <f>MATCH($A18,Table!$A:$A,0)+$AD$2-1</f>
        <v>417</v>
      </c>
      <c r="AF18" s="31">
        <f>MATCH($A18,Table!$A:$A,0)+$AH$2-1</f>
        <v>415</v>
      </c>
      <c r="AJ18" s="12">
        <f>MATCH($A18,Table!$A:$A,0)+$AL$2-1</f>
        <v>416</v>
      </c>
      <c r="AN18" s="31">
        <f>MATCH($A18,Table!$A:$A,0)+$AH$2-1</f>
        <v>415</v>
      </c>
      <c r="AR18" s="257" t="s">
        <v>118</v>
      </c>
    </row>
    <row r="19" spans="1:44">
      <c r="A19" s="5">
        <v>41200</v>
      </c>
      <c r="B19" s="35">
        <f ca="1">IF(ISERROR(MATCH(B$1,INDIRECT("Table!A"&amp;$AF19):INDIRECT("Table!" &amp; $AR$159 &amp; $AF19),0)),"",INDIRECT(CONCATENATE("Table!",ADDRESS($AB19,MATCH(B$1,INDIRECT("Table!A" &amp; $AF19):INDIRECT("Table!" &amp; $AR$159 &amp; $AF19),0)))))</f>
        <v>75311.5</v>
      </c>
      <c r="C19" s="35">
        <f ca="1">IF(ISERROR(MATCH(C$1,INDIRECT("Table!A"&amp;$AF19):INDIRECT("Table!" &amp; $AR$159 &amp; $AF19),0)),"",INDIRECT(CONCATENATE("Table!",ADDRESS($AB19,MATCH(C$1,INDIRECT("Table!A" &amp; $AF19):INDIRECT("Table!" &amp; $AR$159 &amp; $AF19),0)))))</f>
        <v>71952.600000000006</v>
      </c>
      <c r="D19" s="35">
        <f ca="1">IF(ISERROR(MATCH(D$1,INDIRECT("Table!A"&amp;$AF19):INDIRECT("Table!" &amp; $AR$159 &amp; $AF19),0)),"",INDIRECT(CONCATENATE("Table!",ADDRESS($AB19,MATCH(D$1,INDIRECT("Table!A" &amp; $AF19):INDIRECT("Table!" &amp; $AR$159 &amp; $AF19),0)))))</f>
        <v>73371.5</v>
      </c>
      <c r="E19" s="35">
        <f ca="1">IF(ISERROR(MATCH(E$1,INDIRECT("Table!A"&amp;$AF19):INDIRECT("Table!" &amp; $AR$159 &amp; $AF19),0)),"",INDIRECT(CONCATENATE("Table!",ADDRESS($AB19,MATCH(E$1,INDIRECT("Table!A" &amp; $AF19):INDIRECT("Table!" &amp; $AR$159 &amp; $AF19),0)))))</f>
        <v>161033.1</v>
      </c>
      <c r="F19" s="35">
        <f ca="1">IF(ISERROR(MATCH(F$1,INDIRECT("Table!A"&amp;$AF19):INDIRECT("Table!" &amp; $AR$159 &amp; $AF19),0)),"",INDIRECT(CONCATENATE("Table!",ADDRESS($AB19,MATCH(F$1,INDIRECT("Table!A" &amp; $AF19):INDIRECT("Table!" &amp; $AR$159 &amp; $AF19),0)))))</f>
        <v>55488.4</v>
      </c>
      <c r="G19" s="35">
        <f ca="1">IF(ISERROR(MATCH(G$1,INDIRECT("Table!A"&amp;$AF19):INDIRECT("Table!" &amp; $AR$159 &amp; $AF19),0)),"",INDIRECT(CONCATENATE("Table!",ADDRESS($AB19,MATCH(G$1,INDIRECT("Table!A" &amp; $AF19):INDIRECT("Table!" &amp; $AR$159 &amp; $AF19),0)))))</f>
        <v>23722.2</v>
      </c>
      <c r="H19" s="35">
        <f ca="1">IF(ISERROR(MATCH(H$1,INDIRECT("Table!A"&amp;$AF19):INDIRECT("Table!" &amp; $AR$159 &amp; $AF19),0)),"",INDIRECT(CONCATENATE("Table!",ADDRESS($AB19,MATCH(H$1,INDIRECT("Table!A" &amp; $AF19):INDIRECT("Table!" &amp; $AR$159 &amp; $AF19),0)))))</f>
        <v>47009.4</v>
      </c>
      <c r="I19" s="35">
        <f ca="1">IF(ISERROR(MATCH(I$1,INDIRECT("Table!A"&amp;$AF19):INDIRECT("Table!" &amp; $AR$159 &amp; $AF19),0)),"",INDIRECT(CONCATENATE("Table!",ADDRESS($AB19,MATCH(I$1,INDIRECT("Table!A" &amp; $AF19):INDIRECT("Table!" &amp; $AR$159 &amp; $AF19),0)))))</f>
        <v>145325.9</v>
      </c>
      <c r="J19" s="35">
        <f ca="1">IF(ISERROR(MATCH(J$1,INDIRECT("Table!A"&amp;$AF19):INDIRECT("Table!" &amp; $AR$159 &amp; $AF19),0)),"",INDIRECT(CONCATENATE("Table!",ADDRESS($AB19,MATCH(J$1,INDIRECT("Table!A" &amp; $AF19):INDIRECT("Table!" &amp; $AR$159 &amp; $AF19),0)))))</f>
        <v>44341.2</v>
      </c>
      <c r="K19" s="35">
        <f ca="1">IF(ISERROR(MATCH(K$1,INDIRECT("Table!A"&amp;$AF19):INDIRECT("Table!" &amp; $AR$159 &amp; $AF19),0)),"",INDIRECT(CONCATENATE("Table!",ADDRESS($AB19,MATCH(K$1,INDIRECT("Table!A" &amp; $AF19):INDIRECT("Table!" &amp; $AR$159 &amp; $AF19),0)))))</f>
        <v>28675.200000000001</v>
      </c>
      <c r="L19" s="35">
        <f ca="1">IF(ISERROR(MATCH(L$1,INDIRECT("Table!A"&amp;$AF19):INDIRECT("Table!" &amp; $AR$159 &amp; $AF19),0)),"",INDIRECT(CONCATENATE("Table!",ADDRESS($AB19,MATCH(L$1,INDIRECT("Table!A" &amp; $AF19):INDIRECT("Table!" &amp; $AR$159 &amp; $AF19),0)))))</f>
        <v>96868.2</v>
      </c>
      <c r="M19" s="35">
        <f ca="1">IF(ISERROR(MATCH(M$1,INDIRECT("Table!A"&amp;$AF19):INDIRECT("Table!" &amp; $AR$159 &amp; $AF19),0)),"",INDIRECT(CONCATENATE("Table!",ADDRESS($AB19,MATCH(M$1,INDIRECT("Table!A" &amp; $AF19):INDIRECT("Table!" &amp; $AR$159 &amp; $AF19),0)))))</f>
        <v>23054.400000000001</v>
      </c>
      <c r="N19" s="35" t="str">
        <f ca="1">IF(ISERROR(MATCH(N$1,INDIRECT("Table!A"&amp;$AF19):INDIRECT("Table!" &amp; $AR$188 &amp; $AF19),0)),"",INDIRECT(CONCATENATE("Table!",ADDRESS($AB19,MATCH(N$1,INDIRECT("Table!A" &amp; $AF19):INDIRECT("Table!" &amp; $AR$188 &amp; $AF19),0)))))</f>
        <v/>
      </c>
      <c r="O19" s="35">
        <f ca="1">IF(ISERROR(MATCH(O$1,INDIRECT("Table!A"&amp;$AN19):INDIRECT("Table!" &amp; $AR$159 &amp; $AN19),0)),"",INDIRECT(CONCATENATE("Table!",ADDRESS($AJ19,MATCH(O$1,INDIRECT("Table!A" &amp; $AN19):INDIRECT("Table!" &amp; $AR$159 &amp; $AN19),0)))))</f>
        <v>143392.20000000001</v>
      </c>
      <c r="P19" s="35">
        <f ca="1">IF(ISERROR(MATCH(P$1,INDIRECT("Table!A"&amp;$AN19):INDIRECT("Table!" &amp; $AR$159 &amp; $AN19),0)),"",INDIRECT(CONCATENATE("Table!",ADDRESS($AJ19,MATCH(P$1,INDIRECT("Table!A" &amp; $AN19):INDIRECT("Table!" &amp; $AR$159 &amp; $AN19),0)))))</f>
        <v>150515.79999999999</v>
      </c>
      <c r="Q19" s="35">
        <f ca="1">IF(ISERROR(MATCH(Q$1,INDIRECT("Table!A"&amp;$AN19):INDIRECT("Table!" &amp; $AR$159 &amp; $AN19),0)),"",INDIRECT(CONCATENATE("Table!",ADDRESS($AJ19,MATCH(Q$1,INDIRECT("Table!A" &amp; $AN19):INDIRECT("Table!" &amp; $AR$159 &amp; $AN19),0)))))</f>
        <v>150515.79999999999</v>
      </c>
      <c r="R19" s="35">
        <f ca="1">IF(ISERROR(MATCH(R$1,INDIRECT("Table!A"&amp;$AN19):INDIRECT("Table!" &amp; $AR$159 &amp; $AN19),0)),"",INDIRECT(CONCATENATE("Table!",ADDRESS($AJ19,MATCH(R$1,INDIRECT("Table!A" &amp; $AN19):INDIRECT("Table!" &amp; $AR$159 &amp; $AN19),0)))))</f>
        <v>181997.8</v>
      </c>
      <c r="S19" s="35">
        <f ca="1">IF(ISERROR(MATCH(S$1,INDIRECT("Table!A"&amp;$AN19):INDIRECT("Table!" &amp; $AR$159 &amp; $AN19),0)),"",INDIRECT(CONCATENATE("Table!",ADDRESS($AJ19,MATCH(S$1,INDIRECT("Table!A" &amp; $AN19):INDIRECT("Table!" &amp; $AR$159 &amp; $AN19),0)))))</f>
        <v>165452.5</v>
      </c>
      <c r="T19" s="35">
        <f ca="1">IF(ISERROR(MATCH(T$1,INDIRECT("Table!A"&amp;$AN19):INDIRECT("Table!" &amp; $AR$159 &amp; $AN19),0)),"",INDIRECT(CONCATENATE("Table!",ADDRESS($AJ19,MATCH(T$1,INDIRECT("Table!A" &amp; $AN19):INDIRECT("Table!" &amp; $AR$159 &amp; $AN19),0)))))</f>
        <v>110071.9</v>
      </c>
      <c r="U19" s="35">
        <f ca="1">IF(ISERROR(MATCH(U$1,INDIRECT("Table!A"&amp;$AN19):INDIRECT("Table!" &amp; $AR$159 &amp; $AN19),0)),"",INDIRECT(CONCATENATE("Table!",ADDRESS($AJ19,MATCH(U$1,INDIRECT("Table!A" &amp; $AN19):INDIRECT("Table!" &amp; $AR$159 &amp; $AN19),0)))))</f>
        <v>121331.8</v>
      </c>
      <c r="V19" s="35">
        <f ca="1">IF(ISERROR(MATCH(V$1,INDIRECT("Table!A"&amp;$AN19):INDIRECT("Table!" &amp; $AR$159 &amp; $AN19),0)),"",INDIRECT(CONCATENATE("Table!",ADDRESS($AJ19,MATCH(V$1,INDIRECT("Table!A" &amp; $AN19):INDIRECT("Table!" &amp; $AR$159 &amp; $AN19),0)))))</f>
        <v>170967.6</v>
      </c>
      <c r="W19" s="35">
        <f ca="1">IF(ISERROR(MATCH(W$1,INDIRECT("Table!A"&amp;$AN19):INDIRECT("Table!" &amp; $AR$159 &amp; $AN19),0)),"",INDIRECT(CONCATENATE("Table!",ADDRESS($AJ19,MATCH(W$1,INDIRECT("Table!A" &amp; $AN19):INDIRECT("Table!" &amp; $AR$159 &amp; $AN19),0)))))</f>
        <v>132132.20000000001</v>
      </c>
      <c r="X19" s="35">
        <f ca="1">IF(ISERROR(MATCH(X$1,INDIRECT("Table!A"&amp;$AN19):INDIRECT("Table!" &amp; $AR$159 &amp; $AN19),0)),"",INDIRECT(CONCATENATE("Table!",ADDRESS($AJ19,MATCH(X$1,INDIRECT("Table!A" &amp; $AN19):INDIRECT("Table!" &amp; $AR$159 &amp; $AN19),0)))))</f>
        <v>82726.3</v>
      </c>
      <c r="Y19" s="35">
        <f ca="1">IF(ISERROR(MATCH(Y$1,INDIRECT("Table!A"&amp;$AN19):INDIRECT("Table!" &amp; $AR$159 &amp; $AN19),0)),"",INDIRECT(CONCATENATE("Table!",ADDRESS($AJ19,MATCH(Y$1,INDIRECT("Table!A" &amp; $AN19):INDIRECT("Table!" &amp; $AR$159 &amp; $AN19),0)))))</f>
        <v>176482.7</v>
      </c>
      <c r="Z19" s="35">
        <f ca="1">IF(ISERROR(MATCH(Z$1,INDIRECT("Table!A"&amp;$AN19):INDIRECT("Table!" &amp; $AR$159 &amp; $AN19),0)),"",INDIRECT(CONCATENATE("Table!",ADDRESS($AJ19,MATCH(Z$1,INDIRECT("Table!A" &amp; $AN19):INDIRECT("Table!" &amp; $AR$159 &amp; $AN19),0)))))</f>
        <v>54921</v>
      </c>
      <c r="AA19" s="12"/>
      <c r="AB19" s="12">
        <f>MATCH($A19,Table!$A:$A,0)+$AD$2-1</f>
        <v>429</v>
      </c>
      <c r="AF19" s="31">
        <f>MATCH($A19,Table!$A:$A,0)+$AH$2-1</f>
        <v>427</v>
      </c>
      <c r="AJ19" s="12">
        <f>MATCH($A19,Table!$A:$A,0)+$AL$2-1</f>
        <v>428</v>
      </c>
      <c r="AN19" s="31">
        <f>MATCH($A19,Table!$A:$A,0)+$AH$2-1</f>
        <v>427</v>
      </c>
      <c r="AR19" s="254" t="s">
        <v>118</v>
      </c>
    </row>
    <row r="20" spans="1:44">
      <c r="A20" s="5">
        <v>41198</v>
      </c>
      <c r="B20" s="35">
        <f ca="1">IF(ISERROR(MATCH(B$1,INDIRECT("Table!A"&amp;$AF20):INDIRECT("Table!" &amp; $AR$159 &amp; $AF20),0)),"",INDIRECT(CONCATENATE("Table!",ADDRESS($AB20,MATCH(B$1,INDIRECT("Table!A" &amp; $AF20):INDIRECT("Table!" &amp; $AR$159 &amp; $AF20),0)))))</f>
        <v>83480.800000000003</v>
      </c>
      <c r="C20" s="35">
        <f ca="1">IF(ISERROR(MATCH(C$1,INDIRECT("Table!A"&amp;$AF20):INDIRECT("Table!" &amp; $AR$159 &amp; $AF20),0)),"",INDIRECT(CONCATENATE("Table!",ADDRESS($AB20,MATCH(C$1,INDIRECT("Table!A" &amp; $AF20):INDIRECT("Table!" &amp; $AR$159 &amp; $AF20),0)))))</f>
        <v>71819</v>
      </c>
      <c r="D20" s="35">
        <f ca="1">IF(ISERROR(MATCH(D$1,INDIRECT("Table!A"&amp;$AF20):INDIRECT("Table!" &amp; $AR$159 &amp; $AF20),0)),"",INDIRECT(CONCATENATE("Table!",ADDRESS($AB20,MATCH(D$1,INDIRECT("Table!A" &amp; $AF20):INDIRECT("Table!" &amp; $AR$159 &amp; $AF20),0)))))</f>
        <v>73234.399999999994</v>
      </c>
      <c r="E20" s="35">
        <f ca="1">IF(ISERROR(MATCH(E$1,INDIRECT("Table!A"&amp;$AF20):INDIRECT("Table!" &amp; $AR$159 &amp; $AF20),0)),"",INDIRECT(CONCATENATE("Table!",ADDRESS($AB20,MATCH(E$1,INDIRECT("Table!A" &amp; $AF20):INDIRECT("Table!" &amp; $AR$159 &amp; $AF20),0)))))</f>
        <v>160947.70000000001</v>
      </c>
      <c r="F20" s="35">
        <f ca="1">IF(ISERROR(MATCH(F$1,INDIRECT("Table!A"&amp;$AF20):INDIRECT("Table!" &amp; $AR$159 &amp; $AF20),0)),"",INDIRECT(CONCATENATE("Table!",ADDRESS($AB20,MATCH(F$1,INDIRECT("Table!A" &amp; $AF20):INDIRECT("Table!" &amp; $AR$159 &amp; $AF20),0)))))</f>
        <v>54959.4</v>
      </c>
      <c r="G20" s="35">
        <f ca="1">IF(ISERROR(MATCH(G$1,INDIRECT("Table!A"&amp;$AF20):INDIRECT("Table!" &amp; $AR$159 &amp; $AF20),0)),"",INDIRECT(CONCATENATE("Table!",ADDRESS($AB20,MATCH(G$1,INDIRECT("Table!A" &amp; $AF20):INDIRECT("Table!" &amp; $AR$159 &amp; $AF20),0)))))</f>
        <v>25056.2</v>
      </c>
      <c r="H20" s="35">
        <f ca="1">IF(ISERROR(MATCH(H$1,INDIRECT("Table!A"&amp;$AF20):INDIRECT("Table!" &amp; $AR$159 &amp; $AF20),0)),"",INDIRECT(CONCATENATE("Table!",ADDRESS($AB20,MATCH(H$1,INDIRECT("Table!A" &amp; $AF20):INDIRECT("Table!" &amp; $AR$159 &amp; $AF20),0)))))</f>
        <v>46986.5</v>
      </c>
      <c r="I20" s="35">
        <f ca="1">IF(ISERROR(MATCH(I$1,INDIRECT("Table!A"&amp;$AF20):INDIRECT("Table!" &amp; $AR$159 &amp; $AF20),0)),"",INDIRECT(CONCATENATE("Table!",ADDRESS($AB20,MATCH(I$1,INDIRECT("Table!A" &amp; $AF20):INDIRECT("Table!" &amp; $AR$159 &amp; $AF20),0)))))</f>
        <v>144885.1</v>
      </c>
      <c r="J20" s="35">
        <f ca="1">IF(ISERROR(MATCH(J$1,INDIRECT("Table!A"&amp;$AF20):INDIRECT("Table!" &amp; $AR$159 &amp; $AF20),0)),"",INDIRECT(CONCATENATE("Table!",ADDRESS($AB20,MATCH(J$1,INDIRECT("Table!A" &amp; $AF20):INDIRECT("Table!" &amp; $AR$159 &amp; $AF20),0)))))</f>
        <v>41868.199999999997</v>
      </c>
      <c r="K20" s="35">
        <f ca="1">IF(ISERROR(MATCH(K$1,INDIRECT("Table!A"&amp;$AF20):INDIRECT("Table!" &amp; $AR$159 &amp; $AF20),0)),"",INDIRECT(CONCATENATE("Table!",ADDRESS($AB20,MATCH(K$1,INDIRECT("Table!A" &amp; $AF20):INDIRECT("Table!" &amp; $AR$159 &amp; $AF20),0)))))</f>
        <v>28410.5</v>
      </c>
      <c r="L20" s="35">
        <f ca="1">IF(ISERROR(MATCH(L$1,INDIRECT("Table!A"&amp;$AF20):INDIRECT("Table!" &amp; $AR$159 &amp; $AF20),0)),"",INDIRECT(CONCATENATE("Table!",ADDRESS($AB20,MATCH(L$1,INDIRECT("Table!A" &amp; $AF20):INDIRECT("Table!" &amp; $AR$159 &amp; $AF20),0)))))</f>
        <v>96820.5</v>
      </c>
      <c r="M20" s="35">
        <f ca="1">IF(ISERROR(MATCH(M$1,INDIRECT("Table!A"&amp;$AF20):INDIRECT("Table!" &amp; $AR$159 &amp; $AF20),0)),"",INDIRECT(CONCATENATE("Table!",ADDRESS($AB20,MATCH(M$1,INDIRECT("Table!A" &amp; $AF20):INDIRECT("Table!" &amp; $AR$159 &amp; $AF20),0)))))</f>
        <v>23054.1</v>
      </c>
      <c r="N20" s="35" t="str">
        <f ca="1">IF(ISERROR(MATCH(N$1,INDIRECT("Table!A"&amp;$AF20):INDIRECT("Table!" &amp; $AR$188 &amp; $AF20),0)),"",INDIRECT(CONCATENATE("Table!",ADDRESS($AB20,MATCH(N$1,INDIRECT("Table!A" &amp; $AF20):INDIRECT("Table!" &amp; $AR$188 &amp; $AF20),0)))))</f>
        <v/>
      </c>
      <c r="O20" s="35">
        <f ca="1">IF(ISERROR(MATCH(O$1,INDIRECT("Table!A"&amp;$AN20):INDIRECT("Table!" &amp; $AR$159 &amp; $AN20),0)),"",INDIRECT(CONCATENATE("Table!",ADDRESS($AJ20,MATCH(O$1,INDIRECT("Table!A" &amp; $AN20):INDIRECT("Table!" &amp; $AR$159 &amp; $AN20),0)))))</f>
        <v>143392.20000000001</v>
      </c>
      <c r="P20" s="35">
        <f ca="1">IF(ISERROR(MATCH(P$1,INDIRECT("Table!A"&amp;$AN20):INDIRECT("Table!" &amp; $AR$159 &amp; $AN20),0)),"",INDIRECT(CONCATENATE("Table!",ADDRESS($AJ20,MATCH(P$1,INDIRECT("Table!A" &amp; $AN20):INDIRECT("Table!" &amp; $AR$159 &amp; $AN20),0)))))</f>
        <v>150515.79999999999</v>
      </c>
      <c r="Q20" s="35">
        <f ca="1">IF(ISERROR(MATCH(Q$1,INDIRECT("Table!A"&amp;$AN20):INDIRECT("Table!" &amp; $AR$159 &amp; $AN20),0)),"",INDIRECT(CONCATENATE("Table!",ADDRESS($AJ20,MATCH(Q$1,INDIRECT("Table!A" &amp; $AN20):INDIRECT("Table!" &amp; $AR$159 &amp; $AN20),0)))))</f>
        <v>150515.79999999999</v>
      </c>
      <c r="R20" s="35">
        <f ca="1">IF(ISERROR(MATCH(R$1,INDIRECT("Table!A"&amp;$AN20):INDIRECT("Table!" &amp; $AR$159 &amp; $AN20),0)),"",INDIRECT(CONCATENATE("Table!",ADDRESS($AJ20,MATCH(R$1,INDIRECT("Table!A" &amp; $AN20):INDIRECT("Table!" &amp; $AR$159 &amp; $AN20),0)))))</f>
        <v>181997.8</v>
      </c>
      <c r="S20" s="35">
        <f ca="1">IF(ISERROR(MATCH(S$1,INDIRECT("Table!A"&amp;$AN20):INDIRECT("Table!" &amp; $AR$159 &amp; $AN20),0)),"",INDIRECT(CONCATENATE("Table!",ADDRESS($AJ20,MATCH(S$1,INDIRECT("Table!A" &amp; $AN20):INDIRECT("Table!" &amp; $AR$159 &amp; $AN20),0)))))</f>
        <v>165452.5</v>
      </c>
      <c r="T20" s="35">
        <f ca="1">IF(ISERROR(MATCH(T$1,INDIRECT("Table!A"&amp;$AN20):INDIRECT("Table!" &amp; $AR$159 &amp; $AN20),0)),"",INDIRECT(CONCATENATE("Table!",ADDRESS($AJ20,MATCH(T$1,INDIRECT("Table!A" &amp; $AN20):INDIRECT("Table!" &amp; $AR$159 &amp; $AN20),0)))))</f>
        <v>110071.9</v>
      </c>
      <c r="U20" s="35">
        <f ca="1">IF(ISERROR(MATCH(U$1,INDIRECT("Table!A"&amp;$AN20):INDIRECT("Table!" &amp; $AR$159 &amp; $AN20),0)),"",INDIRECT(CONCATENATE("Table!",ADDRESS($AJ20,MATCH(U$1,INDIRECT("Table!A" &amp; $AN20):INDIRECT("Table!" &amp; $AR$159 &amp; $AN20),0)))))</f>
        <v>121331.8</v>
      </c>
      <c r="V20" s="35">
        <f ca="1">IF(ISERROR(MATCH(V$1,INDIRECT("Table!A"&amp;$AN20):INDIRECT("Table!" &amp; $AR$159 &amp; $AN20),0)),"",INDIRECT(CONCATENATE("Table!",ADDRESS($AJ20,MATCH(V$1,INDIRECT("Table!A" &amp; $AN20):INDIRECT("Table!" &amp; $AR$159 &amp; $AN20),0)))))</f>
        <v>170967.6</v>
      </c>
      <c r="W20" s="35">
        <f ca="1">IF(ISERROR(MATCH(W$1,INDIRECT("Table!A"&amp;$AN20):INDIRECT("Table!" &amp; $AR$159 &amp; $AN20),0)),"",INDIRECT(CONCATENATE("Table!",ADDRESS($AJ20,MATCH(W$1,INDIRECT("Table!A" &amp; $AN20):INDIRECT("Table!" &amp; $AR$159 &amp; $AN20),0)))))</f>
        <v>132132.20000000001</v>
      </c>
      <c r="X20" s="35">
        <f ca="1">IF(ISERROR(MATCH(X$1,INDIRECT("Table!A"&amp;$AN20):INDIRECT("Table!" &amp; $AR$159 &amp; $AN20),0)),"",INDIRECT(CONCATENATE("Table!",ADDRESS($AJ20,MATCH(X$1,INDIRECT("Table!A" &amp; $AN20):INDIRECT("Table!" &amp; $AR$159 &amp; $AN20),0)))))</f>
        <v>82726.3</v>
      </c>
      <c r="Y20" s="35">
        <f ca="1">IF(ISERROR(MATCH(Y$1,INDIRECT("Table!A"&amp;$AN20):INDIRECT("Table!" &amp; $AR$159 &amp; $AN20),0)),"",INDIRECT(CONCATENATE("Table!",ADDRESS($AJ20,MATCH(Y$1,INDIRECT("Table!A" &amp; $AN20):INDIRECT("Table!" &amp; $AR$159 &amp; $AN20),0)))))</f>
        <v>176482.7</v>
      </c>
      <c r="Z20" s="35">
        <f ca="1">IF(ISERROR(MATCH(Z$1,INDIRECT("Table!A"&amp;$AN20):INDIRECT("Table!" &amp; $AR$159 &amp; $AN20),0)),"",INDIRECT(CONCATENATE("Table!",ADDRESS($AJ20,MATCH(Z$1,INDIRECT("Table!A" &amp; $AN20):INDIRECT("Table!" &amp; $AR$159 &amp; $AN20),0)))))</f>
        <v>54921</v>
      </c>
      <c r="AA20" s="12"/>
      <c r="AB20" s="12">
        <f>MATCH($A20,Table!$A:$A,0)+$AD$2-1</f>
        <v>442</v>
      </c>
      <c r="AF20" s="31">
        <f>MATCH($A20,Table!$A:$A,0)+$AH$2-1</f>
        <v>440</v>
      </c>
      <c r="AJ20" s="12">
        <f>MATCH($A20,Table!$A:$A,0)+$AL$2-1</f>
        <v>441</v>
      </c>
      <c r="AN20" s="31">
        <f>MATCH($A20,Table!$A:$A,0)+$AH$2-1</f>
        <v>440</v>
      </c>
      <c r="AR20" s="254" t="s">
        <v>118</v>
      </c>
    </row>
    <row r="21" spans="1:44">
      <c r="A21" s="5">
        <v>41193</v>
      </c>
      <c r="B21" s="35">
        <f ca="1">IF(ISERROR(MATCH(B$1,INDIRECT("Table!A"&amp;$AF21):INDIRECT("Table!" &amp; $AR$159 &amp; $AF21),0)),"",INDIRECT(CONCATENATE("Table!",ADDRESS($AB21,MATCH(B$1,INDIRECT("Table!A" &amp; $AF21):INDIRECT("Table!" &amp; $AR$159 &amp; $AF21),0)))))</f>
        <v>94636.4</v>
      </c>
      <c r="C21" s="35">
        <f ca="1">IF(ISERROR(MATCH(C$1,INDIRECT("Table!A"&amp;$AF21):INDIRECT("Table!" &amp; $AR$159 &amp; $AF21),0)),"",INDIRECT(CONCATENATE("Table!",ADDRESS($AB21,MATCH(C$1,INDIRECT("Table!A" &amp; $AF21):INDIRECT("Table!" &amp; $AR$159 &amp; $AF21),0)))))</f>
        <v>71357.5</v>
      </c>
      <c r="D21" s="35">
        <f ca="1">IF(ISERROR(MATCH(D$1,INDIRECT("Table!A"&amp;$AF21):INDIRECT("Table!" &amp; $AR$159 &amp; $AF21),0)),"",INDIRECT(CONCATENATE("Table!",ADDRESS($AB21,MATCH(D$1,INDIRECT("Table!A" &amp; $AF21):INDIRECT("Table!" &amp; $AR$159 &amp; $AF21),0)))))</f>
        <v>72778.8</v>
      </c>
      <c r="E21" s="35">
        <f ca="1">IF(ISERROR(MATCH(E$1,INDIRECT("Table!A"&amp;$AF21):INDIRECT("Table!" &amp; $AR$159 &amp; $AF21),0)),"",INDIRECT(CONCATENATE("Table!",ADDRESS($AB21,MATCH(E$1,INDIRECT("Table!A" &amp; $AF21):INDIRECT("Table!" &amp; $AR$159 &amp; $AF21),0)))))</f>
        <v>161624</v>
      </c>
      <c r="F21" s="35">
        <f ca="1">IF(ISERROR(MATCH(F$1,INDIRECT("Table!A"&amp;$AF21):INDIRECT("Table!" &amp; $AR$159 &amp; $AF21),0)),"",INDIRECT(CONCATENATE("Table!",ADDRESS($AB21,MATCH(F$1,INDIRECT("Table!A" &amp; $AF21):INDIRECT("Table!" &amp; $AR$159 &amp; $AF21),0)))))</f>
        <v>54154.7</v>
      </c>
      <c r="G21" s="35">
        <f ca="1">IF(ISERROR(MATCH(G$1,INDIRECT("Table!A"&amp;$AF21):INDIRECT("Table!" &amp; $AR$159 &amp; $AF21),0)),"",INDIRECT(CONCATENATE("Table!",ADDRESS($AB21,MATCH(G$1,INDIRECT("Table!A" &amp; $AF21):INDIRECT("Table!" &amp; $AR$159 &amp; $AF21),0)))))</f>
        <v>27375.3</v>
      </c>
      <c r="H21" s="35">
        <f ca="1">IF(ISERROR(MATCH(H$1,INDIRECT("Table!A"&amp;$AF21):INDIRECT("Table!" &amp; $AR$159 &amp; $AF21),0)),"",INDIRECT(CONCATENATE("Table!",ADDRESS($AB21,MATCH(H$1,INDIRECT("Table!A" &amp; $AF21):INDIRECT("Table!" &amp; $AR$159 &amp; $AF21),0)))))</f>
        <v>46857</v>
      </c>
      <c r="I21" s="35">
        <f ca="1">IF(ISERROR(MATCH(I$1,INDIRECT("Table!A"&amp;$AF21):INDIRECT("Table!" &amp; $AR$159 &amp; $AF21),0)),"",INDIRECT(CONCATENATE("Table!",ADDRESS($AB21,MATCH(I$1,INDIRECT("Table!A" &amp; $AF21):INDIRECT("Table!" &amp; $AR$159 &amp; $AF21),0)))))</f>
        <v>144497.60000000001</v>
      </c>
      <c r="J21" s="35">
        <f ca="1">IF(ISERROR(MATCH(J$1,INDIRECT("Table!A"&amp;$AF21):INDIRECT("Table!" &amp; $AR$159 &amp; $AF21),0)),"",INDIRECT(CONCATENATE("Table!",ADDRESS($AB21,MATCH(J$1,INDIRECT("Table!A" &amp; $AF21):INDIRECT("Table!" &amp; $AR$159 &amp; $AF21),0)))))</f>
        <v>40200.300000000003</v>
      </c>
      <c r="K21" s="35">
        <f ca="1">IF(ISERROR(MATCH(K$1,INDIRECT("Table!A"&amp;$AF21):INDIRECT("Table!" &amp; $AR$159 &amp; $AF21),0)),"",INDIRECT(CONCATENATE("Table!",ADDRESS($AB21,MATCH(K$1,INDIRECT("Table!A" &amp; $AF21):INDIRECT("Table!" &amp; $AR$159 &amp; $AF21),0)))))</f>
        <v>28021.4</v>
      </c>
      <c r="L21" s="35">
        <f ca="1">IF(ISERROR(MATCH(L$1,INDIRECT("Table!A"&amp;$AF21):INDIRECT("Table!" &amp; $AR$159 &amp; $AF21),0)),"",INDIRECT(CONCATENATE("Table!",ADDRESS($AB21,MATCH(L$1,INDIRECT("Table!A" &amp; $AF21):INDIRECT("Table!" &amp; $AR$159 &amp; $AF21),0)))))</f>
        <v>96561.5</v>
      </c>
      <c r="M21" s="35">
        <f ca="1">IF(ISERROR(MATCH(M$1,INDIRECT("Table!A"&amp;$AF21):INDIRECT("Table!" &amp; $AR$159 &amp; $AF21),0)),"",INDIRECT(CONCATENATE("Table!",ADDRESS($AB21,MATCH(M$1,INDIRECT("Table!A" &amp; $AF21):INDIRECT("Table!" &amp; $AR$159 &amp; $AF21),0)))))</f>
        <v>23054.1</v>
      </c>
      <c r="N21" s="35" t="str">
        <f ca="1">IF(ISERROR(MATCH(N$1,INDIRECT("Table!A"&amp;$AF21):INDIRECT("Table!" &amp; $AR$188 &amp; $AF21),0)),"",INDIRECT(CONCATENATE("Table!",ADDRESS($AB21,MATCH(N$1,INDIRECT("Table!A" &amp; $AF21):INDIRECT("Table!" &amp; $AR$188 &amp; $AF21),0)))))</f>
        <v/>
      </c>
      <c r="O21" s="35">
        <f ca="1">IF(ISERROR(MATCH(O$1,INDIRECT("Table!A"&amp;$AN21):INDIRECT("Table!" &amp; $AR$159 &amp; $AN21),0)),"",INDIRECT(CONCATENATE("Table!",ADDRESS($AJ21,MATCH(O$1,INDIRECT("Table!A" &amp; $AN21):INDIRECT("Table!" &amp; $AR$159 &amp; $AN21),0)))))</f>
        <v>143392.20000000001</v>
      </c>
      <c r="P21" s="35">
        <f ca="1">IF(ISERROR(MATCH(P$1,INDIRECT("Table!A"&amp;$AN21):INDIRECT("Table!" &amp; $AR$159 &amp; $AN21),0)),"",INDIRECT(CONCATENATE("Table!",ADDRESS($AJ21,MATCH(P$1,INDIRECT("Table!A" &amp; $AN21):INDIRECT("Table!" &amp; $AR$159 &amp; $AN21),0)))))</f>
        <v>150515.79999999999</v>
      </c>
      <c r="Q21" s="35">
        <f ca="1">IF(ISERROR(MATCH(Q$1,INDIRECT("Table!A"&amp;$AN21):INDIRECT("Table!" &amp; $AR$159 &amp; $AN21),0)),"",INDIRECT(CONCATENATE("Table!",ADDRESS($AJ21,MATCH(Q$1,INDIRECT("Table!A" &amp; $AN21):INDIRECT("Table!" &amp; $AR$159 &amp; $AN21),0)))))</f>
        <v>150515.79999999999</v>
      </c>
      <c r="R21" s="35">
        <f ca="1">IF(ISERROR(MATCH(R$1,INDIRECT("Table!A"&amp;$AN21):INDIRECT("Table!" &amp; $AR$159 &amp; $AN21),0)),"",INDIRECT(CONCATENATE("Table!",ADDRESS($AJ21,MATCH(R$1,INDIRECT("Table!A" &amp; $AN21):INDIRECT("Table!" &amp; $AR$159 &amp; $AN21),0)))))</f>
        <v>181997.8</v>
      </c>
      <c r="S21" s="35">
        <f ca="1">IF(ISERROR(MATCH(S$1,INDIRECT("Table!A"&amp;$AN21):INDIRECT("Table!" &amp; $AR$159 &amp; $AN21),0)),"",INDIRECT(CONCATENATE("Table!",ADDRESS($AJ21,MATCH(S$1,INDIRECT("Table!A" &amp; $AN21):INDIRECT("Table!" &amp; $AR$159 &amp; $AN21),0)))))</f>
        <v>165452.5</v>
      </c>
      <c r="T21" s="35">
        <f ca="1">IF(ISERROR(MATCH(T$1,INDIRECT("Table!A"&amp;$AN21):INDIRECT("Table!" &amp; $AR$159 &amp; $AN21),0)),"",INDIRECT(CONCATENATE("Table!",ADDRESS($AJ21,MATCH(T$1,INDIRECT("Table!A" &amp; $AN21):INDIRECT("Table!" &amp; $AR$159 &amp; $AN21),0)))))</f>
        <v>110071.9</v>
      </c>
      <c r="U21" s="35">
        <f ca="1">IF(ISERROR(MATCH(U$1,INDIRECT("Table!A"&amp;$AN21):INDIRECT("Table!" &amp; $AR$159 &amp; $AN21),0)),"",INDIRECT(CONCATENATE("Table!",ADDRESS($AJ21,MATCH(U$1,INDIRECT("Table!A" &amp; $AN21):INDIRECT("Table!" &amp; $AR$159 &amp; $AN21),0)))))</f>
        <v>121331.8</v>
      </c>
      <c r="V21" s="35">
        <f ca="1">IF(ISERROR(MATCH(V$1,INDIRECT("Table!A"&amp;$AN21):INDIRECT("Table!" &amp; $AR$159 &amp; $AN21),0)),"",INDIRECT(CONCATENATE("Table!",ADDRESS($AJ21,MATCH(V$1,INDIRECT("Table!A" &amp; $AN21):INDIRECT("Table!" &amp; $AR$159 &amp; $AN21),0)))))</f>
        <v>170967.6</v>
      </c>
      <c r="W21" s="35">
        <f ca="1">IF(ISERROR(MATCH(W$1,INDIRECT("Table!A"&amp;$AN21):INDIRECT("Table!" &amp; $AR$159 &amp; $AN21),0)),"",INDIRECT(CONCATENATE("Table!",ADDRESS($AJ21,MATCH(W$1,INDIRECT("Table!A" &amp; $AN21):INDIRECT("Table!" &amp; $AR$159 &amp; $AN21),0)))))</f>
        <v>132132.20000000001</v>
      </c>
      <c r="X21" s="35">
        <f ca="1">IF(ISERROR(MATCH(X$1,INDIRECT("Table!A"&amp;$AN21):INDIRECT("Table!" &amp; $AR$159 &amp; $AN21),0)),"",INDIRECT(CONCATENATE("Table!",ADDRESS($AJ21,MATCH(X$1,INDIRECT("Table!A" &amp; $AN21):INDIRECT("Table!" &amp; $AR$159 &amp; $AN21),0)))))</f>
        <v>82726.3</v>
      </c>
      <c r="Y21" s="35">
        <f ca="1">IF(ISERROR(MATCH(Y$1,INDIRECT("Table!A"&amp;$AN21):INDIRECT("Table!" &amp; $AR$159 &amp; $AN21),0)),"",INDIRECT(CONCATENATE("Table!",ADDRESS($AJ21,MATCH(Y$1,INDIRECT("Table!A" &amp; $AN21):INDIRECT("Table!" &amp; $AR$159 &amp; $AN21),0)))))</f>
        <v>176482.7</v>
      </c>
      <c r="Z21" s="35">
        <f ca="1">IF(ISERROR(MATCH(Z$1,INDIRECT("Table!A"&amp;$AN21):INDIRECT("Table!" &amp; $AR$159 &amp; $AN21),0)),"",INDIRECT(CONCATENATE("Table!",ADDRESS($AJ21,MATCH(Z$1,INDIRECT("Table!A" &amp; $AN21):INDIRECT("Table!" &amp; $AR$159 &amp; $AN21),0)))))</f>
        <v>54921</v>
      </c>
      <c r="AA21" s="12"/>
      <c r="AB21" s="12">
        <f>MATCH($A21,Table!$A:$A,0)+$AD$2-1</f>
        <v>455</v>
      </c>
      <c r="AF21" s="31">
        <f>MATCH($A21,Table!$A:$A,0)+$AH$2-1</f>
        <v>453</v>
      </c>
      <c r="AJ21" s="12">
        <f>MATCH($A21,Table!$A:$A,0)+$AL$2-1</f>
        <v>454</v>
      </c>
      <c r="AN21" s="31">
        <f>MATCH($A21,Table!$A:$A,0)+$AH$2-1</f>
        <v>453</v>
      </c>
      <c r="AR21" s="254" t="s">
        <v>118</v>
      </c>
    </row>
    <row r="22" spans="1:44">
      <c r="A22" s="5">
        <v>41190</v>
      </c>
      <c r="B22" s="35">
        <f ca="1">IF(ISERROR(MATCH(B$1,INDIRECT("Table!A"&amp;$AF22):INDIRECT("Table!" &amp; $AR$159 &amp; $AF22),0)),"",INDIRECT(CONCATENATE("Table!",ADDRESS($AB22,MATCH(B$1,INDIRECT("Table!A" &amp; $AF22):INDIRECT("Table!" &amp; $AR$159 &amp; $AF22),0)))))</f>
        <v>93541.8</v>
      </c>
      <c r="C22" s="35">
        <f ca="1">IF(ISERROR(MATCH(C$1,INDIRECT("Table!A"&amp;$AF22):INDIRECT("Table!" &amp; $AR$159 &amp; $AF22),0)),"",INDIRECT(CONCATENATE("Table!",ADDRESS($AB22,MATCH(C$1,INDIRECT("Table!A" &amp; $AF22):INDIRECT("Table!" &amp; $AR$159 &amp; $AF22),0)))))</f>
        <v>70992.399999999994</v>
      </c>
      <c r="D22" s="35">
        <f ca="1">IF(ISERROR(MATCH(D$1,INDIRECT("Table!A"&amp;$AF22):INDIRECT("Table!" &amp; $AR$159 &amp; $AF22),0)),"",INDIRECT(CONCATENATE("Table!",ADDRESS($AB22,MATCH(D$1,INDIRECT("Table!A" &amp; $AF22):INDIRECT("Table!" &amp; $AR$159 &amp; $AF22),0)))))</f>
        <v>72745.3</v>
      </c>
      <c r="E22" s="35">
        <f ca="1">IF(ISERROR(MATCH(E$1,INDIRECT("Table!A"&amp;$AF22):INDIRECT("Table!" &amp; $AR$159 &amp; $AF22),0)),"",INDIRECT(CONCATENATE("Table!",ADDRESS($AB22,MATCH(E$1,INDIRECT("Table!A" &amp; $AF22):INDIRECT("Table!" &amp; $AR$159 &amp; $AF22),0)))))</f>
        <v>161389.29999999999</v>
      </c>
      <c r="F22" s="35">
        <f ca="1">IF(ISERROR(MATCH(F$1,INDIRECT("Table!A"&amp;$AF22):INDIRECT("Table!" &amp; $AR$159 &amp; $AF22),0)),"",INDIRECT(CONCATENATE("Table!",ADDRESS($AB22,MATCH(F$1,INDIRECT("Table!A" &amp; $AF22):INDIRECT("Table!" &amp; $AR$159 &amp; $AF22),0)))))</f>
        <v>53667.6</v>
      </c>
      <c r="G22" s="35">
        <f ca="1">IF(ISERROR(MATCH(G$1,INDIRECT("Table!A"&amp;$AF22):INDIRECT("Table!" &amp; $AR$159 &amp; $AF22),0)),"",INDIRECT(CONCATENATE("Table!",ADDRESS($AB22,MATCH(G$1,INDIRECT("Table!A" &amp; $AF22):INDIRECT("Table!" &amp; $AR$159 &amp; $AF22),0)))))</f>
        <v>28276.5</v>
      </c>
      <c r="H22" s="35">
        <f ca="1">IF(ISERROR(MATCH(H$1,INDIRECT("Table!A"&amp;$AF22):INDIRECT("Table!" &amp; $AR$159 &amp; $AF22),0)),"",INDIRECT(CONCATENATE("Table!",ADDRESS($AB22,MATCH(H$1,INDIRECT("Table!A" &amp; $AF22):INDIRECT("Table!" &amp; $AR$159 &amp; $AF22),0)))))</f>
        <v>46719.9</v>
      </c>
      <c r="I22" s="35">
        <f ca="1">IF(ISERROR(MATCH(I$1,INDIRECT("Table!A"&amp;$AF22):INDIRECT("Table!" &amp; $AR$159 &amp; $AF22),0)),"",INDIRECT(CONCATENATE("Table!",ADDRESS($AB22,MATCH(I$1,INDIRECT("Table!A" &amp; $AF22):INDIRECT("Table!" &amp; $AR$159 &amp; $AF22),0)))))</f>
        <v>144164.1</v>
      </c>
      <c r="J22" s="35">
        <f ca="1">IF(ISERROR(MATCH(J$1,INDIRECT("Table!A"&amp;$AF22):INDIRECT("Table!" &amp; $AR$159 &amp; $AF22),0)),"",INDIRECT(CONCATENATE("Table!",ADDRESS($AB22,MATCH(J$1,INDIRECT("Table!A" &amp; $AF22):INDIRECT("Table!" &amp; $AR$159 &amp; $AF22),0)))))</f>
        <v>39853.300000000003</v>
      </c>
      <c r="K22" s="35">
        <f ca="1">IF(ISERROR(MATCH(K$1,INDIRECT("Table!A"&amp;$AF22):INDIRECT("Table!" &amp; $AR$159 &amp; $AF22),0)),"",INDIRECT(CONCATENATE("Table!",ADDRESS($AB22,MATCH(K$1,INDIRECT("Table!A" &amp; $AF22):INDIRECT("Table!" &amp; $AR$159 &amp; $AF22),0)))))</f>
        <v>27773.8</v>
      </c>
      <c r="L22" s="35">
        <f ca="1">IF(ISERROR(MATCH(L$1,INDIRECT("Table!A"&amp;$AF22):INDIRECT("Table!" &amp; $AR$159 &amp; $AF22),0)),"",INDIRECT(CONCATENATE("Table!",ADDRESS($AB22,MATCH(L$1,INDIRECT("Table!A" &amp; $AF22):INDIRECT("Table!" &amp; $AR$159 &amp; $AF22),0)))))</f>
        <v>96287.2</v>
      </c>
      <c r="M22" s="35">
        <f ca="1">IF(ISERROR(MATCH(M$1,INDIRECT("Table!A"&amp;$AF22):INDIRECT("Table!" &amp; $AR$159 &amp; $AF22),0)),"",INDIRECT(CONCATENATE("Table!",ADDRESS($AB22,MATCH(M$1,INDIRECT("Table!A" &amp; $AF22):INDIRECT("Table!" &amp; $AR$159 &amp; $AF22),0)))))</f>
        <v>23054.1</v>
      </c>
      <c r="N22" s="35" t="str">
        <f ca="1">IF(ISERROR(MATCH(N$1,INDIRECT("Table!A"&amp;$AF22):INDIRECT("Table!" &amp; $AR$188 &amp; $AF22),0)),"",INDIRECT(CONCATENATE("Table!",ADDRESS($AB22,MATCH(N$1,INDIRECT("Table!A" &amp; $AF22):INDIRECT("Table!" &amp; $AR$188 &amp; $AF22),0)))))</f>
        <v/>
      </c>
      <c r="O22" s="35">
        <f ca="1">IF(ISERROR(MATCH(O$1,INDIRECT("Table!A"&amp;$AN22):INDIRECT("Table!" &amp; $AR$159 &amp; $AN22),0)),"",INDIRECT(CONCATENATE("Table!",ADDRESS($AJ22,MATCH(O$1,INDIRECT("Table!A" &amp; $AN22):INDIRECT("Table!" &amp; $AR$159 &amp; $AN22),0)))))</f>
        <v>143392.20000000001</v>
      </c>
      <c r="P22" s="35">
        <f ca="1">IF(ISERROR(MATCH(P$1,INDIRECT("Table!A"&amp;$AN22):INDIRECT("Table!" &amp; $AR$159 &amp; $AN22),0)),"",INDIRECT(CONCATENATE("Table!",ADDRESS($AJ22,MATCH(P$1,INDIRECT("Table!A" &amp; $AN22):INDIRECT("Table!" &amp; $AR$159 &amp; $AN22),0)))))</f>
        <v>150515.79999999999</v>
      </c>
      <c r="Q22" s="35">
        <f ca="1">IF(ISERROR(MATCH(Q$1,INDIRECT("Table!A"&amp;$AN22):INDIRECT("Table!" &amp; $AR$159 &amp; $AN22),0)),"",INDIRECT(CONCATENATE("Table!",ADDRESS($AJ22,MATCH(Q$1,INDIRECT("Table!A" &amp; $AN22):INDIRECT("Table!" &amp; $AR$159 &amp; $AN22),0)))))</f>
        <v>150515.79999999999</v>
      </c>
      <c r="R22" s="35">
        <f ca="1">IF(ISERROR(MATCH(R$1,INDIRECT("Table!A"&amp;$AN22):INDIRECT("Table!" &amp; $AR$159 &amp; $AN22),0)),"",INDIRECT(CONCATENATE("Table!",ADDRESS($AJ22,MATCH(R$1,INDIRECT("Table!A" &amp; $AN22):INDIRECT("Table!" &amp; $AR$159 &amp; $AN22),0)))))</f>
        <v>181997.8</v>
      </c>
      <c r="S22" s="35">
        <f ca="1">IF(ISERROR(MATCH(S$1,INDIRECT("Table!A"&amp;$AN22):INDIRECT("Table!" &amp; $AR$159 &amp; $AN22),0)),"",INDIRECT(CONCATENATE("Table!",ADDRESS($AJ22,MATCH(S$1,INDIRECT("Table!A" &amp; $AN22):INDIRECT("Table!" &amp; $AR$159 &amp; $AN22),0)))))</f>
        <v>165452.5</v>
      </c>
      <c r="T22" s="35">
        <f ca="1">IF(ISERROR(MATCH(T$1,INDIRECT("Table!A"&amp;$AN22):INDIRECT("Table!" &amp; $AR$159 &amp; $AN22),0)),"",INDIRECT(CONCATENATE("Table!",ADDRESS($AJ22,MATCH(T$1,INDIRECT("Table!A" &amp; $AN22):INDIRECT("Table!" &amp; $AR$159 &amp; $AN22),0)))))</f>
        <v>110071.9</v>
      </c>
      <c r="U22" s="35">
        <f ca="1">IF(ISERROR(MATCH(U$1,INDIRECT("Table!A"&amp;$AN22):INDIRECT("Table!" &amp; $AR$159 &amp; $AN22),0)),"",INDIRECT(CONCATENATE("Table!",ADDRESS($AJ22,MATCH(U$1,INDIRECT("Table!A" &amp; $AN22):INDIRECT("Table!" &amp; $AR$159 &amp; $AN22),0)))))</f>
        <v>121331.8</v>
      </c>
      <c r="V22" s="35">
        <f ca="1">IF(ISERROR(MATCH(V$1,INDIRECT("Table!A"&amp;$AN22):INDIRECT("Table!" &amp; $AR$159 &amp; $AN22),0)),"",INDIRECT(CONCATENATE("Table!",ADDRESS($AJ22,MATCH(V$1,INDIRECT("Table!A" &amp; $AN22):INDIRECT("Table!" &amp; $AR$159 &amp; $AN22),0)))))</f>
        <v>170967.6</v>
      </c>
      <c r="W22" s="35">
        <f ca="1">IF(ISERROR(MATCH(W$1,INDIRECT("Table!A"&amp;$AN22):INDIRECT("Table!" &amp; $AR$159 &amp; $AN22),0)),"",INDIRECT(CONCATENATE("Table!",ADDRESS($AJ22,MATCH(W$1,INDIRECT("Table!A" &amp; $AN22):INDIRECT("Table!" &amp; $AR$159 &amp; $AN22),0)))))</f>
        <v>132132.20000000001</v>
      </c>
      <c r="X22" s="35">
        <f ca="1">IF(ISERROR(MATCH(X$1,INDIRECT("Table!A"&amp;$AN22):INDIRECT("Table!" &amp; $AR$159 &amp; $AN22),0)),"",INDIRECT(CONCATENATE("Table!",ADDRESS($AJ22,MATCH(X$1,INDIRECT("Table!A" &amp; $AN22):INDIRECT("Table!" &amp; $AR$159 &amp; $AN22),0)))))</f>
        <v>82726.3</v>
      </c>
      <c r="Y22" s="35">
        <f ca="1">IF(ISERROR(MATCH(Y$1,INDIRECT("Table!A"&amp;$AN22):INDIRECT("Table!" &amp; $AR$159 &amp; $AN22),0)),"",INDIRECT(CONCATENATE("Table!",ADDRESS($AJ22,MATCH(Y$1,INDIRECT("Table!A" &amp; $AN22):INDIRECT("Table!" &amp; $AR$159 &amp; $AN22),0)))))</f>
        <v>176482.7</v>
      </c>
      <c r="Z22" s="35">
        <f ca="1">IF(ISERROR(MATCH(Z$1,INDIRECT("Table!A"&amp;$AN22):INDIRECT("Table!" &amp; $AR$159 &amp; $AN22),0)),"",INDIRECT(CONCATENATE("Table!",ADDRESS($AJ22,MATCH(Z$1,INDIRECT("Table!A" &amp; $AN22):INDIRECT("Table!" &amp; $AR$159 &amp; $AN22),0)))))</f>
        <v>54921</v>
      </c>
      <c r="AA22" s="12"/>
      <c r="AB22" s="12">
        <f>MATCH($A22,Table!$A:$A,0)+$AD$2-1</f>
        <v>468</v>
      </c>
      <c r="AF22" s="31">
        <f>MATCH($A22,Table!$A:$A,0)+$AH$2-1</f>
        <v>466</v>
      </c>
      <c r="AJ22" s="12">
        <f>MATCH($A22,Table!$A:$A,0)+$AL$2-1</f>
        <v>467</v>
      </c>
      <c r="AN22" s="31">
        <f>MATCH($A22,Table!$A:$A,0)+$AH$2-1</f>
        <v>466</v>
      </c>
      <c r="AR22" s="253" t="s">
        <v>118</v>
      </c>
    </row>
    <row r="23" spans="1:44">
      <c r="A23" s="5">
        <v>41184</v>
      </c>
      <c r="B23" s="35">
        <f ca="1">IF(ISERROR(MATCH(B$1,INDIRECT("Table!A"&amp;$AF23):INDIRECT("Table!" &amp; $AR$159 &amp; $AF23),0)),"",INDIRECT(CONCATENATE("Table!",ADDRESS($AB23,MATCH(B$1,INDIRECT("Table!A" &amp; $AF23):INDIRECT("Table!" &amp; $AR$159 &amp; $AF23),0)))))</f>
        <v>93147</v>
      </c>
      <c r="C23" s="35">
        <f ca="1">IF(ISERROR(MATCH(C$1,INDIRECT("Table!A"&amp;$AF23):INDIRECT("Table!" &amp; $AR$159 &amp; $AF23),0)),"",INDIRECT(CONCATENATE("Table!",ADDRESS($AB23,MATCH(C$1,INDIRECT("Table!A" &amp; $AF23):INDIRECT("Table!" &amp; $AR$159 &amp; $AF23),0)))))</f>
        <v>70992.399999999994</v>
      </c>
      <c r="D23" s="35">
        <f ca="1">IF(ISERROR(MATCH(D$1,INDIRECT("Table!A"&amp;$AF23):INDIRECT("Table!" &amp; $AR$159 &amp; $AF23),0)),"",INDIRECT(CONCATENATE("Table!",ADDRESS($AB23,MATCH(D$1,INDIRECT("Table!A" &amp; $AF23):INDIRECT("Table!" &amp; $AR$159 &amp; $AF23),0)))))</f>
        <v>72434.2</v>
      </c>
      <c r="E23" s="35">
        <f ca="1">IF(ISERROR(MATCH(E$1,INDIRECT("Table!A"&amp;$AF23):INDIRECT("Table!" &amp; $AR$159 &amp; $AF23),0)),"",INDIRECT(CONCATENATE("Table!",ADDRESS($AB23,MATCH(E$1,INDIRECT("Table!A" &amp; $AF23):INDIRECT("Table!" &amp; $AR$159 &amp; $AF23),0)))))</f>
        <v>161121.79999999999</v>
      </c>
      <c r="F23" s="35">
        <f ca="1">IF(ISERROR(MATCH(F$1,INDIRECT("Table!A"&amp;$AF23):INDIRECT("Table!" &amp; $AR$159 &amp; $AF23),0)),"",INDIRECT(CONCATENATE("Table!",ADDRESS($AB23,MATCH(F$1,INDIRECT("Table!A" &amp; $AF23):INDIRECT("Table!" &amp; $AR$159 &amp; $AF23),0)))))</f>
        <v>49584.3</v>
      </c>
      <c r="G23" s="35">
        <f ca="1">IF(ISERROR(MATCH(G$1,INDIRECT("Table!A"&amp;$AF23):INDIRECT("Table!" &amp; $AR$159 &amp; $AF23),0)),"",INDIRECT(CONCATENATE("Table!",ADDRESS($AB23,MATCH(G$1,INDIRECT("Table!A" &amp; $AF23):INDIRECT("Table!" &amp; $AR$159 &amp; $AF23),0)))))</f>
        <v>27079.7</v>
      </c>
      <c r="H23" s="35">
        <f ca="1">IF(ISERROR(MATCH(H$1,INDIRECT("Table!A"&amp;$AF23):INDIRECT("Table!" &amp; $AR$159 &amp; $AF23),0)),"",INDIRECT(CONCATENATE("Table!",ADDRESS($AB23,MATCH(H$1,INDIRECT("Table!A" &amp; $AF23):INDIRECT("Table!" &amp; $AR$159 &amp; $AF23),0)))))</f>
        <v>46183.4</v>
      </c>
      <c r="I23" s="35">
        <f ca="1">IF(ISERROR(MATCH(I$1,INDIRECT("Table!A"&amp;$AF23):INDIRECT("Table!" &amp; $AR$159 &amp; $AF23),0)),"",INDIRECT(CONCATENATE("Table!",ADDRESS($AB23,MATCH(I$1,INDIRECT("Table!A" &amp; $AF23):INDIRECT("Table!" &amp; $AR$159 &amp; $AF23),0)))))</f>
        <v>143669.5</v>
      </c>
      <c r="J23" s="35">
        <f ca="1">IF(ISERROR(MATCH(J$1,INDIRECT("Table!A"&amp;$AF23):INDIRECT("Table!" &amp; $AR$159 &amp; $AF23),0)),"",INDIRECT(CONCATENATE("Table!",ADDRESS($AB23,MATCH(J$1,INDIRECT("Table!A" &amp; $AF23):INDIRECT("Table!" &amp; $AR$159 &amp; $AF23),0)))))</f>
        <v>38822.400000000001</v>
      </c>
      <c r="K23" s="35">
        <f ca="1">IF(ISERROR(MATCH(K$1,INDIRECT("Table!A"&amp;$AF23):INDIRECT("Table!" &amp; $AR$159 &amp; $AF23),0)),"",INDIRECT(CONCATENATE("Table!",ADDRESS($AB23,MATCH(K$1,INDIRECT("Table!A" &amp; $AF23):INDIRECT("Table!" &amp; $AR$159 &amp; $AF23),0)))))</f>
        <v>27442.9</v>
      </c>
      <c r="L23" s="35">
        <f ca="1">IF(ISERROR(MATCH(L$1,INDIRECT("Table!A"&amp;$AF23):INDIRECT("Table!" &amp; $AR$159 &amp; $AF23),0)),"",INDIRECT(CONCATENATE("Table!",ADDRESS($AB23,MATCH(L$1,INDIRECT("Table!A" &amp; $AF23):INDIRECT("Table!" &amp; $AR$159 &amp; $AF23),0)))))</f>
        <v>95220.3</v>
      </c>
      <c r="M23" s="35">
        <f ca="1">IF(ISERROR(MATCH(M$1,INDIRECT("Table!A"&amp;$AF23):INDIRECT("Table!" &amp; $AR$159 &amp; $AF23),0)),"",INDIRECT(CONCATENATE("Table!",ADDRESS($AB23,MATCH(M$1,INDIRECT("Table!A" &amp; $AF23):INDIRECT("Table!" &amp; $AR$159 &amp; $AF23),0)))))</f>
        <v>23054</v>
      </c>
      <c r="N23" s="35" t="str">
        <f ca="1">IF(ISERROR(MATCH(N$1,INDIRECT("Table!A"&amp;$AF23):INDIRECT("Table!" &amp; $AR$188 &amp; $AF23),0)),"",INDIRECT(CONCATENATE("Table!",ADDRESS($AB23,MATCH(N$1,INDIRECT("Table!A" &amp; $AF23):INDIRECT("Table!" &amp; $AR$188 &amp; $AF23),0)))))</f>
        <v/>
      </c>
      <c r="O23" s="35">
        <f ca="1">IF(ISERROR(MATCH(O$1,INDIRECT("Table!A"&amp;$AN23):INDIRECT("Table!" &amp; $AR$159 &amp; $AN23),0)),"",INDIRECT(CONCATENATE("Table!",ADDRESS($AJ23,MATCH(O$1,INDIRECT("Table!A" &amp; $AN23):INDIRECT("Table!" &amp; $AR$159 &amp; $AN23),0)))))</f>
        <v>143392.20000000001</v>
      </c>
      <c r="P23" s="35">
        <f ca="1">IF(ISERROR(MATCH(P$1,INDIRECT("Table!A"&amp;$AN23):INDIRECT("Table!" &amp; $AR$159 &amp; $AN23),0)),"",INDIRECT(CONCATENATE("Table!",ADDRESS($AJ23,MATCH(P$1,INDIRECT("Table!A" &amp; $AN23):INDIRECT("Table!" &amp; $AR$159 &amp; $AN23),0)))))</f>
        <v>150515.79999999999</v>
      </c>
      <c r="Q23" s="35">
        <f ca="1">IF(ISERROR(MATCH(Q$1,INDIRECT("Table!A"&amp;$AN23):INDIRECT("Table!" &amp; $AR$159 &amp; $AN23),0)),"",INDIRECT(CONCATENATE("Table!",ADDRESS($AJ23,MATCH(Q$1,INDIRECT("Table!A" &amp; $AN23):INDIRECT("Table!" &amp; $AR$159 &amp; $AN23),0)))))</f>
        <v>150515.79999999999</v>
      </c>
      <c r="R23" s="35">
        <f ca="1">IF(ISERROR(MATCH(R$1,INDIRECT("Table!A"&amp;$AN23):INDIRECT("Table!" &amp; $AR$159 &amp; $AN23),0)),"",INDIRECT(CONCATENATE("Table!",ADDRESS($AJ23,MATCH(R$1,INDIRECT("Table!A" &amp; $AN23):INDIRECT("Table!" &amp; $AR$159 &amp; $AN23),0)))))</f>
        <v>181997.8</v>
      </c>
      <c r="S23" s="35">
        <f ca="1">IF(ISERROR(MATCH(S$1,INDIRECT("Table!A"&amp;$AN23):INDIRECT("Table!" &amp; $AR$159 &amp; $AN23),0)),"",INDIRECT(CONCATENATE("Table!",ADDRESS($AJ23,MATCH(S$1,INDIRECT("Table!A" &amp; $AN23):INDIRECT("Table!" &amp; $AR$159 &amp; $AN23),0)))))</f>
        <v>165452.5</v>
      </c>
      <c r="T23" s="35">
        <f ca="1">IF(ISERROR(MATCH(T$1,INDIRECT("Table!A"&amp;$AN23):INDIRECT("Table!" &amp; $AR$159 &amp; $AN23),0)),"",INDIRECT(CONCATENATE("Table!",ADDRESS($AJ23,MATCH(T$1,INDIRECT("Table!A" &amp; $AN23):INDIRECT("Table!" &amp; $AR$159 &amp; $AN23),0)))))</f>
        <v>110071.9</v>
      </c>
      <c r="U23" s="35">
        <f ca="1">IF(ISERROR(MATCH(U$1,INDIRECT("Table!A"&amp;$AN23):INDIRECT("Table!" &amp; $AR$159 &amp; $AN23),0)),"",INDIRECT(CONCATENATE("Table!",ADDRESS($AJ23,MATCH(U$1,INDIRECT("Table!A" &amp; $AN23):INDIRECT("Table!" &amp; $AR$159 &amp; $AN23),0)))))</f>
        <v>121331.8</v>
      </c>
      <c r="V23" s="35">
        <f ca="1">IF(ISERROR(MATCH(V$1,INDIRECT("Table!A"&amp;$AN23):INDIRECT("Table!" &amp; $AR$159 &amp; $AN23),0)),"",INDIRECT(CONCATENATE("Table!",ADDRESS($AJ23,MATCH(V$1,INDIRECT("Table!A" &amp; $AN23):INDIRECT("Table!" &amp; $AR$159 &amp; $AN23),0)))))</f>
        <v>170967.6</v>
      </c>
      <c r="W23" s="35">
        <f ca="1">IF(ISERROR(MATCH(W$1,INDIRECT("Table!A"&amp;$AN23):INDIRECT("Table!" &amp; $AR$159 &amp; $AN23),0)),"",INDIRECT(CONCATENATE("Table!",ADDRESS($AJ23,MATCH(W$1,INDIRECT("Table!A" &amp; $AN23):INDIRECT("Table!" &amp; $AR$159 &amp; $AN23),0)))))</f>
        <v>132132.20000000001</v>
      </c>
      <c r="X23" s="35">
        <f ca="1">IF(ISERROR(MATCH(X$1,INDIRECT("Table!A"&amp;$AN23):INDIRECT("Table!" &amp; $AR$159 &amp; $AN23),0)),"",INDIRECT(CONCATENATE("Table!",ADDRESS($AJ23,MATCH(X$1,INDIRECT("Table!A" &amp; $AN23):INDIRECT("Table!" &amp; $AR$159 &amp; $AN23),0)))))</f>
        <v>82726.3</v>
      </c>
      <c r="Y23" s="35">
        <f ca="1">IF(ISERROR(MATCH(Y$1,INDIRECT("Table!A"&amp;$AN23):INDIRECT("Table!" &amp; $AR$159 &amp; $AN23),0)),"",INDIRECT(CONCATENATE("Table!",ADDRESS($AJ23,MATCH(Y$1,INDIRECT("Table!A" &amp; $AN23):INDIRECT("Table!" &amp; $AR$159 &amp; $AN23),0)))))</f>
        <v>176482.7</v>
      </c>
      <c r="Z23" s="35">
        <f ca="1">IF(ISERROR(MATCH(Z$1,INDIRECT("Table!A"&amp;$AN23):INDIRECT("Table!" &amp; $AR$159 &amp; $AN23),0)),"",INDIRECT(CONCATENATE("Table!",ADDRESS($AJ23,MATCH(Z$1,INDIRECT("Table!A" &amp; $AN23):INDIRECT("Table!" &amp; $AR$159 &amp; $AN23),0)))))</f>
        <v>54921</v>
      </c>
      <c r="AA23" s="12"/>
      <c r="AB23" s="12">
        <f>MATCH($A23,Table!$A:$A,0)+$AD$2-1</f>
        <v>481</v>
      </c>
      <c r="AF23" s="31">
        <f>MATCH($A23,Table!$A:$A,0)+$AH$2-1</f>
        <v>479</v>
      </c>
      <c r="AJ23" s="12">
        <f>MATCH($A23,Table!$A:$A,0)+$AL$2-1</f>
        <v>480</v>
      </c>
      <c r="AN23" s="31">
        <f>MATCH($A23,Table!$A:$A,0)+$AH$2-1</f>
        <v>479</v>
      </c>
      <c r="AR23" s="253" t="s">
        <v>118</v>
      </c>
    </row>
    <row r="24" spans="1:44">
      <c r="A24" s="5">
        <v>41178</v>
      </c>
      <c r="B24" s="35">
        <f ca="1">IF(ISERROR(MATCH(B$1,INDIRECT("Table!A"&amp;$AF24):INDIRECT("Table!" &amp; $AR$159 &amp; $AF24),0)),"",INDIRECT(CONCATENATE("Table!",ADDRESS($AB24,MATCH(B$1,INDIRECT("Table!A" &amp; $AF24):INDIRECT("Table!" &amp; $AR$159 &amp; $AF24),0)))))</f>
        <v>92843.4</v>
      </c>
      <c r="C24" s="35">
        <f ca="1">IF(ISERROR(MATCH(C$1,INDIRECT("Table!A"&amp;$AF24):INDIRECT("Table!" &amp; $AR$159 &amp; $AF24),0)),"",INDIRECT(CONCATENATE("Table!",ADDRESS($AB24,MATCH(C$1,INDIRECT("Table!A" &amp; $AF24):INDIRECT("Table!" &amp; $AR$159 &amp; $AF24),0)))))</f>
        <v>70630.5</v>
      </c>
      <c r="D24" s="35">
        <f ca="1">IF(ISERROR(MATCH(D$1,INDIRECT("Table!A"&amp;$AF24):INDIRECT("Table!" &amp; $AR$159 &amp; $AF24),0)),"",INDIRECT(CONCATENATE("Table!",ADDRESS($AB24,MATCH(D$1,INDIRECT("Table!A" &amp; $AF24):INDIRECT("Table!" &amp; $AR$159 &amp; $AF24),0)))))</f>
        <v>71991.399999999994</v>
      </c>
      <c r="E24" s="35">
        <f ca="1">IF(ISERROR(MATCH(E$1,INDIRECT("Table!A"&amp;$AF24):INDIRECT("Table!" &amp; $AR$159 &amp; $AF24),0)),"",INDIRECT(CONCATENATE("Table!",ADDRESS($AB24,MATCH(E$1,INDIRECT("Table!A" &amp; $AF24):INDIRECT("Table!" &amp; $AR$159 &amp; $AF24),0)))))</f>
        <v>160686.5</v>
      </c>
      <c r="F24" s="35">
        <f ca="1">IF(ISERROR(MATCH(F$1,INDIRECT("Table!A"&amp;$AF24):INDIRECT("Table!" &amp; $AR$159 &amp; $AF24),0)),"",INDIRECT(CONCATENATE("Table!",ADDRESS($AB24,MATCH(F$1,INDIRECT("Table!A" &amp; $AF24):INDIRECT("Table!" &amp; $AR$159 &amp; $AF24),0)))))</f>
        <v>44824.7</v>
      </c>
      <c r="G24" s="35">
        <f ca="1">IF(ISERROR(MATCH(G$1,INDIRECT("Table!A"&amp;$AF24):INDIRECT("Table!" &amp; $AR$159 &amp; $AF24),0)),"",INDIRECT(CONCATENATE("Table!",ADDRESS($AB24,MATCH(G$1,INDIRECT("Table!A" &amp; $AF24):INDIRECT("Table!" &amp; $AR$159 &amp; $AF24),0)))))</f>
        <v>25924.3</v>
      </c>
      <c r="H24" s="35">
        <f ca="1">IF(ISERROR(MATCH(H$1,INDIRECT("Table!A"&amp;$AF24):INDIRECT("Table!" &amp; $AR$159 &amp; $AF24),0)),"",INDIRECT(CONCATENATE("Table!",ADDRESS($AB24,MATCH(H$1,INDIRECT("Table!A" &amp; $AF24):INDIRECT("Table!" &amp; $AR$159 &amp; $AF24),0)))))</f>
        <v>46139.4</v>
      </c>
      <c r="I24" s="35">
        <f ca="1">IF(ISERROR(MATCH(I$1,INDIRECT("Table!A"&amp;$AF24):INDIRECT("Table!" &amp; $AR$159 &amp; $AF24),0)),"",INDIRECT(CONCATENATE("Table!",ADDRESS($AB24,MATCH(I$1,INDIRECT("Table!A" &amp; $AF24):INDIRECT("Table!" &amp; $AR$159 &amp; $AF24),0)))))</f>
        <v>143317.79999999999</v>
      </c>
      <c r="J24" s="35">
        <f ca="1">IF(ISERROR(MATCH(J$1,INDIRECT("Table!A"&amp;$AF24):INDIRECT("Table!" &amp; $AR$159 &amp; $AF24),0)),"",INDIRECT(CONCATENATE("Table!",ADDRESS($AB24,MATCH(J$1,INDIRECT("Table!A" &amp; $AF24):INDIRECT("Table!" &amp; $AR$159 &amp; $AF24),0)))))</f>
        <v>39209.300000000003</v>
      </c>
      <c r="K24" s="35">
        <f ca="1">IF(ISERROR(MATCH(K$1,INDIRECT("Table!A"&amp;$AF24):INDIRECT("Table!" &amp; $AR$159 &amp; $AF24),0)),"",INDIRECT(CONCATENATE("Table!",ADDRESS($AB24,MATCH(K$1,INDIRECT("Table!A" &amp; $AF24):INDIRECT("Table!" &amp; $AR$159 &amp; $AF24),0)))))</f>
        <v>26255</v>
      </c>
      <c r="L24" s="35">
        <f ca="1">IF(ISERROR(MATCH(L$1,INDIRECT("Table!A"&amp;$AF24):INDIRECT("Table!" &amp; $AR$159 &amp; $AF24),0)),"",INDIRECT(CONCATENATE("Table!",ADDRESS($AB24,MATCH(L$1,INDIRECT("Table!A" &amp; $AF24):INDIRECT("Table!" &amp; $AR$159 &amp; $AF24),0)))))</f>
        <v>95131.199999999997</v>
      </c>
      <c r="M24" s="35">
        <f ca="1">IF(ISERROR(MATCH(M$1,INDIRECT("Table!A"&amp;$AF24):INDIRECT("Table!" &amp; $AR$159 &amp; $AF24),0)),"",INDIRECT(CONCATENATE("Table!",ADDRESS($AB24,MATCH(M$1,INDIRECT("Table!A" &amp; $AF24):INDIRECT("Table!" &amp; $AR$159 &amp; $AF24),0)))))</f>
        <v>23053.4</v>
      </c>
      <c r="N24" s="35" t="str">
        <f ca="1">IF(ISERROR(MATCH(N$1,INDIRECT("Table!A"&amp;$AF24):INDIRECT("Table!" &amp; $AR$188 &amp; $AF24),0)),"",INDIRECT(CONCATENATE("Table!",ADDRESS($AB24,MATCH(N$1,INDIRECT("Table!A" &amp; $AF24):INDIRECT("Table!" &amp; $AR$188 &amp; $AF24),0)))))</f>
        <v/>
      </c>
      <c r="O24" s="35">
        <f ca="1">IF(ISERROR(MATCH(O$1,INDIRECT("Table!A"&amp;$AN24):INDIRECT("Table!" &amp; $AR$159 &amp; $AN24),0)),"",INDIRECT(CONCATENATE("Table!",ADDRESS($AJ24,MATCH(O$1,INDIRECT("Table!A" &amp; $AN24):INDIRECT("Table!" &amp; $AR$159 &amp; $AN24),0)))))</f>
        <v>143392.20000000001</v>
      </c>
      <c r="P24" s="35">
        <f ca="1">IF(ISERROR(MATCH(P$1,INDIRECT("Table!A"&amp;$AN24):INDIRECT("Table!" &amp; $AR$159 &amp; $AN24),0)),"",INDIRECT(CONCATENATE("Table!",ADDRESS($AJ24,MATCH(P$1,INDIRECT("Table!A" &amp; $AN24):INDIRECT("Table!" &amp; $AR$159 &amp; $AN24),0)))))</f>
        <v>150515.79999999999</v>
      </c>
      <c r="Q24" s="35">
        <f ca="1">IF(ISERROR(MATCH(Q$1,INDIRECT("Table!A"&amp;$AN24):INDIRECT("Table!" &amp; $AR$159 &amp; $AN24),0)),"",INDIRECT(CONCATENATE("Table!",ADDRESS($AJ24,MATCH(Q$1,INDIRECT("Table!A" &amp; $AN24):INDIRECT("Table!" &amp; $AR$159 &amp; $AN24),0)))))</f>
        <v>150515.79999999999</v>
      </c>
      <c r="R24" s="35">
        <f ca="1">IF(ISERROR(MATCH(R$1,INDIRECT("Table!A"&amp;$AN24):INDIRECT("Table!" &amp; $AR$159 &amp; $AN24),0)),"",INDIRECT(CONCATENATE("Table!",ADDRESS($AJ24,MATCH(R$1,INDIRECT("Table!A" &amp; $AN24):INDIRECT("Table!" &amp; $AR$159 &amp; $AN24),0)))))</f>
        <v>181997.8</v>
      </c>
      <c r="S24" s="35">
        <f ca="1">IF(ISERROR(MATCH(S$1,INDIRECT("Table!A"&amp;$AN24):INDIRECT("Table!" &amp; $AR$159 &amp; $AN24),0)),"",INDIRECT(CONCATENATE("Table!",ADDRESS($AJ24,MATCH(S$1,INDIRECT("Table!A" &amp; $AN24):INDIRECT("Table!" &amp; $AR$159 &amp; $AN24),0)))))</f>
        <v>165452.5</v>
      </c>
      <c r="T24" s="35">
        <f ca="1">IF(ISERROR(MATCH(T$1,INDIRECT("Table!A"&amp;$AN24):INDIRECT("Table!" &amp; $AR$159 &amp; $AN24),0)),"",INDIRECT(CONCATENATE("Table!",ADDRESS($AJ24,MATCH(T$1,INDIRECT("Table!A" &amp; $AN24):INDIRECT("Table!" &amp; $AR$159 &amp; $AN24),0)))))</f>
        <v>110071.9</v>
      </c>
      <c r="U24" s="35">
        <f ca="1">IF(ISERROR(MATCH(U$1,INDIRECT("Table!A"&amp;$AN24):INDIRECT("Table!" &amp; $AR$159 &amp; $AN24),0)),"",INDIRECT(CONCATENATE("Table!",ADDRESS($AJ24,MATCH(U$1,INDIRECT("Table!A" &amp; $AN24):INDIRECT("Table!" &amp; $AR$159 &amp; $AN24),0)))))</f>
        <v>121331.8</v>
      </c>
      <c r="V24" s="35">
        <f ca="1">IF(ISERROR(MATCH(V$1,INDIRECT("Table!A"&amp;$AN24):INDIRECT("Table!" &amp; $AR$159 &amp; $AN24),0)),"",INDIRECT(CONCATENATE("Table!",ADDRESS($AJ24,MATCH(V$1,INDIRECT("Table!A" &amp; $AN24):INDIRECT("Table!" &amp; $AR$159 &amp; $AN24),0)))))</f>
        <v>170967.6</v>
      </c>
      <c r="W24" s="35">
        <f ca="1">IF(ISERROR(MATCH(W$1,INDIRECT("Table!A"&amp;$AN24):INDIRECT("Table!" &amp; $AR$159 &amp; $AN24),0)),"",INDIRECT(CONCATENATE("Table!",ADDRESS($AJ24,MATCH(W$1,INDIRECT("Table!A" &amp; $AN24):INDIRECT("Table!" &amp; $AR$159 &amp; $AN24),0)))))</f>
        <v>132132.20000000001</v>
      </c>
      <c r="X24" s="35">
        <f ca="1">IF(ISERROR(MATCH(X$1,INDIRECT("Table!A"&amp;$AN24):INDIRECT("Table!" &amp; $AR$159 &amp; $AN24),0)),"",INDIRECT(CONCATENATE("Table!",ADDRESS($AJ24,MATCH(X$1,INDIRECT("Table!A" &amp; $AN24):INDIRECT("Table!" &amp; $AR$159 &amp; $AN24),0)))))</f>
        <v>82726.3</v>
      </c>
      <c r="Y24" s="35">
        <f ca="1">IF(ISERROR(MATCH(Y$1,INDIRECT("Table!A"&amp;$AN24):INDIRECT("Table!" &amp; $AR$159 &amp; $AN24),0)),"",INDIRECT(CONCATENATE("Table!",ADDRESS($AJ24,MATCH(Y$1,INDIRECT("Table!A" &amp; $AN24):INDIRECT("Table!" &amp; $AR$159 &amp; $AN24),0)))))</f>
        <v>176482.7</v>
      </c>
      <c r="Z24" s="35">
        <f ca="1">IF(ISERROR(MATCH(Z$1,INDIRECT("Table!A"&amp;$AN24):INDIRECT("Table!" &amp; $AR$159 &amp; $AN24),0)),"",INDIRECT(CONCATENATE("Table!",ADDRESS($AJ24,MATCH(Z$1,INDIRECT("Table!A" &amp; $AN24):INDIRECT("Table!" &amp; $AR$159 &amp; $AN24),0)))))</f>
        <v>54921</v>
      </c>
      <c r="AA24" s="12"/>
      <c r="AB24" s="12">
        <f>MATCH($A24,Table!$A:$A,0)+$AD$2-1</f>
        <v>494</v>
      </c>
      <c r="AF24" s="31">
        <f>MATCH($A24,Table!$A:$A,0)+$AH$2-1</f>
        <v>492</v>
      </c>
      <c r="AJ24" s="12">
        <f>MATCH($A24,Table!$A:$A,0)+$AL$2-1</f>
        <v>493</v>
      </c>
      <c r="AN24" s="31">
        <f>MATCH($A24,Table!$A:$A,0)+$AH$2-1</f>
        <v>492</v>
      </c>
      <c r="AR24" s="251" t="s">
        <v>118</v>
      </c>
    </row>
    <row r="25" spans="1:44">
      <c r="A25" s="5">
        <v>41176</v>
      </c>
      <c r="B25" s="35">
        <f ca="1">IF(ISERROR(MATCH(B$1,INDIRECT("Table!A"&amp;$AF25):INDIRECT("Table!" &amp; $AR$159 &amp; $AF25),0)),"",INDIRECT(CONCATENATE("Table!",ADDRESS($AB25,MATCH(B$1,INDIRECT("Table!A" &amp; $AF25):INDIRECT("Table!" &amp; $AR$159 &amp; $AF25),0)))))</f>
        <v>92649.5</v>
      </c>
      <c r="C25" s="35">
        <f ca="1">IF(ISERROR(MATCH(C$1,INDIRECT("Table!A"&amp;$AF25):INDIRECT("Table!" &amp; $AR$159 &amp; $AF25),0)),"",INDIRECT(CONCATENATE("Table!",ADDRESS($AB25,MATCH(C$1,INDIRECT("Table!A" &amp; $AF25):INDIRECT("Table!" &amp; $AR$159 &amp; $AF25),0)))))</f>
        <v>70574.5</v>
      </c>
      <c r="D25" s="35">
        <f ca="1">IF(ISERROR(MATCH(D$1,INDIRECT("Table!A"&amp;$AF25):INDIRECT("Table!" &amp; $AR$159 &amp; $AF25),0)),"",INDIRECT(CONCATENATE("Table!",ADDRESS($AB25,MATCH(D$1,INDIRECT("Table!A" &amp; $AF25):INDIRECT("Table!" &amp; $AR$159 &amp; $AF25),0)))))</f>
        <v>71887.199999999997</v>
      </c>
      <c r="E25" s="35">
        <f ca="1">IF(ISERROR(MATCH(E$1,INDIRECT("Table!A"&amp;$AF25):INDIRECT("Table!" &amp; $AR$159 &amp; $AF25),0)),"",INDIRECT(CONCATENATE("Table!",ADDRESS($AB25,MATCH(E$1,INDIRECT("Table!A" &amp; $AF25):INDIRECT("Table!" &amp; $AR$159 &amp; $AF25),0)))))</f>
        <v>160599.4</v>
      </c>
      <c r="F25" s="35">
        <f ca="1">IF(ISERROR(MATCH(F$1,INDIRECT("Table!A"&amp;$AF25):INDIRECT("Table!" &amp; $AR$159 &amp; $AF25),0)),"",INDIRECT(CONCATENATE("Table!",ADDRESS($AB25,MATCH(F$1,INDIRECT("Table!A" &amp; $AF25):INDIRECT("Table!" &amp; $AR$159 &amp; $AF25),0)))))</f>
        <v>44579.5</v>
      </c>
      <c r="G25" s="35">
        <f ca="1">IF(ISERROR(MATCH(G$1,INDIRECT("Table!A"&amp;$AF25):INDIRECT("Table!" &amp; $AR$159 &amp; $AF25),0)),"",INDIRECT(CONCATENATE("Table!",ADDRESS($AB25,MATCH(G$1,INDIRECT("Table!A" &amp; $AF25):INDIRECT("Table!" &amp; $AR$159 &amp; $AF25),0)))))</f>
        <v>26326.3</v>
      </c>
      <c r="H25" s="35">
        <f ca="1">IF(ISERROR(MATCH(H$1,INDIRECT("Table!A"&amp;$AF25):INDIRECT("Table!" &amp; $AR$159 &amp; $AF25),0)),"",INDIRECT(CONCATENATE("Table!",ADDRESS($AB25,MATCH(H$1,INDIRECT("Table!A" &amp; $AF25):INDIRECT("Table!" &amp; $AR$159 &amp; $AF25),0)))))</f>
        <v>46081.599999999999</v>
      </c>
      <c r="I25" s="35">
        <f ca="1">IF(ISERROR(MATCH(I$1,INDIRECT("Table!A"&amp;$AF25):INDIRECT("Table!" &amp; $AR$159 &amp; $AF25),0)),"",INDIRECT(CONCATENATE("Table!",ADDRESS($AB25,MATCH(I$1,INDIRECT("Table!A" &amp; $AF25):INDIRECT("Table!" &amp; $AR$159 &amp; $AF25),0)))))</f>
        <v>143130.29999999999</v>
      </c>
      <c r="J25" s="35">
        <f ca="1">IF(ISERROR(MATCH(J$1,INDIRECT("Table!A"&amp;$AF25):INDIRECT("Table!" &amp; $AR$159 &amp; $AF25),0)),"",INDIRECT(CONCATENATE("Table!",ADDRESS($AB25,MATCH(J$1,INDIRECT("Table!A" &amp; $AF25):INDIRECT("Table!" &amp; $AR$159 &amp; $AF25),0)))))</f>
        <v>39189.1</v>
      </c>
      <c r="K25" s="35">
        <f ca="1">IF(ISERROR(MATCH(K$1,INDIRECT("Table!A"&amp;$AF25):INDIRECT("Table!" &amp; $AR$159 &amp; $AF25),0)),"",INDIRECT(CONCATENATE("Table!",ADDRESS($AB25,MATCH(K$1,INDIRECT("Table!A" &amp; $AF25):INDIRECT("Table!" &amp; $AR$159 &amp; $AF25),0)))))</f>
        <v>25616.6</v>
      </c>
      <c r="L25" s="35">
        <f ca="1">IF(ISERROR(MATCH(L$1,INDIRECT("Table!A"&amp;$AF25):INDIRECT("Table!" &amp; $AR$159 &amp; $AF25),0)),"",INDIRECT(CONCATENATE("Table!",ADDRESS($AB25,MATCH(L$1,INDIRECT("Table!A" &amp; $AF25):INDIRECT("Table!" &amp; $AR$159 &amp; $AF25),0)))))</f>
        <v>95048.1</v>
      </c>
      <c r="M25" s="35">
        <f ca="1">IF(ISERROR(MATCH(M$1,INDIRECT("Table!A"&amp;$AF25):INDIRECT("Table!" &amp; $AR$159 &amp; $AF25),0)),"",INDIRECT(CONCATENATE("Table!",ADDRESS($AB25,MATCH(M$1,INDIRECT("Table!A" &amp; $AF25):INDIRECT("Table!" &amp; $AR$159 &amp; $AF25),0)))))</f>
        <v>23053.3</v>
      </c>
      <c r="N25" s="35" t="str">
        <f ca="1">IF(ISERROR(MATCH(N$1,INDIRECT("Table!A"&amp;$AF25):INDIRECT("Table!" &amp; $AR$188 &amp; $AF25),0)),"",INDIRECT(CONCATENATE("Table!",ADDRESS($AB25,MATCH(N$1,INDIRECT("Table!A" &amp; $AF25):INDIRECT("Table!" &amp; $AR$188 &amp; $AF25),0)))))</f>
        <v/>
      </c>
      <c r="O25" s="35">
        <f ca="1">IF(ISERROR(MATCH(O$1,INDIRECT("Table!A"&amp;$AN25):INDIRECT("Table!" &amp; $AR$159 &amp; $AN25),0)),"",INDIRECT(CONCATENATE("Table!",ADDRESS($AJ25,MATCH(O$1,INDIRECT("Table!A" &amp; $AN25):INDIRECT("Table!" &amp; $AR$159 &amp; $AN25),0)))))</f>
        <v>143392.20000000001</v>
      </c>
      <c r="P25" s="35">
        <f ca="1">IF(ISERROR(MATCH(P$1,INDIRECT("Table!A"&amp;$AN25):INDIRECT("Table!" &amp; $AR$159 &amp; $AN25),0)),"",INDIRECT(CONCATENATE("Table!",ADDRESS($AJ25,MATCH(P$1,INDIRECT("Table!A" &amp; $AN25):INDIRECT("Table!" &amp; $AR$159 &amp; $AN25),0)))))</f>
        <v>150515.79999999999</v>
      </c>
      <c r="Q25" s="35">
        <f ca="1">IF(ISERROR(MATCH(Q$1,INDIRECT("Table!A"&amp;$AN25):INDIRECT("Table!" &amp; $AR$159 &amp; $AN25),0)),"",INDIRECT(CONCATENATE("Table!",ADDRESS($AJ25,MATCH(Q$1,INDIRECT("Table!A" &amp; $AN25):INDIRECT("Table!" &amp; $AR$159 &amp; $AN25),0)))))</f>
        <v>150515.79999999999</v>
      </c>
      <c r="R25" s="35">
        <f ca="1">IF(ISERROR(MATCH(R$1,INDIRECT("Table!A"&amp;$AN25):INDIRECT("Table!" &amp; $AR$159 &amp; $AN25),0)),"",INDIRECT(CONCATENATE("Table!",ADDRESS($AJ25,MATCH(R$1,INDIRECT("Table!A" &amp; $AN25):INDIRECT("Table!" &amp; $AR$159 &amp; $AN25),0)))))</f>
        <v>181997.8</v>
      </c>
      <c r="S25" s="35">
        <f ca="1">IF(ISERROR(MATCH(S$1,INDIRECT("Table!A"&amp;$AN25):INDIRECT("Table!" &amp; $AR$159 &amp; $AN25),0)),"",INDIRECT(CONCATENATE("Table!",ADDRESS($AJ25,MATCH(S$1,INDIRECT("Table!A" &amp; $AN25):INDIRECT("Table!" &amp; $AR$159 &amp; $AN25),0)))))</f>
        <v>165452.5</v>
      </c>
      <c r="T25" s="35">
        <f ca="1">IF(ISERROR(MATCH(T$1,INDIRECT("Table!A"&amp;$AN25):INDIRECT("Table!" &amp; $AR$159 &amp; $AN25),0)),"",INDIRECT(CONCATENATE("Table!",ADDRESS($AJ25,MATCH(T$1,INDIRECT("Table!A" &amp; $AN25):INDIRECT("Table!" &amp; $AR$159 &amp; $AN25),0)))))</f>
        <v>110071.9</v>
      </c>
      <c r="U25" s="35">
        <f ca="1">IF(ISERROR(MATCH(U$1,INDIRECT("Table!A"&amp;$AN25):INDIRECT("Table!" &amp; $AR$159 &amp; $AN25),0)),"",INDIRECT(CONCATENATE("Table!",ADDRESS($AJ25,MATCH(U$1,INDIRECT("Table!A" &amp; $AN25):INDIRECT("Table!" &amp; $AR$159 &amp; $AN25),0)))))</f>
        <v>121331.8</v>
      </c>
      <c r="V25" s="35">
        <f ca="1">IF(ISERROR(MATCH(V$1,INDIRECT("Table!A"&amp;$AN25):INDIRECT("Table!" &amp; $AR$159 &amp; $AN25),0)),"",INDIRECT(CONCATENATE("Table!",ADDRESS($AJ25,MATCH(V$1,INDIRECT("Table!A" &amp; $AN25):INDIRECT("Table!" &amp; $AR$159 &amp; $AN25),0)))))</f>
        <v>170967.6</v>
      </c>
      <c r="W25" s="35">
        <f ca="1">IF(ISERROR(MATCH(W$1,INDIRECT("Table!A"&amp;$AN25):INDIRECT("Table!" &amp; $AR$159 &amp; $AN25),0)),"",INDIRECT(CONCATENATE("Table!",ADDRESS($AJ25,MATCH(W$1,INDIRECT("Table!A" &amp; $AN25):INDIRECT("Table!" &amp; $AR$159 &amp; $AN25),0)))))</f>
        <v>132132.20000000001</v>
      </c>
      <c r="X25" s="35">
        <f ca="1">IF(ISERROR(MATCH(X$1,INDIRECT("Table!A"&amp;$AN25):INDIRECT("Table!" &amp; $AR$159 &amp; $AN25),0)),"",INDIRECT(CONCATENATE("Table!",ADDRESS($AJ25,MATCH(X$1,INDIRECT("Table!A" &amp; $AN25):INDIRECT("Table!" &amp; $AR$159 &amp; $AN25),0)))))</f>
        <v>82726.3</v>
      </c>
      <c r="Y25" s="35">
        <f ca="1">IF(ISERROR(MATCH(Y$1,INDIRECT("Table!A"&amp;$AN25):INDIRECT("Table!" &amp; $AR$159 &amp; $AN25),0)),"",INDIRECT(CONCATENATE("Table!",ADDRESS($AJ25,MATCH(Y$1,INDIRECT("Table!A" &amp; $AN25):INDIRECT("Table!" &amp; $AR$159 &amp; $AN25),0)))))</f>
        <v>176482.7</v>
      </c>
      <c r="Z25" s="35">
        <f ca="1">IF(ISERROR(MATCH(Z$1,INDIRECT("Table!A"&amp;$AN25):INDIRECT("Table!" &amp; $AR$159 &amp; $AN25),0)),"",INDIRECT(CONCATENATE("Table!",ADDRESS($AJ25,MATCH(Z$1,INDIRECT("Table!A" &amp; $AN25):INDIRECT("Table!" &amp; $AR$159 &amp; $AN25),0)))))</f>
        <v>54921</v>
      </c>
      <c r="AA25" s="12"/>
      <c r="AB25" s="12">
        <f>MATCH($A25,Table!$A:$A,0)+$AD$2-1</f>
        <v>507</v>
      </c>
      <c r="AF25" s="31">
        <f>MATCH($A25,Table!$A:$A,0)+$AH$2-1</f>
        <v>505</v>
      </c>
      <c r="AJ25" s="12">
        <f>MATCH($A25,Table!$A:$A,0)+$AL$2-1</f>
        <v>506</v>
      </c>
      <c r="AN25" s="31">
        <f>MATCH($A25,Table!$A:$A,0)+$AH$2-1</f>
        <v>505</v>
      </c>
      <c r="AR25" s="250" t="s">
        <v>118</v>
      </c>
    </row>
    <row r="26" spans="1:44">
      <c r="A26" s="5">
        <v>41172</v>
      </c>
      <c r="B26" s="35">
        <f ca="1">IF(ISERROR(MATCH(B$1,INDIRECT("Table!A"&amp;$AF26):INDIRECT("Table!" &amp; $AR$159 &amp; $AF26),0)),"",INDIRECT(CONCATENATE("Table!",ADDRESS($AB26,MATCH(B$1,INDIRECT("Table!A" &amp; $AF26):INDIRECT("Table!" &amp; $AR$159 &amp; $AF26),0)))))</f>
        <v>91125.7</v>
      </c>
      <c r="C26" s="35">
        <f ca="1">IF(ISERROR(MATCH(C$1,INDIRECT("Table!A"&amp;$AF26):INDIRECT("Table!" &amp; $AR$159 &amp; $AF26),0)),"",INDIRECT(CONCATENATE("Table!",ADDRESS($AB26,MATCH(C$1,INDIRECT("Table!A" &amp; $AF26):INDIRECT("Table!" &amp; $AR$159 &amp; $AF26),0)))))</f>
        <v>70303.199999999997</v>
      </c>
      <c r="D26" s="35">
        <f ca="1">IF(ISERROR(MATCH(D$1,INDIRECT("Table!A"&amp;$AF26):INDIRECT("Table!" &amp; $AR$159 &amp; $AF26),0)),"",INDIRECT(CONCATENATE("Table!",ADDRESS($AB26,MATCH(D$1,INDIRECT("Table!A" &amp; $AF26):INDIRECT("Table!" &amp; $AR$159 &amp; $AF26),0)))))</f>
        <v>71648.3</v>
      </c>
      <c r="E26" s="35">
        <f ca="1">IF(ISERROR(MATCH(E$1,INDIRECT("Table!A"&amp;$AF26):INDIRECT("Table!" &amp; $AR$159 &amp; $AF26),0)),"",INDIRECT(CONCATENATE("Table!",ADDRESS($AB26,MATCH(E$1,INDIRECT("Table!A" &amp; $AF26):INDIRECT("Table!" &amp; $AR$159 &amp; $AF26),0)))))</f>
        <v>160188.9</v>
      </c>
      <c r="F26" s="35">
        <f ca="1">IF(ISERROR(MATCH(F$1,INDIRECT("Table!A"&amp;$AF26):INDIRECT("Table!" &amp; $AR$159 &amp; $AF26),0)),"",INDIRECT(CONCATENATE("Table!",ADDRESS($AB26,MATCH(F$1,INDIRECT("Table!A" &amp; $AF26):INDIRECT("Table!" &amp; $AR$159 &amp; $AF26),0)))))</f>
        <v>42091.6</v>
      </c>
      <c r="G26" s="35">
        <f ca="1">IF(ISERROR(MATCH(G$1,INDIRECT("Table!A"&amp;$AF26):INDIRECT("Table!" &amp; $AR$159 &amp; $AF26),0)),"",INDIRECT(CONCATENATE("Table!",ADDRESS($AB26,MATCH(G$1,INDIRECT("Table!A" &amp; $AF26):INDIRECT("Table!" &amp; $AR$159 &amp; $AF26),0)))))</f>
        <v>27058.6</v>
      </c>
      <c r="H26" s="35">
        <f ca="1">IF(ISERROR(MATCH(H$1,INDIRECT("Table!A"&amp;$AF26):INDIRECT("Table!" &amp; $AR$159 &amp; $AF26),0)),"",INDIRECT(CONCATENATE("Table!",ADDRESS($AB26,MATCH(H$1,INDIRECT("Table!A" &amp; $AF26):INDIRECT("Table!" &amp; $AR$159 &amp; $AF26),0)))))</f>
        <v>45982.1</v>
      </c>
      <c r="I26" s="35">
        <f ca="1">IF(ISERROR(MATCH(I$1,INDIRECT("Table!A"&amp;$AF26):INDIRECT("Table!" &amp; $AR$159 &amp; $AF26),0)),"",INDIRECT(CONCATENATE("Table!",ADDRESS($AB26,MATCH(I$1,INDIRECT("Table!A" &amp; $AF26):INDIRECT("Table!" &amp; $AR$159 &amp; $AF26),0)))))</f>
        <v>142649.79999999999</v>
      </c>
      <c r="J26" s="35">
        <f ca="1">IF(ISERROR(MATCH(J$1,INDIRECT("Table!A"&amp;$AF26):INDIRECT("Table!" &amp; $AR$159 &amp; $AF26),0)),"",INDIRECT(CONCATENATE("Table!",ADDRESS($AB26,MATCH(J$1,INDIRECT("Table!A" &amp; $AF26):INDIRECT("Table!" &amp; $AR$159 &amp; $AF26),0)))))</f>
        <v>40208.6</v>
      </c>
      <c r="K26" s="35">
        <f ca="1">IF(ISERROR(MATCH(K$1,INDIRECT("Table!A"&amp;$AF26):INDIRECT("Table!" &amp; $AR$159 &amp; $AF26),0)),"",INDIRECT(CONCATENATE("Table!",ADDRESS($AB26,MATCH(K$1,INDIRECT("Table!A" &amp; $AF26):INDIRECT("Table!" &amp; $AR$159 &amp; $AF26),0)))))</f>
        <v>24364.1</v>
      </c>
      <c r="L26" s="35">
        <f ca="1">IF(ISERROR(MATCH(L$1,INDIRECT("Table!A"&amp;$AF26):INDIRECT("Table!" &amp; $AR$159 &amp; $AF26),0)),"",INDIRECT(CONCATENATE("Table!",ADDRESS($AB26,MATCH(L$1,INDIRECT("Table!A" &amp; $AF26):INDIRECT("Table!" &amp; $AR$159 &amp; $AF26),0)))))</f>
        <v>94835.6</v>
      </c>
      <c r="M26" s="35">
        <f ca="1">IF(ISERROR(MATCH(M$1,INDIRECT("Table!A"&amp;$AF26):INDIRECT("Table!" &amp; $AR$159 &amp; $AF26),0)),"",INDIRECT(CONCATENATE("Table!",ADDRESS($AB26,MATCH(M$1,INDIRECT("Table!A" &amp; $AF26):INDIRECT("Table!" &amp; $AR$159 &amp; $AF26),0)))))</f>
        <v>23053.3</v>
      </c>
      <c r="N26" s="35" t="str">
        <f ca="1">IF(ISERROR(MATCH(N$1,INDIRECT("Table!A"&amp;$AF26):INDIRECT("Table!" &amp; $AR$188 &amp; $AF26),0)),"",INDIRECT(CONCATENATE("Table!",ADDRESS($AB26,MATCH(N$1,INDIRECT("Table!A" &amp; $AF26):INDIRECT("Table!" &amp; $AR$188 &amp; $AF26),0)))))</f>
        <v/>
      </c>
      <c r="O26" s="35">
        <f ca="1">IF(ISERROR(MATCH(O$1,INDIRECT("Table!A"&amp;$AN26):INDIRECT("Table!" &amp; $AR$159 &amp; $AN26),0)),"",INDIRECT(CONCATENATE("Table!",ADDRESS($AJ26,MATCH(O$1,INDIRECT("Table!A" &amp; $AN26):INDIRECT("Table!" &amp; $AR$159 &amp; $AN26),0)))))</f>
        <v>143392.20000000001</v>
      </c>
      <c r="P26" s="35">
        <f ca="1">IF(ISERROR(MATCH(P$1,INDIRECT("Table!A"&amp;$AN26):INDIRECT("Table!" &amp; $AR$159 &amp; $AN26),0)),"",INDIRECT(CONCATENATE("Table!",ADDRESS($AJ26,MATCH(P$1,INDIRECT("Table!A" &amp; $AN26):INDIRECT("Table!" &amp; $AR$159 &amp; $AN26),0)))))</f>
        <v>150515.79999999999</v>
      </c>
      <c r="Q26" s="35">
        <f ca="1">IF(ISERROR(MATCH(Q$1,INDIRECT("Table!A"&amp;$AN26):INDIRECT("Table!" &amp; $AR$159 &amp; $AN26),0)),"",INDIRECT(CONCATENATE("Table!",ADDRESS($AJ26,MATCH(Q$1,INDIRECT("Table!A" &amp; $AN26):INDIRECT("Table!" &amp; $AR$159 &amp; $AN26),0)))))</f>
        <v>150515.79999999999</v>
      </c>
      <c r="R26" s="35">
        <f ca="1">IF(ISERROR(MATCH(R$1,INDIRECT("Table!A"&amp;$AN26):INDIRECT("Table!" &amp; $AR$159 &amp; $AN26),0)),"",INDIRECT(CONCATENATE("Table!",ADDRESS($AJ26,MATCH(R$1,INDIRECT("Table!A" &amp; $AN26):INDIRECT("Table!" &amp; $AR$159 &amp; $AN26),0)))))</f>
        <v>181997.8</v>
      </c>
      <c r="S26" s="35">
        <f ca="1">IF(ISERROR(MATCH(S$1,INDIRECT("Table!A"&amp;$AN26):INDIRECT("Table!" &amp; $AR$159 &amp; $AN26),0)),"",INDIRECT(CONCATENATE("Table!",ADDRESS($AJ26,MATCH(S$1,INDIRECT("Table!A" &amp; $AN26):INDIRECT("Table!" &amp; $AR$159 &amp; $AN26),0)))))</f>
        <v>165452.5</v>
      </c>
      <c r="T26" s="35">
        <f ca="1">IF(ISERROR(MATCH(T$1,INDIRECT("Table!A"&amp;$AN26):INDIRECT("Table!" &amp; $AR$159 &amp; $AN26),0)),"",INDIRECT(CONCATENATE("Table!",ADDRESS($AJ26,MATCH(T$1,INDIRECT("Table!A" &amp; $AN26):INDIRECT("Table!" &amp; $AR$159 &amp; $AN26),0)))))</f>
        <v>110071.9</v>
      </c>
      <c r="U26" s="35">
        <f ca="1">IF(ISERROR(MATCH(U$1,INDIRECT("Table!A"&amp;$AN26):INDIRECT("Table!" &amp; $AR$159 &amp; $AN26),0)),"",INDIRECT(CONCATENATE("Table!",ADDRESS($AJ26,MATCH(U$1,INDIRECT("Table!A" &amp; $AN26):INDIRECT("Table!" &amp; $AR$159 &amp; $AN26),0)))))</f>
        <v>121331.8</v>
      </c>
      <c r="V26" s="35">
        <f ca="1">IF(ISERROR(MATCH(V$1,INDIRECT("Table!A"&amp;$AN26):INDIRECT("Table!" &amp; $AR$159 &amp; $AN26),0)),"",INDIRECT(CONCATENATE("Table!",ADDRESS($AJ26,MATCH(V$1,INDIRECT("Table!A" &amp; $AN26):INDIRECT("Table!" &amp; $AR$159 &amp; $AN26),0)))))</f>
        <v>170967.6</v>
      </c>
      <c r="W26" s="35">
        <f ca="1">IF(ISERROR(MATCH(W$1,INDIRECT("Table!A"&amp;$AN26):INDIRECT("Table!" &amp; $AR$159 &amp; $AN26),0)),"",INDIRECT(CONCATENATE("Table!",ADDRESS($AJ26,MATCH(W$1,INDIRECT("Table!A" &amp; $AN26):INDIRECT("Table!" &amp; $AR$159 &amp; $AN26),0)))))</f>
        <v>132132.20000000001</v>
      </c>
      <c r="X26" s="35">
        <f ca="1">IF(ISERROR(MATCH(X$1,INDIRECT("Table!A"&amp;$AN26):INDIRECT("Table!" &amp; $AR$159 &amp; $AN26),0)),"",INDIRECT(CONCATENATE("Table!",ADDRESS($AJ26,MATCH(X$1,INDIRECT("Table!A" &amp; $AN26):INDIRECT("Table!" &amp; $AR$159 &amp; $AN26),0)))))</f>
        <v>82726.3</v>
      </c>
      <c r="Y26" s="35">
        <f ca="1">IF(ISERROR(MATCH(Y$1,INDIRECT("Table!A"&amp;$AN26):INDIRECT("Table!" &amp; $AR$159 &amp; $AN26),0)),"",INDIRECT(CONCATENATE("Table!",ADDRESS($AJ26,MATCH(Y$1,INDIRECT("Table!A" &amp; $AN26):INDIRECT("Table!" &amp; $AR$159 &amp; $AN26),0)))))</f>
        <v>176482.7</v>
      </c>
      <c r="Z26" s="35">
        <f ca="1">IF(ISERROR(MATCH(Z$1,INDIRECT("Table!A"&amp;$AN26):INDIRECT("Table!" &amp; $AR$159 &amp; $AN26),0)),"",INDIRECT(CONCATENATE("Table!",ADDRESS($AJ26,MATCH(Z$1,INDIRECT("Table!A" &amp; $AN26):INDIRECT("Table!" &amp; $AR$159 &amp; $AN26),0)))))</f>
        <v>54921</v>
      </c>
      <c r="AA26" s="12"/>
      <c r="AB26" s="12">
        <f>MATCH($A26,Table!$A:$A,0)+$AD$2-1</f>
        <v>520</v>
      </c>
      <c r="AF26" s="31">
        <f>MATCH($A26,Table!$A:$A,0)+$AH$2-1</f>
        <v>518</v>
      </c>
      <c r="AJ26" s="12">
        <f>MATCH($A26,Table!$A:$A,0)+$AL$2-1</f>
        <v>519</v>
      </c>
      <c r="AN26" s="31">
        <f>MATCH($A26,Table!$A:$A,0)+$AH$2-1</f>
        <v>518</v>
      </c>
      <c r="AR26" s="249" t="s">
        <v>118</v>
      </c>
    </row>
    <row r="27" spans="1:44">
      <c r="A27" s="5">
        <v>41171</v>
      </c>
      <c r="B27" s="35">
        <f ca="1">IF(ISERROR(MATCH(B$1,INDIRECT("Table!A"&amp;$AF27):INDIRECT("Table!" &amp; $AR$159 &amp; $AF27),0)),"",INDIRECT(CONCATENATE("Table!",ADDRESS($AB27,MATCH(B$1,INDIRECT("Table!A" &amp; $AF27):INDIRECT("Table!" &amp; $AR$159 &amp; $AF27),0)))))</f>
        <v>91015.9</v>
      </c>
      <c r="C27" s="35">
        <f ca="1">IF(ISERROR(MATCH(C$1,INDIRECT("Table!A"&amp;$AF27):INDIRECT("Table!" &amp; $AR$159 &amp; $AF27),0)),"",INDIRECT(CONCATENATE("Table!",ADDRESS($AB27,MATCH(C$1,INDIRECT("Table!A" &amp; $AF27):INDIRECT("Table!" &amp; $AR$159 &amp; $AF27),0)))))</f>
        <v>70253</v>
      </c>
      <c r="D27" s="35">
        <f ca="1">IF(ISERROR(MATCH(D$1,INDIRECT("Table!A"&amp;$AF27):INDIRECT("Table!" &amp; $AR$159 &amp; $AF27),0)),"",INDIRECT(CONCATENATE("Table!",ADDRESS($AB27,MATCH(D$1,INDIRECT("Table!A" &amp; $AF27):INDIRECT("Table!" &amp; $AR$159 &amp; $AF27),0)))))</f>
        <v>71598.600000000006</v>
      </c>
      <c r="E27" s="35">
        <f ca="1">IF(ISERROR(MATCH(E$1,INDIRECT("Table!A"&amp;$AF27):INDIRECT("Table!" &amp; $AR$159 &amp; $AF27),0)),"",INDIRECT(CONCATENATE("Table!",ADDRESS($AB27,MATCH(E$1,INDIRECT("Table!A" &amp; $AF27):INDIRECT("Table!" &amp; $AR$159 &amp; $AF27),0)))))</f>
        <v>159908.5</v>
      </c>
      <c r="F27" s="35">
        <f ca="1">IF(ISERROR(MATCH(F$1,INDIRECT("Table!A"&amp;$AF27):INDIRECT("Table!" &amp; $AR$159 &amp; $AF27),0)),"",INDIRECT(CONCATENATE("Table!",ADDRESS($AB27,MATCH(F$1,INDIRECT("Table!A" &amp; $AF27):INDIRECT("Table!" &amp; $AR$159 &amp; $AF27),0)))))</f>
        <v>41479.199999999997</v>
      </c>
      <c r="G27" s="35">
        <f ca="1">IF(ISERROR(MATCH(G$1,INDIRECT("Table!A"&amp;$AF27):INDIRECT("Table!" &amp; $AR$159 &amp; $AF27),0)),"",INDIRECT(CONCATENATE("Table!",ADDRESS($AB27,MATCH(G$1,INDIRECT("Table!A" &amp; $AF27):INDIRECT("Table!" &amp; $AR$159 &amp; $AF27),0)))))</f>
        <v>26896.7</v>
      </c>
      <c r="H27" s="35">
        <f ca="1">IF(ISERROR(MATCH(H$1,INDIRECT("Table!A"&amp;$AF27):INDIRECT("Table!" &amp; $AR$159 &amp; $AF27),0)),"",INDIRECT(CONCATENATE("Table!",ADDRESS($AB27,MATCH(H$1,INDIRECT("Table!A" &amp; $AF27):INDIRECT("Table!" &amp; $AR$159 &amp; $AF27),0)))))</f>
        <v>45969.3</v>
      </c>
      <c r="I27" s="35">
        <f ca="1">IF(ISERROR(MATCH(I$1,INDIRECT("Table!A"&amp;$AF27):INDIRECT("Table!" &amp; $AR$159 &amp; $AF27),0)),"",INDIRECT(CONCATENATE("Table!",ADDRESS($AB27,MATCH(I$1,INDIRECT("Table!A" &amp; $AF27):INDIRECT("Table!" &amp; $AR$159 &amp; $AF27),0)))))</f>
        <v>142575.79999999999</v>
      </c>
      <c r="J27" s="35">
        <f ca="1">IF(ISERROR(MATCH(J$1,INDIRECT("Table!A"&amp;$AF27):INDIRECT("Table!" &amp; $AR$159 &amp; $AF27),0)),"",INDIRECT(CONCATENATE("Table!",ADDRESS($AB27,MATCH(J$1,INDIRECT("Table!A" &amp; $AF27):INDIRECT("Table!" &amp; $AR$159 &amp; $AF27),0)))))</f>
        <v>39815.599999999999</v>
      </c>
      <c r="K27" s="35">
        <f ca="1">IF(ISERROR(MATCH(K$1,INDIRECT("Table!A"&amp;$AF27):INDIRECT("Table!" &amp; $AR$159 &amp; $AF27),0)),"",INDIRECT(CONCATENATE("Table!",ADDRESS($AB27,MATCH(K$1,INDIRECT("Table!A" &amp; $AF27):INDIRECT("Table!" &amp; $AR$159 &amp; $AF27),0)))))</f>
        <v>24051.599999999999</v>
      </c>
      <c r="L27" s="35">
        <f ca="1">IF(ISERROR(MATCH(L$1,INDIRECT("Table!A"&amp;$AF27):INDIRECT("Table!" &amp; $AR$159 &amp; $AF27),0)),"",INDIRECT(CONCATENATE("Table!",ADDRESS($AB27,MATCH(L$1,INDIRECT("Table!A" &amp; $AF27):INDIRECT("Table!" &amp; $AR$159 &amp; $AF27),0)))))</f>
        <v>94835.6</v>
      </c>
      <c r="M27" s="35">
        <f ca="1">IF(ISERROR(MATCH(M$1,INDIRECT("Table!A"&amp;$AF27):INDIRECT("Table!" &amp; $AR$159 &amp; $AF27),0)),"",INDIRECT(CONCATENATE("Table!",ADDRESS($AB27,MATCH(M$1,INDIRECT("Table!A" &amp; $AF27):INDIRECT("Table!" &amp; $AR$159 &amp; $AF27),0)))))</f>
        <v>23053.3</v>
      </c>
      <c r="N27" s="35" t="str">
        <f ca="1">IF(ISERROR(MATCH(N$1,INDIRECT("Table!A"&amp;$AF27):INDIRECT("Table!" &amp; $AR$188 &amp; $AF27),0)),"",INDIRECT(CONCATENATE("Table!",ADDRESS($AB27,MATCH(N$1,INDIRECT("Table!A" &amp; $AF27):INDIRECT("Table!" &amp; $AR$188 &amp; $AF27),0)))))</f>
        <v/>
      </c>
      <c r="O27" s="35">
        <f ca="1">IF(ISERROR(MATCH(O$1,INDIRECT("Table!A"&amp;$AN27):INDIRECT("Table!" &amp; $AR$159 &amp; $AN27),0)),"",INDIRECT(CONCATENATE("Table!",ADDRESS($AJ27,MATCH(O$1,INDIRECT("Table!A" &amp; $AN27):INDIRECT("Table!" &amp; $AR$159 &amp; $AN27),0)))))</f>
        <v>143392.20000000001</v>
      </c>
      <c r="P27" s="35">
        <f ca="1">IF(ISERROR(MATCH(P$1,INDIRECT("Table!A"&amp;$AN27):INDIRECT("Table!" &amp; $AR$159 &amp; $AN27),0)),"",INDIRECT(CONCATENATE("Table!",ADDRESS($AJ27,MATCH(P$1,INDIRECT("Table!A" &amp; $AN27):INDIRECT("Table!" &amp; $AR$159 &amp; $AN27),0)))))</f>
        <v>150515.79999999999</v>
      </c>
      <c r="Q27" s="35">
        <f ca="1">IF(ISERROR(MATCH(Q$1,INDIRECT("Table!A"&amp;$AN27):INDIRECT("Table!" &amp; $AR$159 &amp; $AN27),0)),"",INDIRECT(CONCATENATE("Table!",ADDRESS($AJ27,MATCH(Q$1,INDIRECT("Table!A" &amp; $AN27):INDIRECT("Table!" &amp; $AR$159 &amp; $AN27),0)))))</f>
        <v>150515.79999999999</v>
      </c>
      <c r="R27" s="35">
        <f ca="1">IF(ISERROR(MATCH(R$1,INDIRECT("Table!A"&amp;$AN27):INDIRECT("Table!" &amp; $AR$159 &amp; $AN27),0)),"",INDIRECT(CONCATENATE("Table!",ADDRESS($AJ27,MATCH(R$1,INDIRECT("Table!A" &amp; $AN27):INDIRECT("Table!" &amp; $AR$159 &amp; $AN27),0)))))</f>
        <v>181997.8</v>
      </c>
      <c r="S27" s="35">
        <f ca="1">IF(ISERROR(MATCH(S$1,INDIRECT("Table!A"&amp;$AN27):INDIRECT("Table!" &amp; $AR$159 &amp; $AN27),0)),"",INDIRECT(CONCATENATE("Table!",ADDRESS($AJ27,MATCH(S$1,INDIRECT("Table!A" &amp; $AN27):INDIRECT("Table!" &amp; $AR$159 &amp; $AN27),0)))))</f>
        <v>165452.5</v>
      </c>
      <c r="T27" s="35">
        <f ca="1">IF(ISERROR(MATCH(T$1,INDIRECT("Table!A"&amp;$AN27):INDIRECT("Table!" &amp; $AR$159 &amp; $AN27),0)),"",INDIRECT(CONCATENATE("Table!",ADDRESS($AJ27,MATCH(T$1,INDIRECT("Table!A" &amp; $AN27):INDIRECT("Table!" &amp; $AR$159 &amp; $AN27),0)))))</f>
        <v>110071.9</v>
      </c>
      <c r="U27" s="35">
        <f ca="1">IF(ISERROR(MATCH(U$1,INDIRECT("Table!A"&amp;$AN27):INDIRECT("Table!" &amp; $AR$159 &amp; $AN27),0)),"",INDIRECT(CONCATENATE("Table!",ADDRESS($AJ27,MATCH(U$1,INDIRECT("Table!A" &amp; $AN27):INDIRECT("Table!" &amp; $AR$159 &amp; $AN27),0)))))</f>
        <v>121331.8</v>
      </c>
      <c r="V27" s="35">
        <f ca="1">IF(ISERROR(MATCH(V$1,INDIRECT("Table!A"&amp;$AN27):INDIRECT("Table!" &amp; $AR$159 &amp; $AN27),0)),"",INDIRECT(CONCATENATE("Table!",ADDRESS($AJ27,MATCH(V$1,INDIRECT("Table!A" &amp; $AN27):INDIRECT("Table!" &amp; $AR$159 &amp; $AN27),0)))))</f>
        <v>170967.6</v>
      </c>
      <c r="W27" s="35">
        <f ca="1">IF(ISERROR(MATCH(W$1,INDIRECT("Table!A"&amp;$AN27):INDIRECT("Table!" &amp; $AR$159 &amp; $AN27),0)),"",INDIRECT(CONCATENATE("Table!",ADDRESS($AJ27,MATCH(W$1,INDIRECT("Table!A" &amp; $AN27):INDIRECT("Table!" &amp; $AR$159 &amp; $AN27),0)))))</f>
        <v>132132.20000000001</v>
      </c>
      <c r="X27" s="35">
        <f ca="1">IF(ISERROR(MATCH(X$1,INDIRECT("Table!A"&amp;$AN27):INDIRECT("Table!" &amp; $AR$159 &amp; $AN27),0)),"",INDIRECT(CONCATENATE("Table!",ADDRESS($AJ27,MATCH(X$1,INDIRECT("Table!A" &amp; $AN27):INDIRECT("Table!" &amp; $AR$159 &amp; $AN27),0)))))</f>
        <v>82726.3</v>
      </c>
      <c r="Y27" s="35">
        <f ca="1">IF(ISERROR(MATCH(Y$1,INDIRECT("Table!A"&amp;$AN27):INDIRECT("Table!" &amp; $AR$159 &amp; $AN27),0)),"",INDIRECT(CONCATENATE("Table!",ADDRESS($AJ27,MATCH(Y$1,INDIRECT("Table!A" &amp; $AN27):INDIRECT("Table!" &amp; $AR$159 &amp; $AN27),0)))))</f>
        <v>176482.7</v>
      </c>
      <c r="Z27" s="35">
        <f ca="1">IF(ISERROR(MATCH(Z$1,INDIRECT("Table!A"&amp;$AN27):INDIRECT("Table!" &amp; $AR$159 &amp; $AN27),0)),"",INDIRECT(CONCATENATE("Table!",ADDRESS($AJ27,MATCH(Z$1,INDIRECT("Table!A" &amp; $AN27):INDIRECT("Table!" &amp; $AR$159 &amp; $AN27),0)))))</f>
        <v>54921</v>
      </c>
      <c r="AA27" s="12"/>
      <c r="AB27" s="12">
        <f>MATCH($A27,Table!$A:$A,0)+$AD$2-1</f>
        <v>533</v>
      </c>
      <c r="AF27" s="31">
        <f>MATCH($A27,Table!$A:$A,0)+$AH$2-1</f>
        <v>531</v>
      </c>
      <c r="AJ27" s="12">
        <f>MATCH($A27,Table!$A:$A,0)+$AL$2-1</f>
        <v>532</v>
      </c>
      <c r="AN27" s="31">
        <f>MATCH($A27,Table!$A:$A,0)+$AH$2-1</f>
        <v>531</v>
      </c>
      <c r="AR27" s="249" t="s">
        <v>118</v>
      </c>
    </row>
    <row r="28" spans="1:44">
      <c r="A28" s="5">
        <v>41170</v>
      </c>
      <c r="B28" s="35">
        <f ca="1">IF(ISERROR(MATCH(B$1,INDIRECT("Table!A"&amp;$AF28):INDIRECT("Table!" &amp; $AR$159 &amp; $AF28),0)),"",INDIRECT(CONCATENATE("Table!",ADDRESS($AB28,MATCH(B$1,INDIRECT("Table!A" &amp; $AF28):INDIRECT("Table!" &amp; $AR$159 &amp; $AF28),0)))))</f>
        <v>91081.4</v>
      </c>
      <c r="C28" s="35">
        <f ca="1">IF(ISERROR(MATCH(C$1,INDIRECT("Table!A"&amp;$AF28):INDIRECT("Table!" &amp; $AR$159 &amp; $AF28),0)),"",INDIRECT(CONCATENATE("Table!",ADDRESS($AB28,MATCH(C$1,INDIRECT("Table!A" &amp; $AF28):INDIRECT("Table!" &amp; $AR$159 &amp; $AF28),0)))))</f>
        <v>70250.100000000006</v>
      </c>
      <c r="D28" s="35">
        <f ca="1">IF(ISERROR(MATCH(D$1,INDIRECT("Table!A"&amp;$AF28):INDIRECT("Table!" &amp; $AR$159 &amp; $AF28),0)),"",INDIRECT(CONCATENATE("Table!",ADDRESS($AB28,MATCH(D$1,INDIRECT("Table!A" &amp; $AF28):INDIRECT("Table!" &amp; $AR$159 &amp; $AF28),0)))))</f>
        <v>71595.7</v>
      </c>
      <c r="E28" s="35">
        <f ca="1">IF(ISERROR(MATCH(E$1,INDIRECT("Table!A"&amp;$AF28):INDIRECT("Table!" &amp; $AR$159 &amp; $AF28),0)),"",INDIRECT(CONCATENATE("Table!",ADDRESS($AB28,MATCH(E$1,INDIRECT("Table!A" &amp; $AF28):INDIRECT("Table!" &amp; $AR$159 &amp; $AF28),0)))))</f>
        <v>159872.6</v>
      </c>
      <c r="F28" s="35">
        <f ca="1">IF(ISERROR(MATCH(F$1,INDIRECT("Table!A"&amp;$AF28):INDIRECT("Table!" &amp; $AR$159 &amp; $AF28),0)),"",INDIRECT(CONCATENATE("Table!",ADDRESS($AB28,MATCH(F$1,INDIRECT("Table!A" &amp; $AF28):INDIRECT("Table!" &amp; $AR$159 &amp; $AF28),0)))))</f>
        <v>41103.699999999997</v>
      </c>
      <c r="G28" s="35">
        <f ca="1">IF(ISERROR(MATCH(G$1,INDIRECT("Table!A"&amp;$AF28):INDIRECT("Table!" &amp; $AR$159 &amp; $AF28),0)),"",INDIRECT(CONCATENATE("Table!",ADDRESS($AB28,MATCH(G$1,INDIRECT("Table!A" &amp; $AF28):INDIRECT("Table!" &amp; $AR$159 &amp; $AF28),0)))))</f>
        <v>26738.1</v>
      </c>
      <c r="H28" s="35">
        <f ca="1">IF(ISERROR(MATCH(H$1,INDIRECT("Table!A"&amp;$AF28):INDIRECT("Table!" &amp; $AR$159 &amp; $AF28),0)),"",INDIRECT(CONCATENATE("Table!",ADDRESS($AB28,MATCH(H$1,INDIRECT("Table!A" &amp; $AF28):INDIRECT("Table!" &amp; $AR$159 &amp; $AF28),0)))))</f>
        <v>45960.2</v>
      </c>
      <c r="I28" s="35">
        <f ca="1">IF(ISERROR(MATCH(I$1,INDIRECT("Table!A"&amp;$AF28):INDIRECT("Table!" &amp; $AR$159 &amp; $AF28),0)),"",INDIRECT(CONCATENATE("Table!",ADDRESS($AB28,MATCH(I$1,INDIRECT("Table!A" &amp; $AF28):INDIRECT("Table!" &amp; $AR$159 &amp; $AF28),0)))))</f>
        <v>142545.79999999999</v>
      </c>
      <c r="J28" s="35">
        <f ca="1">IF(ISERROR(MATCH(J$1,INDIRECT("Table!A"&amp;$AF28):INDIRECT("Table!" &amp; $AR$159 &amp; $AF28),0)),"",INDIRECT(CONCATENATE("Table!",ADDRESS($AB28,MATCH(J$1,INDIRECT("Table!A" &amp; $AF28):INDIRECT("Table!" &amp; $AR$159 &amp; $AF28),0)))))</f>
        <v>39891.5</v>
      </c>
      <c r="K28" s="35">
        <f ca="1">IF(ISERROR(MATCH(K$1,INDIRECT("Table!A"&amp;$AF28):INDIRECT("Table!" &amp; $AR$159 &amp; $AF28),0)),"",INDIRECT(CONCATENATE("Table!",ADDRESS($AB28,MATCH(K$1,INDIRECT("Table!A" &amp; $AF28):INDIRECT("Table!" &amp; $AR$159 &amp; $AF28),0)))))</f>
        <v>23846</v>
      </c>
      <c r="L28" s="35">
        <f ca="1">IF(ISERROR(MATCH(L$1,INDIRECT("Table!A"&amp;$AF28):INDIRECT("Table!" &amp; $AR$159 &amp; $AF28),0)),"",INDIRECT(CONCATENATE("Table!",ADDRESS($AB28,MATCH(L$1,INDIRECT("Table!A" &amp; $AF28):INDIRECT("Table!" &amp; $AR$159 &amp; $AF28),0)))))</f>
        <v>94835.6</v>
      </c>
      <c r="M28" s="35">
        <f ca="1">IF(ISERROR(MATCH(M$1,INDIRECT("Table!A"&amp;$AF28):INDIRECT("Table!" &amp; $AR$159 &amp; $AF28),0)),"",INDIRECT(CONCATENATE("Table!",ADDRESS($AB28,MATCH(M$1,INDIRECT("Table!A" &amp; $AF28):INDIRECT("Table!" &amp; $AR$159 &amp; $AF28),0)))))</f>
        <v>23053.3</v>
      </c>
      <c r="N28" s="35" t="str">
        <f ca="1">IF(ISERROR(MATCH(N$1,INDIRECT("Table!A"&amp;$AF28):INDIRECT("Table!" &amp; $AR$188 &amp; $AF28),0)),"",INDIRECT(CONCATENATE("Table!",ADDRESS($AB28,MATCH(N$1,INDIRECT("Table!A" &amp; $AF28):INDIRECT("Table!" &amp; $AR$188 &amp; $AF28),0)))))</f>
        <v/>
      </c>
      <c r="O28" s="35">
        <f ca="1">IF(ISERROR(MATCH(O$1,INDIRECT("Table!A"&amp;$AN28):INDIRECT("Table!" &amp; $AR$159 &amp; $AN28),0)),"",INDIRECT(CONCATENATE("Table!",ADDRESS($AJ28,MATCH(O$1,INDIRECT("Table!A" &amp; $AN28):INDIRECT("Table!" &amp; $AR$159 &amp; $AN28),0)))))</f>
        <v>143392.20000000001</v>
      </c>
      <c r="P28" s="35">
        <f ca="1">IF(ISERROR(MATCH(P$1,INDIRECT("Table!A"&amp;$AN28):INDIRECT("Table!" &amp; $AR$159 &amp; $AN28),0)),"",INDIRECT(CONCATENATE("Table!",ADDRESS($AJ28,MATCH(P$1,INDIRECT("Table!A" &amp; $AN28):INDIRECT("Table!" &amp; $AR$159 &amp; $AN28),0)))))</f>
        <v>150515.79999999999</v>
      </c>
      <c r="Q28" s="35">
        <f ca="1">IF(ISERROR(MATCH(Q$1,INDIRECT("Table!A"&amp;$AN28):INDIRECT("Table!" &amp; $AR$159 &amp; $AN28),0)),"",INDIRECT(CONCATENATE("Table!",ADDRESS($AJ28,MATCH(Q$1,INDIRECT("Table!A" &amp; $AN28):INDIRECT("Table!" &amp; $AR$159 &amp; $AN28),0)))))</f>
        <v>150515.79999999999</v>
      </c>
      <c r="R28" s="35">
        <f ca="1">IF(ISERROR(MATCH(R$1,INDIRECT("Table!A"&amp;$AN28):INDIRECT("Table!" &amp; $AR$159 &amp; $AN28),0)),"",INDIRECT(CONCATENATE("Table!",ADDRESS($AJ28,MATCH(R$1,INDIRECT("Table!A" &amp; $AN28):INDIRECT("Table!" &amp; $AR$159 &amp; $AN28),0)))))</f>
        <v>181997.8</v>
      </c>
      <c r="S28" s="35">
        <f ca="1">IF(ISERROR(MATCH(S$1,INDIRECT("Table!A"&amp;$AN28):INDIRECT("Table!" &amp; $AR$159 &amp; $AN28),0)),"",INDIRECT(CONCATENATE("Table!",ADDRESS($AJ28,MATCH(S$1,INDIRECT("Table!A" &amp; $AN28):INDIRECT("Table!" &amp; $AR$159 &amp; $AN28),0)))))</f>
        <v>165452.5</v>
      </c>
      <c r="T28" s="35">
        <f ca="1">IF(ISERROR(MATCH(T$1,INDIRECT("Table!A"&amp;$AN28):INDIRECT("Table!" &amp; $AR$159 &amp; $AN28),0)),"",INDIRECT(CONCATENATE("Table!",ADDRESS($AJ28,MATCH(T$1,INDIRECT("Table!A" &amp; $AN28):INDIRECT("Table!" &amp; $AR$159 &amp; $AN28),0)))))</f>
        <v>110071.9</v>
      </c>
      <c r="U28" s="35">
        <f ca="1">IF(ISERROR(MATCH(U$1,INDIRECT("Table!A"&amp;$AN28):INDIRECT("Table!" &amp; $AR$159 &amp; $AN28),0)),"",INDIRECT(CONCATENATE("Table!",ADDRESS($AJ28,MATCH(U$1,INDIRECT("Table!A" &amp; $AN28):INDIRECT("Table!" &amp; $AR$159 &amp; $AN28),0)))))</f>
        <v>121331.8</v>
      </c>
      <c r="V28" s="35">
        <f ca="1">IF(ISERROR(MATCH(V$1,INDIRECT("Table!A"&amp;$AN28):INDIRECT("Table!" &amp; $AR$159 &amp; $AN28),0)),"",INDIRECT(CONCATENATE("Table!",ADDRESS($AJ28,MATCH(V$1,INDIRECT("Table!A" &amp; $AN28):INDIRECT("Table!" &amp; $AR$159 &amp; $AN28),0)))))</f>
        <v>170967.6</v>
      </c>
      <c r="W28" s="35">
        <f ca="1">IF(ISERROR(MATCH(W$1,INDIRECT("Table!A"&amp;$AN28):INDIRECT("Table!" &amp; $AR$159 &amp; $AN28),0)),"",INDIRECT(CONCATENATE("Table!",ADDRESS($AJ28,MATCH(W$1,INDIRECT("Table!A" &amp; $AN28):INDIRECT("Table!" &amp; $AR$159 &amp; $AN28),0)))))</f>
        <v>132132.20000000001</v>
      </c>
      <c r="X28" s="35">
        <f ca="1">IF(ISERROR(MATCH(X$1,INDIRECT("Table!A"&amp;$AN28):INDIRECT("Table!" &amp; $AR$159 &amp; $AN28),0)),"",INDIRECT(CONCATENATE("Table!",ADDRESS($AJ28,MATCH(X$1,INDIRECT("Table!A" &amp; $AN28):INDIRECT("Table!" &amp; $AR$159 &amp; $AN28),0)))))</f>
        <v>82726.3</v>
      </c>
      <c r="Y28" s="35">
        <f ca="1">IF(ISERROR(MATCH(Y$1,INDIRECT("Table!A"&amp;$AN28):INDIRECT("Table!" &amp; $AR$159 &amp; $AN28),0)),"",INDIRECT(CONCATENATE("Table!",ADDRESS($AJ28,MATCH(Y$1,INDIRECT("Table!A" &amp; $AN28):INDIRECT("Table!" &amp; $AR$159 &amp; $AN28),0)))))</f>
        <v>176482.7</v>
      </c>
      <c r="Z28" s="35">
        <f ca="1">IF(ISERROR(MATCH(Z$1,INDIRECT("Table!A"&amp;$AN28):INDIRECT("Table!" &amp; $AR$159 &amp; $AN28),0)),"",INDIRECT(CONCATENATE("Table!",ADDRESS($AJ28,MATCH(Z$1,INDIRECT("Table!A" &amp; $AN28):INDIRECT("Table!" &amp; $AR$159 &amp; $AN28),0)))))</f>
        <v>54921</v>
      </c>
      <c r="AA28" s="12"/>
      <c r="AB28" s="12">
        <f>MATCH($A28,Table!$A:$A,0)+$AD$2-1</f>
        <v>546</v>
      </c>
      <c r="AF28" s="31">
        <f>MATCH($A28,Table!$A:$A,0)+$AH$2-1</f>
        <v>544</v>
      </c>
      <c r="AJ28" s="12">
        <f>MATCH($A28,Table!$A:$A,0)+$AL$2-1</f>
        <v>545</v>
      </c>
      <c r="AN28" s="31">
        <f>MATCH($A28,Table!$A:$A,0)+$AH$2-1</f>
        <v>544</v>
      </c>
      <c r="AR28" s="248" t="s">
        <v>118</v>
      </c>
    </row>
    <row r="29" spans="1:44">
      <c r="A29" s="5">
        <v>41169</v>
      </c>
      <c r="B29" s="35">
        <f ca="1">IF(ISERROR(MATCH(B$1,INDIRECT("Table!A"&amp;$AF29):INDIRECT("Table!" &amp; $AR$159 &amp; $AF29),0)),"",INDIRECT(CONCATENATE("Table!",ADDRESS($AB29,MATCH(B$1,INDIRECT("Table!A" &amp; $AF29):INDIRECT("Table!" &amp; $AR$159 &amp; $AF29),0)))))</f>
        <v>91064.1</v>
      </c>
      <c r="C29" s="35">
        <f ca="1">IF(ISERROR(MATCH(C$1,INDIRECT("Table!A"&amp;$AF29):INDIRECT("Table!" &amp; $AR$159 &amp; $AF29),0)),"",INDIRECT(CONCATENATE("Table!",ADDRESS($AB29,MATCH(C$1,INDIRECT("Table!A" &amp; $AF29):INDIRECT("Table!" &amp; $AR$159 &amp; $AF29),0)))))</f>
        <v>70227.7</v>
      </c>
      <c r="D29" s="35">
        <f ca="1">IF(ISERROR(MATCH(D$1,INDIRECT("Table!A"&amp;$AF29):INDIRECT("Table!" &amp; $AR$159 &amp; $AF29),0)),"",INDIRECT(CONCATENATE("Table!",ADDRESS($AB29,MATCH(D$1,INDIRECT("Table!A" &amp; $AF29):INDIRECT("Table!" &amp; $AR$159 &amp; $AF29),0)))))</f>
        <v>71573.100000000006</v>
      </c>
      <c r="E29" s="35">
        <f ca="1">IF(ISERROR(MATCH(E$1,INDIRECT("Table!A"&amp;$AF29):INDIRECT("Table!" &amp; $AR$159 &amp; $AF29),0)),"",INDIRECT(CONCATENATE("Table!",ADDRESS($AB29,MATCH(E$1,INDIRECT("Table!A" &amp; $AF29):INDIRECT("Table!" &amp; $AR$159 &amp; $AF29),0)))))</f>
        <v>159829.5</v>
      </c>
      <c r="F29" s="35">
        <f ca="1">IF(ISERROR(MATCH(F$1,INDIRECT("Table!A"&amp;$AF29):INDIRECT("Table!" &amp; $AR$159 &amp; $AF29),0)),"",INDIRECT(CONCATENATE("Table!",ADDRESS($AB29,MATCH(F$1,INDIRECT("Table!A" &amp; $AF29):INDIRECT("Table!" &amp; $AR$159 &amp; $AF29),0)))))</f>
        <v>40854</v>
      </c>
      <c r="G29" s="35">
        <f ca="1">IF(ISERROR(MATCH(G$1,INDIRECT("Table!A"&amp;$AF29):INDIRECT("Table!" &amp; $AR$159 &amp; $AF29),0)),"",INDIRECT(CONCATENATE("Table!",ADDRESS($AB29,MATCH(G$1,INDIRECT("Table!A" &amp; $AF29):INDIRECT("Table!" &amp; $AR$159 &amp; $AF29),0)))))</f>
        <v>26783.200000000001</v>
      </c>
      <c r="H29" s="35">
        <f ca="1">IF(ISERROR(MATCH(H$1,INDIRECT("Table!A"&amp;$AF29):INDIRECT("Table!" &amp; $AR$159 &amp; $AF29),0)),"",INDIRECT(CONCATENATE("Table!",ADDRESS($AB29,MATCH(H$1,INDIRECT("Table!A" &amp; $AF29):INDIRECT("Table!" &amp; $AR$159 &amp; $AF29),0)))))</f>
        <v>45948.3</v>
      </c>
      <c r="I29" s="35">
        <f ca="1">IF(ISERROR(MATCH(I$1,INDIRECT("Table!A"&amp;$AF29):INDIRECT("Table!" &amp; $AR$159 &amp; $AF29),0)),"",INDIRECT(CONCATENATE("Table!",ADDRESS($AB29,MATCH(I$1,INDIRECT("Table!A" &amp; $AF29):INDIRECT("Table!" &amp; $AR$159 &amp; $AF29),0)))))</f>
        <v>142498.79999999999</v>
      </c>
      <c r="J29" s="35">
        <f ca="1">IF(ISERROR(MATCH(J$1,INDIRECT("Table!A"&amp;$AF29):INDIRECT("Table!" &amp; $AR$159 &amp; $AF29),0)),"",INDIRECT(CONCATENATE("Table!",ADDRESS($AB29,MATCH(J$1,INDIRECT("Table!A" &amp; $AF29):INDIRECT("Table!" &amp; $AR$159 &amp; $AF29),0)))))</f>
        <v>40276</v>
      </c>
      <c r="K29" s="35">
        <f ca="1">IF(ISERROR(MATCH(K$1,INDIRECT("Table!A"&amp;$AF29):INDIRECT("Table!" &amp; $AR$159 &amp; $AF29),0)),"",INDIRECT(CONCATENATE("Table!",ADDRESS($AB29,MATCH(K$1,INDIRECT("Table!A" &amp; $AF29):INDIRECT("Table!" &amp; $AR$159 &amp; $AF29),0)))))</f>
        <v>23728.400000000001</v>
      </c>
      <c r="L29" s="35">
        <f ca="1">IF(ISERROR(MATCH(L$1,INDIRECT("Table!A"&amp;$AF29):INDIRECT("Table!" &amp; $AR$159 &amp; $AF29),0)),"",INDIRECT(CONCATENATE("Table!",ADDRESS($AB29,MATCH(L$1,INDIRECT("Table!A" &amp; $AF29):INDIRECT("Table!" &amp; $AR$159 &amp; $AF29),0)))))</f>
        <v>94706.5</v>
      </c>
      <c r="M29" s="35">
        <f ca="1">IF(ISERROR(MATCH(M$1,INDIRECT("Table!A"&amp;$AF29):INDIRECT("Table!" &amp; $AR$159 &amp; $AF29),0)),"",INDIRECT(CONCATENATE("Table!",ADDRESS($AB29,MATCH(M$1,INDIRECT("Table!A" &amp; $AF29):INDIRECT("Table!" &amp; $AR$159 &amp; $AF29),0)))))</f>
        <v>23053.3</v>
      </c>
      <c r="N29" s="35" t="str">
        <f ca="1">IF(ISERROR(MATCH(N$1,INDIRECT("Table!A"&amp;$AF29):INDIRECT("Table!" &amp; $AR$188 &amp; $AF29),0)),"",INDIRECT(CONCATENATE("Table!",ADDRESS($AB29,MATCH(N$1,INDIRECT("Table!A" &amp; $AF29):INDIRECT("Table!" &amp; $AR$188 &amp; $AF29),0)))))</f>
        <v/>
      </c>
      <c r="O29" s="35">
        <f ca="1">IF(ISERROR(MATCH(O$1,INDIRECT("Table!A"&amp;$AN29):INDIRECT("Table!" &amp; $AR$159 &amp; $AN29),0)),"",INDIRECT(CONCATENATE("Table!",ADDRESS($AJ29,MATCH(O$1,INDIRECT("Table!A" &amp; $AN29):INDIRECT("Table!" &amp; $AR$159 &amp; $AN29),0)))))</f>
        <v>143392.20000000001</v>
      </c>
      <c r="P29" s="35">
        <f ca="1">IF(ISERROR(MATCH(P$1,INDIRECT("Table!A"&amp;$AN29):INDIRECT("Table!" &amp; $AR$159 &amp; $AN29),0)),"",INDIRECT(CONCATENATE("Table!",ADDRESS($AJ29,MATCH(P$1,INDIRECT("Table!A" &amp; $AN29):INDIRECT("Table!" &amp; $AR$159 &amp; $AN29),0)))))</f>
        <v>150515.79999999999</v>
      </c>
      <c r="Q29" s="35">
        <f ca="1">IF(ISERROR(MATCH(Q$1,INDIRECT("Table!A"&amp;$AN29):INDIRECT("Table!" &amp; $AR$159 &amp; $AN29),0)),"",INDIRECT(CONCATENATE("Table!",ADDRESS($AJ29,MATCH(Q$1,INDIRECT("Table!A" &amp; $AN29):INDIRECT("Table!" &amp; $AR$159 &amp; $AN29),0)))))</f>
        <v>150515.79999999999</v>
      </c>
      <c r="R29" s="35">
        <f ca="1">IF(ISERROR(MATCH(R$1,INDIRECT("Table!A"&amp;$AN29):INDIRECT("Table!" &amp; $AR$159 &amp; $AN29),0)),"",INDIRECT(CONCATENATE("Table!",ADDRESS($AJ29,MATCH(R$1,INDIRECT("Table!A" &amp; $AN29):INDIRECT("Table!" &amp; $AR$159 &amp; $AN29),0)))))</f>
        <v>181997.8</v>
      </c>
      <c r="S29" s="35">
        <f ca="1">IF(ISERROR(MATCH(S$1,INDIRECT("Table!A"&amp;$AN29):INDIRECT("Table!" &amp; $AR$159 &amp; $AN29),0)),"",INDIRECT(CONCATENATE("Table!",ADDRESS($AJ29,MATCH(S$1,INDIRECT("Table!A" &amp; $AN29):INDIRECT("Table!" &amp; $AR$159 &amp; $AN29),0)))))</f>
        <v>165452.5</v>
      </c>
      <c r="T29" s="35">
        <f ca="1">IF(ISERROR(MATCH(T$1,INDIRECT("Table!A"&amp;$AN29):INDIRECT("Table!" &amp; $AR$159 &amp; $AN29),0)),"",INDIRECT(CONCATENATE("Table!",ADDRESS($AJ29,MATCH(T$1,INDIRECT("Table!A" &amp; $AN29):INDIRECT("Table!" &amp; $AR$159 &amp; $AN29),0)))))</f>
        <v>110071.9</v>
      </c>
      <c r="U29" s="35">
        <f ca="1">IF(ISERROR(MATCH(U$1,INDIRECT("Table!A"&amp;$AN29):INDIRECT("Table!" &amp; $AR$159 &amp; $AN29),0)),"",INDIRECT(CONCATENATE("Table!",ADDRESS($AJ29,MATCH(U$1,INDIRECT("Table!A" &amp; $AN29):INDIRECT("Table!" &amp; $AR$159 &amp; $AN29),0)))))</f>
        <v>121331.8</v>
      </c>
      <c r="V29" s="35">
        <f ca="1">IF(ISERROR(MATCH(V$1,INDIRECT("Table!A"&amp;$AN29):INDIRECT("Table!" &amp; $AR$159 &amp; $AN29),0)),"",INDIRECT(CONCATENATE("Table!",ADDRESS($AJ29,MATCH(V$1,INDIRECT("Table!A" &amp; $AN29):INDIRECT("Table!" &amp; $AR$159 &amp; $AN29),0)))))</f>
        <v>170967.6</v>
      </c>
      <c r="W29" s="35">
        <f ca="1">IF(ISERROR(MATCH(W$1,INDIRECT("Table!A"&amp;$AN29):INDIRECT("Table!" &amp; $AR$159 &amp; $AN29),0)),"",INDIRECT(CONCATENATE("Table!",ADDRESS($AJ29,MATCH(W$1,INDIRECT("Table!A" &amp; $AN29):INDIRECT("Table!" &amp; $AR$159 &amp; $AN29),0)))))</f>
        <v>132132.20000000001</v>
      </c>
      <c r="X29" s="35">
        <f ca="1">IF(ISERROR(MATCH(X$1,INDIRECT("Table!A"&amp;$AN29):INDIRECT("Table!" &amp; $AR$159 &amp; $AN29),0)),"",INDIRECT(CONCATENATE("Table!",ADDRESS($AJ29,MATCH(X$1,INDIRECT("Table!A" &amp; $AN29):INDIRECT("Table!" &amp; $AR$159 &amp; $AN29),0)))))</f>
        <v>82726.3</v>
      </c>
      <c r="Y29" s="35">
        <f ca="1">IF(ISERROR(MATCH(Y$1,INDIRECT("Table!A"&amp;$AN29):INDIRECT("Table!" &amp; $AR$159 &amp; $AN29),0)),"",INDIRECT(CONCATENATE("Table!",ADDRESS($AJ29,MATCH(Y$1,INDIRECT("Table!A" &amp; $AN29):INDIRECT("Table!" &amp; $AR$159 &amp; $AN29),0)))))</f>
        <v>176482.7</v>
      </c>
      <c r="Z29" s="35">
        <f ca="1">IF(ISERROR(MATCH(Z$1,INDIRECT("Table!A"&amp;$AN29):INDIRECT("Table!" &amp; $AR$159 &amp; $AN29),0)),"",INDIRECT(CONCATENATE("Table!",ADDRESS($AJ29,MATCH(Z$1,INDIRECT("Table!A" &amp; $AN29):INDIRECT("Table!" &amp; $AR$159 &amp; $AN29),0)))))</f>
        <v>54921</v>
      </c>
      <c r="AA29" s="12"/>
      <c r="AB29" s="12">
        <f>MATCH($A29,Table!$A:$A,0)+$AD$2-1</f>
        <v>559</v>
      </c>
      <c r="AF29" s="31">
        <f>MATCH($A29,Table!$A:$A,0)+$AH$2-1</f>
        <v>557</v>
      </c>
      <c r="AJ29" s="12">
        <f>MATCH($A29,Table!$A:$A,0)+$AL$2-1</f>
        <v>558</v>
      </c>
      <c r="AN29" s="31">
        <f>MATCH($A29,Table!$A:$A,0)+$AH$2-1</f>
        <v>557</v>
      </c>
      <c r="AR29" s="247" t="s">
        <v>118</v>
      </c>
    </row>
    <row r="30" spans="1:44">
      <c r="A30" s="5">
        <v>41166</v>
      </c>
      <c r="B30" s="35">
        <f ca="1">IF(ISERROR(MATCH(B$1,INDIRECT("Table!A"&amp;$AF30):INDIRECT("Table!" &amp; $AR$159 &amp; $AF30),0)),"",INDIRECT(CONCATENATE("Table!",ADDRESS($AB30,MATCH(B$1,INDIRECT("Table!A" &amp; $AF30):INDIRECT("Table!" &amp; $AR$159 &amp; $AF30),0)))))</f>
        <v>91031.5</v>
      </c>
      <c r="C30" s="35">
        <f ca="1">IF(ISERROR(MATCH(C$1,INDIRECT("Table!A"&amp;$AF30):INDIRECT("Table!" &amp; $AR$159 &amp; $AF30),0)),"",INDIRECT(CONCATENATE("Table!",ADDRESS($AB30,MATCH(C$1,INDIRECT("Table!A" &amp; $AF30):INDIRECT("Table!" &amp; $AR$159 &amp; $AF30),0)))))</f>
        <v>70215.7</v>
      </c>
      <c r="D30" s="35">
        <f ca="1">IF(ISERROR(MATCH(D$1,INDIRECT("Table!A"&amp;$AF30):INDIRECT("Table!" &amp; $AR$159 &amp; $AF30),0)),"",INDIRECT(CONCATENATE("Table!",ADDRESS($AB30,MATCH(D$1,INDIRECT("Table!A" &amp; $AF30):INDIRECT("Table!" &amp; $AR$159 &amp; $AF30),0)))))</f>
        <v>71561.100000000006</v>
      </c>
      <c r="E30" s="35">
        <f ca="1">IF(ISERROR(MATCH(E$1,INDIRECT("Table!A"&amp;$AF30):INDIRECT("Table!" &amp; $AR$159 &amp; $AF30),0)),"",INDIRECT(CONCATENATE("Table!",ADDRESS($AB30,MATCH(E$1,INDIRECT("Table!A" &amp; $AF30):INDIRECT("Table!" &amp; $AR$159 &amp; $AF30),0)))))</f>
        <v>159661.4</v>
      </c>
      <c r="F30" s="35">
        <f ca="1">IF(ISERROR(MATCH(F$1,INDIRECT("Table!A"&amp;$AF30):INDIRECT("Table!" &amp; $AR$159 &amp; $AF30),0)),"",INDIRECT(CONCATENATE("Table!",ADDRESS($AB30,MATCH(F$1,INDIRECT("Table!A" &amp; $AF30):INDIRECT("Table!" &amp; $AR$159 &amp; $AF30),0)))))</f>
        <v>38854.300000000003</v>
      </c>
      <c r="G30" s="35">
        <f ca="1">IF(ISERROR(MATCH(G$1,INDIRECT("Table!A"&amp;$AF30):INDIRECT("Table!" &amp; $AR$159 &amp; $AF30),0)),"",INDIRECT(CONCATENATE("Table!",ADDRESS($AB30,MATCH(G$1,INDIRECT("Table!A" &amp; $AF30):INDIRECT("Table!" &amp; $AR$159 &amp; $AF30),0)))))</f>
        <v>26843.200000000001</v>
      </c>
      <c r="H30" s="35">
        <f ca="1">IF(ISERROR(MATCH(H$1,INDIRECT("Table!A"&amp;$AF30):INDIRECT("Table!" &amp; $AR$159 &amp; $AF30),0)),"",INDIRECT(CONCATENATE("Table!",ADDRESS($AB30,MATCH(H$1,INDIRECT("Table!A" &amp; $AF30):INDIRECT("Table!" &amp; $AR$159 &amp; $AF30),0)))))</f>
        <v>45910.8</v>
      </c>
      <c r="I30" s="35">
        <f ca="1">IF(ISERROR(MATCH(I$1,INDIRECT("Table!A"&amp;$AF30):INDIRECT("Table!" &amp; $AR$159 &amp; $AF30),0)),"",INDIRECT(CONCATENATE("Table!",ADDRESS($AB30,MATCH(I$1,INDIRECT("Table!A" &amp; $AF30):INDIRECT("Table!" &amp; $AR$159 &amp; $AF30),0)))))</f>
        <v>142365.9</v>
      </c>
      <c r="J30" s="35">
        <f ca="1">IF(ISERROR(MATCH(J$1,INDIRECT("Table!A"&amp;$AF30):INDIRECT("Table!" &amp; $AR$159 &amp; $AF30),0)),"",INDIRECT(CONCATENATE("Table!",ADDRESS($AB30,MATCH(J$1,INDIRECT("Table!A" &amp; $AF30):INDIRECT("Table!" &amp; $AR$159 &amp; $AF30),0)))))</f>
        <v>41375.1</v>
      </c>
      <c r="K30" s="35">
        <f ca="1">IF(ISERROR(MATCH(K$1,INDIRECT("Table!A"&amp;$AF30):INDIRECT("Table!" &amp; $AR$159 &amp; $AF30),0)),"",INDIRECT(CONCATENATE("Table!",ADDRESS($AB30,MATCH(K$1,INDIRECT("Table!A" &amp; $AF30):INDIRECT("Table!" &amp; $AR$159 &amp; $AF30),0)))))</f>
        <v>23304.7</v>
      </c>
      <c r="L30" s="35">
        <f ca="1">IF(ISERROR(MATCH(L$1,INDIRECT("Table!A"&amp;$AF30):INDIRECT("Table!" &amp; $AR$159 &amp; $AF30),0)),"",INDIRECT(CONCATENATE("Table!",ADDRESS($AB30,MATCH(L$1,INDIRECT("Table!A" &amp; $AF30):INDIRECT("Table!" &amp; $AR$159 &amp; $AF30),0)))))</f>
        <v>94358.2</v>
      </c>
      <c r="M30" s="35">
        <f ca="1">IF(ISERROR(MATCH(M$1,INDIRECT("Table!A"&amp;$AF30):INDIRECT("Table!" &amp; $AR$159 &amp; $AF30),0)),"",INDIRECT(CONCATENATE("Table!",ADDRESS($AB30,MATCH(M$1,INDIRECT("Table!A" &amp; $AF30):INDIRECT("Table!" &amp; $AR$159 &amp; $AF30),0)))))</f>
        <v>23053.3</v>
      </c>
      <c r="N30" s="35" t="str">
        <f ca="1">IF(ISERROR(MATCH(N$1,INDIRECT("Table!A"&amp;$AF30):INDIRECT("Table!" &amp; $AR$188 &amp; $AF30),0)),"",INDIRECT(CONCATENATE("Table!",ADDRESS($AB30,MATCH(N$1,INDIRECT("Table!A" &amp; $AF30):INDIRECT("Table!" &amp; $AR$188 &amp; $AF30),0)))))</f>
        <v/>
      </c>
      <c r="O30" s="35">
        <f ca="1">IF(ISERROR(MATCH(O$1,INDIRECT("Table!A"&amp;$AN30):INDIRECT("Table!" &amp; $AR$159 &amp; $AN30),0)),"",INDIRECT(CONCATENATE("Table!",ADDRESS($AJ30,MATCH(O$1,INDIRECT("Table!A" &amp; $AN30):INDIRECT("Table!" &amp; $AR$159 &amp; $AN30),0)))))</f>
        <v>143392.20000000001</v>
      </c>
      <c r="P30" s="35">
        <f ca="1">IF(ISERROR(MATCH(P$1,INDIRECT("Table!A"&amp;$AN30):INDIRECT("Table!" &amp; $AR$159 &amp; $AN30),0)),"",INDIRECT(CONCATENATE("Table!",ADDRESS($AJ30,MATCH(P$1,INDIRECT("Table!A" &amp; $AN30):INDIRECT("Table!" &amp; $AR$159 &amp; $AN30),0)))))</f>
        <v>150515.79999999999</v>
      </c>
      <c r="Q30" s="35">
        <f ca="1">IF(ISERROR(MATCH(Q$1,INDIRECT("Table!A"&amp;$AN30):INDIRECT("Table!" &amp; $AR$159 &amp; $AN30),0)),"",INDIRECT(CONCATENATE("Table!",ADDRESS($AJ30,MATCH(Q$1,INDIRECT("Table!A" &amp; $AN30):INDIRECT("Table!" &amp; $AR$159 &amp; $AN30),0)))))</f>
        <v>150515.79999999999</v>
      </c>
      <c r="R30" s="35">
        <f ca="1">IF(ISERROR(MATCH(R$1,INDIRECT("Table!A"&amp;$AN30):INDIRECT("Table!" &amp; $AR$159 &amp; $AN30),0)),"",INDIRECT(CONCATENATE("Table!",ADDRESS($AJ30,MATCH(R$1,INDIRECT("Table!A" &amp; $AN30):INDIRECT("Table!" &amp; $AR$159 &amp; $AN30),0)))))</f>
        <v>181997.8</v>
      </c>
      <c r="S30" s="35">
        <f ca="1">IF(ISERROR(MATCH(S$1,INDIRECT("Table!A"&amp;$AN30):INDIRECT("Table!" &amp; $AR$159 &amp; $AN30),0)),"",INDIRECT(CONCATENATE("Table!",ADDRESS($AJ30,MATCH(S$1,INDIRECT("Table!A" &amp; $AN30):INDIRECT("Table!" &amp; $AR$159 &amp; $AN30),0)))))</f>
        <v>165452.5</v>
      </c>
      <c r="T30" s="35">
        <f ca="1">IF(ISERROR(MATCH(T$1,INDIRECT("Table!A"&amp;$AN30):INDIRECT("Table!" &amp; $AR$159 &amp; $AN30),0)),"",INDIRECT(CONCATENATE("Table!",ADDRESS($AJ30,MATCH(T$1,INDIRECT("Table!A" &amp; $AN30):INDIRECT("Table!" &amp; $AR$159 &amp; $AN30),0)))))</f>
        <v>110071.9</v>
      </c>
      <c r="U30" s="35">
        <f ca="1">IF(ISERROR(MATCH(U$1,INDIRECT("Table!A"&amp;$AN30):INDIRECT("Table!" &amp; $AR$159 &amp; $AN30),0)),"",INDIRECT(CONCATENATE("Table!",ADDRESS($AJ30,MATCH(U$1,INDIRECT("Table!A" &amp; $AN30):INDIRECT("Table!" &amp; $AR$159 &amp; $AN30),0)))))</f>
        <v>121331.8</v>
      </c>
      <c r="V30" s="35">
        <f ca="1">IF(ISERROR(MATCH(V$1,INDIRECT("Table!A"&amp;$AN30):INDIRECT("Table!" &amp; $AR$159 &amp; $AN30),0)),"",INDIRECT(CONCATENATE("Table!",ADDRESS($AJ30,MATCH(V$1,INDIRECT("Table!A" &amp; $AN30):INDIRECT("Table!" &amp; $AR$159 &amp; $AN30),0)))))</f>
        <v>170967.6</v>
      </c>
      <c r="W30" s="35">
        <f ca="1">IF(ISERROR(MATCH(W$1,INDIRECT("Table!A"&amp;$AN30):INDIRECT("Table!" &amp; $AR$159 &amp; $AN30),0)),"",INDIRECT(CONCATENATE("Table!",ADDRESS($AJ30,MATCH(W$1,INDIRECT("Table!A" &amp; $AN30):INDIRECT("Table!" &amp; $AR$159 &amp; $AN30),0)))))</f>
        <v>132132.20000000001</v>
      </c>
      <c r="X30" s="35">
        <f ca="1">IF(ISERROR(MATCH(X$1,INDIRECT("Table!A"&amp;$AN30):INDIRECT("Table!" &amp; $AR$159 &amp; $AN30),0)),"",INDIRECT(CONCATENATE("Table!",ADDRESS($AJ30,MATCH(X$1,INDIRECT("Table!A" &amp; $AN30):INDIRECT("Table!" &amp; $AR$159 &amp; $AN30),0)))))</f>
        <v>82726.3</v>
      </c>
      <c r="Y30" s="35">
        <f ca="1">IF(ISERROR(MATCH(Y$1,INDIRECT("Table!A"&amp;$AN30):INDIRECT("Table!" &amp; $AR$159 &amp; $AN30),0)),"",INDIRECT(CONCATENATE("Table!",ADDRESS($AJ30,MATCH(Y$1,INDIRECT("Table!A" &amp; $AN30):INDIRECT("Table!" &amp; $AR$159 &amp; $AN30),0)))))</f>
        <v>176482.7</v>
      </c>
      <c r="Z30" s="35">
        <f ca="1">IF(ISERROR(MATCH(Z$1,INDIRECT("Table!A"&amp;$AN30):INDIRECT("Table!" &amp; $AR$159 &amp; $AN30),0)),"",INDIRECT(CONCATENATE("Table!",ADDRESS($AJ30,MATCH(Z$1,INDIRECT("Table!A" &amp; $AN30):INDIRECT("Table!" &amp; $AR$159 &amp; $AN30),0)))))</f>
        <v>54921</v>
      </c>
      <c r="AA30" s="12"/>
      <c r="AB30" s="12">
        <f>MATCH($A30,Table!$A:$A,0)+$AD$2-1</f>
        <v>572</v>
      </c>
      <c r="AF30" s="31">
        <f>MATCH($A30,Table!$A:$A,0)+$AH$2-1</f>
        <v>570</v>
      </c>
      <c r="AJ30" s="12">
        <f>MATCH($A30,Table!$A:$A,0)+$AL$2-1</f>
        <v>571</v>
      </c>
      <c r="AN30" s="31">
        <f>MATCH($A30,Table!$A:$A,0)+$AH$2-1</f>
        <v>570</v>
      </c>
      <c r="AR30" s="246" t="s">
        <v>118</v>
      </c>
    </row>
    <row r="31" spans="1:44">
      <c r="A31" s="5">
        <v>41164</v>
      </c>
      <c r="B31" s="35">
        <f ca="1">IF(ISERROR(MATCH(B$1,INDIRECT("Table!A"&amp;$AF31):INDIRECT("Table!" &amp; $AR$159 &amp; $AF31),0)),"",INDIRECT(CONCATENATE("Table!",ADDRESS($AB31,MATCH(B$1,INDIRECT("Table!A" &amp; $AF31):INDIRECT("Table!" &amp; $AR$159 &amp; $AF31),0)))))</f>
        <v>91004.800000000003</v>
      </c>
      <c r="C31" s="35">
        <f ca="1">IF(ISERROR(MATCH(C$1,INDIRECT("Table!A"&amp;$AF31):INDIRECT("Table!" &amp; $AR$159 &amp; $AF31),0)),"",INDIRECT(CONCATENATE("Table!",ADDRESS($AB31,MATCH(C$1,INDIRECT("Table!A" &amp; $AF31):INDIRECT("Table!" &amp; $AR$159 &amp; $AF31),0)))))</f>
        <v>70204.399999999994</v>
      </c>
      <c r="D31" s="35">
        <f ca="1">IF(ISERROR(MATCH(D$1,INDIRECT("Table!A"&amp;$AF31):INDIRECT("Table!" &amp; $AR$159 &amp; $AF31),0)),"",INDIRECT(CONCATENATE("Table!",ADDRESS($AB31,MATCH(D$1,INDIRECT("Table!A" &amp; $AF31):INDIRECT("Table!" &amp; $AR$159 &amp; $AF31),0)))))</f>
        <v>71549.8</v>
      </c>
      <c r="E31" s="35">
        <f ca="1">IF(ISERROR(MATCH(E$1,INDIRECT("Table!A"&amp;$AF31):INDIRECT("Table!" &amp; $AR$159 &amp; $AF31),0)),"",INDIRECT(CONCATENATE("Table!",ADDRESS($AB31,MATCH(E$1,INDIRECT("Table!A" &amp; $AF31):INDIRECT("Table!" &amp; $AR$159 &amp; $AF31),0)))))</f>
        <v>159536.4</v>
      </c>
      <c r="F31" s="35">
        <f ca="1">IF(ISERROR(MATCH(F$1,INDIRECT("Table!A"&amp;$AF31):INDIRECT("Table!" &amp; $AR$159 &amp; $AF31),0)),"",INDIRECT(CONCATENATE("Table!",ADDRESS($AB31,MATCH(F$1,INDIRECT("Table!A" &amp; $AF31):INDIRECT("Table!" &amp; $AR$159 &amp; $AF31),0)))))</f>
        <v>38527</v>
      </c>
      <c r="G31" s="35">
        <f ca="1">IF(ISERROR(MATCH(G$1,INDIRECT("Table!A"&amp;$AF31):INDIRECT("Table!" &amp; $AR$159 &amp; $AF31),0)),"",INDIRECT(CONCATENATE("Table!",ADDRESS($AB31,MATCH(G$1,INDIRECT("Table!A" &amp; $AF31):INDIRECT("Table!" &amp; $AR$159 &amp; $AF31),0)))))</f>
        <v>26453</v>
      </c>
      <c r="H31" s="35">
        <f ca="1">IF(ISERROR(MATCH(H$1,INDIRECT("Table!A"&amp;$AF31):INDIRECT("Table!" &amp; $AR$159 &amp; $AF31),0)),"",INDIRECT(CONCATENATE("Table!",ADDRESS($AB31,MATCH(H$1,INDIRECT("Table!A" &amp; $AF31):INDIRECT("Table!" &amp; $AR$159 &amp; $AF31),0)))))</f>
        <v>45892.3</v>
      </c>
      <c r="I31" s="35">
        <f ca="1">IF(ISERROR(MATCH(I$1,INDIRECT("Table!A"&amp;$AF31):INDIRECT("Table!" &amp; $AR$159 &amp; $AF31),0)),"",INDIRECT(CONCATENATE("Table!",ADDRESS($AB31,MATCH(I$1,INDIRECT("Table!A" &amp; $AF31):INDIRECT("Table!" &amp; $AR$159 &amp; $AF31),0)))))</f>
        <v>141954.79999999999</v>
      </c>
      <c r="J31" s="35">
        <f ca="1">IF(ISERROR(MATCH(J$1,INDIRECT("Table!A"&amp;$AF31):INDIRECT("Table!" &amp; $AR$159 &amp; $AF31),0)),"",INDIRECT(CONCATENATE("Table!",ADDRESS($AB31,MATCH(J$1,INDIRECT("Table!A" &amp; $AF31):INDIRECT("Table!" &amp; $AR$159 &amp; $AF31),0)))))</f>
        <v>41715.5</v>
      </c>
      <c r="K31" s="35">
        <f ca="1">IF(ISERROR(MATCH(K$1,INDIRECT("Table!A"&amp;$AF31):INDIRECT("Table!" &amp; $AR$159 &amp; $AF31),0)),"",INDIRECT(CONCATENATE("Table!",ADDRESS($AB31,MATCH(K$1,INDIRECT("Table!A" &amp; $AF31):INDIRECT("Table!" &amp; $AR$159 &amp; $AF31),0)))))</f>
        <v>23124.799999999999</v>
      </c>
      <c r="L31" s="35">
        <f ca="1">IF(ISERROR(MATCH(L$1,INDIRECT("Table!A"&amp;$AF31):INDIRECT("Table!" &amp; $AR$159 &amp; $AF31),0)),"",INDIRECT(CONCATENATE("Table!",ADDRESS($AB31,MATCH(L$1,INDIRECT("Table!A" &amp; $AF31):INDIRECT("Table!" &amp; $AR$159 &amp; $AF31),0)))))</f>
        <v>93762.7</v>
      </c>
      <c r="M31" s="35">
        <f ca="1">IF(ISERROR(MATCH(M$1,INDIRECT("Table!A"&amp;$AF31):INDIRECT("Table!" &amp; $AR$159 &amp; $AF31),0)),"",INDIRECT(CONCATENATE("Table!",ADDRESS($AB31,MATCH(M$1,INDIRECT("Table!A" &amp; $AF31):INDIRECT("Table!" &amp; $AR$159 &amp; $AF31),0)))))</f>
        <v>23053.200000000001</v>
      </c>
      <c r="N31" s="35" t="str">
        <f ca="1">IF(ISERROR(MATCH(N$1,INDIRECT("Table!A"&amp;$AF31):INDIRECT("Table!" &amp; $AR$188 &amp; $AF31),0)),"",INDIRECT(CONCATENATE("Table!",ADDRESS($AB31,MATCH(N$1,INDIRECT("Table!A" &amp; $AF31):INDIRECT("Table!" &amp; $AR$188 &amp; $AF31),0)))))</f>
        <v/>
      </c>
      <c r="O31" s="35">
        <f ca="1">IF(ISERROR(MATCH(O$1,INDIRECT("Table!A"&amp;$AN31):INDIRECT("Table!" &amp; $AR$159 &amp; $AN31),0)),"",INDIRECT(CONCATENATE("Table!",ADDRESS($AJ31,MATCH(O$1,INDIRECT("Table!A" &amp; $AN31):INDIRECT("Table!" &amp; $AR$159 &amp; $AN31),0)))))</f>
        <v>143392.20000000001</v>
      </c>
      <c r="P31" s="35">
        <f ca="1">IF(ISERROR(MATCH(P$1,INDIRECT("Table!A"&amp;$AN31):INDIRECT("Table!" &amp; $AR$159 &amp; $AN31),0)),"",INDIRECT(CONCATENATE("Table!",ADDRESS($AJ31,MATCH(P$1,INDIRECT("Table!A" &amp; $AN31):INDIRECT("Table!" &amp; $AR$159 &amp; $AN31),0)))))</f>
        <v>150515.79999999999</v>
      </c>
      <c r="Q31" s="35">
        <f ca="1">IF(ISERROR(MATCH(Q$1,INDIRECT("Table!A"&amp;$AN31):INDIRECT("Table!" &amp; $AR$159 &amp; $AN31),0)),"",INDIRECT(CONCATENATE("Table!",ADDRESS($AJ31,MATCH(Q$1,INDIRECT("Table!A" &amp; $AN31):INDIRECT("Table!" &amp; $AR$159 &amp; $AN31),0)))))</f>
        <v>150515.79999999999</v>
      </c>
      <c r="R31" s="35">
        <f ca="1">IF(ISERROR(MATCH(R$1,INDIRECT("Table!A"&amp;$AN31):INDIRECT("Table!" &amp; $AR$159 &amp; $AN31),0)),"",INDIRECT(CONCATENATE("Table!",ADDRESS($AJ31,MATCH(R$1,INDIRECT("Table!A" &amp; $AN31):INDIRECT("Table!" &amp; $AR$159 &amp; $AN31),0)))))</f>
        <v>181997.8</v>
      </c>
      <c r="S31" s="35">
        <f ca="1">IF(ISERROR(MATCH(S$1,INDIRECT("Table!A"&amp;$AN31):INDIRECT("Table!" &amp; $AR$159 &amp; $AN31),0)),"",INDIRECT(CONCATENATE("Table!",ADDRESS($AJ31,MATCH(S$1,INDIRECT("Table!A" &amp; $AN31):INDIRECT("Table!" &amp; $AR$159 &amp; $AN31),0)))))</f>
        <v>165452.5</v>
      </c>
      <c r="T31" s="35">
        <f ca="1">IF(ISERROR(MATCH(T$1,INDIRECT("Table!A"&amp;$AN31):INDIRECT("Table!" &amp; $AR$159 &amp; $AN31),0)),"",INDIRECT(CONCATENATE("Table!",ADDRESS($AJ31,MATCH(T$1,INDIRECT("Table!A" &amp; $AN31):INDIRECT("Table!" &amp; $AR$159 &amp; $AN31),0)))))</f>
        <v>110071.9</v>
      </c>
      <c r="U31" s="35">
        <f ca="1">IF(ISERROR(MATCH(U$1,INDIRECT("Table!A"&amp;$AN31):INDIRECT("Table!" &amp; $AR$159 &amp; $AN31),0)),"",INDIRECT(CONCATENATE("Table!",ADDRESS($AJ31,MATCH(U$1,INDIRECT("Table!A" &amp; $AN31):INDIRECT("Table!" &amp; $AR$159 &amp; $AN31),0)))))</f>
        <v>121331.8</v>
      </c>
      <c r="V31" s="35">
        <f ca="1">IF(ISERROR(MATCH(V$1,INDIRECT("Table!A"&amp;$AN31):INDIRECT("Table!" &amp; $AR$159 &amp; $AN31),0)),"",INDIRECT(CONCATENATE("Table!",ADDRESS($AJ31,MATCH(V$1,INDIRECT("Table!A" &amp; $AN31):INDIRECT("Table!" &amp; $AR$159 &amp; $AN31),0)))))</f>
        <v>170967.6</v>
      </c>
      <c r="W31" s="35">
        <f ca="1">IF(ISERROR(MATCH(W$1,INDIRECT("Table!A"&amp;$AN31):INDIRECT("Table!" &amp; $AR$159 &amp; $AN31),0)),"",INDIRECT(CONCATENATE("Table!",ADDRESS($AJ31,MATCH(W$1,INDIRECT("Table!A" &amp; $AN31):INDIRECT("Table!" &amp; $AR$159 &amp; $AN31),0)))))</f>
        <v>132132.20000000001</v>
      </c>
      <c r="X31" s="35">
        <f ca="1">IF(ISERROR(MATCH(X$1,INDIRECT("Table!A"&amp;$AN31):INDIRECT("Table!" &amp; $AR$159 &amp; $AN31),0)),"",INDIRECT(CONCATENATE("Table!",ADDRESS($AJ31,MATCH(X$1,INDIRECT("Table!A" &amp; $AN31):INDIRECT("Table!" &amp; $AR$159 &amp; $AN31),0)))))</f>
        <v>82726.3</v>
      </c>
      <c r="Y31" s="35">
        <f ca="1">IF(ISERROR(MATCH(Y$1,INDIRECT("Table!A"&amp;$AN31):INDIRECT("Table!" &amp; $AR$159 &amp; $AN31),0)),"",INDIRECT(CONCATENATE("Table!",ADDRESS($AJ31,MATCH(Y$1,INDIRECT("Table!A" &amp; $AN31):INDIRECT("Table!" &amp; $AR$159 &amp; $AN31),0)))))</f>
        <v>176482.7</v>
      </c>
      <c r="Z31" s="35">
        <f ca="1">IF(ISERROR(MATCH(Z$1,INDIRECT("Table!A"&amp;$AN31):INDIRECT("Table!" &amp; $AR$159 &amp; $AN31),0)),"",INDIRECT(CONCATENATE("Table!",ADDRESS($AJ31,MATCH(Z$1,INDIRECT("Table!A" &amp; $AN31):INDIRECT("Table!" &amp; $AR$159 &amp; $AN31),0)))))</f>
        <v>54921</v>
      </c>
      <c r="AA31" s="12"/>
      <c r="AB31" s="12">
        <f>MATCH($A31,Table!$A:$A,0)+$AD$2-1</f>
        <v>585</v>
      </c>
      <c r="AF31" s="31">
        <f>MATCH($A31,Table!$A:$A,0)+$AH$2-1</f>
        <v>583</v>
      </c>
      <c r="AJ31" s="12">
        <f>MATCH($A31,Table!$A:$A,0)+$AL$2-1</f>
        <v>584</v>
      </c>
      <c r="AN31" s="31">
        <f>MATCH($A31,Table!$A:$A,0)+$AH$2-1</f>
        <v>583</v>
      </c>
      <c r="AR31" s="245" t="s">
        <v>118</v>
      </c>
    </row>
    <row r="32" spans="1:44">
      <c r="A32" s="5">
        <v>41162</v>
      </c>
      <c r="B32" s="35">
        <f ca="1">IF(ISERROR(MATCH(B$1,INDIRECT("Table!A"&amp;$AF32):INDIRECT("Table!" &amp; $AR$159 &amp; $AF32),0)),"",INDIRECT(CONCATENATE("Table!",ADDRESS($AB32,MATCH(B$1,INDIRECT("Table!A" &amp; $AF32):INDIRECT("Table!" &amp; $AR$159 &amp; $AF32),0)))))</f>
        <v>90977.8</v>
      </c>
      <c r="C32" s="35">
        <f ca="1">IF(ISERROR(MATCH(C$1,INDIRECT("Table!A"&amp;$AF32):INDIRECT("Table!" &amp; $AR$159 &amp; $AF32),0)),"",INDIRECT(CONCATENATE("Table!",ADDRESS($AB32,MATCH(C$1,INDIRECT("Table!A" &amp; $AF32):INDIRECT("Table!" &amp; $AR$159 &amp; $AF32),0)))))</f>
        <v>70174.3</v>
      </c>
      <c r="D32" s="35">
        <f ca="1">IF(ISERROR(MATCH(D$1,INDIRECT("Table!A"&amp;$AF32):INDIRECT("Table!" &amp; $AR$159 &amp; $AF32),0)),"",INDIRECT(CONCATENATE("Table!",ADDRESS($AB32,MATCH(D$1,INDIRECT("Table!A" &amp; $AF32):INDIRECT("Table!" &amp; $AR$159 &amp; $AF32),0)))))</f>
        <v>71519.5</v>
      </c>
      <c r="E32" s="35">
        <f ca="1">IF(ISERROR(MATCH(E$1,INDIRECT("Table!A"&amp;$AF32):INDIRECT("Table!" &amp; $AR$159 &amp; $AF32),0)),"",INDIRECT(CONCATENATE("Table!",ADDRESS($AB32,MATCH(E$1,INDIRECT("Table!A" &amp; $AF32):INDIRECT("Table!" &amp; $AR$159 &amp; $AF32),0)))))</f>
        <v>159312.20000000001</v>
      </c>
      <c r="F32" s="35">
        <f ca="1">IF(ISERROR(MATCH(F$1,INDIRECT("Table!A"&amp;$AF32):INDIRECT("Table!" &amp; $AR$159 &amp; $AF32),0)),"",INDIRECT(CONCATENATE("Table!",ADDRESS($AB32,MATCH(F$1,INDIRECT("Table!A" &amp; $AF32):INDIRECT("Table!" &amp; $AR$159 &amp; $AF32),0)))))</f>
        <v>37756.1</v>
      </c>
      <c r="G32" s="35">
        <f ca="1">IF(ISERROR(MATCH(G$1,INDIRECT("Table!A"&amp;$AF32):INDIRECT("Table!" &amp; $AR$159 &amp; $AF32),0)),"",INDIRECT(CONCATENATE("Table!",ADDRESS($AB32,MATCH(G$1,INDIRECT("Table!A" &amp; $AF32):INDIRECT("Table!" &amp; $AR$159 &amp; $AF32),0)))))</f>
        <v>26775.7</v>
      </c>
      <c r="H32" s="35">
        <f ca="1">IF(ISERROR(MATCH(H$1,INDIRECT("Table!A"&amp;$AF32):INDIRECT("Table!" &amp; $AR$159 &amp; $AF32),0)),"",INDIRECT(CONCATENATE("Table!",ADDRESS($AB32,MATCH(H$1,INDIRECT("Table!A" &amp; $AF32):INDIRECT("Table!" &amp; $AR$159 &amp; $AF32),0)))))</f>
        <v>45810.7</v>
      </c>
      <c r="I32" s="35">
        <f ca="1">IF(ISERROR(MATCH(I$1,INDIRECT("Table!A"&amp;$AF32):INDIRECT("Table!" &amp; $AR$159 &amp; $AF32),0)),"",INDIRECT(CONCATENATE("Table!",ADDRESS($AB32,MATCH(I$1,INDIRECT("Table!A" &amp; $AF32):INDIRECT("Table!" &amp; $AR$159 &amp; $AF32),0)))))</f>
        <v>141771.4</v>
      </c>
      <c r="J32" s="35">
        <f ca="1">IF(ISERROR(MATCH(J$1,INDIRECT("Table!A"&amp;$AF32):INDIRECT("Table!" &amp; $AR$159 &amp; $AF32),0)),"",INDIRECT(CONCATENATE("Table!",ADDRESS($AB32,MATCH(J$1,INDIRECT("Table!A" &amp; $AF32):INDIRECT("Table!" &amp; $AR$159 &amp; $AF32),0)))))</f>
        <v>42312.3</v>
      </c>
      <c r="K32" s="35">
        <f ca="1">IF(ISERROR(MATCH(K$1,INDIRECT("Table!A"&amp;$AF32):INDIRECT("Table!" &amp; $AR$159 &amp; $AF32),0)),"",INDIRECT(CONCATENATE("Table!",ADDRESS($AB32,MATCH(K$1,INDIRECT("Table!A" &amp; $AF32):INDIRECT("Table!" &amp; $AR$159 &amp; $AF32),0)))))</f>
        <v>22684.400000000001</v>
      </c>
      <c r="L32" s="35">
        <f ca="1">IF(ISERROR(MATCH(L$1,INDIRECT("Table!A"&amp;$AF32):INDIRECT("Table!" &amp; $AR$159 &amp; $AF32),0)),"",INDIRECT(CONCATENATE("Table!",ADDRESS($AB32,MATCH(L$1,INDIRECT("Table!A" &amp; $AF32):INDIRECT("Table!" &amp; $AR$159 &amp; $AF32),0)))))</f>
        <v>93028.3</v>
      </c>
      <c r="M32" s="35">
        <f ca="1">IF(ISERROR(MATCH(M$1,INDIRECT("Table!A"&amp;$AF32):INDIRECT("Table!" &amp; $AR$159 &amp; $AF32),0)),"",INDIRECT(CONCATENATE("Table!",ADDRESS($AB32,MATCH(M$1,INDIRECT("Table!A" &amp; $AF32):INDIRECT("Table!" &amp; $AR$159 &amp; $AF32),0)))))</f>
        <v>23053.200000000001</v>
      </c>
      <c r="N32" s="35" t="str">
        <f ca="1">IF(ISERROR(MATCH(N$1,INDIRECT("Table!A"&amp;$AF32):INDIRECT("Table!" &amp; $AR$188 &amp; $AF32),0)),"",INDIRECT(CONCATENATE("Table!",ADDRESS($AB32,MATCH(N$1,INDIRECT("Table!A" &amp; $AF32):INDIRECT("Table!" &amp; $AR$188 &amp; $AF32),0)))))</f>
        <v/>
      </c>
      <c r="O32" s="35">
        <f ca="1">IF(ISERROR(MATCH(O$1,INDIRECT("Table!A"&amp;$AN32):INDIRECT("Table!" &amp; $AR$159 &amp; $AN32),0)),"",INDIRECT(CONCATENATE("Table!",ADDRESS($AJ32,MATCH(O$1,INDIRECT("Table!A" &amp; $AN32):INDIRECT("Table!" &amp; $AR$159 &amp; $AN32),0)))))</f>
        <v>143392.20000000001</v>
      </c>
      <c r="P32" s="35">
        <f ca="1">IF(ISERROR(MATCH(P$1,INDIRECT("Table!A"&amp;$AN32):INDIRECT("Table!" &amp; $AR$159 &amp; $AN32),0)),"",INDIRECT(CONCATENATE("Table!",ADDRESS($AJ32,MATCH(P$1,INDIRECT("Table!A" &amp; $AN32):INDIRECT("Table!" &amp; $AR$159 &amp; $AN32),0)))))</f>
        <v>150515.79999999999</v>
      </c>
      <c r="Q32" s="35">
        <f ca="1">IF(ISERROR(MATCH(Q$1,INDIRECT("Table!A"&amp;$AN32):INDIRECT("Table!" &amp; $AR$159 &amp; $AN32),0)),"",INDIRECT(CONCATENATE("Table!",ADDRESS($AJ32,MATCH(Q$1,INDIRECT("Table!A" &amp; $AN32):INDIRECT("Table!" &amp; $AR$159 &amp; $AN32),0)))))</f>
        <v>150515.79999999999</v>
      </c>
      <c r="R32" s="35">
        <f ca="1">IF(ISERROR(MATCH(R$1,INDIRECT("Table!A"&amp;$AN32):INDIRECT("Table!" &amp; $AR$159 &amp; $AN32),0)),"",INDIRECT(CONCATENATE("Table!",ADDRESS($AJ32,MATCH(R$1,INDIRECT("Table!A" &amp; $AN32):INDIRECT("Table!" &amp; $AR$159 &amp; $AN32),0)))))</f>
        <v>181997.8</v>
      </c>
      <c r="S32" s="35">
        <f ca="1">IF(ISERROR(MATCH(S$1,INDIRECT("Table!A"&amp;$AN32):INDIRECT("Table!" &amp; $AR$159 &amp; $AN32),0)),"",INDIRECT(CONCATENATE("Table!",ADDRESS($AJ32,MATCH(S$1,INDIRECT("Table!A" &amp; $AN32):INDIRECT("Table!" &amp; $AR$159 &amp; $AN32),0)))))</f>
        <v>165452.5</v>
      </c>
      <c r="T32" s="35">
        <f ca="1">IF(ISERROR(MATCH(T$1,INDIRECT("Table!A"&amp;$AN32):INDIRECT("Table!" &amp; $AR$159 &amp; $AN32),0)),"",INDIRECT(CONCATENATE("Table!",ADDRESS($AJ32,MATCH(T$1,INDIRECT("Table!A" &amp; $AN32):INDIRECT("Table!" &amp; $AR$159 &amp; $AN32),0)))))</f>
        <v>110071.9</v>
      </c>
      <c r="U32" s="35">
        <f ca="1">IF(ISERROR(MATCH(U$1,INDIRECT("Table!A"&amp;$AN32):INDIRECT("Table!" &amp; $AR$159 &amp; $AN32),0)),"",INDIRECT(CONCATENATE("Table!",ADDRESS($AJ32,MATCH(U$1,INDIRECT("Table!A" &amp; $AN32):INDIRECT("Table!" &amp; $AR$159 &amp; $AN32),0)))))</f>
        <v>121331.8</v>
      </c>
      <c r="V32" s="35">
        <f ca="1">IF(ISERROR(MATCH(V$1,INDIRECT("Table!A"&amp;$AN32):INDIRECT("Table!" &amp; $AR$159 &amp; $AN32),0)),"",INDIRECT(CONCATENATE("Table!",ADDRESS($AJ32,MATCH(V$1,INDIRECT("Table!A" &amp; $AN32):INDIRECT("Table!" &amp; $AR$159 &amp; $AN32),0)))))</f>
        <v>170967.6</v>
      </c>
      <c r="W32" s="35">
        <f ca="1">IF(ISERROR(MATCH(W$1,INDIRECT("Table!A"&amp;$AN32):INDIRECT("Table!" &amp; $AR$159 &amp; $AN32),0)),"",INDIRECT(CONCATENATE("Table!",ADDRESS($AJ32,MATCH(W$1,INDIRECT("Table!A" &amp; $AN32):INDIRECT("Table!" &amp; $AR$159 &amp; $AN32),0)))))</f>
        <v>132132.20000000001</v>
      </c>
      <c r="X32" s="35">
        <f ca="1">IF(ISERROR(MATCH(X$1,INDIRECT("Table!A"&amp;$AN32):INDIRECT("Table!" &amp; $AR$159 &amp; $AN32),0)),"",INDIRECT(CONCATENATE("Table!",ADDRESS($AJ32,MATCH(X$1,INDIRECT("Table!A" &amp; $AN32):INDIRECT("Table!" &amp; $AR$159 &amp; $AN32),0)))))</f>
        <v>82726.3</v>
      </c>
      <c r="Y32" s="35">
        <f ca="1">IF(ISERROR(MATCH(Y$1,INDIRECT("Table!A"&amp;$AN32):INDIRECT("Table!" &amp; $AR$159 &amp; $AN32),0)),"",INDIRECT(CONCATENATE("Table!",ADDRESS($AJ32,MATCH(Y$1,INDIRECT("Table!A" &amp; $AN32):INDIRECT("Table!" &amp; $AR$159 &amp; $AN32),0)))))</f>
        <v>176482.7</v>
      </c>
      <c r="Z32" s="35">
        <f ca="1">IF(ISERROR(MATCH(Z$1,INDIRECT("Table!A"&amp;$AN32):INDIRECT("Table!" &amp; $AR$159 &amp; $AN32),0)),"",INDIRECT(CONCATENATE("Table!",ADDRESS($AJ32,MATCH(Z$1,INDIRECT("Table!A" &amp; $AN32):INDIRECT("Table!" &amp; $AR$159 &amp; $AN32),0)))))</f>
        <v>54921</v>
      </c>
      <c r="AA32" s="12"/>
      <c r="AB32" s="12">
        <f>MATCH($A32,Table!$A:$A,0)+$AD$2-1</f>
        <v>598</v>
      </c>
      <c r="AF32" s="31">
        <f>MATCH($A32,Table!$A:$A,0)+$AH$2-1</f>
        <v>596</v>
      </c>
      <c r="AJ32" s="12">
        <f>MATCH($A32,Table!$A:$A,0)+$AL$2-1</f>
        <v>597</v>
      </c>
      <c r="AN32" s="31">
        <f>MATCH($A32,Table!$A:$A,0)+$AH$2-1</f>
        <v>596</v>
      </c>
      <c r="AR32" s="244" t="s">
        <v>118</v>
      </c>
    </row>
    <row r="33" spans="1:44">
      <c r="A33" s="5">
        <v>41159</v>
      </c>
      <c r="B33" s="35">
        <f ca="1">IF(ISERROR(MATCH(B$1,INDIRECT("Table!A"&amp;$AF33):INDIRECT("Table!" &amp; $AR$159 &amp; $AF33),0)),"",INDIRECT(CONCATENATE("Table!",ADDRESS($AB33,MATCH(B$1,INDIRECT("Table!A" &amp; $AF33):INDIRECT("Table!" &amp; $AR$159 &amp; $AF33),0)))))</f>
        <v>90668.1</v>
      </c>
      <c r="C33" s="35">
        <f ca="1">IF(ISERROR(MATCH(C$1,INDIRECT("Table!A"&amp;$AF33):INDIRECT("Table!" &amp; $AR$159 &amp; $AF33),0)),"",INDIRECT(CONCATENATE("Table!",ADDRESS($AB33,MATCH(C$1,INDIRECT("Table!A" &amp; $AF33):INDIRECT("Table!" &amp; $AR$159 &amp; $AF33),0)))))</f>
        <v>70110.8</v>
      </c>
      <c r="D33" s="35">
        <f ca="1">IF(ISERROR(MATCH(D$1,INDIRECT("Table!A"&amp;$AF33):INDIRECT("Table!" &amp; $AR$159 &amp; $AF33),0)),"",INDIRECT(CONCATENATE("Table!",ADDRESS($AB33,MATCH(D$1,INDIRECT("Table!A" &amp; $AF33):INDIRECT("Table!" &amp; $AR$159 &amp; $AF33),0)))))</f>
        <v>71455.899999999994</v>
      </c>
      <c r="E33" s="35">
        <f ca="1">IF(ISERROR(MATCH(E$1,INDIRECT("Table!A"&amp;$AF33):INDIRECT("Table!" &amp; $AR$159 &amp; $AF33),0)),"",INDIRECT(CONCATENATE("Table!",ADDRESS($AB33,MATCH(E$1,INDIRECT("Table!A" &amp; $AF33):INDIRECT("Table!" &amp; $AR$159 &amp; $AF33),0)))))</f>
        <v>159094</v>
      </c>
      <c r="F33" s="35">
        <f ca="1">IF(ISERROR(MATCH(F$1,INDIRECT("Table!A"&amp;$AF33):INDIRECT("Table!" &amp; $AR$159 &amp; $AF33),0)),"",INDIRECT(CONCATENATE("Table!",ADDRESS($AB33,MATCH(F$1,INDIRECT("Table!A" &amp; $AF33):INDIRECT("Table!" &amp; $AR$159 &amp; $AF33),0)))))</f>
        <v>37092.5</v>
      </c>
      <c r="G33" s="35">
        <f ca="1">IF(ISERROR(MATCH(G$1,INDIRECT("Table!A"&amp;$AF33):INDIRECT("Table!" &amp; $AR$159 &amp; $AF33),0)),"",INDIRECT(CONCATENATE("Table!",ADDRESS($AB33,MATCH(G$1,INDIRECT("Table!A" &amp; $AF33):INDIRECT("Table!" &amp; $AR$159 &amp; $AF33),0)))))</f>
        <v>27203.4</v>
      </c>
      <c r="H33" s="35">
        <f ca="1">IF(ISERROR(MATCH(H$1,INDIRECT("Table!A"&amp;$AF33):INDIRECT("Table!" &amp; $AR$159 &amp; $AF33),0)),"",INDIRECT(CONCATENATE("Table!",ADDRESS($AB33,MATCH(H$1,INDIRECT("Table!A" &amp; $AF33):INDIRECT("Table!" &amp; $AR$159 &amp; $AF33),0)))))</f>
        <v>45778</v>
      </c>
      <c r="I33" s="35">
        <f ca="1">IF(ISERROR(MATCH(I$1,INDIRECT("Table!A"&amp;$AF33):INDIRECT("Table!" &amp; $AR$159 &amp; $AF33),0)),"",INDIRECT(CONCATENATE("Table!",ADDRESS($AB33,MATCH(I$1,INDIRECT("Table!A" &amp; $AF33):INDIRECT("Table!" &amp; $AR$159 &amp; $AF33),0)))))</f>
        <v>141593.70000000001</v>
      </c>
      <c r="J33" s="35">
        <f ca="1">IF(ISERROR(MATCH(J$1,INDIRECT("Table!A"&amp;$AF33):INDIRECT("Table!" &amp; $AR$159 &amp; $AF33),0)),"",INDIRECT(CONCATENATE("Table!",ADDRESS($AB33,MATCH(J$1,INDIRECT("Table!A" &amp; $AF33):INDIRECT("Table!" &amp; $AR$159 &amp; $AF33),0)))))</f>
        <v>36940.800000000003</v>
      </c>
      <c r="K33" s="35">
        <f ca="1">IF(ISERROR(MATCH(K$1,INDIRECT("Table!A"&amp;$AF33):INDIRECT("Table!" &amp; $AR$159 &amp; $AF33),0)),"",INDIRECT(CONCATENATE("Table!",ADDRESS($AB33,MATCH(K$1,INDIRECT("Table!A" &amp; $AF33):INDIRECT("Table!" &amp; $AR$159 &amp; $AF33),0)))))</f>
        <v>22241.3</v>
      </c>
      <c r="L33" s="35">
        <f ca="1">IF(ISERROR(MATCH(L$1,INDIRECT("Table!A"&amp;$AF33):INDIRECT("Table!" &amp; $AR$159 &amp; $AF33),0)),"",INDIRECT(CONCATENATE("Table!",ADDRESS($AB33,MATCH(L$1,INDIRECT("Table!A" &amp; $AF33):INDIRECT("Table!" &amp; $AR$159 &amp; $AF33),0)))))</f>
        <v>92968.6</v>
      </c>
      <c r="M33" s="35">
        <f ca="1">IF(ISERROR(MATCH(M$1,INDIRECT("Table!A"&amp;$AF33):INDIRECT("Table!" &amp; $AR$159 &amp; $AF33),0)),"",INDIRECT(CONCATENATE("Table!",ADDRESS($AB33,MATCH(M$1,INDIRECT("Table!A" &amp; $AF33):INDIRECT("Table!" &amp; $AR$159 &amp; $AF33),0)))))</f>
        <v>23053.1</v>
      </c>
      <c r="N33" s="35" t="str">
        <f ca="1">IF(ISERROR(MATCH(N$1,INDIRECT("Table!A"&amp;$AF33):INDIRECT("Table!" &amp; $AR$188 &amp; $AF33),0)),"",INDIRECT(CONCATENATE("Table!",ADDRESS($AB33,MATCH(N$1,INDIRECT("Table!A" &amp; $AF33):INDIRECT("Table!" &amp; $AR$188 &amp; $AF33),0)))))</f>
        <v/>
      </c>
      <c r="O33" s="35">
        <f ca="1">IF(ISERROR(MATCH(O$1,INDIRECT("Table!A"&amp;$AN33):INDIRECT("Table!" &amp; $AR$159 &amp; $AN33),0)),"",INDIRECT(CONCATENATE("Table!",ADDRESS($AJ33,MATCH(O$1,INDIRECT("Table!A" &amp; $AN33):INDIRECT("Table!" &amp; $AR$159 &amp; $AN33),0)))))</f>
        <v>143392.20000000001</v>
      </c>
      <c r="P33" s="35">
        <f ca="1">IF(ISERROR(MATCH(P$1,INDIRECT("Table!A"&amp;$AN33):INDIRECT("Table!" &amp; $AR$159 &amp; $AN33),0)),"",INDIRECT(CONCATENATE("Table!",ADDRESS($AJ33,MATCH(P$1,INDIRECT("Table!A" &amp; $AN33):INDIRECT("Table!" &amp; $AR$159 &amp; $AN33),0)))))</f>
        <v>150515.79999999999</v>
      </c>
      <c r="Q33" s="35">
        <f ca="1">IF(ISERROR(MATCH(Q$1,INDIRECT("Table!A"&amp;$AN33):INDIRECT("Table!" &amp; $AR$159 &amp; $AN33),0)),"",INDIRECT(CONCATENATE("Table!",ADDRESS($AJ33,MATCH(Q$1,INDIRECT("Table!A" &amp; $AN33):INDIRECT("Table!" &amp; $AR$159 &amp; $AN33),0)))))</f>
        <v>150515.79999999999</v>
      </c>
      <c r="R33" s="35">
        <f ca="1">IF(ISERROR(MATCH(R$1,INDIRECT("Table!A"&amp;$AN33):INDIRECT("Table!" &amp; $AR$159 &amp; $AN33),0)),"",INDIRECT(CONCATENATE("Table!",ADDRESS($AJ33,MATCH(R$1,INDIRECT("Table!A" &amp; $AN33):INDIRECT("Table!" &amp; $AR$159 &amp; $AN33),0)))))</f>
        <v>181997.8</v>
      </c>
      <c r="S33" s="35">
        <f ca="1">IF(ISERROR(MATCH(S$1,INDIRECT("Table!A"&amp;$AN33):INDIRECT("Table!" &amp; $AR$159 &amp; $AN33),0)),"",INDIRECT(CONCATENATE("Table!",ADDRESS($AJ33,MATCH(S$1,INDIRECT("Table!A" &amp; $AN33):INDIRECT("Table!" &amp; $AR$159 &amp; $AN33),0)))))</f>
        <v>165452.5</v>
      </c>
      <c r="T33" s="35">
        <f ca="1">IF(ISERROR(MATCH(T$1,INDIRECT("Table!A"&amp;$AN33):INDIRECT("Table!" &amp; $AR$159 &amp; $AN33),0)),"",INDIRECT(CONCATENATE("Table!",ADDRESS($AJ33,MATCH(T$1,INDIRECT("Table!A" &amp; $AN33):INDIRECT("Table!" &amp; $AR$159 &amp; $AN33),0)))))</f>
        <v>110071.9</v>
      </c>
      <c r="U33" s="35">
        <f ca="1">IF(ISERROR(MATCH(U$1,INDIRECT("Table!A"&amp;$AN33):INDIRECT("Table!" &amp; $AR$159 &amp; $AN33),0)),"",INDIRECT(CONCATENATE("Table!",ADDRESS($AJ33,MATCH(U$1,INDIRECT("Table!A" &amp; $AN33):INDIRECT("Table!" &amp; $AR$159 &amp; $AN33),0)))))</f>
        <v>121331.8</v>
      </c>
      <c r="V33" s="35">
        <f ca="1">IF(ISERROR(MATCH(V$1,INDIRECT("Table!A"&amp;$AN33):INDIRECT("Table!" &amp; $AR$159 &amp; $AN33),0)),"",INDIRECT(CONCATENATE("Table!",ADDRESS($AJ33,MATCH(V$1,INDIRECT("Table!A" &amp; $AN33):INDIRECT("Table!" &amp; $AR$159 &amp; $AN33),0)))))</f>
        <v>170967.6</v>
      </c>
      <c r="W33" s="35">
        <f ca="1">IF(ISERROR(MATCH(W$1,INDIRECT("Table!A"&amp;$AN33):INDIRECT("Table!" &amp; $AR$159 &amp; $AN33),0)),"",INDIRECT(CONCATENATE("Table!",ADDRESS($AJ33,MATCH(W$1,INDIRECT("Table!A" &amp; $AN33):INDIRECT("Table!" &amp; $AR$159 &amp; $AN33),0)))))</f>
        <v>132132.20000000001</v>
      </c>
      <c r="X33" s="35">
        <f ca="1">IF(ISERROR(MATCH(X$1,INDIRECT("Table!A"&amp;$AN33):INDIRECT("Table!" &amp; $AR$159 &amp; $AN33),0)),"",INDIRECT(CONCATENATE("Table!",ADDRESS($AJ33,MATCH(X$1,INDIRECT("Table!A" &amp; $AN33):INDIRECT("Table!" &amp; $AR$159 &amp; $AN33),0)))))</f>
        <v>82726.3</v>
      </c>
      <c r="Y33" s="35">
        <f ca="1">IF(ISERROR(MATCH(Y$1,INDIRECT("Table!A"&amp;$AN33):INDIRECT("Table!" &amp; $AR$159 &amp; $AN33),0)),"",INDIRECT(CONCATENATE("Table!",ADDRESS($AJ33,MATCH(Y$1,INDIRECT("Table!A" &amp; $AN33):INDIRECT("Table!" &amp; $AR$159 &amp; $AN33),0)))))</f>
        <v>176482.7</v>
      </c>
      <c r="Z33" s="35">
        <f ca="1">IF(ISERROR(MATCH(Z$1,INDIRECT("Table!A"&amp;$AN33):INDIRECT("Table!" &amp; $AR$159 &amp; $AN33),0)),"",INDIRECT(CONCATENATE("Table!",ADDRESS($AJ33,MATCH(Z$1,INDIRECT("Table!A" &amp; $AN33):INDIRECT("Table!" &amp; $AR$159 &amp; $AN33),0)))))</f>
        <v>54921</v>
      </c>
      <c r="AA33" s="12"/>
      <c r="AB33" s="12">
        <f>MATCH($A33,Table!$A:$A,0)+$AD$2-1</f>
        <v>611</v>
      </c>
      <c r="AF33" s="31">
        <f>MATCH($A33,Table!$A:$A,0)+$AH$2-1</f>
        <v>609</v>
      </c>
      <c r="AJ33" s="12">
        <f>MATCH($A33,Table!$A:$A,0)+$AL$2-1</f>
        <v>610</v>
      </c>
      <c r="AN33" s="31">
        <f>MATCH($A33,Table!$A:$A,0)+$AH$2-1</f>
        <v>609</v>
      </c>
      <c r="AR33" s="243" t="s">
        <v>118</v>
      </c>
    </row>
    <row r="34" spans="1:44">
      <c r="A34" s="5">
        <v>41156</v>
      </c>
      <c r="B34" s="35">
        <f ca="1">IF(ISERROR(MATCH(B$1,INDIRECT("Table!A"&amp;$AF34):INDIRECT("Table!" &amp; $AR$159 &amp; $AF34),0)),"",INDIRECT(CONCATENATE("Table!",ADDRESS($AB34,MATCH(B$1,INDIRECT("Table!A" &amp; $AF34):INDIRECT("Table!" &amp; $AR$159 &amp; $AF34),0)))))</f>
        <v>89960.8</v>
      </c>
      <c r="C34" s="35">
        <f ca="1">IF(ISERROR(MATCH(C$1,INDIRECT("Table!A"&amp;$AF34):INDIRECT("Table!" &amp; $AR$159 &amp; $AF34),0)),"",INDIRECT(CONCATENATE("Table!",ADDRESS($AB34,MATCH(C$1,INDIRECT("Table!A" &amp; $AF34):INDIRECT("Table!" &amp; $AR$159 &amp; $AF34),0)))))</f>
        <v>69647.899999999994</v>
      </c>
      <c r="D34" s="35">
        <f ca="1">IF(ISERROR(MATCH(D$1,INDIRECT("Table!A"&amp;$AF34):INDIRECT("Table!" &amp; $AR$159 &amp; $AF34),0)),"",INDIRECT(CONCATENATE("Table!",ADDRESS($AB34,MATCH(D$1,INDIRECT("Table!A" &amp; $AF34):INDIRECT("Table!" &amp; $AR$159 &amp; $AF34),0)))))</f>
        <v>70994.3</v>
      </c>
      <c r="E34" s="35">
        <f ca="1">IF(ISERROR(MATCH(E$1,INDIRECT("Table!A"&amp;$AF34):INDIRECT("Table!" &amp; $AR$159 &amp; $AF34),0)),"",INDIRECT(CONCATENATE("Table!",ADDRESS($AB34,MATCH(E$1,INDIRECT("Table!A" &amp; $AF34):INDIRECT("Table!" &amp; $AR$159 &amp; $AF34),0)))))</f>
        <v>158600.70000000001</v>
      </c>
      <c r="F34" s="35">
        <f ca="1">IF(ISERROR(MATCH(F$1,INDIRECT("Table!A"&amp;$AF34):INDIRECT("Table!" &amp; $AR$159 &amp; $AF34),0)),"",INDIRECT(CONCATENATE("Table!",ADDRESS($AB34,MATCH(F$1,INDIRECT("Table!A" &amp; $AF34):INDIRECT("Table!" &amp; $AR$159 &amp; $AF34),0)))))</f>
        <v>36428.1</v>
      </c>
      <c r="G34" s="35">
        <f ca="1">IF(ISERROR(MATCH(G$1,INDIRECT("Table!A"&amp;$AF34):INDIRECT("Table!" &amp; $AR$159 &amp; $AF34),0)),"",INDIRECT(CONCATENATE("Table!",ADDRESS($AB34,MATCH(G$1,INDIRECT("Table!A" &amp; $AF34):INDIRECT("Table!" &amp; $AR$159 &amp; $AF34),0)))))</f>
        <v>26633.3</v>
      </c>
      <c r="H34" s="35">
        <f ca="1">IF(ISERROR(MATCH(H$1,INDIRECT("Table!A"&amp;$AF34):INDIRECT("Table!" &amp; $AR$159 &amp; $AF34),0)),"",INDIRECT(CONCATENATE("Table!",ADDRESS($AB34,MATCH(H$1,INDIRECT("Table!A" &amp; $AF34):INDIRECT("Table!" &amp; $AR$159 &amp; $AF34),0)))))</f>
        <v>45483.5</v>
      </c>
      <c r="I34" s="35">
        <f ca="1">IF(ISERROR(MATCH(I$1,INDIRECT("Table!A"&amp;$AF34):INDIRECT("Table!" &amp; $AR$159 &amp; $AF34),0)),"",INDIRECT(CONCATENATE("Table!",ADDRESS($AB34,MATCH(I$1,INDIRECT("Table!A" &amp; $AF34):INDIRECT("Table!" &amp; $AR$159 &amp; $AF34),0)))))</f>
        <v>141201.79999999999</v>
      </c>
      <c r="J34" s="35">
        <f ca="1">IF(ISERROR(MATCH(J$1,INDIRECT("Table!A"&amp;$AF34):INDIRECT("Table!" &amp; $AR$159 &amp; $AF34),0)),"",INDIRECT(CONCATENATE("Table!",ADDRESS($AB34,MATCH(J$1,INDIRECT("Table!A" &amp; $AF34):INDIRECT("Table!" &amp; $AR$159 &amp; $AF34),0)))))</f>
        <v>36199.9</v>
      </c>
      <c r="K34" s="35">
        <f ca="1">IF(ISERROR(MATCH(K$1,INDIRECT("Table!A"&amp;$AF34):INDIRECT("Table!" &amp; $AR$159 &amp; $AF34),0)),"",INDIRECT(CONCATENATE("Table!",ADDRESS($AB34,MATCH(K$1,INDIRECT("Table!A" &amp; $AF34):INDIRECT("Table!" &amp; $AR$159 &amp; $AF34),0)))))</f>
        <v>21888.5</v>
      </c>
      <c r="L34" s="35">
        <f ca="1">IF(ISERROR(MATCH(L$1,INDIRECT("Table!A"&amp;$AF34):INDIRECT("Table!" &amp; $AR$159 &amp; $AF34),0)),"",INDIRECT(CONCATENATE("Table!",ADDRESS($AB34,MATCH(L$1,INDIRECT("Table!A" &amp; $AF34):INDIRECT("Table!" &amp; $AR$159 &amp; $AF34),0)))))</f>
        <v>92525.1</v>
      </c>
      <c r="M34" s="35">
        <f ca="1">IF(ISERROR(MATCH(M$1,INDIRECT("Table!A"&amp;$AF34):INDIRECT("Table!" &amp; $AR$159 &amp; $AF34),0)),"",INDIRECT(CONCATENATE("Table!",ADDRESS($AB34,MATCH(M$1,INDIRECT("Table!A" &amp; $AF34):INDIRECT("Table!" &amp; $AR$159 &amp; $AF34),0)))))</f>
        <v>23044.1</v>
      </c>
      <c r="N34" s="35" t="str">
        <f ca="1">IF(ISERROR(MATCH(N$1,INDIRECT("Table!A"&amp;$AF34):INDIRECT("Table!" &amp; $AR$188 &amp; $AF34),0)),"",INDIRECT(CONCATENATE("Table!",ADDRESS($AB34,MATCH(N$1,INDIRECT("Table!A" &amp; $AF34):INDIRECT("Table!" &amp; $AR$188 &amp; $AF34),0)))))</f>
        <v/>
      </c>
      <c r="O34" s="35">
        <f ca="1">IF(ISERROR(MATCH(O$1,INDIRECT("Table!A"&amp;$AN34):INDIRECT("Table!" &amp; $AR$159 &amp; $AN34),0)),"",INDIRECT(CONCATENATE("Table!",ADDRESS($AJ34,MATCH(O$1,INDIRECT("Table!A" &amp; $AN34):INDIRECT("Table!" &amp; $AR$159 &amp; $AN34),0)))))</f>
        <v>143392.20000000001</v>
      </c>
      <c r="P34" s="35">
        <f ca="1">IF(ISERROR(MATCH(P$1,INDIRECT("Table!A"&amp;$AN34):INDIRECT("Table!" &amp; $AR$159 &amp; $AN34),0)),"",INDIRECT(CONCATENATE("Table!",ADDRESS($AJ34,MATCH(P$1,INDIRECT("Table!A" &amp; $AN34):INDIRECT("Table!" &amp; $AR$159 &amp; $AN34),0)))))</f>
        <v>150515.79999999999</v>
      </c>
      <c r="Q34" s="35">
        <f ca="1">IF(ISERROR(MATCH(Q$1,INDIRECT("Table!A"&amp;$AN34):INDIRECT("Table!" &amp; $AR$159 &amp; $AN34),0)),"",INDIRECT(CONCATENATE("Table!",ADDRESS($AJ34,MATCH(Q$1,INDIRECT("Table!A" &amp; $AN34):INDIRECT("Table!" &amp; $AR$159 &amp; $AN34),0)))))</f>
        <v>150515.79999999999</v>
      </c>
      <c r="R34" s="35">
        <f ca="1">IF(ISERROR(MATCH(R$1,INDIRECT("Table!A"&amp;$AN34):INDIRECT("Table!" &amp; $AR$159 &amp; $AN34),0)),"",INDIRECT(CONCATENATE("Table!",ADDRESS($AJ34,MATCH(R$1,INDIRECT("Table!A" &amp; $AN34):INDIRECT("Table!" &amp; $AR$159 &amp; $AN34),0)))))</f>
        <v>181997.8</v>
      </c>
      <c r="S34" s="35">
        <f ca="1">IF(ISERROR(MATCH(S$1,INDIRECT("Table!A"&amp;$AN34):INDIRECT("Table!" &amp; $AR$159 &amp; $AN34),0)),"",INDIRECT(CONCATENATE("Table!",ADDRESS($AJ34,MATCH(S$1,INDIRECT("Table!A" &amp; $AN34):INDIRECT("Table!" &amp; $AR$159 &amp; $AN34),0)))))</f>
        <v>165452.5</v>
      </c>
      <c r="T34" s="35">
        <f ca="1">IF(ISERROR(MATCH(T$1,INDIRECT("Table!A"&amp;$AN34):INDIRECT("Table!" &amp; $AR$159 &amp; $AN34),0)),"",INDIRECT(CONCATENATE("Table!",ADDRESS($AJ34,MATCH(T$1,INDIRECT("Table!A" &amp; $AN34):INDIRECT("Table!" &amp; $AR$159 &amp; $AN34),0)))))</f>
        <v>110071.9</v>
      </c>
      <c r="U34" s="35">
        <f ca="1">IF(ISERROR(MATCH(U$1,INDIRECT("Table!A"&amp;$AN34):INDIRECT("Table!" &amp; $AR$159 &amp; $AN34),0)),"",INDIRECT(CONCATENATE("Table!",ADDRESS($AJ34,MATCH(U$1,INDIRECT("Table!A" &amp; $AN34):INDIRECT("Table!" &amp; $AR$159 &amp; $AN34),0)))))</f>
        <v>121331.8</v>
      </c>
      <c r="V34" s="35">
        <f ca="1">IF(ISERROR(MATCH(V$1,INDIRECT("Table!A"&amp;$AN34):INDIRECT("Table!" &amp; $AR$159 &amp; $AN34),0)),"",INDIRECT(CONCATENATE("Table!",ADDRESS($AJ34,MATCH(V$1,INDIRECT("Table!A" &amp; $AN34):INDIRECT("Table!" &amp; $AR$159 &amp; $AN34),0)))))</f>
        <v>170967.6</v>
      </c>
      <c r="W34" s="35">
        <f ca="1">IF(ISERROR(MATCH(W$1,INDIRECT("Table!A"&amp;$AN34):INDIRECT("Table!" &amp; $AR$159 &amp; $AN34),0)),"",INDIRECT(CONCATENATE("Table!",ADDRESS($AJ34,MATCH(W$1,INDIRECT("Table!A" &amp; $AN34):INDIRECT("Table!" &amp; $AR$159 &amp; $AN34),0)))))</f>
        <v>132132.20000000001</v>
      </c>
      <c r="X34" s="35">
        <f ca="1">IF(ISERROR(MATCH(X$1,INDIRECT("Table!A"&amp;$AN34):INDIRECT("Table!" &amp; $AR$159 &amp; $AN34),0)),"",INDIRECT(CONCATENATE("Table!",ADDRESS($AJ34,MATCH(X$1,INDIRECT("Table!A" &amp; $AN34):INDIRECT("Table!" &amp; $AR$159 &amp; $AN34),0)))))</f>
        <v>82726.3</v>
      </c>
      <c r="Y34" s="35">
        <f ca="1">IF(ISERROR(MATCH(Y$1,INDIRECT("Table!A"&amp;$AN34):INDIRECT("Table!" &amp; $AR$159 &amp; $AN34),0)),"",INDIRECT(CONCATENATE("Table!",ADDRESS($AJ34,MATCH(Y$1,INDIRECT("Table!A" &amp; $AN34):INDIRECT("Table!" &amp; $AR$159 &amp; $AN34),0)))))</f>
        <v>176482.7</v>
      </c>
      <c r="Z34" s="35">
        <f ca="1">IF(ISERROR(MATCH(Z$1,INDIRECT("Table!A"&amp;$AN34):INDIRECT("Table!" &amp; $AR$159 &amp; $AN34),0)),"",INDIRECT(CONCATENATE("Table!",ADDRESS($AJ34,MATCH(Z$1,INDIRECT("Table!A" &amp; $AN34):INDIRECT("Table!" &amp; $AR$159 &amp; $AN34),0)))))</f>
        <v>54921</v>
      </c>
      <c r="AA34" s="12"/>
      <c r="AB34" s="12">
        <f>MATCH($A34,Table!$A:$A,0)+$AD$2-1</f>
        <v>624</v>
      </c>
      <c r="AF34" s="31">
        <f>MATCH($A34,Table!$A:$A,0)+$AH$2-1</f>
        <v>622</v>
      </c>
      <c r="AJ34" s="12">
        <f>MATCH($A34,Table!$A:$A,0)+$AL$2-1</f>
        <v>623</v>
      </c>
      <c r="AN34" s="31">
        <f>MATCH($A34,Table!$A:$A,0)+$AH$2-1</f>
        <v>622</v>
      </c>
      <c r="AR34" s="242" t="s">
        <v>118</v>
      </c>
    </row>
    <row r="35" spans="1:44">
      <c r="A35" s="5">
        <v>41151</v>
      </c>
      <c r="B35" s="35">
        <f ca="1">IF(ISERROR(MATCH(B$1,INDIRECT("Table!A"&amp;$AF35):INDIRECT("Table!" &amp; $AR$159 &amp; $AF35),0)),"",INDIRECT(CONCATENATE("Table!",ADDRESS($AB35,MATCH(B$1,INDIRECT("Table!A" &amp; $AF35):INDIRECT("Table!" &amp; $AR$159 &amp; $AF35),0)))))</f>
        <v>89999.5</v>
      </c>
      <c r="C35" s="35">
        <f ca="1">IF(ISERROR(MATCH(C$1,INDIRECT("Table!A"&amp;$AF35):INDIRECT("Table!" &amp; $AR$159 &amp; $AF35),0)),"",INDIRECT(CONCATENATE("Table!",ADDRESS($AB35,MATCH(C$1,INDIRECT("Table!A" &amp; $AF35):INDIRECT("Table!" &amp; $AR$159 &amp; $AF35),0)))))</f>
        <v>69645.399999999994</v>
      </c>
      <c r="D35" s="35">
        <f ca="1">IF(ISERROR(MATCH(D$1,INDIRECT("Table!A"&amp;$AF35):INDIRECT("Table!" &amp; $AR$159 &amp; $AF35),0)),"",INDIRECT(CONCATENATE("Table!",ADDRESS($AB35,MATCH(D$1,INDIRECT("Table!A" &amp; $AF35):INDIRECT("Table!" &amp; $AR$159 &amp; $AF35),0)))))</f>
        <v>70991.8</v>
      </c>
      <c r="E35" s="35">
        <f ca="1">IF(ISERROR(MATCH(E$1,INDIRECT("Table!A"&amp;$AF35):INDIRECT("Table!" &amp; $AR$159 &amp; $AF35),0)),"",INDIRECT(CONCATENATE("Table!",ADDRESS($AB35,MATCH(E$1,INDIRECT("Table!A" &amp; $AF35):INDIRECT("Table!" &amp; $AR$159 &amp; $AF35),0)))))</f>
        <v>158530.4</v>
      </c>
      <c r="F35" s="35">
        <f ca="1">IF(ISERROR(MATCH(F$1,INDIRECT("Table!A"&amp;$AF35):INDIRECT("Table!" &amp; $AR$159 &amp; $AF35),0)),"",INDIRECT(CONCATENATE("Table!",ADDRESS($AB35,MATCH(F$1,INDIRECT("Table!A" &amp; $AF35):INDIRECT("Table!" &amp; $AR$159 &amp; $AF35),0)))))</f>
        <v>36396.1</v>
      </c>
      <c r="G35" s="35">
        <f ca="1">IF(ISERROR(MATCH(G$1,INDIRECT("Table!A"&amp;$AF35):INDIRECT("Table!" &amp; $AR$159 &amp; $AF35),0)),"",INDIRECT(CONCATENATE("Table!",ADDRESS($AB35,MATCH(G$1,INDIRECT("Table!A" &amp; $AF35):INDIRECT("Table!" &amp; $AR$159 &amp; $AF35),0)))))</f>
        <v>26561.5</v>
      </c>
      <c r="H35" s="35">
        <f ca="1">IF(ISERROR(MATCH(H$1,INDIRECT("Table!A"&amp;$AF35):INDIRECT("Table!" &amp; $AR$159 &amp; $AF35),0)),"",INDIRECT(CONCATENATE("Table!",ADDRESS($AB35,MATCH(H$1,INDIRECT("Table!A" &amp; $AF35):INDIRECT("Table!" &amp; $AR$159 &amp; $AF35),0)))))</f>
        <v>45477.599999999999</v>
      </c>
      <c r="I35" s="35">
        <f ca="1">IF(ISERROR(MATCH(I$1,INDIRECT("Table!A"&amp;$AF35):INDIRECT("Table!" &amp; $AR$159 &amp; $AF35),0)),"",INDIRECT(CONCATENATE("Table!",ADDRESS($AB35,MATCH(I$1,INDIRECT("Table!A" &amp; $AF35):INDIRECT("Table!" &amp; $AR$159 &amp; $AF35),0)))))</f>
        <v>141078.6</v>
      </c>
      <c r="J35" s="35">
        <f ca="1">IF(ISERROR(MATCH(J$1,INDIRECT("Table!A"&amp;$AF35):INDIRECT("Table!" &amp; $AR$159 &amp; $AF35),0)),"",INDIRECT(CONCATENATE("Table!",ADDRESS($AB35,MATCH(J$1,INDIRECT("Table!A" &amp; $AF35):INDIRECT("Table!" &amp; $AR$159 &amp; $AF35),0)))))</f>
        <v>35969.9</v>
      </c>
      <c r="K35" s="35">
        <f ca="1">IF(ISERROR(MATCH(K$1,INDIRECT("Table!A"&amp;$AF35):INDIRECT("Table!" &amp; $AR$159 &amp; $AF35),0)),"",INDIRECT(CONCATENATE("Table!",ADDRESS($AB35,MATCH(K$1,INDIRECT("Table!A" &amp; $AF35):INDIRECT("Table!" &amp; $AR$159 &amp; $AF35),0)))))</f>
        <v>21869.9</v>
      </c>
      <c r="L35" s="35">
        <f ca="1">IF(ISERROR(MATCH(L$1,INDIRECT("Table!A"&amp;$AF35):INDIRECT("Table!" &amp; $AR$159 &amp; $AF35),0)),"",INDIRECT(CONCATENATE("Table!",ADDRESS($AB35,MATCH(L$1,INDIRECT("Table!A" &amp; $AF35):INDIRECT("Table!" &amp; $AR$159 &amp; $AF35),0)))))</f>
        <v>92488.8</v>
      </c>
      <c r="M35" s="35">
        <f ca="1">IF(ISERROR(MATCH(M$1,INDIRECT("Table!A"&amp;$AF35):INDIRECT("Table!" &amp; $AR$159 &amp; $AF35),0)),"",INDIRECT(CONCATENATE("Table!",ADDRESS($AB35,MATCH(M$1,INDIRECT("Table!A" &amp; $AF35):INDIRECT("Table!" &amp; $AR$159 &amp; $AF35),0)))))</f>
        <v>23031.200000000001</v>
      </c>
      <c r="N35" s="35" t="str">
        <f ca="1">IF(ISERROR(MATCH(N$1,INDIRECT("Table!A"&amp;$AF35):INDIRECT("Table!" &amp; $AR$188 &amp; $AF35),0)),"",INDIRECT(CONCATENATE("Table!",ADDRESS($AB35,MATCH(N$1,INDIRECT("Table!A" &amp; $AF35):INDIRECT("Table!" &amp; $AR$188 &amp; $AF35),0)))))</f>
        <v/>
      </c>
      <c r="O35" s="35">
        <f ca="1">IF(ISERROR(MATCH(O$1,INDIRECT("Table!A"&amp;$AN35):INDIRECT("Table!" &amp; $AR$159 &amp; $AN35),0)),"",INDIRECT(CONCATENATE("Table!",ADDRESS($AJ35,MATCH(O$1,INDIRECT("Table!A" &amp; $AN35):INDIRECT("Table!" &amp; $AR$159 &amp; $AN35),0)))))</f>
        <v>143392.20000000001</v>
      </c>
      <c r="P35" s="35">
        <f ca="1">IF(ISERROR(MATCH(P$1,INDIRECT("Table!A"&amp;$AN35):INDIRECT("Table!" &amp; $AR$159 &amp; $AN35),0)),"",INDIRECT(CONCATENATE("Table!",ADDRESS($AJ35,MATCH(P$1,INDIRECT("Table!A" &amp; $AN35):INDIRECT("Table!" &amp; $AR$159 &amp; $AN35),0)))))</f>
        <v>150515.79999999999</v>
      </c>
      <c r="Q35" s="35">
        <f ca="1">IF(ISERROR(MATCH(Q$1,INDIRECT("Table!A"&amp;$AN35):INDIRECT("Table!" &amp; $AR$159 &amp; $AN35),0)),"",INDIRECT(CONCATENATE("Table!",ADDRESS($AJ35,MATCH(Q$1,INDIRECT("Table!A" &amp; $AN35):INDIRECT("Table!" &amp; $AR$159 &amp; $AN35),0)))))</f>
        <v>150515.79999999999</v>
      </c>
      <c r="R35" s="35">
        <f ca="1">IF(ISERROR(MATCH(R$1,INDIRECT("Table!A"&amp;$AN35):INDIRECT("Table!" &amp; $AR$159 &amp; $AN35),0)),"",INDIRECT(CONCATENATE("Table!",ADDRESS($AJ35,MATCH(R$1,INDIRECT("Table!A" &amp; $AN35):INDIRECT("Table!" &amp; $AR$159 &amp; $AN35),0)))))</f>
        <v>181997.8</v>
      </c>
      <c r="S35" s="35">
        <f ca="1">IF(ISERROR(MATCH(S$1,INDIRECT("Table!A"&amp;$AN35):INDIRECT("Table!" &amp; $AR$159 &amp; $AN35),0)),"",INDIRECT(CONCATENATE("Table!",ADDRESS($AJ35,MATCH(S$1,INDIRECT("Table!A" &amp; $AN35):INDIRECT("Table!" &amp; $AR$159 &amp; $AN35),0)))))</f>
        <v>165452.5</v>
      </c>
      <c r="T35" s="35">
        <f ca="1">IF(ISERROR(MATCH(T$1,INDIRECT("Table!A"&amp;$AN35):INDIRECT("Table!" &amp; $AR$159 &amp; $AN35),0)),"",INDIRECT(CONCATENATE("Table!",ADDRESS($AJ35,MATCH(T$1,INDIRECT("Table!A" &amp; $AN35):INDIRECT("Table!" &amp; $AR$159 &amp; $AN35),0)))))</f>
        <v>110071.9</v>
      </c>
      <c r="U35" s="35">
        <f ca="1">IF(ISERROR(MATCH(U$1,INDIRECT("Table!A"&amp;$AN35):INDIRECT("Table!" &amp; $AR$159 &amp; $AN35),0)),"",INDIRECT(CONCATENATE("Table!",ADDRESS($AJ35,MATCH(U$1,INDIRECT("Table!A" &amp; $AN35):INDIRECT("Table!" &amp; $AR$159 &amp; $AN35),0)))))</f>
        <v>121331.8</v>
      </c>
      <c r="V35" s="35">
        <f ca="1">IF(ISERROR(MATCH(V$1,INDIRECT("Table!A"&amp;$AN35):INDIRECT("Table!" &amp; $AR$159 &amp; $AN35),0)),"",INDIRECT(CONCATENATE("Table!",ADDRESS($AJ35,MATCH(V$1,INDIRECT("Table!A" &amp; $AN35):INDIRECT("Table!" &amp; $AR$159 &amp; $AN35),0)))))</f>
        <v>170967.6</v>
      </c>
      <c r="W35" s="35">
        <f ca="1">IF(ISERROR(MATCH(W$1,INDIRECT("Table!A"&amp;$AN35):INDIRECT("Table!" &amp; $AR$159 &amp; $AN35),0)),"",INDIRECT(CONCATENATE("Table!",ADDRESS($AJ35,MATCH(W$1,INDIRECT("Table!A" &amp; $AN35):INDIRECT("Table!" &amp; $AR$159 &amp; $AN35),0)))))</f>
        <v>132132.20000000001</v>
      </c>
      <c r="X35" s="35">
        <f ca="1">IF(ISERROR(MATCH(X$1,INDIRECT("Table!A"&amp;$AN35):INDIRECT("Table!" &amp; $AR$159 &amp; $AN35),0)),"",INDIRECT(CONCATENATE("Table!",ADDRESS($AJ35,MATCH(X$1,INDIRECT("Table!A" &amp; $AN35):INDIRECT("Table!" &amp; $AR$159 &amp; $AN35),0)))))</f>
        <v>82726.3</v>
      </c>
      <c r="Y35" s="35">
        <f ca="1">IF(ISERROR(MATCH(Y$1,INDIRECT("Table!A"&amp;$AN35):INDIRECT("Table!" &amp; $AR$159 &amp; $AN35),0)),"",INDIRECT(CONCATENATE("Table!",ADDRESS($AJ35,MATCH(Y$1,INDIRECT("Table!A" &amp; $AN35):INDIRECT("Table!" &amp; $AR$159 &amp; $AN35),0)))))</f>
        <v>176482.7</v>
      </c>
      <c r="Z35" s="35">
        <f ca="1">IF(ISERROR(MATCH(Z$1,INDIRECT("Table!A"&amp;$AN35):INDIRECT("Table!" &amp; $AR$159 &amp; $AN35),0)),"",INDIRECT(CONCATENATE("Table!",ADDRESS($AJ35,MATCH(Z$1,INDIRECT("Table!A" &amp; $AN35):INDIRECT("Table!" &amp; $AR$159 &amp; $AN35),0)))))</f>
        <v>54921</v>
      </c>
      <c r="AA35" s="12"/>
      <c r="AB35" s="12">
        <f>MATCH($A35,Table!$A:$A,0)+$AD$2-1</f>
        <v>637</v>
      </c>
      <c r="AF35" s="31">
        <f>MATCH($A35,Table!$A:$A,0)+$AH$2-1</f>
        <v>635</v>
      </c>
      <c r="AJ35" s="12">
        <f>MATCH($A35,Table!$A:$A,0)+$AL$2-1</f>
        <v>636</v>
      </c>
      <c r="AN35" s="31">
        <f>MATCH($A35,Table!$A:$A,0)+$AH$2-1</f>
        <v>635</v>
      </c>
      <c r="AR35" s="241" t="s">
        <v>118</v>
      </c>
    </row>
    <row r="36" spans="1:44">
      <c r="A36" s="5">
        <v>41150</v>
      </c>
      <c r="B36" s="35">
        <f ca="1">IF(ISERROR(MATCH(B$1,INDIRECT("Table!A"&amp;$AF36):INDIRECT("Table!" &amp; $AR$159 &amp; $AF36),0)),"",INDIRECT(CONCATENATE("Table!",ADDRESS($AB36,MATCH(B$1,INDIRECT("Table!A" &amp; $AF36):INDIRECT("Table!" &amp; $AR$159 &amp; $AF36),0)))))</f>
        <v>89797.8</v>
      </c>
      <c r="C36" s="35">
        <f ca="1">IF(ISERROR(MATCH(C$1,INDIRECT("Table!A"&amp;$AF36):INDIRECT("Table!" &amp; $AR$159 &amp; $AF36),0)),"",INDIRECT(CONCATENATE("Table!",ADDRESS($AB36,MATCH(C$1,INDIRECT("Table!A" &amp; $AF36):INDIRECT("Table!" &amp; $AR$159 &amp; $AF36),0)))))</f>
        <v>69615.600000000006</v>
      </c>
      <c r="D36" s="35">
        <f ca="1">IF(ISERROR(MATCH(D$1,INDIRECT("Table!A"&amp;$AF36):INDIRECT("Table!" &amp; $AR$159 &amp; $AF36),0)),"",INDIRECT(CONCATENATE("Table!",ADDRESS($AB36,MATCH(D$1,INDIRECT("Table!A" &amp; $AF36):INDIRECT("Table!" &amp; $AR$159 &amp; $AF36),0)))))</f>
        <v>70965.3</v>
      </c>
      <c r="E36" s="35">
        <f ca="1">IF(ISERROR(MATCH(E$1,INDIRECT("Table!A"&amp;$AF36):INDIRECT("Table!" &amp; $AR$159 &amp; $AF36),0)),"",INDIRECT(CONCATENATE("Table!",ADDRESS($AB36,MATCH(E$1,INDIRECT("Table!A" &amp; $AF36):INDIRECT("Table!" &amp; $AR$159 &amp; $AF36),0)))))</f>
        <v>158116.29999999999</v>
      </c>
      <c r="F36" s="35">
        <f ca="1">IF(ISERROR(MATCH(F$1,INDIRECT("Table!A"&amp;$AF36):INDIRECT("Table!" &amp; $AR$159 &amp; $AF36),0)),"",INDIRECT(CONCATENATE("Table!",ADDRESS($AB36,MATCH(F$1,INDIRECT("Table!A" &amp; $AF36):INDIRECT("Table!" &amp; $AR$159 &amp; $AF36),0)))))</f>
        <v>36031.300000000003</v>
      </c>
      <c r="G36" s="35">
        <f ca="1">IF(ISERROR(MATCH(G$1,INDIRECT("Table!A"&amp;$AF36):INDIRECT("Table!" &amp; $AR$159 &amp; $AF36),0)),"",INDIRECT(CONCATENATE("Table!",ADDRESS($AB36,MATCH(G$1,INDIRECT("Table!A" &amp; $AF36):INDIRECT("Table!" &amp; $AR$159 &amp; $AF36),0)))))</f>
        <v>26217.4</v>
      </c>
      <c r="H36" s="35">
        <f ca="1">IF(ISERROR(MATCH(H$1,INDIRECT("Table!A"&amp;$AF36):INDIRECT("Table!" &amp; $AR$159 &amp; $AF36),0)),"",INDIRECT(CONCATENATE("Table!",ADDRESS($AB36,MATCH(H$1,INDIRECT("Table!A" &amp; $AF36):INDIRECT("Table!" &amp; $AR$159 &amp; $AF36),0)))))</f>
        <v>42216.9</v>
      </c>
      <c r="I36" s="35">
        <f ca="1">IF(ISERROR(MATCH(I$1,INDIRECT("Table!A"&amp;$AF36):INDIRECT("Table!" &amp; $AR$159 &amp; $AF36),0)),"",INDIRECT(CONCATENATE("Table!",ADDRESS($AB36,MATCH(I$1,INDIRECT("Table!A" &amp; $AF36):INDIRECT("Table!" &amp; $AR$159 &amp; $AF36),0)))))</f>
        <v>140677.29999999999</v>
      </c>
      <c r="J36" s="35">
        <f ca="1">IF(ISERROR(MATCH(J$1,INDIRECT("Table!A"&amp;$AF36):INDIRECT("Table!" &amp; $AR$159 &amp; $AF36),0)),"",INDIRECT(CONCATENATE("Table!",ADDRESS($AB36,MATCH(J$1,INDIRECT("Table!A" &amp; $AF36):INDIRECT("Table!" &amp; $AR$159 &amp; $AF36),0)))))</f>
        <v>33398.9</v>
      </c>
      <c r="K36" s="35">
        <f ca="1">IF(ISERROR(MATCH(K$1,INDIRECT("Table!A"&amp;$AF36):INDIRECT("Table!" &amp; $AR$159 &amp; $AF36),0)),"",INDIRECT(CONCATENATE("Table!",ADDRESS($AB36,MATCH(K$1,INDIRECT("Table!A" &amp; $AF36):INDIRECT("Table!" &amp; $AR$159 &amp; $AF36),0)))))</f>
        <v>21672.400000000001</v>
      </c>
      <c r="L36" s="35">
        <f ca="1">IF(ISERROR(MATCH(L$1,INDIRECT("Table!A"&amp;$AF36):INDIRECT("Table!" &amp; $AR$159 &amp; $AF36),0)),"",INDIRECT(CONCATENATE("Table!",ADDRESS($AB36,MATCH(L$1,INDIRECT("Table!A" &amp; $AF36):INDIRECT("Table!" &amp; $AR$159 &amp; $AF36),0)))))</f>
        <v>91773.4</v>
      </c>
      <c r="M36" s="35">
        <f ca="1">IF(ISERROR(MATCH(M$1,INDIRECT("Table!A"&amp;$AF36):INDIRECT("Table!" &amp; $AR$159 &amp; $AF36),0)),"",INDIRECT(CONCATENATE("Table!",ADDRESS($AB36,MATCH(M$1,INDIRECT("Table!A" &amp; $AF36):INDIRECT("Table!" &amp; $AR$159 &amp; $AF36),0)))))</f>
        <v>23029.7</v>
      </c>
      <c r="N36" s="35" t="str">
        <f ca="1">IF(ISERROR(MATCH(N$1,INDIRECT("Table!A"&amp;$AF36):INDIRECT("Table!" &amp; $AR$188 &amp; $AF36),0)),"",INDIRECT(CONCATENATE("Table!",ADDRESS($AB36,MATCH(N$1,INDIRECT("Table!A" &amp; $AF36):INDIRECT("Table!" &amp; $AR$188 &amp; $AF36),0)))))</f>
        <v/>
      </c>
      <c r="O36" s="35">
        <f ca="1">IF(ISERROR(MATCH(O$1,INDIRECT("Table!A"&amp;$AN36):INDIRECT("Table!" &amp; $AR$159 &amp; $AN36),0)),"",INDIRECT(CONCATENATE("Table!",ADDRESS($AJ36,MATCH(O$1,INDIRECT("Table!A" &amp; $AN36):INDIRECT("Table!" &amp; $AR$159 &amp; $AN36),0)))))</f>
        <v>143392.20000000001</v>
      </c>
      <c r="P36" s="35">
        <f ca="1">IF(ISERROR(MATCH(P$1,INDIRECT("Table!A"&amp;$AN36):INDIRECT("Table!" &amp; $AR$159 &amp; $AN36),0)),"",INDIRECT(CONCATENATE("Table!",ADDRESS($AJ36,MATCH(P$1,INDIRECT("Table!A" &amp; $AN36):INDIRECT("Table!" &amp; $AR$159 &amp; $AN36),0)))))</f>
        <v>150515.79999999999</v>
      </c>
      <c r="Q36" s="35">
        <f ca="1">IF(ISERROR(MATCH(Q$1,INDIRECT("Table!A"&amp;$AN36):INDIRECT("Table!" &amp; $AR$159 &amp; $AN36),0)),"",INDIRECT(CONCATENATE("Table!",ADDRESS($AJ36,MATCH(Q$1,INDIRECT("Table!A" &amp; $AN36):INDIRECT("Table!" &amp; $AR$159 &amp; $AN36),0)))))</f>
        <v>150515.79999999999</v>
      </c>
      <c r="R36" s="35">
        <f ca="1">IF(ISERROR(MATCH(R$1,INDIRECT("Table!A"&amp;$AN36):INDIRECT("Table!" &amp; $AR$159 &amp; $AN36),0)),"",INDIRECT(CONCATENATE("Table!",ADDRESS($AJ36,MATCH(R$1,INDIRECT("Table!A" &amp; $AN36):INDIRECT("Table!" &amp; $AR$159 &amp; $AN36),0)))))</f>
        <v>181997.8</v>
      </c>
      <c r="S36" s="35">
        <f ca="1">IF(ISERROR(MATCH(S$1,INDIRECT("Table!A"&amp;$AN36):INDIRECT("Table!" &amp; $AR$159 &amp; $AN36),0)),"",INDIRECT(CONCATENATE("Table!",ADDRESS($AJ36,MATCH(S$1,INDIRECT("Table!A" &amp; $AN36):INDIRECT("Table!" &amp; $AR$159 &amp; $AN36),0)))))</f>
        <v>165452.5</v>
      </c>
      <c r="T36" s="35">
        <f ca="1">IF(ISERROR(MATCH(T$1,INDIRECT("Table!A"&amp;$AN36):INDIRECT("Table!" &amp; $AR$159 &amp; $AN36),0)),"",INDIRECT(CONCATENATE("Table!",ADDRESS($AJ36,MATCH(T$1,INDIRECT("Table!A" &amp; $AN36):INDIRECT("Table!" &amp; $AR$159 &amp; $AN36),0)))))</f>
        <v>110071.9</v>
      </c>
      <c r="U36" s="35">
        <f ca="1">IF(ISERROR(MATCH(U$1,INDIRECT("Table!A"&amp;$AN36):INDIRECT("Table!" &amp; $AR$159 &amp; $AN36),0)),"",INDIRECT(CONCATENATE("Table!",ADDRESS($AJ36,MATCH(U$1,INDIRECT("Table!A" &amp; $AN36):INDIRECT("Table!" &amp; $AR$159 &amp; $AN36),0)))))</f>
        <v>121331.8</v>
      </c>
      <c r="V36" s="35">
        <f ca="1">IF(ISERROR(MATCH(V$1,INDIRECT("Table!A"&amp;$AN36):INDIRECT("Table!" &amp; $AR$159 &amp; $AN36),0)),"",INDIRECT(CONCATENATE("Table!",ADDRESS($AJ36,MATCH(V$1,INDIRECT("Table!A" &amp; $AN36):INDIRECT("Table!" &amp; $AR$159 &amp; $AN36),0)))))</f>
        <v>170967.6</v>
      </c>
      <c r="W36" s="35">
        <f ca="1">IF(ISERROR(MATCH(W$1,INDIRECT("Table!A"&amp;$AN36):INDIRECT("Table!" &amp; $AR$159 &amp; $AN36),0)),"",INDIRECT(CONCATENATE("Table!",ADDRESS($AJ36,MATCH(W$1,INDIRECT("Table!A" &amp; $AN36):INDIRECT("Table!" &amp; $AR$159 &amp; $AN36),0)))))</f>
        <v>132132.20000000001</v>
      </c>
      <c r="X36" s="35">
        <f ca="1">IF(ISERROR(MATCH(X$1,INDIRECT("Table!A"&amp;$AN36):INDIRECT("Table!" &amp; $AR$159 &amp; $AN36),0)),"",INDIRECT(CONCATENATE("Table!",ADDRESS($AJ36,MATCH(X$1,INDIRECT("Table!A" &amp; $AN36):INDIRECT("Table!" &amp; $AR$159 &amp; $AN36),0)))))</f>
        <v>82726.3</v>
      </c>
      <c r="Y36" s="35">
        <f ca="1">IF(ISERROR(MATCH(Y$1,INDIRECT("Table!A"&amp;$AN36):INDIRECT("Table!" &amp; $AR$159 &amp; $AN36),0)),"",INDIRECT(CONCATENATE("Table!",ADDRESS($AJ36,MATCH(Y$1,INDIRECT("Table!A" &amp; $AN36):INDIRECT("Table!" &amp; $AR$159 &amp; $AN36),0)))))</f>
        <v>176482.7</v>
      </c>
      <c r="Z36" s="35">
        <f ca="1">IF(ISERROR(MATCH(Z$1,INDIRECT("Table!A"&amp;$AN36):INDIRECT("Table!" &amp; $AR$159 &amp; $AN36),0)),"",INDIRECT(CONCATENATE("Table!",ADDRESS($AJ36,MATCH(Z$1,INDIRECT("Table!A" &amp; $AN36):INDIRECT("Table!" &amp; $AR$159 &amp; $AN36),0)))))</f>
        <v>54921</v>
      </c>
      <c r="AA36" s="12"/>
      <c r="AB36" s="12">
        <f>MATCH($A36,Table!$A:$A,0)+$AD$2-1</f>
        <v>650</v>
      </c>
      <c r="AF36" s="31">
        <f>MATCH($A36,Table!$A:$A,0)+$AH$2-1</f>
        <v>648</v>
      </c>
      <c r="AJ36" s="12">
        <f>MATCH($A36,Table!$A:$A,0)+$AL$2-1</f>
        <v>649</v>
      </c>
      <c r="AN36" s="31">
        <f>MATCH($A36,Table!$A:$A,0)+$AH$2-1</f>
        <v>648</v>
      </c>
      <c r="AR36" s="241" t="s">
        <v>118</v>
      </c>
    </row>
    <row r="37" spans="1:44">
      <c r="A37" s="5">
        <v>41149</v>
      </c>
      <c r="B37" s="35">
        <f ca="1">IF(ISERROR(MATCH(B$1,INDIRECT("Table!A"&amp;$AF37):INDIRECT("Table!" &amp; $AR$159 &amp; $AF37),0)),"",INDIRECT(CONCATENATE("Table!",ADDRESS($AB37,MATCH(B$1,INDIRECT("Table!A" &amp; $AF37):INDIRECT("Table!" &amp; $AR$159 &amp; $AF37),0)))))</f>
        <v>89806.399999999994</v>
      </c>
      <c r="C37" s="35">
        <f ca="1">IF(ISERROR(MATCH(C$1,INDIRECT("Table!A"&amp;$AF37):INDIRECT("Table!" &amp; $AR$159 &amp; $AF37),0)),"",INDIRECT(CONCATENATE("Table!",ADDRESS($AB37,MATCH(C$1,INDIRECT("Table!A" &amp; $AF37):INDIRECT("Table!" &amp; $AR$159 &amp; $AF37),0)))))</f>
        <v>69613.7</v>
      </c>
      <c r="D37" s="35">
        <f ca="1">IF(ISERROR(MATCH(D$1,INDIRECT("Table!A"&amp;$AF37):INDIRECT("Table!" &amp; $AR$159 &amp; $AF37),0)),"",INDIRECT(CONCATENATE("Table!",ADDRESS($AB37,MATCH(D$1,INDIRECT("Table!A" &amp; $AF37):INDIRECT("Table!" &amp; $AR$159 &amp; $AF37),0)))))</f>
        <v>70963.5</v>
      </c>
      <c r="E37" s="35">
        <f ca="1">IF(ISERROR(MATCH(E$1,INDIRECT("Table!A"&amp;$AF37):INDIRECT("Table!" &amp; $AR$159 &amp; $AF37),0)),"",INDIRECT(CONCATENATE("Table!",ADDRESS($AB37,MATCH(E$1,INDIRECT("Table!A" &amp; $AF37):INDIRECT("Table!" &amp; $AR$159 &amp; $AF37),0)))))</f>
        <v>158060.9</v>
      </c>
      <c r="F37" s="35">
        <f ca="1">IF(ISERROR(MATCH(F$1,INDIRECT("Table!A"&amp;$AF37):INDIRECT("Table!" &amp; $AR$159 &amp; $AF37),0)),"",INDIRECT(CONCATENATE("Table!",ADDRESS($AB37,MATCH(F$1,INDIRECT("Table!A" &amp; $AF37):INDIRECT("Table!" &amp; $AR$159 &amp; $AF37),0)))))</f>
        <v>35724.6</v>
      </c>
      <c r="G37" s="35">
        <f ca="1">IF(ISERROR(MATCH(G$1,INDIRECT("Table!A"&amp;$AF37):INDIRECT("Table!" &amp; $AR$159 &amp; $AF37),0)),"",INDIRECT(CONCATENATE("Table!",ADDRESS($AB37,MATCH(G$1,INDIRECT("Table!A" &amp; $AF37):INDIRECT("Table!" &amp; $AR$159 &amp; $AF37),0)))))</f>
        <v>26236.1</v>
      </c>
      <c r="H37" s="35">
        <f ca="1">IF(ISERROR(MATCH(H$1,INDIRECT("Table!A"&amp;$AF37):INDIRECT("Table!" &amp; $AR$159 &amp; $AF37),0)),"",INDIRECT(CONCATENATE("Table!",ADDRESS($AB37,MATCH(H$1,INDIRECT("Table!A" &amp; $AF37):INDIRECT("Table!" &amp; $AR$159 &amp; $AF37),0)))))</f>
        <v>42002.5</v>
      </c>
      <c r="I37" s="35">
        <f ca="1">IF(ISERROR(MATCH(I$1,INDIRECT("Table!A"&amp;$AF37):INDIRECT("Table!" &amp; $AR$159 &amp; $AF37),0)),"",INDIRECT(CONCATENATE("Table!",ADDRESS($AB37,MATCH(I$1,INDIRECT("Table!A" &amp; $AF37):INDIRECT("Table!" &amp; $AR$159 &amp; $AF37),0)))))</f>
        <v>140597.6</v>
      </c>
      <c r="J37" s="35">
        <f ca="1">IF(ISERROR(MATCH(J$1,INDIRECT("Table!A"&amp;$AF37):INDIRECT("Table!" &amp; $AR$159 &amp; $AF37),0)),"",INDIRECT(CONCATENATE("Table!",ADDRESS($AB37,MATCH(J$1,INDIRECT("Table!A" &amp; $AF37):INDIRECT("Table!" &amp; $AR$159 &amp; $AF37),0)))))</f>
        <v>33561.300000000003</v>
      </c>
      <c r="K37" s="35">
        <f ca="1">IF(ISERROR(MATCH(K$1,INDIRECT("Table!A"&amp;$AF37):INDIRECT("Table!" &amp; $AR$159 &amp; $AF37),0)),"",INDIRECT(CONCATENATE("Table!",ADDRESS($AB37,MATCH(K$1,INDIRECT("Table!A" &amp; $AF37):INDIRECT("Table!" &amp; $AR$159 &amp; $AF37),0)))))</f>
        <v>21502.9</v>
      </c>
      <c r="L37" s="35">
        <f ca="1">IF(ISERROR(MATCH(L$1,INDIRECT("Table!A"&amp;$AF37):INDIRECT("Table!" &amp; $AR$159 &amp; $AF37),0)),"",INDIRECT(CONCATENATE("Table!",ADDRESS($AB37,MATCH(L$1,INDIRECT("Table!A" &amp; $AF37):INDIRECT("Table!" &amp; $AR$159 &amp; $AF37),0)))))</f>
        <v>91524</v>
      </c>
      <c r="M37" s="35">
        <f ca="1">IF(ISERROR(MATCH(M$1,INDIRECT("Table!A"&amp;$AF37):INDIRECT("Table!" &amp; $AR$159 &amp; $AF37),0)),"",INDIRECT(CONCATENATE("Table!",ADDRESS($AB37,MATCH(M$1,INDIRECT("Table!A" &amp; $AF37):INDIRECT("Table!" &amp; $AR$159 &amp; $AF37),0)))))</f>
        <v>23028.3</v>
      </c>
      <c r="N37" s="35" t="str">
        <f ca="1">IF(ISERROR(MATCH(N$1,INDIRECT("Table!A"&amp;$AF37):INDIRECT("Table!" &amp; $AR$188 &amp; $AF37),0)),"",INDIRECT(CONCATENATE("Table!",ADDRESS($AB37,MATCH(N$1,INDIRECT("Table!A" &amp; $AF37):INDIRECT("Table!" &amp; $AR$188 &amp; $AF37),0)))))</f>
        <v/>
      </c>
      <c r="O37" s="35">
        <f ca="1">IF(ISERROR(MATCH(O$1,INDIRECT("Table!A"&amp;$AN37):INDIRECT("Table!" &amp; $AR$159 &amp; $AN37),0)),"",INDIRECT(CONCATENATE("Table!",ADDRESS($AJ37,MATCH(O$1,INDIRECT("Table!A" &amp; $AN37):INDIRECT("Table!" &amp; $AR$159 &amp; $AN37),0)))))</f>
        <v>143392.20000000001</v>
      </c>
      <c r="P37" s="35">
        <f ca="1">IF(ISERROR(MATCH(P$1,INDIRECT("Table!A"&amp;$AN37):INDIRECT("Table!" &amp; $AR$159 &amp; $AN37),0)),"",INDIRECT(CONCATENATE("Table!",ADDRESS($AJ37,MATCH(P$1,INDIRECT("Table!A" &amp; $AN37):INDIRECT("Table!" &amp; $AR$159 &amp; $AN37),0)))))</f>
        <v>150515.79999999999</v>
      </c>
      <c r="Q37" s="35">
        <f ca="1">IF(ISERROR(MATCH(Q$1,INDIRECT("Table!A"&amp;$AN37):INDIRECT("Table!" &amp; $AR$159 &amp; $AN37),0)),"",INDIRECT(CONCATENATE("Table!",ADDRESS($AJ37,MATCH(Q$1,INDIRECT("Table!A" &amp; $AN37):INDIRECT("Table!" &amp; $AR$159 &amp; $AN37),0)))))</f>
        <v>150515.79999999999</v>
      </c>
      <c r="R37" s="35">
        <f ca="1">IF(ISERROR(MATCH(R$1,INDIRECT("Table!A"&amp;$AN37):INDIRECT("Table!" &amp; $AR$159 &amp; $AN37),0)),"",INDIRECT(CONCATENATE("Table!",ADDRESS($AJ37,MATCH(R$1,INDIRECT("Table!A" &amp; $AN37):INDIRECT("Table!" &amp; $AR$159 &amp; $AN37),0)))))</f>
        <v>181997.8</v>
      </c>
      <c r="S37" s="35">
        <f ca="1">IF(ISERROR(MATCH(S$1,INDIRECT("Table!A"&amp;$AN37):INDIRECT("Table!" &amp; $AR$159 &amp; $AN37),0)),"",INDIRECT(CONCATENATE("Table!",ADDRESS($AJ37,MATCH(S$1,INDIRECT("Table!A" &amp; $AN37):INDIRECT("Table!" &amp; $AR$159 &amp; $AN37),0)))))</f>
        <v>165452.5</v>
      </c>
      <c r="T37" s="35">
        <f ca="1">IF(ISERROR(MATCH(T$1,INDIRECT("Table!A"&amp;$AN37):INDIRECT("Table!" &amp; $AR$159 &amp; $AN37),0)),"",INDIRECT(CONCATENATE("Table!",ADDRESS($AJ37,MATCH(T$1,INDIRECT("Table!A" &amp; $AN37):INDIRECT("Table!" &amp; $AR$159 &amp; $AN37),0)))))</f>
        <v>110071.9</v>
      </c>
      <c r="U37" s="35">
        <f ca="1">IF(ISERROR(MATCH(U$1,INDIRECT("Table!A"&amp;$AN37):INDIRECT("Table!" &amp; $AR$159 &amp; $AN37),0)),"",INDIRECT(CONCATENATE("Table!",ADDRESS($AJ37,MATCH(U$1,INDIRECT("Table!A" &amp; $AN37):INDIRECT("Table!" &amp; $AR$159 &amp; $AN37),0)))))</f>
        <v>121331.8</v>
      </c>
      <c r="V37" s="35">
        <f ca="1">IF(ISERROR(MATCH(V$1,INDIRECT("Table!A"&amp;$AN37):INDIRECT("Table!" &amp; $AR$159 &amp; $AN37),0)),"",INDIRECT(CONCATENATE("Table!",ADDRESS($AJ37,MATCH(V$1,INDIRECT("Table!A" &amp; $AN37):INDIRECT("Table!" &amp; $AR$159 &amp; $AN37),0)))))</f>
        <v>170967.6</v>
      </c>
      <c r="W37" s="35">
        <f ca="1">IF(ISERROR(MATCH(W$1,INDIRECT("Table!A"&amp;$AN37):INDIRECT("Table!" &amp; $AR$159 &amp; $AN37),0)),"",INDIRECT(CONCATENATE("Table!",ADDRESS($AJ37,MATCH(W$1,INDIRECT("Table!A" &amp; $AN37):INDIRECT("Table!" &amp; $AR$159 &amp; $AN37),0)))))</f>
        <v>132132.20000000001</v>
      </c>
      <c r="X37" s="35">
        <f ca="1">IF(ISERROR(MATCH(X$1,INDIRECT("Table!A"&amp;$AN37):INDIRECT("Table!" &amp; $AR$159 &amp; $AN37),0)),"",INDIRECT(CONCATENATE("Table!",ADDRESS($AJ37,MATCH(X$1,INDIRECT("Table!A" &amp; $AN37):INDIRECT("Table!" &amp; $AR$159 &amp; $AN37),0)))))</f>
        <v>82726.3</v>
      </c>
      <c r="Y37" s="35">
        <f ca="1">IF(ISERROR(MATCH(Y$1,INDIRECT("Table!A"&amp;$AN37):INDIRECT("Table!" &amp; $AR$159 &amp; $AN37),0)),"",INDIRECT(CONCATENATE("Table!",ADDRESS($AJ37,MATCH(Y$1,INDIRECT("Table!A" &amp; $AN37):INDIRECT("Table!" &amp; $AR$159 &amp; $AN37),0)))))</f>
        <v>176482.7</v>
      </c>
      <c r="Z37" s="35">
        <f ca="1">IF(ISERROR(MATCH(Z$1,INDIRECT("Table!A"&amp;$AN37):INDIRECT("Table!" &amp; $AR$159 &amp; $AN37),0)),"",INDIRECT(CONCATENATE("Table!",ADDRESS($AJ37,MATCH(Z$1,INDIRECT("Table!A" &amp; $AN37):INDIRECT("Table!" &amp; $AR$159 &amp; $AN37),0)))))</f>
        <v>54921</v>
      </c>
      <c r="AA37" s="12"/>
      <c r="AB37" s="12">
        <f>MATCH($A37,Table!$A:$A,0)+$AD$2-1</f>
        <v>663</v>
      </c>
      <c r="AF37" s="31">
        <f>MATCH($A37,Table!$A:$A,0)+$AH$2-1</f>
        <v>661</v>
      </c>
      <c r="AJ37" s="12">
        <f>MATCH($A37,Table!$A:$A,0)+$AL$2-1</f>
        <v>662</v>
      </c>
      <c r="AN37" s="31">
        <f>MATCH($A37,Table!$A:$A,0)+$AH$2-1</f>
        <v>661</v>
      </c>
      <c r="AR37" s="240" t="s">
        <v>118</v>
      </c>
    </row>
    <row r="38" spans="1:44">
      <c r="A38" s="5">
        <v>41144</v>
      </c>
      <c r="B38" s="35">
        <f ca="1">IF(ISERROR(MATCH(B$1,INDIRECT("Table!A"&amp;$AF38):INDIRECT("Table!" &amp; $AR$159 &amp; $AF38),0)),"",INDIRECT(CONCATENATE("Table!",ADDRESS($AB38,MATCH(B$1,INDIRECT("Table!A" &amp; $AF38):INDIRECT("Table!" &amp; $AR$159 &amp; $AF38),0)))))</f>
        <v>89683.4</v>
      </c>
      <c r="C38" s="35">
        <f ca="1">IF(ISERROR(MATCH(C$1,INDIRECT("Table!A"&amp;$AF38):INDIRECT("Table!" &amp; $AR$159 &amp; $AF38),0)),"",INDIRECT(CONCATENATE("Table!",ADDRESS($AB38,MATCH(C$1,INDIRECT("Table!A" &amp; $AF38):INDIRECT("Table!" &amp; $AR$159 &amp; $AF38),0)))))</f>
        <v>69528.2</v>
      </c>
      <c r="D38" s="35">
        <f ca="1">IF(ISERROR(MATCH(D$1,INDIRECT("Table!A"&amp;$AF38):INDIRECT("Table!" &amp; $AR$159 &amp; $AF38),0)),"",INDIRECT(CONCATENATE("Table!",ADDRESS($AB38,MATCH(D$1,INDIRECT("Table!A" &amp; $AF38):INDIRECT("Table!" &amp; $AR$159 &amp; $AF38),0)))))</f>
        <v>70878.2</v>
      </c>
      <c r="E38" s="35">
        <f ca="1">IF(ISERROR(MATCH(E$1,INDIRECT("Table!A"&amp;$AF38):INDIRECT("Table!" &amp; $AR$159 &amp; $AF38),0)),"",INDIRECT(CONCATENATE("Table!",ADDRESS($AB38,MATCH(E$1,INDIRECT("Table!A" &amp; $AF38):INDIRECT("Table!" &amp; $AR$159 &amp; $AF38),0)))))</f>
        <v>157783.20000000001</v>
      </c>
      <c r="F38" s="35">
        <f ca="1">IF(ISERROR(MATCH(F$1,INDIRECT("Table!A"&amp;$AF38):INDIRECT("Table!" &amp; $AR$159 &amp; $AF38),0)),"",INDIRECT(CONCATENATE("Table!",ADDRESS($AB38,MATCH(F$1,INDIRECT("Table!A" &amp; $AF38):INDIRECT("Table!" &amp; $AR$159 &amp; $AF38),0)))))</f>
        <v>35329</v>
      </c>
      <c r="G38" s="35">
        <f ca="1">IF(ISERROR(MATCH(G$1,INDIRECT("Table!A"&amp;$AF38):INDIRECT("Table!" &amp; $AR$159 &amp; $AF38),0)),"",INDIRECT(CONCATENATE("Table!",ADDRESS($AB38,MATCH(G$1,INDIRECT("Table!A" &amp; $AF38):INDIRECT("Table!" &amp; $AR$159 &amp; $AF38),0)))))</f>
        <v>31442.7</v>
      </c>
      <c r="H38" s="35">
        <f ca="1">IF(ISERROR(MATCH(H$1,INDIRECT("Table!A"&amp;$AF38):INDIRECT("Table!" &amp; $AR$159 &amp; $AF38),0)),"",INDIRECT(CONCATENATE("Table!",ADDRESS($AB38,MATCH(H$1,INDIRECT("Table!A" &amp; $AF38):INDIRECT("Table!" &amp; $AR$159 &amp; $AF38),0)))))</f>
        <v>41618.1</v>
      </c>
      <c r="I38" s="35">
        <f ca="1">IF(ISERROR(MATCH(I$1,INDIRECT("Table!A"&amp;$AF38):INDIRECT("Table!" &amp; $AR$159 &amp; $AF38),0)),"",INDIRECT(CONCATENATE("Table!",ADDRESS($AB38,MATCH(I$1,INDIRECT("Table!A" &amp; $AF38):INDIRECT("Table!" &amp; $AR$159 &amp; $AF38),0)))))</f>
        <v>140278</v>
      </c>
      <c r="J38" s="35">
        <f ca="1">IF(ISERROR(MATCH(J$1,INDIRECT("Table!A"&amp;$AF38):INDIRECT("Table!" &amp; $AR$159 &amp; $AF38),0)),"",INDIRECT(CONCATENATE("Table!",ADDRESS($AB38,MATCH(J$1,INDIRECT("Table!A" &amp; $AF38):INDIRECT("Table!" &amp; $AR$159 &amp; $AF38),0)))))</f>
        <v>35896.199999999997</v>
      </c>
      <c r="K38" s="35">
        <f ca="1">IF(ISERROR(MATCH(K$1,INDIRECT("Table!A"&amp;$AF38):INDIRECT("Table!" &amp; $AR$159 &amp; $AF38),0)),"",INDIRECT(CONCATENATE("Table!",ADDRESS($AB38,MATCH(K$1,INDIRECT("Table!A" &amp; $AF38):INDIRECT("Table!" &amp; $AR$159 &amp; $AF38),0)))))</f>
        <v>21269.599999999999</v>
      </c>
      <c r="L38" s="35">
        <f ca="1">IF(ISERROR(MATCH(L$1,INDIRECT("Table!A"&amp;$AF38):INDIRECT("Table!" &amp; $AR$159 &amp; $AF38),0)),"",INDIRECT(CONCATENATE("Table!",ADDRESS($AB38,MATCH(L$1,INDIRECT("Table!A" &amp; $AF38):INDIRECT("Table!" &amp; $AR$159 &amp; $AF38),0)))))</f>
        <v>90758.9</v>
      </c>
      <c r="M38" s="35">
        <f ca="1">IF(ISERROR(MATCH(M$1,INDIRECT("Table!A"&amp;$AF38):INDIRECT("Table!" &amp; $AR$159 &amp; $AF38),0)),"",INDIRECT(CONCATENATE("Table!",ADDRESS($AB38,MATCH(M$1,INDIRECT("Table!A" &amp; $AF38):INDIRECT("Table!" &amp; $AR$159 &amp; $AF38),0)))))</f>
        <v>23028.3</v>
      </c>
      <c r="N38" s="35" t="str">
        <f ca="1">IF(ISERROR(MATCH(N$1,INDIRECT("Table!A"&amp;$AF38):INDIRECT("Table!" &amp; $AR$188 &amp; $AF38),0)),"",INDIRECT(CONCATENATE("Table!",ADDRESS($AB38,MATCH(N$1,INDIRECT("Table!A" &amp; $AF38):INDIRECT("Table!" &amp; $AR$188 &amp; $AF38),0)))))</f>
        <v/>
      </c>
      <c r="O38" s="35">
        <f ca="1">IF(ISERROR(MATCH(O$1,INDIRECT("Table!A"&amp;$AN38):INDIRECT("Table!" &amp; $AR$159 &amp; $AN38),0)),"",INDIRECT(CONCATENATE("Table!",ADDRESS($AJ38,MATCH(O$1,INDIRECT("Table!A" &amp; $AN38):INDIRECT("Table!" &amp; $AR$159 &amp; $AN38),0)))))</f>
        <v>143392.20000000001</v>
      </c>
      <c r="P38" s="35">
        <f ca="1">IF(ISERROR(MATCH(P$1,INDIRECT("Table!A"&amp;$AN38):INDIRECT("Table!" &amp; $AR$159 &amp; $AN38),0)),"",INDIRECT(CONCATENATE("Table!",ADDRESS($AJ38,MATCH(P$1,INDIRECT("Table!A" &amp; $AN38):INDIRECT("Table!" &amp; $AR$159 &amp; $AN38),0)))))</f>
        <v>150515.79999999999</v>
      </c>
      <c r="Q38" s="35">
        <f ca="1">IF(ISERROR(MATCH(Q$1,INDIRECT("Table!A"&amp;$AN38):INDIRECT("Table!" &amp; $AR$159 &amp; $AN38),0)),"",INDIRECT(CONCATENATE("Table!",ADDRESS($AJ38,MATCH(Q$1,INDIRECT("Table!A" &amp; $AN38):INDIRECT("Table!" &amp; $AR$159 &amp; $AN38),0)))))</f>
        <v>150515.79999999999</v>
      </c>
      <c r="R38" s="35">
        <f ca="1">IF(ISERROR(MATCH(R$1,INDIRECT("Table!A"&amp;$AN38):INDIRECT("Table!" &amp; $AR$159 &amp; $AN38),0)),"",INDIRECT(CONCATENATE("Table!",ADDRESS($AJ38,MATCH(R$1,INDIRECT("Table!A" &amp; $AN38):INDIRECT("Table!" &amp; $AR$159 &amp; $AN38),0)))))</f>
        <v>181997.8</v>
      </c>
      <c r="S38" s="35">
        <f ca="1">IF(ISERROR(MATCH(S$1,INDIRECT("Table!A"&amp;$AN38):INDIRECT("Table!" &amp; $AR$159 &amp; $AN38),0)),"",INDIRECT(CONCATENATE("Table!",ADDRESS($AJ38,MATCH(S$1,INDIRECT("Table!A" &amp; $AN38):INDIRECT("Table!" &amp; $AR$159 &amp; $AN38),0)))))</f>
        <v>165452.5</v>
      </c>
      <c r="T38" s="35">
        <f ca="1">IF(ISERROR(MATCH(T$1,INDIRECT("Table!A"&amp;$AN38):INDIRECT("Table!" &amp; $AR$159 &amp; $AN38),0)),"",INDIRECT(CONCATENATE("Table!",ADDRESS($AJ38,MATCH(T$1,INDIRECT("Table!A" &amp; $AN38):INDIRECT("Table!" &amp; $AR$159 &amp; $AN38),0)))))</f>
        <v>110071.9</v>
      </c>
      <c r="U38" s="35">
        <f ca="1">IF(ISERROR(MATCH(U$1,INDIRECT("Table!A"&amp;$AN38):INDIRECT("Table!" &amp; $AR$159 &amp; $AN38),0)),"",INDIRECT(CONCATENATE("Table!",ADDRESS($AJ38,MATCH(U$1,INDIRECT("Table!A" &amp; $AN38):INDIRECT("Table!" &amp; $AR$159 &amp; $AN38),0)))))</f>
        <v>121331.8</v>
      </c>
      <c r="V38" s="35">
        <f ca="1">IF(ISERROR(MATCH(V$1,INDIRECT("Table!A"&amp;$AN38):INDIRECT("Table!" &amp; $AR$159 &amp; $AN38),0)),"",INDIRECT(CONCATENATE("Table!",ADDRESS($AJ38,MATCH(V$1,INDIRECT("Table!A" &amp; $AN38):INDIRECT("Table!" &amp; $AR$159 &amp; $AN38),0)))))</f>
        <v>170967.6</v>
      </c>
      <c r="W38" s="35">
        <f ca="1">IF(ISERROR(MATCH(W$1,INDIRECT("Table!A"&amp;$AN38):INDIRECT("Table!" &amp; $AR$159 &amp; $AN38),0)),"",INDIRECT(CONCATENATE("Table!",ADDRESS($AJ38,MATCH(W$1,INDIRECT("Table!A" &amp; $AN38):INDIRECT("Table!" &amp; $AR$159 &amp; $AN38),0)))))</f>
        <v>132132.20000000001</v>
      </c>
      <c r="X38" s="35">
        <f ca="1">IF(ISERROR(MATCH(X$1,INDIRECT("Table!A"&amp;$AN38):INDIRECT("Table!" &amp; $AR$159 &amp; $AN38),0)),"",INDIRECT(CONCATENATE("Table!",ADDRESS($AJ38,MATCH(X$1,INDIRECT("Table!A" &amp; $AN38):INDIRECT("Table!" &amp; $AR$159 &amp; $AN38),0)))))</f>
        <v>82726.3</v>
      </c>
      <c r="Y38" s="35">
        <f ca="1">IF(ISERROR(MATCH(Y$1,INDIRECT("Table!A"&amp;$AN38):INDIRECT("Table!" &amp; $AR$159 &amp; $AN38),0)),"",INDIRECT(CONCATENATE("Table!",ADDRESS($AJ38,MATCH(Y$1,INDIRECT("Table!A" &amp; $AN38):INDIRECT("Table!" &amp; $AR$159 &amp; $AN38),0)))))</f>
        <v>176482.7</v>
      </c>
      <c r="Z38" s="35">
        <f ca="1">IF(ISERROR(MATCH(Z$1,INDIRECT("Table!A"&amp;$AN38):INDIRECT("Table!" &amp; $AR$159 &amp; $AN38),0)),"",INDIRECT(CONCATENATE("Table!",ADDRESS($AJ38,MATCH(Z$1,INDIRECT("Table!A" &amp; $AN38):INDIRECT("Table!" &amp; $AR$159 &amp; $AN38),0)))))</f>
        <v>54921</v>
      </c>
      <c r="AA38" s="12"/>
      <c r="AB38" s="12">
        <f>MATCH($A38,Table!$A:$A,0)+$AD$2-1</f>
        <v>676</v>
      </c>
      <c r="AF38" s="31">
        <f>MATCH($A38,Table!$A:$A,0)+$AH$2-1</f>
        <v>674</v>
      </c>
      <c r="AJ38" s="12">
        <f>MATCH($A38,Table!$A:$A,0)+$AL$2-1</f>
        <v>675</v>
      </c>
      <c r="AN38" s="31">
        <f>MATCH($A38,Table!$A:$A,0)+$AH$2-1</f>
        <v>674</v>
      </c>
      <c r="AR38" s="239" t="s">
        <v>118</v>
      </c>
    </row>
    <row r="39" spans="1:44">
      <c r="A39" s="5">
        <v>41142</v>
      </c>
      <c r="B39" s="35">
        <f ca="1">IF(ISERROR(MATCH(B$1,INDIRECT("Table!A"&amp;$AF39):INDIRECT("Table!" &amp; $AR$159 &amp; $AF39),0)),"",INDIRECT(CONCATENATE("Table!",ADDRESS($AB39,MATCH(B$1,INDIRECT("Table!A" &amp; $AF39):INDIRECT("Table!" &amp; $AR$159 &amp; $AF39),0)))))</f>
        <v>89777.600000000006</v>
      </c>
      <c r="C39" s="35">
        <f ca="1">IF(ISERROR(MATCH(C$1,INDIRECT("Table!A"&amp;$AF39):INDIRECT("Table!" &amp; $AR$159 &amp; $AF39),0)),"",INDIRECT(CONCATENATE("Table!",ADDRESS($AB39,MATCH(C$1,INDIRECT("Table!A" &amp; $AF39):INDIRECT("Table!" &amp; $AR$159 &amp; $AF39),0)))))</f>
        <v>69503.600000000006</v>
      </c>
      <c r="D39" s="35">
        <f ca="1">IF(ISERROR(MATCH(D$1,INDIRECT("Table!A"&amp;$AF39):INDIRECT("Table!" &amp; $AR$159 &amp; $AF39),0)),"",INDIRECT(CONCATENATE("Table!",ADDRESS($AB39,MATCH(D$1,INDIRECT("Table!A" &amp; $AF39):INDIRECT("Table!" &amp; $AR$159 &amp; $AF39),0)))))</f>
        <v>70859.399999999994</v>
      </c>
      <c r="E39" s="35">
        <f ca="1">IF(ISERROR(MATCH(E$1,INDIRECT("Table!A"&amp;$AF39):INDIRECT("Table!" &amp; $AR$159 &amp; $AF39),0)),"",INDIRECT(CONCATENATE("Table!",ADDRESS($AB39,MATCH(E$1,INDIRECT("Table!A" &amp; $AF39):INDIRECT("Table!" &amp; $AR$159 &amp; $AF39),0)))))</f>
        <v>157611.29999999999</v>
      </c>
      <c r="F39" s="35">
        <f ca="1">IF(ISERROR(MATCH(F$1,INDIRECT("Table!A"&amp;$AF39):INDIRECT("Table!" &amp; $AR$159 &amp; $AF39),0)),"",INDIRECT(CONCATENATE("Table!",ADDRESS($AB39,MATCH(F$1,INDIRECT("Table!A" &amp; $AF39):INDIRECT("Table!" &amp; $AR$159 &amp; $AF39),0)))))</f>
        <v>35099.5</v>
      </c>
      <c r="G39" s="35">
        <f ca="1">IF(ISERROR(MATCH(G$1,INDIRECT("Table!A"&amp;$AF39):INDIRECT("Table!" &amp; $AR$159 &amp; $AF39),0)),"",INDIRECT(CONCATENATE("Table!",ADDRESS($AB39,MATCH(G$1,INDIRECT("Table!A" &amp; $AF39):INDIRECT("Table!" &amp; $AR$159 &amp; $AF39),0)))))</f>
        <v>36266.9</v>
      </c>
      <c r="H39" s="35">
        <f ca="1">IF(ISERROR(MATCH(H$1,INDIRECT("Table!A"&amp;$AF39):INDIRECT("Table!" &amp; $AR$159 &amp; $AF39),0)),"",INDIRECT(CONCATENATE("Table!",ADDRESS($AB39,MATCH(H$1,INDIRECT("Table!A" &amp; $AF39):INDIRECT("Table!" &amp; $AR$159 &amp; $AF39),0)))))</f>
        <v>27031.1</v>
      </c>
      <c r="I39" s="35">
        <f ca="1">IF(ISERROR(MATCH(I$1,INDIRECT("Table!A"&amp;$AF39):INDIRECT("Table!" &amp; $AR$159 &amp; $AF39),0)),"",INDIRECT(CONCATENATE("Table!",ADDRESS($AB39,MATCH(I$1,INDIRECT("Table!A" &amp; $AF39):INDIRECT("Table!" &amp; $AR$159 &amp; $AF39),0)))))</f>
        <v>139969.20000000001</v>
      </c>
      <c r="J39" s="35">
        <f ca="1">IF(ISERROR(MATCH(J$1,INDIRECT("Table!A"&amp;$AF39):INDIRECT("Table!" &amp; $AR$159 &amp; $AF39),0)),"",INDIRECT(CONCATENATE("Table!",ADDRESS($AB39,MATCH(J$1,INDIRECT("Table!A" &amp; $AF39):INDIRECT("Table!" &amp; $AR$159 &amp; $AF39),0)))))</f>
        <v>40086.699999999997</v>
      </c>
      <c r="K39" s="35">
        <f ca="1">IF(ISERROR(MATCH(K$1,INDIRECT("Table!A"&amp;$AF39):INDIRECT("Table!" &amp; $AR$159 &amp; $AF39),0)),"",INDIRECT(CONCATENATE("Table!",ADDRESS($AB39,MATCH(K$1,INDIRECT("Table!A" &amp; $AF39):INDIRECT("Table!" &amp; $AR$159 &amp; $AF39),0)))))</f>
        <v>21135.4</v>
      </c>
      <c r="L39" s="35">
        <f ca="1">IF(ISERROR(MATCH(L$1,INDIRECT("Table!A"&amp;$AF39):INDIRECT("Table!" &amp; $AR$159 &amp; $AF39),0)),"",INDIRECT(CONCATENATE("Table!",ADDRESS($AB39,MATCH(L$1,INDIRECT("Table!A" &amp; $AF39):INDIRECT("Table!" &amp; $AR$159 &amp; $AF39),0)))))</f>
        <v>90607.1</v>
      </c>
      <c r="M39" s="35">
        <f ca="1">IF(ISERROR(MATCH(M$1,INDIRECT("Table!A"&amp;$AF39):INDIRECT("Table!" &amp; $AR$159 &amp; $AF39),0)),"",INDIRECT(CONCATENATE("Table!",ADDRESS($AB39,MATCH(M$1,INDIRECT("Table!A" &amp; $AF39):INDIRECT("Table!" &amp; $AR$159 &amp; $AF39),0)))))</f>
        <v>23270.2</v>
      </c>
      <c r="N39" s="35" t="str">
        <f ca="1">IF(ISERROR(MATCH(N$1,INDIRECT("Table!A"&amp;$AF39):INDIRECT("Table!" &amp; $AR$188 &amp; $AF39),0)),"",INDIRECT(CONCATENATE("Table!",ADDRESS($AB39,MATCH(N$1,INDIRECT("Table!A" &amp; $AF39):INDIRECT("Table!" &amp; $AR$188 &amp; $AF39),0)))))</f>
        <v/>
      </c>
      <c r="O39" s="35">
        <f ca="1">IF(ISERROR(MATCH(O$1,INDIRECT("Table!A"&amp;$AN39):INDIRECT("Table!" &amp; $AR$159 &amp; $AN39),0)),"",INDIRECT(CONCATENATE("Table!",ADDRESS($AJ39,MATCH(O$1,INDIRECT("Table!A" &amp; $AN39):INDIRECT("Table!" &amp; $AR$159 &amp; $AN39),0)))))</f>
        <v>143392.20000000001</v>
      </c>
      <c r="P39" s="35">
        <f ca="1">IF(ISERROR(MATCH(P$1,INDIRECT("Table!A"&amp;$AN39):INDIRECT("Table!" &amp; $AR$159 &amp; $AN39),0)),"",INDIRECT(CONCATENATE("Table!",ADDRESS($AJ39,MATCH(P$1,INDIRECT("Table!A" &amp; $AN39):INDIRECT("Table!" &amp; $AR$159 &amp; $AN39),0)))))</f>
        <v>150515.79999999999</v>
      </c>
      <c r="Q39" s="35">
        <f ca="1">IF(ISERROR(MATCH(Q$1,INDIRECT("Table!A"&amp;$AN39):INDIRECT("Table!" &amp; $AR$159 &amp; $AN39),0)),"",INDIRECT(CONCATENATE("Table!",ADDRESS($AJ39,MATCH(Q$1,INDIRECT("Table!A" &amp; $AN39):INDIRECT("Table!" &amp; $AR$159 &amp; $AN39),0)))))</f>
        <v>150515.79999999999</v>
      </c>
      <c r="R39" s="35">
        <f ca="1">IF(ISERROR(MATCH(R$1,INDIRECT("Table!A"&amp;$AN39):INDIRECT("Table!" &amp; $AR$159 &amp; $AN39),0)),"",INDIRECT(CONCATENATE("Table!",ADDRESS($AJ39,MATCH(R$1,INDIRECT("Table!A" &amp; $AN39):INDIRECT("Table!" &amp; $AR$159 &amp; $AN39),0)))))</f>
        <v>181997.8</v>
      </c>
      <c r="S39" s="35">
        <f ca="1">IF(ISERROR(MATCH(S$1,INDIRECT("Table!A"&amp;$AN39):INDIRECT("Table!" &amp; $AR$159 &amp; $AN39),0)),"",INDIRECT(CONCATENATE("Table!",ADDRESS($AJ39,MATCH(S$1,INDIRECT("Table!A" &amp; $AN39):INDIRECT("Table!" &amp; $AR$159 &amp; $AN39),0)))))</f>
        <v>165452.5</v>
      </c>
      <c r="T39" s="35">
        <f ca="1">IF(ISERROR(MATCH(T$1,INDIRECT("Table!A"&amp;$AN39):INDIRECT("Table!" &amp; $AR$159 &amp; $AN39),0)),"",INDIRECT(CONCATENATE("Table!",ADDRESS($AJ39,MATCH(T$1,INDIRECT("Table!A" &amp; $AN39):INDIRECT("Table!" &amp; $AR$159 &amp; $AN39),0)))))</f>
        <v>110071.9</v>
      </c>
      <c r="U39" s="35">
        <f ca="1">IF(ISERROR(MATCH(U$1,INDIRECT("Table!A"&amp;$AN39):INDIRECT("Table!" &amp; $AR$159 &amp; $AN39),0)),"",INDIRECT(CONCATENATE("Table!",ADDRESS($AJ39,MATCH(U$1,INDIRECT("Table!A" &amp; $AN39):INDIRECT("Table!" &amp; $AR$159 &amp; $AN39),0)))))</f>
        <v>121331.8</v>
      </c>
      <c r="V39" s="35">
        <f ca="1">IF(ISERROR(MATCH(V$1,INDIRECT("Table!A"&amp;$AN39):INDIRECT("Table!" &amp; $AR$159 &amp; $AN39),0)),"",INDIRECT(CONCATENATE("Table!",ADDRESS($AJ39,MATCH(V$1,INDIRECT("Table!A" &amp; $AN39):INDIRECT("Table!" &amp; $AR$159 &amp; $AN39),0)))))</f>
        <v>170967.6</v>
      </c>
      <c r="W39" s="35">
        <f ca="1">IF(ISERROR(MATCH(W$1,INDIRECT("Table!A"&amp;$AN39):INDIRECT("Table!" &amp; $AR$159 &amp; $AN39),0)),"",INDIRECT(CONCATENATE("Table!",ADDRESS($AJ39,MATCH(W$1,INDIRECT("Table!A" &amp; $AN39):INDIRECT("Table!" &amp; $AR$159 &amp; $AN39),0)))))</f>
        <v>132132.20000000001</v>
      </c>
      <c r="X39" s="35">
        <f ca="1">IF(ISERROR(MATCH(X$1,INDIRECT("Table!A"&amp;$AN39):INDIRECT("Table!" &amp; $AR$159 &amp; $AN39),0)),"",INDIRECT(CONCATENATE("Table!",ADDRESS($AJ39,MATCH(X$1,INDIRECT("Table!A" &amp; $AN39):INDIRECT("Table!" &amp; $AR$159 &amp; $AN39),0)))))</f>
        <v>82726.3</v>
      </c>
      <c r="Y39" s="35">
        <f ca="1">IF(ISERROR(MATCH(Y$1,INDIRECT("Table!A"&amp;$AN39):INDIRECT("Table!" &amp; $AR$159 &amp; $AN39),0)),"",INDIRECT(CONCATENATE("Table!",ADDRESS($AJ39,MATCH(Y$1,INDIRECT("Table!A" &amp; $AN39):INDIRECT("Table!" &amp; $AR$159 &amp; $AN39),0)))))</f>
        <v>176482.7</v>
      </c>
      <c r="Z39" s="35">
        <f ca="1">IF(ISERROR(MATCH(Z$1,INDIRECT("Table!A"&amp;$AN39):INDIRECT("Table!" &amp; $AR$159 &amp; $AN39),0)),"",INDIRECT(CONCATENATE("Table!",ADDRESS($AJ39,MATCH(Z$1,INDIRECT("Table!A" &amp; $AN39):INDIRECT("Table!" &amp; $AR$159 &amp; $AN39),0)))))</f>
        <v>54921</v>
      </c>
      <c r="AA39" s="12"/>
      <c r="AB39" s="12">
        <f>MATCH($A39,Table!$A:$A,0)+$AD$2-1</f>
        <v>689</v>
      </c>
      <c r="AF39" s="31">
        <f>MATCH($A39,Table!$A:$A,0)+$AH$2-1</f>
        <v>687</v>
      </c>
      <c r="AJ39" s="12">
        <f>MATCH($A39,Table!$A:$A,0)+$AL$2-1</f>
        <v>688</v>
      </c>
      <c r="AN39" s="31">
        <f>MATCH($A39,Table!$A:$A,0)+$AH$2-1</f>
        <v>687</v>
      </c>
      <c r="AR39" s="239" t="s">
        <v>118</v>
      </c>
    </row>
    <row r="40" spans="1:44">
      <c r="A40" s="5">
        <v>41138</v>
      </c>
      <c r="B40" s="35">
        <f ca="1">IF(ISERROR(MATCH(B$1,INDIRECT("Table!A"&amp;$AF40):INDIRECT("Table!" &amp; $AR$159 &amp; $AF40),0)),"",INDIRECT(CONCATENATE("Table!",ADDRESS($AB40,MATCH(B$1,INDIRECT("Table!A" &amp; $AF40):INDIRECT("Table!" &amp; $AR$159 &amp; $AF40),0)))))</f>
        <v>89709.1</v>
      </c>
      <c r="C40" s="35">
        <f ca="1">IF(ISERROR(MATCH(C$1,INDIRECT("Table!A"&amp;$AF40):INDIRECT("Table!" &amp; $AR$159 &amp; $AF40),0)),"",INDIRECT(CONCATENATE("Table!",ADDRESS($AB40,MATCH(C$1,INDIRECT("Table!A" &amp; $AF40):INDIRECT("Table!" &amp; $AR$159 &amp; $AF40),0)))))</f>
        <v>69149.399999999994</v>
      </c>
      <c r="D40" s="35">
        <f ca="1">IF(ISERROR(MATCH(D$1,INDIRECT("Table!A"&amp;$AF40):INDIRECT("Table!" &amp; $AR$159 &amp; $AF40),0)),"",INDIRECT(CONCATENATE("Table!",ADDRESS($AB40,MATCH(D$1,INDIRECT("Table!A" &amp; $AF40):INDIRECT("Table!" &amp; $AR$159 &amp; $AF40),0)))))</f>
        <v>70507.8</v>
      </c>
      <c r="E40" s="35">
        <f ca="1">IF(ISERROR(MATCH(E$1,INDIRECT("Table!A"&amp;$AF40):INDIRECT("Table!" &amp; $AR$159 &amp; $AF40),0)),"",INDIRECT(CONCATENATE("Table!",ADDRESS($AB40,MATCH(E$1,INDIRECT("Table!A" &amp; $AF40):INDIRECT("Table!" &amp; $AR$159 &amp; $AF40),0)))))</f>
        <v>157381.20000000001</v>
      </c>
      <c r="F40" s="35">
        <f ca="1">IF(ISERROR(MATCH(F$1,INDIRECT("Table!A"&amp;$AF40):INDIRECT("Table!" &amp; $AR$159 &amp; $AF40),0)),"",INDIRECT(CONCATENATE("Table!",ADDRESS($AB40,MATCH(F$1,INDIRECT("Table!A" &amp; $AF40):INDIRECT("Table!" &amp; $AR$159 &amp; $AF40),0)))))</f>
        <v>34990.300000000003</v>
      </c>
      <c r="G40" s="35">
        <f ca="1">IF(ISERROR(MATCH(G$1,INDIRECT("Table!A"&amp;$AF40):INDIRECT("Table!" &amp; $AR$159 &amp; $AF40),0)),"",INDIRECT(CONCATENATE("Table!",ADDRESS($AB40,MATCH(G$1,INDIRECT("Table!A" &amp; $AF40):INDIRECT("Table!" &amp; $AR$159 &amp; $AF40),0)))))</f>
        <v>46112</v>
      </c>
      <c r="H40" s="35">
        <f ca="1">IF(ISERROR(MATCH(H$1,INDIRECT("Table!A"&amp;$AF40):INDIRECT("Table!" &amp; $AR$159 &amp; $AF40),0)),"",INDIRECT(CONCATENATE("Table!",ADDRESS($AB40,MATCH(H$1,INDIRECT("Table!A" &amp; $AF40):INDIRECT("Table!" &amp; $AR$159 &amp; $AF40),0)))))</f>
        <v>26870.2</v>
      </c>
      <c r="I40" s="35">
        <f ca="1">IF(ISERROR(MATCH(I$1,INDIRECT("Table!A"&amp;$AF40):INDIRECT("Table!" &amp; $AR$159 &amp; $AF40),0)),"",INDIRECT(CONCATENATE("Table!",ADDRESS($AB40,MATCH(I$1,INDIRECT("Table!A" &amp; $AF40):INDIRECT("Table!" &amp; $AR$159 &amp; $AF40),0)))))</f>
        <v>139961.70000000001</v>
      </c>
      <c r="J40" s="35">
        <f ca="1">IF(ISERROR(MATCH(J$1,INDIRECT("Table!A"&amp;$AF40):INDIRECT("Table!" &amp; $AR$159 &amp; $AF40),0)),"",INDIRECT(CONCATENATE("Table!",ADDRESS($AB40,MATCH(J$1,INDIRECT("Table!A" &amp; $AF40):INDIRECT("Table!" &amp; $AR$159 &amp; $AF40),0)))))</f>
        <v>41824.1</v>
      </c>
      <c r="K40" s="35">
        <f ca="1">IF(ISERROR(MATCH(K$1,INDIRECT("Table!A"&amp;$AF40):INDIRECT("Table!" &amp; $AR$159 &amp; $AF40),0)),"",INDIRECT(CONCATENATE("Table!",ADDRESS($AB40,MATCH(K$1,INDIRECT("Table!A" &amp; $AF40):INDIRECT("Table!" &amp; $AR$159 &amp; $AF40),0)))))</f>
        <v>21042.799999999999</v>
      </c>
      <c r="L40" s="35">
        <f ca="1">IF(ISERROR(MATCH(L$1,INDIRECT("Table!A"&amp;$AF40):INDIRECT("Table!" &amp; $AR$159 &amp; $AF40),0)),"",INDIRECT(CONCATENATE("Table!",ADDRESS($AB40,MATCH(L$1,INDIRECT("Table!A" &amp; $AF40):INDIRECT("Table!" &amp; $AR$159 &amp; $AF40),0)))))</f>
        <v>90304.6</v>
      </c>
      <c r="M40" s="35">
        <f ca="1">IF(ISERROR(MATCH(M$1,INDIRECT("Table!A"&amp;$AF40):INDIRECT("Table!" &amp; $AR$159 &amp; $AF40),0)),"",INDIRECT(CONCATENATE("Table!",ADDRESS($AB40,MATCH(M$1,INDIRECT("Table!A" &amp; $AF40):INDIRECT("Table!" &amp; $AR$159 &amp; $AF40),0)))))</f>
        <v>23270.2</v>
      </c>
      <c r="N40" s="35" t="str">
        <f ca="1">IF(ISERROR(MATCH(N$1,INDIRECT("Table!A"&amp;$AF40):INDIRECT("Table!" &amp; $AR$188 &amp; $AF40),0)),"",INDIRECT(CONCATENATE("Table!",ADDRESS($AB40,MATCH(N$1,INDIRECT("Table!A" &amp; $AF40):INDIRECT("Table!" &amp; $AR$188 &amp; $AF40),0)))))</f>
        <v/>
      </c>
      <c r="O40" s="35">
        <f ca="1">IF(ISERROR(MATCH(O$1,INDIRECT("Table!A"&amp;$AN40):INDIRECT("Table!" &amp; $AR$159 &amp; $AN40),0)),"",INDIRECT(CONCATENATE("Table!",ADDRESS($AJ40,MATCH(O$1,INDIRECT("Table!A" &amp; $AN40):INDIRECT("Table!" &amp; $AR$159 &amp; $AN40),0)))))</f>
        <v>143392.20000000001</v>
      </c>
      <c r="P40" s="35">
        <f ca="1">IF(ISERROR(MATCH(P$1,INDIRECT("Table!A"&amp;$AN40):INDIRECT("Table!" &amp; $AR$159 &amp; $AN40),0)),"",INDIRECT(CONCATENATE("Table!",ADDRESS($AJ40,MATCH(P$1,INDIRECT("Table!A" &amp; $AN40):INDIRECT("Table!" &amp; $AR$159 &amp; $AN40),0)))))</f>
        <v>150515.79999999999</v>
      </c>
      <c r="Q40" s="35">
        <f ca="1">IF(ISERROR(MATCH(Q$1,INDIRECT("Table!A"&amp;$AN40):INDIRECT("Table!" &amp; $AR$159 &amp; $AN40),0)),"",INDIRECT(CONCATENATE("Table!",ADDRESS($AJ40,MATCH(Q$1,INDIRECT("Table!A" &amp; $AN40):INDIRECT("Table!" &amp; $AR$159 &amp; $AN40),0)))))</f>
        <v>150515.79999999999</v>
      </c>
      <c r="R40" s="35">
        <f ca="1">IF(ISERROR(MATCH(R$1,INDIRECT("Table!A"&amp;$AN40):INDIRECT("Table!" &amp; $AR$159 &amp; $AN40),0)),"",INDIRECT(CONCATENATE("Table!",ADDRESS($AJ40,MATCH(R$1,INDIRECT("Table!A" &amp; $AN40):INDIRECT("Table!" &amp; $AR$159 &amp; $AN40),0)))))</f>
        <v>181997.8</v>
      </c>
      <c r="S40" s="35">
        <f ca="1">IF(ISERROR(MATCH(S$1,INDIRECT("Table!A"&amp;$AN40):INDIRECT("Table!" &amp; $AR$159 &amp; $AN40),0)),"",INDIRECT(CONCATENATE("Table!",ADDRESS($AJ40,MATCH(S$1,INDIRECT("Table!A" &amp; $AN40):INDIRECT("Table!" &amp; $AR$159 &amp; $AN40),0)))))</f>
        <v>165452.5</v>
      </c>
      <c r="T40" s="35">
        <f ca="1">IF(ISERROR(MATCH(T$1,INDIRECT("Table!A"&amp;$AN40):INDIRECT("Table!" &amp; $AR$159 &amp; $AN40),0)),"",INDIRECT(CONCATENATE("Table!",ADDRESS($AJ40,MATCH(T$1,INDIRECT("Table!A" &amp; $AN40):INDIRECT("Table!" &amp; $AR$159 &amp; $AN40),0)))))</f>
        <v>110071.9</v>
      </c>
      <c r="U40" s="35">
        <f ca="1">IF(ISERROR(MATCH(U$1,INDIRECT("Table!A"&amp;$AN40):INDIRECT("Table!" &amp; $AR$159 &amp; $AN40),0)),"",INDIRECT(CONCATENATE("Table!",ADDRESS($AJ40,MATCH(U$1,INDIRECT("Table!A" &amp; $AN40):INDIRECT("Table!" &amp; $AR$159 &amp; $AN40),0)))))</f>
        <v>121331.8</v>
      </c>
      <c r="V40" s="35">
        <f ca="1">IF(ISERROR(MATCH(V$1,INDIRECT("Table!A"&amp;$AN40):INDIRECT("Table!" &amp; $AR$159 &amp; $AN40),0)),"",INDIRECT(CONCATENATE("Table!",ADDRESS($AJ40,MATCH(V$1,INDIRECT("Table!A" &amp; $AN40):INDIRECT("Table!" &amp; $AR$159 &amp; $AN40),0)))))</f>
        <v>170967.6</v>
      </c>
      <c r="W40" s="35">
        <f ca="1">IF(ISERROR(MATCH(W$1,INDIRECT("Table!A"&amp;$AN40):INDIRECT("Table!" &amp; $AR$159 &amp; $AN40),0)),"",INDIRECT(CONCATENATE("Table!",ADDRESS($AJ40,MATCH(W$1,INDIRECT("Table!A" &amp; $AN40):INDIRECT("Table!" &amp; $AR$159 &amp; $AN40),0)))))</f>
        <v>132132.20000000001</v>
      </c>
      <c r="X40" s="35">
        <f ca="1">IF(ISERROR(MATCH(X$1,INDIRECT("Table!A"&amp;$AN40):INDIRECT("Table!" &amp; $AR$159 &amp; $AN40),0)),"",INDIRECT(CONCATENATE("Table!",ADDRESS($AJ40,MATCH(X$1,INDIRECT("Table!A" &amp; $AN40):INDIRECT("Table!" &amp; $AR$159 &amp; $AN40),0)))))</f>
        <v>82726.3</v>
      </c>
      <c r="Y40" s="35">
        <f ca="1">IF(ISERROR(MATCH(Y$1,INDIRECT("Table!A"&amp;$AN40):INDIRECT("Table!" &amp; $AR$159 &amp; $AN40),0)),"",INDIRECT(CONCATENATE("Table!",ADDRESS($AJ40,MATCH(Y$1,INDIRECT("Table!A" &amp; $AN40):INDIRECT("Table!" &amp; $AR$159 &amp; $AN40),0)))))</f>
        <v>176482.7</v>
      </c>
      <c r="Z40" s="35">
        <f ca="1">IF(ISERROR(MATCH(Z$1,INDIRECT("Table!A"&amp;$AN40):INDIRECT("Table!" &amp; $AR$159 &amp; $AN40),0)),"",INDIRECT(CONCATENATE("Table!",ADDRESS($AJ40,MATCH(Z$1,INDIRECT("Table!A" &amp; $AN40):INDIRECT("Table!" &amp; $AR$159 &amp; $AN40),0)))))</f>
        <v>54921</v>
      </c>
      <c r="AA40" s="12"/>
      <c r="AB40" s="12">
        <f>MATCH($A40,Table!$A:$A,0)+$AD$2-1</f>
        <v>702</v>
      </c>
      <c r="AF40" s="31">
        <f>MATCH($A40,Table!$A:$A,0)+$AH$2-1</f>
        <v>700</v>
      </c>
      <c r="AJ40" s="12">
        <f>MATCH($A40,Table!$A:$A,0)+$AL$2-1</f>
        <v>701</v>
      </c>
      <c r="AN40" s="31">
        <f>MATCH($A40,Table!$A:$A,0)+$AH$2-1</f>
        <v>700</v>
      </c>
      <c r="AR40" s="238" t="s">
        <v>118</v>
      </c>
    </row>
    <row r="41" spans="1:44">
      <c r="A41" s="5">
        <v>41137</v>
      </c>
      <c r="B41" s="35">
        <f ca="1">IF(ISERROR(MATCH(B$1,INDIRECT("Table!A"&amp;$AF41):INDIRECT("Table!" &amp; $AR$159 &amp; $AF41),0)),"",INDIRECT(CONCATENATE("Table!",ADDRESS($AB41,MATCH(B$1,INDIRECT("Table!A" &amp; $AF41):INDIRECT("Table!" &amp; $AR$159 &amp; $AF41),0)))))</f>
        <v>89698.1</v>
      </c>
      <c r="C41" s="35">
        <f ca="1">IF(ISERROR(MATCH(C$1,INDIRECT("Table!A"&amp;$AF41):INDIRECT("Table!" &amp; $AR$159 &amp; $AF41),0)),"",INDIRECT(CONCATENATE("Table!",ADDRESS($AB41,MATCH(C$1,INDIRECT("Table!A" &amp; $AF41):INDIRECT("Table!" &amp; $AR$159 &amp; $AF41),0)))))</f>
        <v>69144.2</v>
      </c>
      <c r="D41" s="35">
        <f ca="1">IF(ISERROR(MATCH(D$1,INDIRECT("Table!A"&amp;$AF41):INDIRECT("Table!" &amp; $AR$159 &amp; $AF41),0)),"",INDIRECT(CONCATENATE("Table!",ADDRESS($AB41,MATCH(D$1,INDIRECT("Table!A" &amp; $AF41):INDIRECT("Table!" &amp; $AR$159 &amp; $AF41),0)))))</f>
        <v>70501.8</v>
      </c>
      <c r="E41" s="35">
        <f ca="1">IF(ISERROR(MATCH(E$1,INDIRECT("Table!A"&amp;$AF41):INDIRECT("Table!" &amp; $AR$159 &amp; $AF41),0)),"",INDIRECT(CONCATENATE("Table!",ADDRESS($AB41,MATCH(E$1,INDIRECT("Table!A" &amp; $AF41):INDIRECT("Table!" &amp; $AR$159 &amp; $AF41),0)))))</f>
        <v>157311.1</v>
      </c>
      <c r="F41" s="35">
        <f ca="1">IF(ISERROR(MATCH(F$1,INDIRECT("Table!A"&amp;$AF41):INDIRECT("Table!" &amp; $AR$159 &amp; $AF41),0)),"",INDIRECT(CONCATENATE("Table!",ADDRESS($AB41,MATCH(F$1,INDIRECT("Table!A" &amp; $AF41):INDIRECT("Table!" &amp; $AR$159 &amp; $AF41),0)))))</f>
        <v>34940.199999999997</v>
      </c>
      <c r="G41" s="35">
        <f ca="1">IF(ISERROR(MATCH(G$1,INDIRECT("Table!A"&amp;$AF41):INDIRECT("Table!" &amp; $AR$159 &amp; $AF41),0)),"",INDIRECT(CONCATENATE("Table!",ADDRESS($AB41,MATCH(G$1,INDIRECT("Table!A" &amp; $AF41):INDIRECT("Table!" &amp; $AR$159 &amp; $AF41),0)))))</f>
        <v>47925.4</v>
      </c>
      <c r="H41" s="35">
        <f ca="1">IF(ISERROR(MATCH(H$1,INDIRECT("Table!A"&amp;$AF41):INDIRECT("Table!" &amp; $AR$159 &amp; $AF41),0)),"",INDIRECT(CONCATENATE("Table!",ADDRESS($AB41,MATCH(H$1,INDIRECT("Table!A" &amp; $AF41):INDIRECT("Table!" &amp; $AR$159 &amp; $AF41),0)))))</f>
        <v>26235.4</v>
      </c>
      <c r="I41" s="35">
        <f ca="1">IF(ISERROR(MATCH(I$1,INDIRECT("Table!A"&amp;$AF41):INDIRECT("Table!" &amp; $AR$159 &amp; $AF41),0)),"",INDIRECT(CONCATENATE("Table!",ADDRESS($AB41,MATCH(I$1,INDIRECT("Table!A" &amp; $AF41):INDIRECT("Table!" &amp; $AR$159 &amp; $AF41),0)))))</f>
        <v>139874.79999999999</v>
      </c>
      <c r="J41" s="35">
        <f ca="1">IF(ISERROR(MATCH(J$1,INDIRECT("Table!A"&amp;$AF41):INDIRECT("Table!" &amp; $AR$159 &amp; $AF41),0)),"",INDIRECT(CONCATENATE("Table!",ADDRESS($AB41,MATCH(J$1,INDIRECT("Table!A" &amp; $AF41):INDIRECT("Table!" &amp; $AR$159 &amp; $AF41),0)))))</f>
        <v>46233.1</v>
      </c>
      <c r="K41" s="35">
        <f ca="1">IF(ISERROR(MATCH(K$1,INDIRECT("Table!A"&amp;$AF41):INDIRECT("Table!" &amp; $AR$159 &amp; $AF41),0)),"",INDIRECT(CONCATENATE("Table!",ADDRESS($AB41,MATCH(K$1,INDIRECT("Table!A" &amp; $AF41):INDIRECT("Table!" &amp; $AR$159 &amp; $AF41),0)))))</f>
        <v>20998.6</v>
      </c>
      <c r="L41" s="35">
        <f ca="1">IF(ISERROR(MATCH(L$1,INDIRECT("Table!A"&amp;$AF41):INDIRECT("Table!" &amp; $AR$159 &amp; $AF41),0)),"",INDIRECT(CONCATENATE("Table!",ADDRESS($AB41,MATCH(L$1,INDIRECT("Table!A" &amp; $AF41):INDIRECT("Table!" &amp; $AR$159 &amp; $AF41),0)))))</f>
        <v>90149.7</v>
      </c>
      <c r="M41" s="35">
        <f ca="1">IF(ISERROR(MATCH(M$1,INDIRECT("Table!A"&amp;$AF41):INDIRECT("Table!" &amp; $AR$159 &amp; $AF41),0)),"",INDIRECT(CONCATENATE("Table!",ADDRESS($AB41,MATCH(M$1,INDIRECT("Table!A" &amp; $AF41):INDIRECT("Table!" &amp; $AR$159 &amp; $AF41),0)))))</f>
        <v>23270.2</v>
      </c>
      <c r="N41" s="35" t="str">
        <f ca="1">IF(ISERROR(MATCH(N$1,INDIRECT("Table!A"&amp;$AF41):INDIRECT("Table!" &amp; $AR$188 &amp; $AF41),0)),"",INDIRECT(CONCATENATE("Table!",ADDRESS($AB41,MATCH(N$1,INDIRECT("Table!A" &amp; $AF41):INDIRECT("Table!" &amp; $AR$188 &amp; $AF41),0)))))</f>
        <v/>
      </c>
      <c r="O41" s="35">
        <f ca="1">IF(ISERROR(MATCH(O$1,INDIRECT("Table!A"&amp;$AN41):INDIRECT("Table!" &amp; $AR$159 &amp; $AN41),0)),"",INDIRECT(CONCATENATE("Table!",ADDRESS($AJ41,MATCH(O$1,INDIRECT("Table!A" &amp; $AN41):INDIRECT("Table!" &amp; $AR$159 &amp; $AN41),0)))))</f>
        <v>143392.20000000001</v>
      </c>
      <c r="P41" s="35">
        <f ca="1">IF(ISERROR(MATCH(P$1,INDIRECT("Table!A"&amp;$AN41):INDIRECT("Table!" &amp; $AR$159 &amp; $AN41),0)),"",INDIRECT(CONCATENATE("Table!",ADDRESS($AJ41,MATCH(P$1,INDIRECT("Table!A" &amp; $AN41):INDIRECT("Table!" &amp; $AR$159 &amp; $AN41),0)))))</f>
        <v>150515.79999999999</v>
      </c>
      <c r="Q41" s="35">
        <f ca="1">IF(ISERROR(MATCH(Q$1,INDIRECT("Table!A"&amp;$AN41):INDIRECT("Table!" &amp; $AR$159 &amp; $AN41),0)),"",INDIRECT(CONCATENATE("Table!",ADDRESS($AJ41,MATCH(Q$1,INDIRECT("Table!A" &amp; $AN41):INDIRECT("Table!" &amp; $AR$159 &amp; $AN41),0)))))</f>
        <v>150515.79999999999</v>
      </c>
      <c r="R41" s="35">
        <f ca="1">IF(ISERROR(MATCH(R$1,INDIRECT("Table!A"&amp;$AN41):INDIRECT("Table!" &amp; $AR$159 &amp; $AN41),0)),"",INDIRECT(CONCATENATE("Table!",ADDRESS($AJ41,MATCH(R$1,INDIRECT("Table!A" &amp; $AN41):INDIRECT("Table!" &amp; $AR$159 &amp; $AN41),0)))))</f>
        <v>181997.8</v>
      </c>
      <c r="S41" s="35">
        <f ca="1">IF(ISERROR(MATCH(S$1,INDIRECT("Table!A"&amp;$AN41):INDIRECT("Table!" &amp; $AR$159 &amp; $AN41),0)),"",INDIRECT(CONCATENATE("Table!",ADDRESS($AJ41,MATCH(S$1,INDIRECT("Table!A" &amp; $AN41):INDIRECT("Table!" &amp; $AR$159 &amp; $AN41),0)))))</f>
        <v>165452.5</v>
      </c>
      <c r="T41" s="35">
        <f ca="1">IF(ISERROR(MATCH(T$1,INDIRECT("Table!A"&amp;$AN41):INDIRECT("Table!" &amp; $AR$159 &amp; $AN41),0)),"",INDIRECT(CONCATENATE("Table!",ADDRESS($AJ41,MATCH(T$1,INDIRECT("Table!A" &amp; $AN41):INDIRECT("Table!" &amp; $AR$159 &amp; $AN41),0)))))</f>
        <v>110071.9</v>
      </c>
      <c r="U41" s="35">
        <f ca="1">IF(ISERROR(MATCH(U$1,INDIRECT("Table!A"&amp;$AN41):INDIRECT("Table!" &amp; $AR$159 &amp; $AN41),0)),"",INDIRECT(CONCATENATE("Table!",ADDRESS($AJ41,MATCH(U$1,INDIRECT("Table!A" &amp; $AN41):INDIRECT("Table!" &amp; $AR$159 &amp; $AN41),0)))))</f>
        <v>121331.8</v>
      </c>
      <c r="V41" s="35">
        <f ca="1">IF(ISERROR(MATCH(V$1,INDIRECT("Table!A"&amp;$AN41):INDIRECT("Table!" &amp; $AR$159 &amp; $AN41),0)),"",INDIRECT(CONCATENATE("Table!",ADDRESS($AJ41,MATCH(V$1,INDIRECT("Table!A" &amp; $AN41):INDIRECT("Table!" &amp; $AR$159 &amp; $AN41),0)))))</f>
        <v>170967.6</v>
      </c>
      <c r="W41" s="35">
        <f ca="1">IF(ISERROR(MATCH(W$1,INDIRECT("Table!A"&amp;$AN41):INDIRECT("Table!" &amp; $AR$159 &amp; $AN41),0)),"",INDIRECT(CONCATENATE("Table!",ADDRESS($AJ41,MATCH(W$1,INDIRECT("Table!A" &amp; $AN41):INDIRECT("Table!" &amp; $AR$159 &amp; $AN41),0)))))</f>
        <v>132132.20000000001</v>
      </c>
      <c r="X41" s="35">
        <f ca="1">IF(ISERROR(MATCH(X$1,INDIRECT("Table!A"&amp;$AN41):INDIRECT("Table!" &amp; $AR$159 &amp; $AN41),0)),"",INDIRECT(CONCATENATE("Table!",ADDRESS($AJ41,MATCH(X$1,INDIRECT("Table!A" &amp; $AN41):INDIRECT("Table!" &amp; $AR$159 &amp; $AN41),0)))))</f>
        <v>82726.3</v>
      </c>
      <c r="Y41" s="35">
        <f ca="1">IF(ISERROR(MATCH(Y$1,INDIRECT("Table!A"&amp;$AN41):INDIRECT("Table!" &amp; $AR$159 &amp; $AN41),0)),"",INDIRECT(CONCATENATE("Table!",ADDRESS($AJ41,MATCH(Y$1,INDIRECT("Table!A" &amp; $AN41):INDIRECT("Table!" &amp; $AR$159 &amp; $AN41),0)))))</f>
        <v>176482.7</v>
      </c>
      <c r="Z41" s="35">
        <f ca="1">IF(ISERROR(MATCH(Z$1,INDIRECT("Table!A"&amp;$AN41):INDIRECT("Table!" &amp; $AR$159 &amp; $AN41),0)),"",INDIRECT(CONCATENATE("Table!",ADDRESS($AJ41,MATCH(Z$1,INDIRECT("Table!A" &amp; $AN41):INDIRECT("Table!" &amp; $AR$159 &amp; $AN41),0)))))</f>
        <v>54921</v>
      </c>
      <c r="AA41" s="12"/>
      <c r="AB41" s="12">
        <f>MATCH($A41,Table!$A:$A,0)+$AD$2-1</f>
        <v>715</v>
      </c>
      <c r="AF41" s="31">
        <f>MATCH($A41,Table!$A:$A,0)+$AH$2-1</f>
        <v>713</v>
      </c>
      <c r="AJ41" s="12">
        <f>MATCH($A41,Table!$A:$A,0)+$AL$2-1</f>
        <v>714</v>
      </c>
      <c r="AN41" s="31">
        <f>MATCH($A41,Table!$A:$A,0)+$AH$2-1</f>
        <v>713</v>
      </c>
      <c r="AR41" s="237" t="s">
        <v>118</v>
      </c>
    </row>
    <row r="42" spans="1:44">
      <c r="A42" s="5">
        <v>41135</v>
      </c>
      <c r="B42" s="35">
        <f ca="1">IF(ISERROR(MATCH(B$1,INDIRECT("Table!A"&amp;$AF42):INDIRECT("Table!" &amp; $AR$159 &amp; $AF42),0)),"",INDIRECT(CONCATENATE("Table!",ADDRESS($AB42,MATCH(B$1,INDIRECT("Table!A" &amp; $AF42):INDIRECT("Table!" &amp; $AR$159 &amp; $AF42),0)))))</f>
        <v>93063.6</v>
      </c>
      <c r="C42" s="35">
        <f ca="1">IF(ISERROR(MATCH(C$1,INDIRECT("Table!A"&amp;$AF42):INDIRECT("Table!" &amp; $AR$159 &amp; $AF42),0)),"",INDIRECT(CONCATENATE("Table!",ADDRESS($AB42,MATCH(C$1,INDIRECT("Table!A" &amp; $AF42):INDIRECT("Table!" &amp; $AR$159 &amp; $AF42),0)))))</f>
        <v>68909.100000000006</v>
      </c>
      <c r="D42" s="35">
        <f ca="1">IF(ISERROR(MATCH(D$1,INDIRECT("Table!A"&amp;$AF42):INDIRECT("Table!" &amp; $AR$159 &amp; $AF42),0)),"",INDIRECT(CONCATENATE("Table!",ADDRESS($AB42,MATCH(D$1,INDIRECT("Table!A" &amp; $AF42):INDIRECT("Table!" &amp; $AR$159 &amp; $AF42),0)))))</f>
        <v>70269.8</v>
      </c>
      <c r="E42" s="35">
        <f ca="1">IF(ISERROR(MATCH(E$1,INDIRECT("Table!A"&amp;$AF42):INDIRECT("Table!" &amp; $AR$159 &amp; $AF42),0)),"",INDIRECT(CONCATENATE("Table!",ADDRESS($AB42,MATCH(E$1,INDIRECT("Table!A" &amp; $AF42):INDIRECT("Table!" &amp; $AR$159 &amp; $AF42),0)))))</f>
        <v>155965.29999999999</v>
      </c>
      <c r="F42" s="35">
        <f ca="1">IF(ISERROR(MATCH(F$1,INDIRECT("Table!A"&amp;$AF42):INDIRECT("Table!" &amp; $AR$159 &amp; $AF42),0)),"",INDIRECT(CONCATENATE("Table!",ADDRESS($AB42,MATCH(F$1,INDIRECT("Table!A" &amp; $AF42):INDIRECT("Table!" &amp; $AR$159 &amp; $AF42),0)))))</f>
        <v>34819.1</v>
      </c>
      <c r="G42" s="35">
        <f ca="1">IF(ISERROR(MATCH(G$1,INDIRECT("Table!A"&amp;$AF42):INDIRECT("Table!" &amp; $AR$159 &amp; $AF42),0)),"",INDIRECT(CONCATENATE("Table!",ADDRESS($AB42,MATCH(G$1,INDIRECT("Table!A" &amp; $AF42):INDIRECT("Table!" &amp; $AR$159 &amp; $AF42),0)))))</f>
        <v>47616.800000000003</v>
      </c>
      <c r="H42" s="35">
        <f ca="1">IF(ISERROR(MATCH(H$1,INDIRECT("Table!A"&amp;$AF42):INDIRECT("Table!" &amp; $AR$159 &amp; $AF42),0)),"",INDIRECT(CONCATENATE("Table!",ADDRESS($AB42,MATCH(H$1,INDIRECT("Table!A" &amp; $AF42):INDIRECT("Table!" &amp; $AR$159 &amp; $AF42),0)))))</f>
        <v>26128.1</v>
      </c>
      <c r="I42" s="35">
        <f ca="1">IF(ISERROR(MATCH(I$1,INDIRECT("Table!A"&amp;$AF42):INDIRECT("Table!" &amp; $AR$159 &amp; $AF42),0)),"",INDIRECT(CONCATENATE("Table!",ADDRESS($AB42,MATCH(I$1,INDIRECT("Table!A" &amp; $AF42):INDIRECT("Table!" &amp; $AR$159 &amp; $AF42),0)))))</f>
        <v>139765.29999999999</v>
      </c>
      <c r="J42" s="35">
        <f ca="1">IF(ISERROR(MATCH(J$1,INDIRECT("Table!A"&amp;$AF42):INDIRECT("Table!" &amp; $AR$159 &amp; $AF42),0)),"",INDIRECT(CONCATENATE("Table!",ADDRESS($AB42,MATCH(J$1,INDIRECT("Table!A" &amp; $AF42):INDIRECT("Table!" &amp; $AR$159 &amp; $AF42),0)))))</f>
        <v>56660.1</v>
      </c>
      <c r="K42" s="35">
        <f ca="1">IF(ISERROR(MATCH(K$1,INDIRECT("Table!A"&amp;$AF42):INDIRECT("Table!" &amp; $AR$159 &amp; $AF42),0)),"",INDIRECT(CONCATENATE("Table!",ADDRESS($AB42,MATCH(K$1,INDIRECT("Table!A" &amp; $AF42):INDIRECT("Table!" &amp; $AR$159 &amp; $AF42),0)))))</f>
        <v>20918.900000000001</v>
      </c>
      <c r="L42" s="35">
        <f ca="1">IF(ISERROR(MATCH(L$1,INDIRECT("Table!A"&amp;$AF42):INDIRECT("Table!" &amp; $AR$159 &amp; $AF42),0)),"",INDIRECT(CONCATENATE("Table!",ADDRESS($AB42,MATCH(L$1,INDIRECT("Table!A" &amp; $AF42):INDIRECT("Table!" &amp; $AR$159 &amp; $AF42),0)))))</f>
        <v>89940</v>
      </c>
      <c r="M42" s="35">
        <f ca="1">IF(ISERROR(MATCH(M$1,INDIRECT("Table!A"&amp;$AF42):INDIRECT("Table!" &amp; $AR$159 &amp; $AF42),0)),"",INDIRECT(CONCATENATE("Table!",ADDRESS($AB42,MATCH(M$1,INDIRECT("Table!A" &amp; $AF42):INDIRECT("Table!" &amp; $AR$159 &amp; $AF42),0)))))</f>
        <v>23270.2</v>
      </c>
      <c r="N42" s="35" t="str">
        <f ca="1">IF(ISERROR(MATCH(N$1,INDIRECT("Table!A"&amp;$AF42):INDIRECT("Table!" &amp; $AR$188 &amp; $AF42),0)),"",INDIRECT(CONCATENATE("Table!",ADDRESS($AB42,MATCH(N$1,INDIRECT("Table!A" &amp; $AF42):INDIRECT("Table!" &amp; $AR$188 &amp; $AF42),0)))))</f>
        <v/>
      </c>
      <c r="O42" s="35">
        <f ca="1">IF(ISERROR(MATCH(O$1,INDIRECT("Table!A"&amp;$AN42):INDIRECT("Table!" &amp; $AR$159 &amp; $AN42),0)),"",INDIRECT(CONCATENATE("Table!",ADDRESS($AJ42,MATCH(O$1,INDIRECT("Table!A" &amp; $AN42):INDIRECT("Table!" &amp; $AR$159 &amp; $AN42),0)))))</f>
        <v>143392.20000000001</v>
      </c>
      <c r="P42" s="35">
        <f ca="1">IF(ISERROR(MATCH(P$1,INDIRECT("Table!A"&amp;$AN42):INDIRECT("Table!" &amp; $AR$159 &amp; $AN42),0)),"",INDIRECT(CONCATENATE("Table!",ADDRESS($AJ42,MATCH(P$1,INDIRECT("Table!A" &amp; $AN42):INDIRECT("Table!" &amp; $AR$159 &amp; $AN42),0)))))</f>
        <v>150515.79999999999</v>
      </c>
      <c r="Q42" s="35">
        <f ca="1">IF(ISERROR(MATCH(Q$1,INDIRECT("Table!A"&amp;$AN42):INDIRECT("Table!" &amp; $AR$159 &amp; $AN42),0)),"",INDIRECT(CONCATENATE("Table!",ADDRESS($AJ42,MATCH(Q$1,INDIRECT("Table!A" &amp; $AN42):INDIRECT("Table!" &amp; $AR$159 &amp; $AN42),0)))))</f>
        <v>150515.79999999999</v>
      </c>
      <c r="R42" s="35">
        <f ca="1">IF(ISERROR(MATCH(R$1,INDIRECT("Table!A"&amp;$AN42):INDIRECT("Table!" &amp; $AR$159 &amp; $AN42),0)),"",INDIRECT(CONCATENATE("Table!",ADDRESS($AJ42,MATCH(R$1,INDIRECT("Table!A" &amp; $AN42):INDIRECT("Table!" &amp; $AR$159 &amp; $AN42),0)))))</f>
        <v>181997.8</v>
      </c>
      <c r="S42" s="35">
        <f ca="1">IF(ISERROR(MATCH(S$1,INDIRECT("Table!A"&amp;$AN42):INDIRECT("Table!" &amp; $AR$159 &amp; $AN42),0)),"",INDIRECT(CONCATENATE("Table!",ADDRESS($AJ42,MATCH(S$1,INDIRECT("Table!A" &amp; $AN42):INDIRECT("Table!" &amp; $AR$159 &amp; $AN42),0)))))</f>
        <v>165452.5</v>
      </c>
      <c r="T42" s="35">
        <f ca="1">IF(ISERROR(MATCH(T$1,INDIRECT("Table!A"&amp;$AN42):INDIRECT("Table!" &amp; $AR$159 &amp; $AN42),0)),"",INDIRECT(CONCATENATE("Table!",ADDRESS($AJ42,MATCH(T$1,INDIRECT("Table!A" &amp; $AN42):INDIRECT("Table!" &amp; $AR$159 &amp; $AN42),0)))))</f>
        <v>110071.9</v>
      </c>
      <c r="U42" s="35">
        <f ca="1">IF(ISERROR(MATCH(U$1,INDIRECT("Table!A"&amp;$AN42):INDIRECT("Table!" &amp; $AR$159 &amp; $AN42),0)),"",INDIRECT(CONCATENATE("Table!",ADDRESS($AJ42,MATCH(U$1,INDIRECT("Table!A" &amp; $AN42):INDIRECT("Table!" &amp; $AR$159 &amp; $AN42),0)))))</f>
        <v>121331.8</v>
      </c>
      <c r="V42" s="35">
        <f ca="1">IF(ISERROR(MATCH(V$1,INDIRECT("Table!A"&amp;$AN42):INDIRECT("Table!" &amp; $AR$159 &amp; $AN42),0)),"",INDIRECT(CONCATENATE("Table!",ADDRESS($AJ42,MATCH(V$1,INDIRECT("Table!A" &amp; $AN42):INDIRECT("Table!" &amp; $AR$159 &amp; $AN42),0)))))</f>
        <v>170967.6</v>
      </c>
      <c r="W42" s="35">
        <f ca="1">IF(ISERROR(MATCH(W$1,INDIRECT("Table!A"&amp;$AN42):INDIRECT("Table!" &amp; $AR$159 &amp; $AN42),0)),"",INDIRECT(CONCATENATE("Table!",ADDRESS($AJ42,MATCH(W$1,INDIRECT("Table!A" &amp; $AN42):INDIRECT("Table!" &amp; $AR$159 &amp; $AN42),0)))))</f>
        <v>132132.20000000001</v>
      </c>
      <c r="X42" s="35">
        <f ca="1">IF(ISERROR(MATCH(X$1,INDIRECT("Table!A"&amp;$AN42):INDIRECT("Table!" &amp; $AR$159 &amp; $AN42),0)),"",INDIRECT(CONCATENATE("Table!",ADDRESS($AJ42,MATCH(X$1,INDIRECT("Table!A" &amp; $AN42):INDIRECT("Table!" &amp; $AR$159 &amp; $AN42),0)))))</f>
        <v>82726.3</v>
      </c>
      <c r="Y42" s="35">
        <f ca="1">IF(ISERROR(MATCH(Y$1,INDIRECT("Table!A"&amp;$AN42):INDIRECT("Table!" &amp; $AR$159 &amp; $AN42),0)),"",INDIRECT(CONCATENATE("Table!",ADDRESS($AJ42,MATCH(Y$1,INDIRECT("Table!A" &amp; $AN42):INDIRECT("Table!" &amp; $AR$159 &amp; $AN42),0)))))</f>
        <v>176482.7</v>
      </c>
      <c r="Z42" s="35">
        <f ca="1">IF(ISERROR(MATCH(Z$1,INDIRECT("Table!A"&amp;$AN42):INDIRECT("Table!" &amp; $AR$159 &amp; $AN42),0)),"",INDIRECT(CONCATENATE("Table!",ADDRESS($AJ42,MATCH(Z$1,INDIRECT("Table!A" &amp; $AN42):INDIRECT("Table!" &amp; $AR$159 &amp; $AN42),0)))))</f>
        <v>54921</v>
      </c>
      <c r="AA42" s="12"/>
      <c r="AB42" s="12">
        <f>MATCH($A42,Table!$A:$A,0)+$AD$2-1</f>
        <v>728</v>
      </c>
      <c r="AF42" s="31">
        <f>MATCH($A42,Table!$A:$A,0)+$AH$2-1</f>
        <v>726</v>
      </c>
      <c r="AJ42" s="12">
        <f>MATCH($A42,Table!$A:$A,0)+$AL$2-1</f>
        <v>727</v>
      </c>
      <c r="AN42" s="31">
        <f>MATCH($A42,Table!$A:$A,0)+$AH$2-1</f>
        <v>726</v>
      </c>
      <c r="AR42" s="236" t="s">
        <v>118</v>
      </c>
    </row>
    <row r="43" spans="1:44">
      <c r="A43" s="5">
        <v>41134</v>
      </c>
      <c r="B43" s="35">
        <f ca="1">IF(ISERROR(MATCH(B$1,INDIRECT("Table!A"&amp;$AF43):INDIRECT("Table!" &amp; $AR$159 &amp; $AF43),0)),"",INDIRECT(CONCATENATE("Table!",ADDRESS($AB43,MATCH(B$1,INDIRECT("Table!A" &amp; $AF43):INDIRECT("Table!" &amp; $AR$159 &amp; $AF43),0)))))</f>
        <v>92932.800000000003</v>
      </c>
      <c r="C43" s="35">
        <f ca="1">IF(ISERROR(MATCH(C$1,INDIRECT("Table!A"&amp;$AF43):INDIRECT("Table!" &amp; $AR$159 &amp; $AF43),0)),"",INDIRECT(CONCATENATE("Table!",ADDRESS($AB43,MATCH(C$1,INDIRECT("Table!A" &amp; $AF43):INDIRECT("Table!" &amp; $AR$159 &amp; $AF43),0)))))</f>
        <v>68879.7</v>
      </c>
      <c r="D43" s="35">
        <f ca="1">IF(ISERROR(MATCH(D$1,INDIRECT("Table!A"&amp;$AF43):INDIRECT("Table!" &amp; $AR$159 &amp; $AF43),0)),"",INDIRECT(CONCATENATE("Table!",ADDRESS($AB43,MATCH(D$1,INDIRECT("Table!A" &amp; $AF43):INDIRECT("Table!" &amp; $AR$159 &amp; $AF43),0)))))</f>
        <v>70240.399999999994</v>
      </c>
      <c r="E43" s="35">
        <f ca="1">IF(ISERROR(MATCH(E$1,INDIRECT("Table!A"&amp;$AF43):INDIRECT("Table!" &amp; $AR$159 &amp; $AF43),0)),"",INDIRECT(CONCATENATE("Table!",ADDRESS($AB43,MATCH(E$1,INDIRECT("Table!A" &amp; $AF43):INDIRECT("Table!" &amp; $AR$159 &amp; $AF43),0)))))</f>
        <v>156125.79999999999</v>
      </c>
      <c r="F43" s="35">
        <f ca="1">IF(ISERROR(MATCH(F$1,INDIRECT("Table!A"&amp;$AF43):INDIRECT("Table!" &amp; $AR$159 &amp; $AF43),0)),"",INDIRECT(CONCATENATE("Table!",ADDRESS($AB43,MATCH(F$1,INDIRECT("Table!A" &amp; $AF43):INDIRECT("Table!" &amp; $AR$159 &amp; $AF43),0)))))</f>
        <v>34792.1</v>
      </c>
      <c r="G43" s="35">
        <f ca="1">IF(ISERROR(MATCH(G$1,INDIRECT("Table!A"&amp;$AF43):INDIRECT("Table!" &amp; $AR$159 &amp; $AF43),0)),"",INDIRECT(CONCATENATE("Table!",ADDRESS($AB43,MATCH(G$1,INDIRECT("Table!A" &amp; $AF43):INDIRECT("Table!" &amp; $AR$159 &amp; $AF43),0)))))</f>
        <v>47750.9</v>
      </c>
      <c r="H43" s="35">
        <f ca="1">IF(ISERROR(MATCH(H$1,INDIRECT("Table!A"&amp;$AF43):INDIRECT("Table!" &amp; $AR$159 &amp; $AF43),0)),"",INDIRECT(CONCATENATE("Table!",ADDRESS($AB43,MATCH(H$1,INDIRECT("Table!A" &amp; $AF43):INDIRECT("Table!" &amp; $AR$159 &amp; $AF43),0)))))</f>
        <v>26084.5</v>
      </c>
      <c r="I43" s="35">
        <f ca="1">IF(ISERROR(MATCH(I$1,INDIRECT("Table!A"&amp;$AF43):INDIRECT("Table!" &amp; $AR$159 &amp; $AF43),0)),"",INDIRECT(CONCATENATE("Table!",ADDRESS($AB43,MATCH(I$1,INDIRECT("Table!A" &amp; $AF43):INDIRECT("Table!" &amp; $AR$159 &amp; $AF43),0)))))</f>
        <v>140999.5</v>
      </c>
      <c r="J43" s="35">
        <f ca="1">IF(ISERROR(MATCH(J$1,INDIRECT("Table!A"&amp;$AF43):INDIRECT("Table!" &amp; $AR$159 &amp; $AF43),0)),"",INDIRECT(CONCATENATE("Table!",ADDRESS($AB43,MATCH(J$1,INDIRECT("Table!A" &amp; $AF43):INDIRECT("Table!" &amp; $AR$159 &amp; $AF43),0)))))</f>
        <v>56630.6</v>
      </c>
      <c r="K43" s="35">
        <f ca="1">IF(ISERROR(MATCH(K$1,INDIRECT("Table!A"&amp;$AF43):INDIRECT("Table!" &amp; $AR$159 &amp; $AF43),0)),"",INDIRECT(CONCATENATE("Table!",ADDRESS($AB43,MATCH(K$1,INDIRECT("Table!A" &amp; $AF43):INDIRECT("Table!" &amp; $AR$159 &amp; $AF43),0)))))</f>
        <v>20901.599999999999</v>
      </c>
      <c r="L43" s="35">
        <f ca="1">IF(ISERROR(MATCH(L$1,INDIRECT("Table!A"&amp;$AF43):INDIRECT("Table!" &amp; $AR$159 &amp; $AF43),0)),"",INDIRECT(CONCATENATE("Table!",ADDRESS($AB43,MATCH(L$1,INDIRECT("Table!A" &amp; $AF43):INDIRECT("Table!" &amp; $AR$159 &amp; $AF43),0)))))</f>
        <v>89858.7</v>
      </c>
      <c r="M43" s="35">
        <f ca="1">IF(ISERROR(MATCH(M$1,INDIRECT("Table!A"&amp;$AF43):INDIRECT("Table!" &amp; $AR$159 &amp; $AF43),0)),"",INDIRECT(CONCATENATE("Table!",ADDRESS($AB43,MATCH(M$1,INDIRECT("Table!A" &amp; $AF43):INDIRECT("Table!" &amp; $AR$159 &amp; $AF43),0)))))</f>
        <v>23270.2</v>
      </c>
      <c r="N43" s="35" t="str">
        <f ca="1">IF(ISERROR(MATCH(N$1,INDIRECT("Table!A"&amp;$AF43):INDIRECT("Table!" &amp; $AR$188 &amp; $AF43),0)),"",INDIRECT(CONCATENATE("Table!",ADDRESS($AB43,MATCH(N$1,INDIRECT("Table!A" &amp; $AF43):INDIRECT("Table!" &amp; $AR$188 &amp; $AF43),0)))))</f>
        <v/>
      </c>
      <c r="O43" s="35">
        <f ca="1">IF(ISERROR(MATCH(O$1,INDIRECT("Table!A"&amp;$AN43):INDIRECT("Table!" &amp; $AR$159 &amp; $AN43),0)),"",INDIRECT(CONCATENATE("Table!",ADDRESS($AJ43,MATCH(O$1,INDIRECT("Table!A" &amp; $AN43):INDIRECT("Table!" &amp; $AR$159 &amp; $AN43),0)))))</f>
        <v>143392.20000000001</v>
      </c>
      <c r="P43" s="35">
        <f ca="1">IF(ISERROR(MATCH(P$1,INDIRECT("Table!A"&amp;$AN43):INDIRECT("Table!" &amp; $AR$159 &amp; $AN43),0)),"",INDIRECT(CONCATENATE("Table!",ADDRESS($AJ43,MATCH(P$1,INDIRECT("Table!A" &amp; $AN43):INDIRECT("Table!" &amp; $AR$159 &amp; $AN43),0)))))</f>
        <v>150515.79999999999</v>
      </c>
      <c r="Q43" s="35">
        <f ca="1">IF(ISERROR(MATCH(Q$1,INDIRECT("Table!A"&amp;$AN43):INDIRECT("Table!" &amp; $AR$159 &amp; $AN43),0)),"",INDIRECT(CONCATENATE("Table!",ADDRESS($AJ43,MATCH(Q$1,INDIRECT("Table!A" &amp; $AN43):INDIRECT("Table!" &amp; $AR$159 &amp; $AN43),0)))))</f>
        <v>150515.79999999999</v>
      </c>
      <c r="R43" s="35">
        <f ca="1">IF(ISERROR(MATCH(R$1,INDIRECT("Table!A"&amp;$AN43):INDIRECT("Table!" &amp; $AR$159 &amp; $AN43),0)),"",INDIRECT(CONCATENATE("Table!",ADDRESS($AJ43,MATCH(R$1,INDIRECT("Table!A" &amp; $AN43):INDIRECT("Table!" &amp; $AR$159 &amp; $AN43),0)))))</f>
        <v>181997.8</v>
      </c>
      <c r="S43" s="35">
        <f ca="1">IF(ISERROR(MATCH(S$1,INDIRECT("Table!A"&amp;$AN43):INDIRECT("Table!" &amp; $AR$159 &amp; $AN43),0)),"",INDIRECT(CONCATENATE("Table!",ADDRESS($AJ43,MATCH(S$1,INDIRECT("Table!A" &amp; $AN43):INDIRECT("Table!" &amp; $AR$159 &amp; $AN43),0)))))</f>
        <v>165452.5</v>
      </c>
      <c r="T43" s="35">
        <f ca="1">IF(ISERROR(MATCH(T$1,INDIRECT("Table!A"&amp;$AN43):INDIRECT("Table!" &amp; $AR$159 &amp; $AN43),0)),"",INDIRECT(CONCATENATE("Table!",ADDRESS($AJ43,MATCH(T$1,INDIRECT("Table!A" &amp; $AN43):INDIRECT("Table!" &amp; $AR$159 &amp; $AN43),0)))))</f>
        <v>110071.9</v>
      </c>
      <c r="U43" s="35">
        <f ca="1">IF(ISERROR(MATCH(U$1,INDIRECT("Table!A"&amp;$AN43):INDIRECT("Table!" &amp; $AR$159 &amp; $AN43),0)),"",INDIRECT(CONCATENATE("Table!",ADDRESS($AJ43,MATCH(U$1,INDIRECT("Table!A" &amp; $AN43):INDIRECT("Table!" &amp; $AR$159 &amp; $AN43),0)))))</f>
        <v>121331.8</v>
      </c>
      <c r="V43" s="35">
        <f ca="1">IF(ISERROR(MATCH(V$1,INDIRECT("Table!A"&amp;$AN43):INDIRECT("Table!" &amp; $AR$159 &amp; $AN43),0)),"",INDIRECT(CONCATENATE("Table!",ADDRESS($AJ43,MATCH(V$1,INDIRECT("Table!A" &amp; $AN43):INDIRECT("Table!" &amp; $AR$159 &amp; $AN43),0)))))</f>
        <v>170967.6</v>
      </c>
      <c r="W43" s="35">
        <f ca="1">IF(ISERROR(MATCH(W$1,INDIRECT("Table!A"&amp;$AN43):INDIRECT("Table!" &amp; $AR$159 &amp; $AN43),0)),"",INDIRECT(CONCATENATE("Table!",ADDRESS($AJ43,MATCH(W$1,INDIRECT("Table!A" &amp; $AN43):INDIRECT("Table!" &amp; $AR$159 &amp; $AN43),0)))))</f>
        <v>132132.20000000001</v>
      </c>
      <c r="X43" s="35">
        <f ca="1">IF(ISERROR(MATCH(X$1,INDIRECT("Table!A"&amp;$AN43):INDIRECT("Table!" &amp; $AR$159 &amp; $AN43),0)),"",INDIRECT(CONCATENATE("Table!",ADDRESS($AJ43,MATCH(X$1,INDIRECT("Table!A" &amp; $AN43):INDIRECT("Table!" &amp; $AR$159 &amp; $AN43),0)))))</f>
        <v>82726.3</v>
      </c>
      <c r="Y43" s="35">
        <f ca="1">IF(ISERROR(MATCH(Y$1,INDIRECT("Table!A"&amp;$AN43):INDIRECT("Table!" &amp; $AR$159 &amp; $AN43),0)),"",INDIRECT(CONCATENATE("Table!",ADDRESS($AJ43,MATCH(Y$1,INDIRECT("Table!A" &amp; $AN43):INDIRECT("Table!" &amp; $AR$159 &amp; $AN43),0)))))</f>
        <v>176482.7</v>
      </c>
      <c r="Z43" s="35">
        <f ca="1">IF(ISERROR(MATCH(Z$1,INDIRECT("Table!A"&amp;$AN43):INDIRECT("Table!" &amp; $AR$159 &amp; $AN43),0)),"",INDIRECT(CONCATENATE("Table!",ADDRESS($AJ43,MATCH(Z$1,INDIRECT("Table!A" &amp; $AN43):INDIRECT("Table!" &amp; $AR$159 &amp; $AN43),0)))))</f>
        <v>54921</v>
      </c>
      <c r="AA43" s="12"/>
      <c r="AB43" s="12">
        <f>MATCH($A43,Table!$A:$A,0)+$AD$2-1</f>
        <v>741</v>
      </c>
      <c r="AF43" s="31">
        <f>MATCH($A43,Table!$A:$A,0)+$AH$2-1</f>
        <v>739</v>
      </c>
      <c r="AJ43" s="12">
        <f>MATCH($A43,Table!$A:$A,0)+$AL$2-1</f>
        <v>740</v>
      </c>
      <c r="AN43" s="31">
        <f>MATCH($A43,Table!$A:$A,0)+$AH$2-1</f>
        <v>739</v>
      </c>
      <c r="AR43" s="235" t="s">
        <v>118</v>
      </c>
    </row>
    <row r="44" spans="1:44">
      <c r="A44" s="5">
        <v>41131</v>
      </c>
      <c r="B44" s="35">
        <f ca="1">IF(ISERROR(MATCH(B$1,INDIRECT("Table!A"&amp;$AF44):INDIRECT("Table!" &amp; $AR$159 &amp; $AF44),0)),"",INDIRECT(CONCATENATE("Table!",ADDRESS($AB44,MATCH(B$1,INDIRECT("Table!A" &amp; $AF44):INDIRECT("Table!" &amp; $AR$159 &amp; $AF44),0)))))</f>
        <v>92814.399999999994</v>
      </c>
      <c r="C44" s="35">
        <f ca="1">IF(ISERROR(MATCH(C$1,INDIRECT("Table!A"&amp;$AF44):INDIRECT("Table!" &amp; $AR$159 &amp; $AF44),0)),"",INDIRECT(CONCATENATE("Table!",ADDRESS($AB44,MATCH(C$1,INDIRECT("Table!A" &amp; $AF44):INDIRECT("Table!" &amp; $AR$159 &amp; $AF44),0)))))</f>
        <v>68787.3</v>
      </c>
      <c r="D44" s="35">
        <f ca="1">IF(ISERROR(MATCH(D$1,INDIRECT("Table!A"&amp;$AF44):INDIRECT("Table!" &amp; $AR$159 &amp; $AF44),0)),"",INDIRECT(CONCATENATE("Table!",ADDRESS($AB44,MATCH(D$1,INDIRECT("Table!A" &amp; $AF44):INDIRECT("Table!" &amp; $AR$159 &amp; $AF44),0)))))</f>
        <v>70156.100000000006</v>
      </c>
      <c r="E44" s="35">
        <f ca="1">IF(ISERROR(MATCH(E$1,INDIRECT("Table!A"&amp;$AF44):INDIRECT("Table!" &amp; $AR$159 &amp; $AF44),0)),"",INDIRECT(CONCATENATE("Table!",ADDRESS($AB44,MATCH(E$1,INDIRECT("Table!A" &amp; $AF44):INDIRECT("Table!" &amp; $AR$159 &amp; $AF44),0)))))</f>
        <v>155922.5</v>
      </c>
      <c r="F44" s="35">
        <f ca="1">IF(ISERROR(MATCH(F$1,INDIRECT("Table!A"&amp;$AF44):INDIRECT("Table!" &amp; $AR$159 &amp; $AF44),0)),"",INDIRECT(CONCATENATE("Table!",ADDRESS($AB44,MATCH(F$1,INDIRECT("Table!A" &amp; $AF44):INDIRECT("Table!" &amp; $AR$159 &amp; $AF44),0)))))</f>
        <v>34582.699999999997</v>
      </c>
      <c r="G44" s="35">
        <f ca="1">IF(ISERROR(MATCH(G$1,INDIRECT("Table!A"&amp;$AF44):INDIRECT("Table!" &amp; $AR$159 &amp; $AF44),0)),"",INDIRECT(CONCATENATE("Table!",ADDRESS($AB44,MATCH(G$1,INDIRECT("Table!A" &amp; $AF44):INDIRECT("Table!" &amp; $AR$159 &amp; $AF44),0)))))</f>
        <v>47733.599999999999</v>
      </c>
      <c r="H44" s="35">
        <f ca="1">IF(ISERROR(MATCH(H$1,INDIRECT("Table!A"&amp;$AF44):INDIRECT("Table!" &amp; $AR$159 &amp; $AF44),0)),"",INDIRECT(CONCATENATE("Table!",ADDRESS($AB44,MATCH(H$1,INDIRECT("Table!A" &amp; $AF44):INDIRECT("Table!" &amp; $AR$159 &amp; $AF44),0)))))</f>
        <v>23580.799999999999</v>
      </c>
      <c r="I44" s="35">
        <f ca="1">IF(ISERROR(MATCH(I$1,INDIRECT("Table!A"&amp;$AF44):INDIRECT("Table!" &amp; $AR$159 &amp; $AF44),0)),"",INDIRECT(CONCATENATE("Table!",ADDRESS($AB44,MATCH(I$1,INDIRECT("Table!A" &amp; $AF44):INDIRECT("Table!" &amp; $AR$159 &amp; $AF44),0)))))</f>
        <v>140904.29999999999</v>
      </c>
      <c r="J44" s="35">
        <f ca="1">IF(ISERROR(MATCH(J$1,INDIRECT("Table!A"&amp;$AF44):INDIRECT("Table!" &amp; $AR$159 &amp; $AF44),0)),"",INDIRECT(CONCATENATE("Table!",ADDRESS($AB44,MATCH(J$1,INDIRECT("Table!A" &amp; $AF44):INDIRECT("Table!" &amp; $AR$159 &amp; $AF44),0)))))</f>
        <v>55931.7</v>
      </c>
      <c r="K44" s="35">
        <f ca="1">IF(ISERROR(MATCH(K$1,INDIRECT("Table!A"&amp;$AF44):INDIRECT("Table!" &amp; $AR$159 &amp; $AF44),0)),"",INDIRECT(CONCATENATE("Table!",ADDRESS($AB44,MATCH(K$1,INDIRECT("Table!A" &amp; $AF44):INDIRECT("Table!" &amp; $AR$159 &amp; $AF44),0)))))</f>
        <v>20760</v>
      </c>
      <c r="L44" s="35">
        <f ca="1">IF(ISERROR(MATCH(L$1,INDIRECT("Table!A"&amp;$AF44):INDIRECT("Table!" &amp; $AR$159 &amp; $AF44),0)),"",INDIRECT(CONCATENATE("Table!",ADDRESS($AB44,MATCH(L$1,INDIRECT("Table!A" &amp; $AF44):INDIRECT("Table!" &amp; $AR$159 &amp; $AF44),0)))))</f>
        <v>84991.1</v>
      </c>
      <c r="M44" s="35">
        <f ca="1">IF(ISERROR(MATCH(M$1,INDIRECT("Table!A"&amp;$AF44):INDIRECT("Table!" &amp; $AR$159 &amp; $AF44),0)),"",INDIRECT(CONCATENATE("Table!",ADDRESS($AB44,MATCH(M$1,INDIRECT("Table!A" &amp; $AF44):INDIRECT("Table!" &amp; $AR$159 &amp; $AF44),0)))))</f>
        <v>23270.2</v>
      </c>
      <c r="N44" s="35" t="str">
        <f ca="1">IF(ISERROR(MATCH(N$1,INDIRECT("Table!A"&amp;$AF44):INDIRECT("Table!" &amp; $AR$188 &amp; $AF44),0)),"",INDIRECT(CONCATENATE("Table!",ADDRESS($AB44,MATCH(N$1,INDIRECT("Table!A" &amp; $AF44):INDIRECT("Table!" &amp; $AR$188 &amp; $AF44),0)))))</f>
        <v/>
      </c>
      <c r="O44" s="35">
        <f ca="1">IF(ISERROR(MATCH(O$1,INDIRECT("Table!A"&amp;$AN44):INDIRECT("Table!" &amp; $AR$159 &amp; $AN44),0)),"",INDIRECT(CONCATENATE("Table!",ADDRESS($AJ44,MATCH(O$1,INDIRECT("Table!A" &amp; $AN44):INDIRECT("Table!" &amp; $AR$159 &amp; $AN44),0)))))</f>
        <v>143392.20000000001</v>
      </c>
      <c r="P44" s="35">
        <f ca="1">IF(ISERROR(MATCH(P$1,INDIRECT("Table!A"&amp;$AN44):INDIRECT("Table!" &amp; $AR$159 &amp; $AN44),0)),"",INDIRECT(CONCATENATE("Table!",ADDRESS($AJ44,MATCH(P$1,INDIRECT("Table!A" &amp; $AN44):INDIRECT("Table!" &amp; $AR$159 &amp; $AN44),0)))))</f>
        <v>150515.79999999999</v>
      </c>
      <c r="Q44" s="35">
        <f ca="1">IF(ISERROR(MATCH(Q$1,INDIRECT("Table!A"&amp;$AN44):INDIRECT("Table!" &amp; $AR$159 &amp; $AN44),0)),"",INDIRECT(CONCATENATE("Table!",ADDRESS($AJ44,MATCH(Q$1,INDIRECT("Table!A" &amp; $AN44):INDIRECT("Table!" &amp; $AR$159 &amp; $AN44),0)))))</f>
        <v>150515.79999999999</v>
      </c>
      <c r="R44" s="35">
        <f ca="1">IF(ISERROR(MATCH(R$1,INDIRECT("Table!A"&amp;$AN44):INDIRECT("Table!" &amp; $AR$159 &amp; $AN44),0)),"",INDIRECT(CONCATENATE("Table!",ADDRESS($AJ44,MATCH(R$1,INDIRECT("Table!A" &amp; $AN44):INDIRECT("Table!" &amp; $AR$159 &amp; $AN44),0)))))</f>
        <v>181997.8</v>
      </c>
      <c r="S44" s="35">
        <f ca="1">IF(ISERROR(MATCH(S$1,INDIRECT("Table!A"&amp;$AN44):INDIRECT("Table!" &amp; $AR$159 &amp; $AN44),0)),"",INDIRECT(CONCATENATE("Table!",ADDRESS($AJ44,MATCH(S$1,INDIRECT("Table!A" &amp; $AN44):INDIRECT("Table!" &amp; $AR$159 &amp; $AN44),0)))))</f>
        <v>165452.5</v>
      </c>
      <c r="T44" s="35">
        <f ca="1">IF(ISERROR(MATCH(T$1,INDIRECT("Table!A"&amp;$AN44):INDIRECT("Table!" &amp; $AR$159 &amp; $AN44),0)),"",INDIRECT(CONCATENATE("Table!",ADDRESS($AJ44,MATCH(T$1,INDIRECT("Table!A" &amp; $AN44):INDIRECT("Table!" &amp; $AR$159 &amp; $AN44),0)))))</f>
        <v>110071.9</v>
      </c>
      <c r="U44" s="35">
        <f ca="1">IF(ISERROR(MATCH(U$1,INDIRECT("Table!A"&amp;$AN44):INDIRECT("Table!" &amp; $AR$159 &amp; $AN44),0)),"",INDIRECT(CONCATENATE("Table!",ADDRESS($AJ44,MATCH(U$1,INDIRECT("Table!A" &amp; $AN44):INDIRECT("Table!" &amp; $AR$159 &amp; $AN44),0)))))</f>
        <v>121331.8</v>
      </c>
      <c r="V44" s="35">
        <f ca="1">IF(ISERROR(MATCH(V$1,INDIRECT("Table!A"&amp;$AN44):INDIRECT("Table!" &amp; $AR$159 &amp; $AN44),0)),"",INDIRECT(CONCATENATE("Table!",ADDRESS($AJ44,MATCH(V$1,INDIRECT("Table!A" &amp; $AN44):INDIRECT("Table!" &amp; $AR$159 &amp; $AN44),0)))))</f>
        <v>170967.6</v>
      </c>
      <c r="W44" s="35">
        <f ca="1">IF(ISERROR(MATCH(W$1,INDIRECT("Table!A"&amp;$AN44):INDIRECT("Table!" &amp; $AR$159 &amp; $AN44),0)),"",INDIRECT(CONCATENATE("Table!",ADDRESS($AJ44,MATCH(W$1,INDIRECT("Table!A" &amp; $AN44):INDIRECT("Table!" &amp; $AR$159 &amp; $AN44),0)))))</f>
        <v>132132.20000000001</v>
      </c>
      <c r="X44" s="35">
        <f ca="1">IF(ISERROR(MATCH(X$1,INDIRECT("Table!A"&amp;$AN44):INDIRECT("Table!" &amp; $AR$159 &amp; $AN44),0)),"",INDIRECT(CONCATENATE("Table!",ADDRESS($AJ44,MATCH(X$1,INDIRECT("Table!A" &amp; $AN44):INDIRECT("Table!" &amp; $AR$159 &amp; $AN44),0)))))</f>
        <v>82726.3</v>
      </c>
      <c r="Y44" s="35">
        <f ca="1">IF(ISERROR(MATCH(Y$1,INDIRECT("Table!A"&amp;$AN44):INDIRECT("Table!" &amp; $AR$159 &amp; $AN44),0)),"",INDIRECT(CONCATENATE("Table!",ADDRESS($AJ44,MATCH(Y$1,INDIRECT("Table!A" &amp; $AN44):INDIRECT("Table!" &amp; $AR$159 &amp; $AN44),0)))))</f>
        <v>176482.7</v>
      </c>
      <c r="Z44" s="35">
        <f ca="1">IF(ISERROR(MATCH(Z$1,INDIRECT("Table!A"&amp;$AN44):INDIRECT("Table!" &amp; $AR$159 &amp; $AN44),0)),"",INDIRECT(CONCATENATE("Table!",ADDRESS($AJ44,MATCH(Z$1,INDIRECT("Table!A" &amp; $AN44):INDIRECT("Table!" &amp; $AR$159 &amp; $AN44),0)))))</f>
        <v>54921</v>
      </c>
      <c r="AA44" s="12"/>
      <c r="AB44" s="12">
        <f>MATCH($A44,Table!$A:$A,0)+$AD$2-1</f>
        <v>754</v>
      </c>
      <c r="AF44" s="31">
        <f>MATCH($A44,Table!$A:$A,0)+$AH$2-1</f>
        <v>752</v>
      </c>
      <c r="AJ44" s="12">
        <f>MATCH($A44,Table!$A:$A,0)+$AL$2-1</f>
        <v>753</v>
      </c>
      <c r="AN44" s="31">
        <f>MATCH($A44,Table!$A:$A,0)+$AH$2-1</f>
        <v>752</v>
      </c>
      <c r="AR44" s="234" t="s">
        <v>118</v>
      </c>
    </row>
    <row r="45" spans="1:44">
      <c r="A45" s="5">
        <v>41130</v>
      </c>
      <c r="B45" s="35">
        <f ca="1">IF(ISERROR(MATCH(B$1,INDIRECT("Table!A"&amp;$AF45):INDIRECT("Table!" &amp; $AR$159 &amp; $AF45),0)),"",INDIRECT(CONCATENATE("Table!",ADDRESS($AB45,MATCH(B$1,INDIRECT("Table!A" &amp; $AF45):INDIRECT("Table!" &amp; $AR$159 &amp; $AF45),0)))))</f>
        <v>92807.9</v>
      </c>
      <c r="C45" s="35">
        <f ca="1">IF(ISERROR(MATCH(C$1,INDIRECT("Table!A"&amp;$AF45):INDIRECT("Table!" &amp; $AR$159 &amp; $AF45),0)),"",INDIRECT(CONCATENATE("Table!",ADDRESS($AB45,MATCH(C$1,INDIRECT("Table!A" &amp; $AF45):INDIRECT("Table!" &amp; $AR$159 &amp; $AF45),0)))))</f>
        <v>68775.899999999994</v>
      </c>
      <c r="D45" s="35">
        <f ca="1">IF(ISERROR(MATCH(D$1,INDIRECT("Table!A"&amp;$AF45):INDIRECT("Table!" &amp; $AR$159 &amp; $AF45),0)),"",INDIRECT(CONCATENATE("Table!",ADDRESS($AB45,MATCH(D$1,INDIRECT("Table!A" &amp; $AF45):INDIRECT("Table!" &amp; $AR$159 &amp; $AF45),0)))))</f>
        <v>70144.7</v>
      </c>
      <c r="E45" s="35">
        <f ca="1">IF(ISERROR(MATCH(E$1,INDIRECT("Table!A"&amp;$AF45):INDIRECT("Table!" &amp; $AR$159 &amp; $AF45),0)),"",INDIRECT(CONCATENATE("Table!",ADDRESS($AB45,MATCH(E$1,INDIRECT("Table!A" &amp; $AF45):INDIRECT("Table!" &amp; $AR$159 &amp; $AF45),0)))))</f>
        <v>155472</v>
      </c>
      <c r="F45" s="35">
        <f ca="1">IF(ISERROR(MATCH(F$1,INDIRECT("Table!A"&amp;$AF45):INDIRECT("Table!" &amp; $AR$159 &amp; $AF45),0)),"",INDIRECT(CONCATENATE("Table!",ADDRESS($AB45,MATCH(F$1,INDIRECT("Table!A" &amp; $AF45):INDIRECT("Table!" &amp; $AR$159 &amp; $AF45),0)))))</f>
        <v>34507.199999999997</v>
      </c>
      <c r="G45" s="35">
        <f ca="1">IF(ISERROR(MATCH(G$1,INDIRECT("Table!A"&amp;$AF45):INDIRECT("Table!" &amp; $AR$159 &amp; $AF45),0)),"",INDIRECT(CONCATENATE("Table!",ADDRESS($AB45,MATCH(G$1,INDIRECT("Table!A" &amp; $AF45):INDIRECT("Table!" &amp; $AR$159 &amp; $AF45),0)))))</f>
        <v>47714.8</v>
      </c>
      <c r="H45" s="35">
        <f ca="1">IF(ISERROR(MATCH(H$1,INDIRECT("Table!A"&amp;$AF45):INDIRECT("Table!" &amp; $AR$159 &amp; $AF45),0)),"",INDIRECT(CONCATENATE("Table!",ADDRESS($AB45,MATCH(H$1,INDIRECT("Table!A" &amp; $AF45):INDIRECT("Table!" &amp; $AR$159 &amp; $AF45),0)))))</f>
        <v>23563.5</v>
      </c>
      <c r="I45" s="35">
        <f ca="1">IF(ISERROR(MATCH(I$1,INDIRECT("Table!A"&amp;$AF45):INDIRECT("Table!" &amp; $AR$159 &amp; $AF45),0)),"",INDIRECT(CONCATENATE("Table!",ADDRESS($AB45,MATCH(I$1,INDIRECT("Table!A" &amp; $AF45):INDIRECT("Table!" &amp; $AR$159 &amp; $AF45),0)))))</f>
        <v>140865.29999999999</v>
      </c>
      <c r="J45" s="35">
        <f ca="1">IF(ISERROR(MATCH(J$1,INDIRECT("Table!A"&amp;$AF45):INDIRECT("Table!" &amp; $AR$159 &amp; $AF45),0)),"",INDIRECT(CONCATENATE("Table!",ADDRESS($AB45,MATCH(J$1,INDIRECT("Table!A" &amp; $AF45):INDIRECT("Table!" &amp; $AR$159 &amp; $AF45),0)))))</f>
        <v>55703.4</v>
      </c>
      <c r="K45" s="35">
        <f ca="1">IF(ISERROR(MATCH(K$1,INDIRECT("Table!A"&amp;$AF45):INDIRECT("Table!" &amp; $AR$159 &amp; $AF45),0)),"",INDIRECT(CONCATENATE("Table!",ADDRESS($AB45,MATCH(K$1,INDIRECT("Table!A" &amp; $AF45):INDIRECT("Table!" &amp; $AR$159 &amp; $AF45),0)))))</f>
        <v>20703</v>
      </c>
      <c r="L45" s="35">
        <f ca="1">IF(ISERROR(MATCH(L$1,INDIRECT("Table!A"&amp;$AF45):INDIRECT("Table!" &amp; $AR$159 &amp; $AF45),0)),"",INDIRECT(CONCATENATE("Table!",ADDRESS($AB45,MATCH(L$1,INDIRECT("Table!A" &amp; $AF45):INDIRECT("Table!" &amp; $AR$159 &amp; $AF45),0)))))</f>
        <v>84961.4</v>
      </c>
      <c r="M45" s="35">
        <f ca="1">IF(ISERROR(MATCH(M$1,INDIRECT("Table!A"&amp;$AF45):INDIRECT("Table!" &amp; $AR$159 &amp; $AF45),0)),"",INDIRECT(CONCATENATE("Table!",ADDRESS($AB45,MATCH(M$1,INDIRECT("Table!A" &amp; $AF45):INDIRECT("Table!" &amp; $AR$159 &amp; $AF45),0)))))</f>
        <v>23270.2</v>
      </c>
      <c r="N45" s="35" t="str">
        <f ca="1">IF(ISERROR(MATCH(N$1,INDIRECT("Table!A"&amp;$AF45):INDIRECT("Table!" &amp; $AR$188 &amp; $AF45),0)),"",INDIRECT(CONCATENATE("Table!",ADDRESS($AB45,MATCH(N$1,INDIRECT("Table!A" &amp; $AF45):INDIRECT("Table!" &amp; $AR$188 &amp; $AF45),0)))))</f>
        <v/>
      </c>
      <c r="O45" s="35">
        <f ca="1">IF(ISERROR(MATCH(O$1,INDIRECT("Table!A"&amp;$AN45):INDIRECT("Table!" &amp; $AR$159 &amp; $AN45),0)),"",INDIRECT(CONCATENATE("Table!",ADDRESS($AJ45,MATCH(O$1,INDIRECT("Table!A" &amp; $AN45):INDIRECT("Table!" &amp; $AR$159 &amp; $AN45),0)))))</f>
        <v>143392.20000000001</v>
      </c>
      <c r="P45" s="35">
        <f ca="1">IF(ISERROR(MATCH(P$1,INDIRECT("Table!A"&amp;$AN45):INDIRECT("Table!" &amp; $AR$159 &amp; $AN45),0)),"",INDIRECT(CONCATENATE("Table!",ADDRESS($AJ45,MATCH(P$1,INDIRECT("Table!A" &amp; $AN45):INDIRECT("Table!" &amp; $AR$159 &amp; $AN45),0)))))</f>
        <v>150515.79999999999</v>
      </c>
      <c r="Q45" s="35">
        <f ca="1">IF(ISERROR(MATCH(Q$1,INDIRECT("Table!A"&amp;$AN45):INDIRECT("Table!" &amp; $AR$159 &amp; $AN45),0)),"",INDIRECT(CONCATENATE("Table!",ADDRESS($AJ45,MATCH(Q$1,INDIRECT("Table!A" &amp; $AN45):INDIRECT("Table!" &amp; $AR$159 &amp; $AN45),0)))))</f>
        <v>150515.79999999999</v>
      </c>
      <c r="R45" s="35">
        <f ca="1">IF(ISERROR(MATCH(R$1,INDIRECT("Table!A"&amp;$AN45):INDIRECT("Table!" &amp; $AR$159 &amp; $AN45),0)),"",INDIRECT(CONCATENATE("Table!",ADDRESS($AJ45,MATCH(R$1,INDIRECT("Table!A" &amp; $AN45):INDIRECT("Table!" &amp; $AR$159 &amp; $AN45),0)))))</f>
        <v>181997.8</v>
      </c>
      <c r="S45" s="35">
        <f ca="1">IF(ISERROR(MATCH(S$1,INDIRECT("Table!A"&amp;$AN45):INDIRECT("Table!" &amp; $AR$159 &amp; $AN45),0)),"",INDIRECT(CONCATENATE("Table!",ADDRESS($AJ45,MATCH(S$1,INDIRECT("Table!A" &amp; $AN45):INDIRECT("Table!" &amp; $AR$159 &amp; $AN45),0)))))</f>
        <v>165452.5</v>
      </c>
      <c r="T45" s="35">
        <f ca="1">IF(ISERROR(MATCH(T$1,INDIRECT("Table!A"&amp;$AN45):INDIRECT("Table!" &amp; $AR$159 &amp; $AN45),0)),"",INDIRECT(CONCATENATE("Table!",ADDRESS($AJ45,MATCH(T$1,INDIRECT("Table!A" &amp; $AN45):INDIRECT("Table!" &amp; $AR$159 &amp; $AN45),0)))))</f>
        <v>110071.9</v>
      </c>
      <c r="U45" s="35">
        <f ca="1">IF(ISERROR(MATCH(U$1,INDIRECT("Table!A"&amp;$AN45):INDIRECT("Table!" &amp; $AR$159 &amp; $AN45),0)),"",INDIRECT(CONCATENATE("Table!",ADDRESS($AJ45,MATCH(U$1,INDIRECT("Table!A" &amp; $AN45):INDIRECT("Table!" &amp; $AR$159 &amp; $AN45),0)))))</f>
        <v>121331.8</v>
      </c>
      <c r="V45" s="35">
        <f ca="1">IF(ISERROR(MATCH(V$1,INDIRECT("Table!A"&amp;$AN45):INDIRECT("Table!" &amp; $AR$159 &amp; $AN45),0)),"",INDIRECT(CONCATENATE("Table!",ADDRESS($AJ45,MATCH(V$1,INDIRECT("Table!A" &amp; $AN45):INDIRECT("Table!" &amp; $AR$159 &amp; $AN45),0)))))</f>
        <v>170967.6</v>
      </c>
      <c r="W45" s="35">
        <f ca="1">IF(ISERROR(MATCH(W$1,INDIRECT("Table!A"&amp;$AN45):INDIRECT("Table!" &amp; $AR$159 &amp; $AN45),0)),"",INDIRECT(CONCATENATE("Table!",ADDRESS($AJ45,MATCH(W$1,INDIRECT("Table!A" &amp; $AN45):INDIRECT("Table!" &amp; $AR$159 &amp; $AN45),0)))))</f>
        <v>132132.20000000001</v>
      </c>
      <c r="X45" s="35">
        <f ca="1">IF(ISERROR(MATCH(X$1,INDIRECT("Table!A"&amp;$AN45):INDIRECT("Table!" &amp; $AR$159 &amp; $AN45),0)),"",INDIRECT(CONCATENATE("Table!",ADDRESS($AJ45,MATCH(X$1,INDIRECT("Table!A" &amp; $AN45):INDIRECT("Table!" &amp; $AR$159 &amp; $AN45),0)))))</f>
        <v>82726.3</v>
      </c>
      <c r="Y45" s="35">
        <f ca="1">IF(ISERROR(MATCH(Y$1,INDIRECT("Table!A"&amp;$AN45):INDIRECT("Table!" &amp; $AR$159 &amp; $AN45),0)),"",INDIRECT(CONCATENATE("Table!",ADDRESS($AJ45,MATCH(Y$1,INDIRECT("Table!A" &amp; $AN45):INDIRECT("Table!" &amp; $AR$159 &amp; $AN45),0)))))</f>
        <v>176482.7</v>
      </c>
      <c r="Z45" s="35">
        <f ca="1">IF(ISERROR(MATCH(Z$1,INDIRECT("Table!A"&amp;$AN45):INDIRECT("Table!" &amp; $AR$159 &amp; $AN45),0)),"",INDIRECT(CONCATENATE("Table!",ADDRESS($AJ45,MATCH(Z$1,INDIRECT("Table!A" &amp; $AN45):INDIRECT("Table!" &amp; $AR$159 &amp; $AN45),0)))))</f>
        <v>54921</v>
      </c>
      <c r="AA45" s="12"/>
      <c r="AB45" s="12">
        <f>MATCH($A45,Table!$A:$A,0)+$AD$2-1</f>
        <v>767</v>
      </c>
      <c r="AF45" s="31">
        <f>MATCH($A45,Table!$A:$A,0)+$AH$2-1</f>
        <v>765</v>
      </c>
      <c r="AJ45" s="12">
        <f>MATCH($A45,Table!$A:$A,0)+$AL$2-1</f>
        <v>766</v>
      </c>
      <c r="AN45" s="31">
        <f>MATCH($A45,Table!$A:$A,0)+$AH$2-1</f>
        <v>765</v>
      </c>
      <c r="AR45" s="233" t="s">
        <v>118</v>
      </c>
    </row>
    <row r="46" spans="1:44">
      <c r="A46" s="5">
        <v>41129</v>
      </c>
      <c r="B46" s="35">
        <f ca="1">IF(ISERROR(MATCH(B$1,INDIRECT("Table!A"&amp;$AF46):INDIRECT("Table!" &amp; $AR$159 &amp; $AF46),0)),"",INDIRECT(CONCATENATE("Table!",ADDRESS($AB46,MATCH(B$1,INDIRECT("Table!A" &amp; $AF46):INDIRECT("Table!" &amp; $AR$159 &amp; $AF46),0)))))</f>
        <v>92809.2</v>
      </c>
      <c r="C46" s="35">
        <f ca="1">IF(ISERROR(MATCH(C$1,INDIRECT("Table!A"&amp;$AF46):INDIRECT("Table!" &amp; $AR$159 &amp; $AF46),0)),"",INDIRECT(CONCATENATE("Table!",ADDRESS($AB46,MATCH(C$1,INDIRECT("Table!A" &amp; $AF46):INDIRECT("Table!" &amp; $AR$159 &amp; $AF46),0)))))</f>
        <v>68767.3</v>
      </c>
      <c r="D46" s="35">
        <f ca="1">IF(ISERROR(MATCH(D$1,INDIRECT("Table!A"&amp;$AF46):INDIRECT("Table!" &amp; $AR$159 &amp; $AF46),0)),"",INDIRECT(CONCATENATE("Table!",ADDRESS($AB46,MATCH(D$1,INDIRECT("Table!A" &amp; $AF46):INDIRECT("Table!" &amp; $AR$159 &amp; $AF46),0)))))</f>
        <v>70140.899999999994</v>
      </c>
      <c r="E46" s="35">
        <f ca="1">IF(ISERROR(MATCH(E$1,INDIRECT("Table!A"&amp;$AF46):INDIRECT("Table!" &amp; $AR$159 &amp; $AF46),0)),"",INDIRECT(CONCATENATE("Table!",ADDRESS($AB46,MATCH(E$1,INDIRECT("Table!A" &amp; $AF46):INDIRECT("Table!" &amp; $AR$159 &amp; $AF46),0)))))</f>
        <v>155431.9</v>
      </c>
      <c r="F46" s="35">
        <f ca="1">IF(ISERROR(MATCH(F$1,INDIRECT("Table!A"&amp;$AF46):INDIRECT("Table!" &amp; $AR$159 &amp; $AF46),0)),"",INDIRECT(CONCATENATE("Table!",ADDRESS($AB46,MATCH(F$1,INDIRECT("Table!A" &amp; $AF46):INDIRECT("Table!" &amp; $AR$159 &amp; $AF46),0)))))</f>
        <v>34441.599999999999</v>
      </c>
      <c r="G46" s="35">
        <f ca="1">IF(ISERROR(MATCH(G$1,INDIRECT("Table!A"&amp;$AF46):INDIRECT("Table!" &amp; $AR$159 &amp; $AF46),0)),"",INDIRECT(CONCATENATE("Table!",ADDRESS($AB46,MATCH(G$1,INDIRECT("Table!A" &amp; $AF46):INDIRECT("Table!" &amp; $AR$159 &amp; $AF46),0)))))</f>
        <v>47709.5</v>
      </c>
      <c r="H46" s="35">
        <f ca="1">IF(ISERROR(MATCH(H$1,INDIRECT("Table!A"&amp;$AF46):INDIRECT("Table!" &amp; $AR$159 &amp; $AF46),0)),"",INDIRECT(CONCATENATE("Table!",ADDRESS($AB46,MATCH(H$1,INDIRECT("Table!A" &amp; $AF46):INDIRECT("Table!" &amp; $AR$159 &amp; $AF46),0)))))</f>
        <v>23522.5</v>
      </c>
      <c r="I46" s="35">
        <f ca="1">IF(ISERROR(MATCH(I$1,INDIRECT("Table!A"&amp;$AF46):INDIRECT("Table!" &amp; $AR$159 &amp; $AF46),0)),"",INDIRECT(CONCATENATE("Table!",ADDRESS($AB46,MATCH(I$1,INDIRECT("Table!A" &amp; $AF46):INDIRECT("Table!" &amp; $AR$159 &amp; $AF46),0)))))</f>
        <v>140798.9</v>
      </c>
      <c r="J46" s="35">
        <f ca="1">IF(ISERROR(MATCH(J$1,INDIRECT("Table!A"&amp;$AF46):INDIRECT("Table!" &amp; $AR$159 &amp; $AF46),0)),"",INDIRECT(CONCATENATE("Table!",ADDRESS($AB46,MATCH(J$1,INDIRECT("Table!A" &amp; $AF46):INDIRECT("Table!" &amp; $AR$159 &amp; $AF46),0)))))</f>
        <v>55847.3</v>
      </c>
      <c r="K46" s="35">
        <f ca="1">IF(ISERROR(MATCH(K$1,INDIRECT("Table!A"&amp;$AF46):INDIRECT("Table!" &amp; $AR$159 &amp; $AF46),0)),"",INDIRECT(CONCATENATE("Table!",ADDRESS($AB46,MATCH(K$1,INDIRECT("Table!A" &amp; $AF46):INDIRECT("Table!" &amp; $AR$159 &amp; $AF46),0)))))</f>
        <v>20651.099999999999</v>
      </c>
      <c r="L46" s="35">
        <f ca="1">IF(ISERROR(MATCH(L$1,INDIRECT("Table!A"&amp;$AF46):INDIRECT("Table!" &amp; $AR$159 &amp; $AF46),0)),"",INDIRECT(CONCATENATE("Table!",ADDRESS($AB46,MATCH(L$1,INDIRECT("Table!A" &amp; $AF46):INDIRECT("Table!" &amp; $AR$159 &amp; $AF46),0)))))</f>
        <v>84883</v>
      </c>
      <c r="M46" s="35">
        <f ca="1">IF(ISERROR(MATCH(M$1,INDIRECT("Table!A"&amp;$AF46):INDIRECT("Table!" &amp; $AR$159 &amp; $AF46),0)),"",INDIRECT(CONCATENATE("Table!",ADDRESS($AB46,MATCH(M$1,INDIRECT("Table!A" &amp; $AF46):INDIRECT("Table!" &amp; $AR$159 &amp; $AF46),0)))))</f>
        <v>23270.2</v>
      </c>
      <c r="N46" s="35" t="str">
        <f ca="1">IF(ISERROR(MATCH(N$1,INDIRECT("Table!A"&amp;$AF46):INDIRECT("Table!" &amp; $AR$188 &amp; $AF46),0)),"",INDIRECT(CONCATENATE("Table!",ADDRESS($AB46,MATCH(N$1,INDIRECT("Table!A" &amp; $AF46):INDIRECT("Table!" &amp; $AR$188 &amp; $AF46),0)))))</f>
        <v/>
      </c>
      <c r="O46" s="35">
        <f ca="1">IF(ISERROR(MATCH(O$1,INDIRECT("Table!A"&amp;$AN46):INDIRECT("Table!" &amp; $AR$159 &amp; $AN46),0)),"",INDIRECT(CONCATENATE("Table!",ADDRESS($AJ46,MATCH(O$1,INDIRECT("Table!A" &amp; $AN46):INDIRECT("Table!" &amp; $AR$159 &amp; $AN46),0)))))</f>
        <v>143392.20000000001</v>
      </c>
      <c r="P46" s="35">
        <f ca="1">IF(ISERROR(MATCH(P$1,INDIRECT("Table!A"&amp;$AN46):INDIRECT("Table!" &amp; $AR$159 &amp; $AN46),0)),"",INDIRECT(CONCATENATE("Table!",ADDRESS($AJ46,MATCH(P$1,INDIRECT("Table!A" &amp; $AN46):INDIRECT("Table!" &amp; $AR$159 &amp; $AN46),0)))))</f>
        <v>150515.79999999999</v>
      </c>
      <c r="Q46" s="35">
        <f ca="1">IF(ISERROR(MATCH(Q$1,INDIRECT("Table!A"&amp;$AN46):INDIRECT("Table!" &amp; $AR$159 &amp; $AN46),0)),"",INDIRECT(CONCATENATE("Table!",ADDRESS($AJ46,MATCH(Q$1,INDIRECT("Table!A" &amp; $AN46):INDIRECT("Table!" &amp; $AR$159 &amp; $AN46),0)))))</f>
        <v>150515.79999999999</v>
      </c>
      <c r="R46" s="35">
        <f ca="1">IF(ISERROR(MATCH(R$1,INDIRECT("Table!A"&amp;$AN46):INDIRECT("Table!" &amp; $AR$159 &amp; $AN46),0)),"",INDIRECT(CONCATENATE("Table!",ADDRESS($AJ46,MATCH(R$1,INDIRECT("Table!A" &amp; $AN46):INDIRECT("Table!" &amp; $AR$159 &amp; $AN46),0)))))</f>
        <v>181997.8</v>
      </c>
      <c r="S46" s="35">
        <f ca="1">IF(ISERROR(MATCH(S$1,INDIRECT("Table!A"&amp;$AN46):INDIRECT("Table!" &amp; $AR$159 &amp; $AN46),0)),"",INDIRECT(CONCATENATE("Table!",ADDRESS($AJ46,MATCH(S$1,INDIRECT("Table!A" &amp; $AN46):INDIRECT("Table!" &amp; $AR$159 &amp; $AN46),0)))))</f>
        <v>165452.5</v>
      </c>
      <c r="T46" s="35">
        <f ca="1">IF(ISERROR(MATCH(T$1,INDIRECT("Table!A"&amp;$AN46):INDIRECT("Table!" &amp; $AR$159 &amp; $AN46),0)),"",INDIRECT(CONCATENATE("Table!",ADDRESS($AJ46,MATCH(T$1,INDIRECT("Table!A" &amp; $AN46):INDIRECT("Table!" &amp; $AR$159 &amp; $AN46),0)))))</f>
        <v>110071.9</v>
      </c>
      <c r="U46" s="35">
        <f ca="1">IF(ISERROR(MATCH(U$1,INDIRECT("Table!A"&amp;$AN46):INDIRECT("Table!" &amp; $AR$159 &amp; $AN46),0)),"",INDIRECT(CONCATENATE("Table!",ADDRESS($AJ46,MATCH(U$1,INDIRECT("Table!A" &amp; $AN46):INDIRECT("Table!" &amp; $AR$159 &amp; $AN46),0)))))</f>
        <v>121331.8</v>
      </c>
      <c r="V46" s="35">
        <f ca="1">IF(ISERROR(MATCH(V$1,INDIRECT("Table!A"&amp;$AN46):INDIRECT("Table!" &amp; $AR$159 &amp; $AN46),0)),"",INDIRECT(CONCATENATE("Table!",ADDRESS($AJ46,MATCH(V$1,INDIRECT("Table!A" &amp; $AN46):INDIRECT("Table!" &amp; $AR$159 &amp; $AN46),0)))))</f>
        <v>170967.6</v>
      </c>
      <c r="W46" s="35">
        <f ca="1">IF(ISERROR(MATCH(W$1,INDIRECT("Table!A"&amp;$AN46):INDIRECT("Table!" &amp; $AR$159 &amp; $AN46),0)),"",INDIRECT(CONCATENATE("Table!",ADDRESS($AJ46,MATCH(W$1,INDIRECT("Table!A" &amp; $AN46):INDIRECT("Table!" &amp; $AR$159 &amp; $AN46),0)))))</f>
        <v>132132.20000000001</v>
      </c>
      <c r="X46" s="35">
        <f ca="1">IF(ISERROR(MATCH(X$1,INDIRECT("Table!A"&amp;$AN46):INDIRECT("Table!" &amp; $AR$159 &amp; $AN46),0)),"",INDIRECT(CONCATENATE("Table!",ADDRESS($AJ46,MATCH(X$1,INDIRECT("Table!A" &amp; $AN46):INDIRECT("Table!" &amp; $AR$159 &amp; $AN46),0)))))</f>
        <v>82726.3</v>
      </c>
      <c r="Y46" s="35">
        <f ca="1">IF(ISERROR(MATCH(Y$1,INDIRECT("Table!A"&amp;$AN46):INDIRECT("Table!" &amp; $AR$159 &amp; $AN46),0)),"",INDIRECT(CONCATENATE("Table!",ADDRESS($AJ46,MATCH(Y$1,INDIRECT("Table!A" &amp; $AN46):INDIRECT("Table!" &amp; $AR$159 &amp; $AN46),0)))))</f>
        <v>176482.7</v>
      </c>
      <c r="Z46" s="35">
        <f ca="1">IF(ISERROR(MATCH(Z$1,INDIRECT("Table!A"&amp;$AN46):INDIRECT("Table!" &amp; $AR$159 &amp; $AN46),0)),"",INDIRECT(CONCATENATE("Table!",ADDRESS($AJ46,MATCH(Z$1,INDIRECT("Table!A" &amp; $AN46):INDIRECT("Table!" &amp; $AR$159 &amp; $AN46),0)))))</f>
        <v>54921</v>
      </c>
      <c r="AA46" s="12"/>
      <c r="AB46" s="12">
        <f>MATCH($A46,Table!$A:$A,0)+$AD$2-1</f>
        <v>780</v>
      </c>
      <c r="AF46" s="31">
        <f>MATCH($A46,Table!$A:$A,0)+$AH$2-1</f>
        <v>778</v>
      </c>
      <c r="AJ46" s="12">
        <f>MATCH($A46,Table!$A:$A,0)+$AL$2-1</f>
        <v>779</v>
      </c>
      <c r="AN46" s="31">
        <f>MATCH($A46,Table!$A:$A,0)+$AH$2-1</f>
        <v>778</v>
      </c>
      <c r="AR46" s="233" t="s">
        <v>118</v>
      </c>
    </row>
    <row r="47" spans="1:44">
      <c r="A47" s="5">
        <v>41128</v>
      </c>
      <c r="B47" s="35">
        <f ca="1">IF(ISERROR(MATCH(B$1,INDIRECT("Table!A"&amp;$AF47):INDIRECT("Table!" &amp; $AR$159 &amp; $AF47),0)),"",INDIRECT(CONCATENATE("Table!",ADDRESS($AB47,MATCH(B$1,INDIRECT("Table!A" &amp; $AF47):INDIRECT("Table!" &amp; $AR$159 &amp; $AF47),0)))))</f>
        <v>93007.4</v>
      </c>
      <c r="C47" s="35">
        <f ca="1">IF(ISERROR(MATCH(C$1,INDIRECT("Table!A"&amp;$AF47):INDIRECT("Table!" &amp; $AR$159 &amp; $AF47),0)),"",INDIRECT(CONCATENATE("Table!",ADDRESS($AB47,MATCH(C$1,INDIRECT("Table!A" &amp; $AF47):INDIRECT("Table!" &amp; $AR$159 &amp; $AF47),0)))))</f>
        <v>68754.399999999994</v>
      </c>
      <c r="D47" s="35">
        <f ca="1">IF(ISERROR(MATCH(D$1,INDIRECT("Table!A"&amp;$AF47):INDIRECT("Table!" &amp; $AR$159 &amp; $AF47),0)),"",INDIRECT(CONCATENATE("Table!",ADDRESS($AB47,MATCH(D$1,INDIRECT("Table!A" &amp; $AF47):INDIRECT("Table!" &amp; $AR$159 &amp; $AF47),0)))))</f>
        <v>70131.7</v>
      </c>
      <c r="E47" s="35">
        <f ca="1">IF(ISERROR(MATCH(E$1,INDIRECT("Table!A"&amp;$AF47):INDIRECT("Table!" &amp; $AR$159 &amp; $AF47),0)),"",INDIRECT(CONCATENATE("Table!",ADDRESS($AB47,MATCH(E$1,INDIRECT("Table!A" &amp; $AF47):INDIRECT("Table!" &amp; $AR$159 &amp; $AF47),0)))))</f>
        <v>155197.20000000001</v>
      </c>
      <c r="F47" s="35">
        <f ca="1">IF(ISERROR(MATCH(F$1,INDIRECT("Table!A"&amp;$AF47):INDIRECT("Table!" &amp; $AR$159 &amp; $AF47),0)),"",INDIRECT(CONCATENATE("Table!",ADDRESS($AB47,MATCH(F$1,INDIRECT("Table!A" &amp; $AF47):INDIRECT("Table!" &amp; $AR$159 &amp; $AF47),0)))))</f>
        <v>34243.5</v>
      </c>
      <c r="G47" s="35">
        <f ca="1">IF(ISERROR(MATCH(G$1,INDIRECT("Table!A"&amp;$AF47):INDIRECT("Table!" &amp; $AR$159 &amp; $AF47),0)),"",INDIRECT(CONCATENATE("Table!",ADDRESS($AB47,MATCH(G$1,INDIRECT("Table!A" &amp; $AF47):INDIRECT("Table!" &amp; $AR$159 &amp; $AF47),0)))))</f>
        <v>47441.599999999999</v>
      </c>
      <c r="H47" s="35">
        <f ca="1">IF(ISERROR(MATCH(H$1,INDIRECT("Table!A"&amp;$AF47):INDIRECT("Table!" &amp; $AR$159 &amp; $AF47),0)),"",INDIRECT(CONCATENATE("Table!",ADDRESS($AB47,MATCH(H$1,INDIRECT("Table!A" &amp; $AF47):INDIRECT("Table!" &amp; $AR$159 &amp; $AF47),0)))))</f>
        <v>23506.400000000001</v>
      </c>
      <c r="I47" s="35">
        <f ca="1">IF(ISERROR(MATCH(I$1,INDIRECT("Table!A"&amp;$AF47):INDIRECT("Table!" &amp; $AR$159 &amp; $AF47),0)),"",INDIRECT(CONCATENATE("Table!",ADDRESS($AB47,MATCH(I$1,INDIRECT("Table!A" &amp; $AF47):INDIRECT("Table!" &amp; $AR$159 &amp; $AF47),0)))))</f>
        <v>140672.4</v>
      </c>
      <c r="J47" s="35">
        <f ca="1">IF(ISERROR(MATCH(J$1,INDIRECT("Table!A"&amp;$AF47):INDIRECT("Table!" &amp; $AR$159 &amp; $AF47),0)),"",INDIRECT(CONCATENATE("Table!",ADDRESS($AB47,MATCH(J$1,INDIRECT("Table!A" &amp; $AF47):INDIRECT("Table!" &amp; $AR$159 &amp; $AF47),0)))))</f>
        <v>55818.2</v>
      </c>
      <c r="K47" s="35">
        <f ca="1">IF(ISERROR(MATCH(K$1,INDIRECT("Table!A"&amp;$AF47):INDIRECT("Table!" &amp; $AR$159 &amp; $AF47),0)),"",INDIRECT(CONCATENATE("Table!",ADDRESS($AB47,MATCH(K$1,INDIRECT("Table!A" &amp; $AF47):INDIRECT("Table!" &amp; $AR$159 &amp; $AF47),0)))))</f>
        <v>20445.2</v>
      </c>
      <c r="L47" s="35">
        <f ca="1">IF(ISERROR(MATCH(L$1,INDIRECT("Table!A"&amp;$AF47):INDIRECT("Table!" &amp; $AR$159 &amp; $AF47),0)),"",INDIRECT(CONCATENATE("Table!",ADDRESS($AB47,MATCH(L$1,INDIRECT("Table!A" &amp; $AF47):INDIRECT("Table!" &amp; $AR$159 &amp; $AF47),0)))))</f>
        <v>84862.5</v>
      </c>
      <c r="M47" s="35">
        <f ca="1">IF(ISERROR(MATCH(M$1,INDIRECT("Table!A"&amp;$AF47):INDIRECT("Table!" &amp; $AR$159 &amp; $AF47),0)),"",INDIRECT(CONCATENATE("Table!",ADDRESS($AB47,MATCH(M$1,INDIRECT("Table!A" &amp; $AF47):INDIRECT("Table!" &amp; $AR$159 &amp; $AF47),0)))))</f>
        <v>23270.2</v>
      </c>
      <c r="N47" s="35" t="str">
        <f ca="1">IF(ISERROR(MATCH(N$1,INDIRECT("Table!A"&amp;$AF47):INDIRECT("Table!" &amp; $AR$188 &amp; $AF47),0)),"",INDIRECT(CONCATENATE("Table!",ADDRESS($AB47,MATCH(N$1,INDIRECT("Table!A" &amp; $AF47):INDIRECT("Table!" &amp; $AR$188 &amp; $AF47),0)))))</f>
        <v/>
      </c>
      <c r="O47" s="35">
        <f ca="1">IF(ISERROR(MATCH(O$1,INDIRECT("Table!A"&amp;$AN47):INDIRECT("Table!" &amp; $AR$159 &amp; $AN47),0)),"",INDIRECT(CONCATENATE("Table!",ADDRESS($AJ47,MATCH(O$1,INDIRECT("Table!A" &amp; $AN47):INDIRECT("Table!" &amp; $AR$159 &amp; $AN47),0)))))</f>
        <v>143392.20000000001</v>
      </c>
      <c r="P47" s="35">
        <f ca="1">IF(ISERROR(MATCH(P$1,INDIRECT("Table!A"&amp;$AN47):INDIRECT("Table!" &amp; $AR$159 &amp; $AN47),0)),"",INDIRECT(CONCATENATE("Table!",ADDRESS($AJ47,MATCH(P$1,INDIRECT("Table!A" &amp; $AN47):INDIRECT("Table!" &amp; $AR$159 &amp; $AN47),0)))))</f>
        <v>150515.79999999999</v>
      </c>
      <c r="Q47" s="35">
        <f ca="1">IF(ISERROR(MATCH(Q$1,INDIRECT("Table!A"&amp;$AN47):INDIRECT("Table!" &amp; $AR$159 &amp; $AN47),0)),"",INDIRECT(CONCATENATE("Table!",ADDRESS($AJ47,MATCH(Q$1,INDIRECT("Table!A" &amp; $AN47):INDIRECT("Table!" &amp; $AR$159 &amp; $AN47),0)))))</f>
        <v>150515.79999999999</v>
      </c>
      <c r="R47" s="35">
        <f ca="1">IF(ISERROR(MATCH(R$1,INDIRECT("Table!A"&amp;$AN47):INDIRECT("Table!" &amp; $AR$159 &amp; $AN47),0)),"",INDIRECT(CONCATENATE("Table!",ADDRESS($AJ47,MATCH(R$1,INDIRECT("Table!A" &amp; $AN47):INDIRECT("Table!" &amp; $AR$159 &amp; $AN47),0)))))</f>
        <v>181997.8</v>
      </c>
      <c r="S47" s="35">
        <f ca="1">IF(ISERROR(MATCH(S$1,INDIRECT("Table!A"&amp;$AN47):INDIRECT("Table!" &amp; $AR$159 &amp; $AN47),0)),"",INDIRECT(CONCATENATE("Table!",ADDRESS($AJ47,MATCH(S$1,INDIRECT("Table!A" &amp; $AN47):INDIRECT("Table!" &amp; $AR$159 &amp; $AN47),0)))))</f>
        <v>165452.5</v>
      </c>
      <c r="T47" s="35">
        <f ca="1">IF(ISERROR(MATCH(T$1,INDIRECT("Table!A"&amp;$AN47):INDIRECT("Table!" &amp; $AR$159 &amp; $AN47),0)),"",INDIRECT(CONCATENATE("Table!",ADDRESS($AJ47,MATCH(T$1,INDIRECT("Table!A" &amp; $AN47):INDIRECT("Table!" &amp; $AR$159 &amp; $AN47),0)))))</f>
        <v>110071.9</v>
      </c>
      <c r="U47" s="35">
        <f ca="1">IF(ISERROR(MATCH(U$1,INDIRECT("Table!A"&amp;$AN47):INDIRECT("Table!" &amp; $AR$159 &amp; $AN47),0)),"",INDIRECT(CONCATENATE("Table!",ADDRESS($AJ47,MATCH(U$1,INDIRECT("Table!A" &amp; $AN47):INDIRECT("Table!" &amp; $AR$159 &amp; $AN47),0)))))</f>
        <v>121331.8</v>
      </c>
      <c r="V47" s="35">
        <f ca="1">IF(ISERROR(MATCH(V$1,INDIRECT("Table!A"&amp;$AN47):INDIRECT("Table!" &amp; $AR$159 &amp; $AN47),0)),"",INDIRECT(CONCATENATE("Table!",ADDRESS($AJ47,MATCH(V$1,INDIRECT("Table!A" &amp; $AN47):INDIRECT("Table!" &amp; $AR$159 &amp; $AN47),0)))))</f>
        <v>170967.6</v>
      </c>
      <c r="W47" s="35">
        <f ca="1">IF(ISERROR(MATCH(W$1,INDIRECT("Table!A"&amp;$AN47):INDIRECT("Table!" &amp; $AR$159 &amp; $AN47),0)),"",INDIRECT(CONCATENATE("Table!",ADDRESS($AJ47,MATCH(W$1,INDIRECT("Table!A" &amp; $AN47):INDIRECT("Table!" &amp; $AR$159 &amp; $AN47),0)))))</f>
        <v>132132.20000000001</v>
      </c>
      <c r="X47" s="35">
        <f ca="1">IF(ISERROR(MATCH(X$1,INDIRECT("Table!A"&amp;$AN47):INDIRECT("Table!" &amp; $AR$159 &amp; $AN47),0)),"",INDIRECT(CONCATENATE("Table!",ADDRESS($AJ47,MATCH(X$1,INDIRECT("Table!A" &amp; $AN47):INDIRECT("Table!" &amp; $AR$159 &amp; $AN47),0)))))</f>
        <v>82726.3</v>
      </c>
      <c r="Y47" s="35">
        <f ca="1">IF(ISERROR(MATCH(Y$1,INDIRECT("Table!A"&amp;$AN47):INDIRECT("Table!" &amp; $AR$159 &amp; $AN47),0)),"",INDIRECT(CONCATENATE("Table!",ADDRESS($AJ47,MATCH(Y$1,INDIRECT("Table!A" &amp; $AN47):INDIRECT("Table!" &amp; $AR$159 &amp; $AN47),0)))))</f>
        <v>176482.7</v>
      </c>
      <c r="Z47" s="35">
        <f ca="1">IF(ISERROR(MATCH(Z$1,INDIRECT("Table!A"&amp;$AN47):INDIRECT("Table!" &amp; $AR$159 &amp; $AN47),0)),"",INDIRECT(CONCATENATE("Table!",ADDRESS($AJ47,MATCH(Z$1,INDIRECT("Table!A" &amp; $AN47):INDIRECT("Table!" &amp; $AR$159 &amp; $AN47),0)))))</f>
        <v>54921</v>
      </c>
      <c r="AA47" s="12"/>
      <c r="AB47" s="12">
        <f>MATCH($A47,Table!$A:$A,0)+$AD$2-1</f>
        <v>793</v>
      </c>
      <c r="AF47" s="31">
        <f>MATCH($A47,Table!$A:$A,0)+$AH$2-1</f>
        <v>791</v>
      </c>
      <c r="AJ47" s="12">
        <f>MATCH($A47,Table!$A:$A,0)+$AL$2-1</f>
        <v>792</v>
      </c>
      <c r="AN47" s="31">
        <f>MATCH($A47,Table!$A:$A,0)+$AH$2-1</f>
        <v>791</v>
      </c>
      <c r="AR47" s="233" t="s">
        <v>118</v>
      </c>
    </row>
    <row r="48" spans="1:44">
      <c r="A48" s="5">
        <v>41124</v>
      </c>
      <c r="B48" s="35">
        <f ca="1">IF(ISERROR(MATCH(B$1,INDIRECT("Table!A"&amp;$AF48):INDIRECT("Table!" &amp; $AR$159 &amp; $AF48),0)),"",INDIRECT(CONCATENATE("Table!",ADDRESS($AB48,MATCH(B$1,INDIRECT("Table!A" &amp; $AF48):INDIRECT("Table!" &amp; $AR$159 &amp; $AF48),0)))))</f>
        <v>93013.7</v>
      </c>
      <c r="C48" s="35">
        <f ca="1">IF(ISERROR(MATCH(C$1,INDIRECT("Table!A"&amp;$AF48):INDIRECT("Table!" &amp; $AR$159 &amp; $AF48),0)),"",INDIRECT(CONCATENATE("Table!",ADDRESS($AB48,MATCH(C$1,INDIRECT("Table!A" &amp; $AF48):INDIRECT("Table!" &amp; $AR$159 &amp; $AF48),0)))))</f>
        <v>68752.7</v>
      </c>
      <c r="D48" s="35">
        <f ca="1">IF(ISERROR(MATCH(D$1,INDIRECT("Table!A"&amp;$AF48):INDIRECT("Table!" &amp; $AR$159 &amp; $AF48),0)),"",INDIRECT(CONCATENATE("Table!",ADDRESS($AB48,MATCH(D$1,INDIRECT("Table!A" &amp; $AF48):INDIRECT("Table!" &amp; $AR$159 &amp; $AF48),0)))))</f>
        <v>70129.899999999994</v>
      </c>
      <c r="E48" s="35">
        <f ca="1">IF(ISERROR(MATCH(E$1,INDIRECT("Table!A"&amp;$AF48):INDIRECT("Table!" &amp; $AR$159 &amp; $AF48),0)),"",INDIRECT(CONCATENATE("Table!",ADDRESS($AB48,MATCH(E$1,INDIRECT("Table!A" &amp; $AF48):INDIRECT("Table!" &amp; $AR$159 &amp; $AF48),0)))))</f>
        <v>155136.4</v>
      </c>
      <c r="F48" s="35">
        <f ca="1">IF(ISERROR(MATCH(F$1,INDIRECT("Table!A"&amp;$AF48):INDIRECT("Table!" &amp; $AR$159 &amp; $AF48),0)),"",INDIRECT(CONCATENATE("Table!",ADDRESS($AB48,MATCH(F$1,INDIRECT("Table!A" &amp; $AF48):INDIRECT("Table!" &amp; $AR$159 &amp; $AF48),0)))))</f>
        <v>34243.5</v>
      </c>
      <c r="G48" s="35">
        <f ca="1">IF(ISERROR(MATCH(G$1,INDIRECT("Table!A"&amp;$AF48):INDIRECT("Table!" &amp; $AR$159 &amp; $AF48),0)),"",INDIRECT(CONCATENATE("Table!",ADDRESS($AB48,MATCH(G$1,INDIRECT("Table!A" &amp; $AF48):INDIRECT("Table!" &amp; $AR$159 &amp; $AF48),0)))))</f>
        <v>47356.7</v>
      </c>
      <c r="H48" s="35">
        <f ca="1">IF(ISERROR(MATCH(H$1,INDIRECT("Table!A"&amp;$AF48):INDIRECT("Table!" &amp; $AR$159 &amp; $AF48),0)),"",INDIRECT(CONCATENATE("Table!",ADDRESS($AB48,MATCH(H$1,INDIRECT("Table!A" &amp; $AF48):INDIRECT("Table!" &amp; $AR$159 &amp; $AF48),0)))))</f>
        <v>23463.3</v>
      </c>
      <c r="I48" s="35">
        <f ca="1">IF(ISERROR(MATCH(I$1,INDIRECT("Table!A"&amp;$AF48):INDIRECT("Table!" &amp; $AR$159 &amp; $AF48),0)),"",INDIRECT(CONCATENATE("Table!",ADDRESS($AB48,MATCH(I$1,INDIRECT("Table!A" &amp; $AF48):INDIRECT("Table!" &amp; $AR$159 &amp; $AF48),0)))))</f>
        <v>140600.79999999999</v>
      </c>
      <c r="J48" s="35">
        <f ca="1">IF(ISERROR(MATCH(J$1,INDIRECT("Table!A"&amp;$AF48):INDIRECT("Table!" &amp; $AR$159 &amp; $AF48),0)),"",INDIRECT(CONCATENATE("Table!",ADDRESS($AB48,MATCH(J$1,INDIRECT("Table!A" &amp; $AF48):INDIRECT("Table!" &amp; $AR$159 &amp; $AF48),0)))))</f>
        <v>55708.1</v>
      </c>
      <c r="K48" s="35">
        <f ca="1">IF(ISERROR(MATCH(K$1,INDIRECT("Table!A"&amp;$AF48):INDIRECT("Table!" &amp; $AR$159 &amp; $AF48),0)),"",INDIRECT(CONCATENATE("Table!",ADDRESS($AB48,MATCH(K$1,INDIRECT("Table!A" &amp; $AF48):INDIRECT("Table!" &amp; $AR$159 &amp; $AF48),0)))))</f>
        <v>20379.400000000001</v>
      </c>
      <c r="L48" s="35">
        <f ca="1">IF(ISERROR(MATCH(L$1,INDIRECT("Table!A"&amp;$AF48):INDIRECT("Table!" &amp; $AR$159 &amp; $AF48),0)),"",INDIRECT(CONCATENATE("Table!",ADDRESS($AB48,MATCH(L$1,INDIRECT("Table!A" &amp; $AF48):INDIRECT("Table!" &amp; $AR$159 &amp; $AF48),0)))))</f>
        <v>84789.9</v>
      </c>
      <c r="M48" s="35">
        <f ca="1">IF(ISERROR(MATCH(M$1,INDIRECT("Table!A"&amp;$AF48):INDIRECT("Table!" &amp; $AR$159 &amp; $AF48),0)),"",INDIRECT(CONCATENATE("Table!",ADDRESS($AB48,MATCH(M$1,INDIRECT("Table!A" &amp; $AF48):INDIRECT("Table!" &amp; $AR$159 &amp; $AF48),0)))))</f>
        <v>23270.2</v>
      </c>
      <c r="N48" s="35" t="str">
        <f ca="1">IF(ISERROR(MATCH(N$1,INDIRECT("Table!A"&amp;$AF48):INDIRECT("Table!" &amp; $AR$188 &amp; $AF48),0)),"",INDIRECT(CONCATENATE("Table!",ADDRESS($AB48,MATCH(N$1,INDIRECT("Table!A" &amp; $AF48):INDIRECT("Table!" &amp; $AR$188 &amp; $AF48),0)))))</f>
        <v/>
      </c>
      <c r="O48" s="35">
        <f ca="1">IF(ISERROR(MATCH(O$1,INDIRECT("Table!A"&amp;$AN48):INDIRECT("Table!" &amp; $AR$159 &amp; $AN48),0)),"",INDIRECT(CONCATENATE("Table!",ADDRESS($AJ48,MATCH(O$1,INDIRECT("Table!A" &amp; $AN48):INDIRECT("Table!" &amp; $AR$159 &amp; $AN48),0)))))</f>
        <v>143392.20000000001</v>
      </c>
      <c r="P48" s="35">
        <f ca="1">IF(ISERROR(MATCH(P$1,INDIRECT("Table!A"&amp;$AN48):INDIRECT("Table!" &amp; $AR$159 &amp; $AN48),0)),"",INDIRECT(CONCATENATE("Table!",ADDRESS($AJ48,MATCH(P$1,INDIRECT("Table!A" &amp; $AN48):INDIRECT("Table!" &amp; $AR$159 &amp; $AN48),0)))))</f>
        <v>150515.79999999999</v>
      </c>
      <c r="Q48" s="35">
        <f ca="1">IF(ISERROR(MATCH(Q$1,INDIRECT("Table!A"&amp;$AN48):INDIRECT("Table!" &amp; $AR$159 &amp; $AN48),0)),"",INDIRECT(CONCATENATE("Table!",ADDRESS($AJ48,MATCH(Q$1,INDIRECT("Table!A" &amp; $AN48):INDIRECT("Table!" &amp; $AR$159 &amp; $AN48),0)))))</f>
        <v>150515.79999999999</v>
      </c>
      <c r="R48" s="35">
        <f ca="1">IF(ISERROR(MATCH(R$1,INDIRECT("Table!A"&amp;$AN48):INDIRECT("Table!" &amp; $AR$159 &amp; $AN48),0)),"",INDIRECT(CONCATENATE("Table!",ADDRESS($AJ48,MATCH(R$1,INDIRECT("Table!A" &amp; $AN48):INDIRECT("Table!" &amp; $AR$159 &amp; $AN48),0)))))</f>
        <v>181997.8</v>
      </c>
      <c r="S48" s="35">
        <f ca="1">IF(ISERROR(MATCH(S$1,INDIRECT("Table!A"&amp;$AN48):INDIRECT("Table!" &amp; $AR$159 &amp; $AN48),0)),"",INDIRECT(CONCATENATE("Table!",ADDRESS($AJ48,MATCH(S$1,INDIRECT("Table!A" &amp; $AN48):INDIRECT("Table!" &amp; $AR$159 &amp; $AN48),0)))))</f>
        <v>165452.5</v>
      </c>
      <c r="T48" s="35">
        <f ca="1">IF(ISERROR(MATCH(T$1,INDIRECT("Table!A"&amp;$AN48):INDIRECT("Table!" &amp; $AR$159 &amp; $AN48),0)),"",INDIRECT(CONCATENATE("Table!",ADDRESS($AJ48,MATCH(T$1,INDIRECT("Table!A" &amp; $AN48):INDIRECT("Table!" &amp; $AR$159 &amp; $AN48),0)))))</f>
        <v>110071.9</v>
      </c>
      <c r="U48" s="35">
        <f ca="1">IF(ISERROR(MATCH(U$1,INDIRECT("Table!A"&amp;$AN48):INDIRECT("Table!" &amp; $AR$159 &amp; $AN48),0)),"",INDIRECT(CONCATENATE("Table!",ADDRESS($AJ48,MATCH(U$1,INDIRECT("Table!A" &amp; $AN48):INDIRECT("Table!" &amp; $AR$159 &amp; $AN48),0)))))</f>
        <v>121331.8</v>
      </c>
      <c r="V48" s="35">
        <f ca="1">IF(ISERROR(MATCH(V$1,INDIRECT("Table!A"&amp;$AN48):INDIRECT("Table!" &amp; $AR$159 &amp; $AN48),0)),"",INDIRECT(CONCATENATE("Table!",ADDRESS($AJ48,MATCH(V$1,INDIRECT("Table!A" &amp; $AN48):INDIRECT("Table!" &amp; $AR$159 &amp; $AN48),0)))))</f>
        <v>170967.6</v>
      </c>
      <c r="W48" s="35">
        <f ca="1">IF(ISERROR(MATCH(W$1,INDIRECT("Table!A"&amp;$AN48):INDIRECT("Table!" &amp; $AR$159 &amp; $AN48),0)),"",INDIRECT(CONCATENATE("Table!",ADDRESS($AJ48,MATCH(W$1,INDIRECT("Table!A" &amp; $AN48):INDIRECT("Table!" &amp; $AR$159 &amp; $AN48),0)))))</f>
        <v>132132.20000000001</v>
      </c>
      <c r="X48" s="35">
        <f ca="1">IF(ISERROR(MATCH(X$1,INDIRECT("Table!A"&amp;$AN48):INDIRECT("Table!" &amp; $AR$159 &amp; $AN48),0)),"",INDIRECT(CONCATENATE("Table!",ADDRESS($AJ48,MATCH(X$1,INDIRECT("Table!A" &amp; $AN48):INDIRECT("Table!" &amp; $AR$159 &amp; $AN48),0)))))</f>
        <v>82726.3</v>
      </c>
      <c r="Y48" s="35">
        <f ca="1">IF(ISERROR(MATCH(Y$1,INDIRECT("Table!A"&amp;$AN48):INDIRECT("Table!" &amp; $AR$159 &amp; $AN48),0)),"",INDIRECT(CONCATENATE("Table!",ADDRESS($AJ48,MATCH(Y$1,INDIRECT("Table!A" &amp; $AN48):INDIRECT("Table!" &amp; $AR$159 &amp; $AN48),0)))))</f>
        <v>176482.7</v>
      </c>
      <c r="Z48" s="35">
        <f ca="1">IF(ISERROR(MATCH(Z$1,INDIRECT("Table!A"&amp;$AN48):INDIRECT("Table!" &amp; $AR$159 &amp; $AN48),0)),"",INDIRECT(CONCATENATE("Table!",ADDRESS($AJ48,MATCH(Z$1,INDIRECT("Table!A" &amp; $AN48):INDIRECT("Table!" &amp; $AR$159 &amp; $AN48),0)))))</f>
        <v>54921</v>
      </c>
      <c r="AA48" s="12"/>
      <c r="AB48" s="12">
        <f>MATCH($A48,Table!$A:$A,0)+$AD$2-1</f>
        <v>806</v>
      </c>
      <c r="AF48" s="31">
        <f>MATCH($A48,Table!$A:$A,0)+$AH$2-1</f>
        <v>804</v>
      </c>
      <c r="AJ48" s="12">
        <f>MATCH($A48,Table!$A:$A,0)+$AL$2-1</f>
        <v>805</v>
      </c>
      <c r="AN48" s="31">
        <f>MATCH($A48,Table!$A:$A,0)+$AH$2-1</f>
        <v>804</v>
      </c>
      <c r="AR48" s="232" t="s">
        <v>118</v>
      </c>
    </row>
    <row r="49" spans="1:44">
      <c r="A49" s="5">
        <v>41123</v>
      </c>
      <c r="B49" s="35">
        <f ca="1">IF(ISERROR(MATCH(B$1,INDIRECT("Table!A"&amp;$AF49):INDIRECT("Table!" &amp; $AR$159 &amp; $AF49),0)),"",INDIRECT(CONCATENATE("Table!",ADDRESS($AB49,MATCH(B$1,INDIRECT("Table!A" &amp; $AF49):INDIRECT("Table!" &amp; $AR$159 &amp; $AF49),0)))))</f>
        <v>93210.2</v>
      </c>
      <c r="C49" s="35">
        <f ca="1">IF(ISERROR(MATCH(C$1,INDIRECT("Table!A"&amp;$AF49):INDIRECT("Table!" &amp; $AR$159 &amp; $AF49),0)),"",INDIRECT(CONCATENATE("Table!",ADDRESS($AB49,MATCH(C$1,INDIRECT("Table!A" &amp; $AF49):INDIRECT("Table!" &amp; $AR$159 &amp; $AF49),0)))))</f>
        <v>68703.899999999994</v>
      </c>
      <c r="D49" s="35">
        <f ca="1">IF(ISERROR(MATCH(D$1,INDIRECT("Table!A"&amp;$AF49):INDIRECT("Table!" &amp; $AR$159 &amp; $AF49),0)),"",INDIRECT(CONCATENATE("Table!",ADDRESS($AB49,MATCH(D$1,INDIRECT("Table!A" &amp; $AF49):INDIRECT("Table!" &amp; $AR$159 &amp; $AF49),0)))))</f>
        <v>70084.3</v>
      </c>
      <c r="E49" s="35">
        <f ca="1">IF(ISERROR(MATCH(E$1,INDIRECT("Table!A"&amp;$AF49):INDIRECT("Table!" &amp; $AR$159 &amp; $AF49),0)),"",INDIRECT(CONCATENATE("Table!",ADDRESS($AB49,MATCH(E$1,INDIRECT("Table!A" &amp; $AF49):INDIRECT("Table!" &amp; $AR$159 &amp; $AF49),0)))))</f>
        <v>154770</v>
      </c>
      <c r="F49" s="35">
        <f ca="1">IF(ISERROR(MATCH(F$1,INDIRECT("Table!A"&amp;$AF49):INDIRECT("Table!" &amp; $AR$159 &amp; $AF49),0)),"",INDIRECT(CONCATENATE("Table!",ADDRESS($AB49,MATCH(F$1,INDIRECT("Table!A" &amp; $AF49):INDIRECT("Table!" &amp; $AR$159 &amp; $AF49),0)))))</f>
        <v>33713.5</v>
      </c>
      <c r="G49" s="35">
        <f ca="1">IF(ISERROR(MATCH(G$1,INDIRECT("Table!A"&amp;$AF49):INDIRECT("Table!" &amp; $AR$159 &amp; $AF49),0)),"",INDIRECT(CONCATENATE("Table!",ADDRESS($AB49,MATCH(G$1,INDIRECT("Table!A" &amp; $AF49):INDIRECT("Table!" &amp; $AR$159 &amp; $AF49),0)))))</f>
        <v>46368.2</v>
      </c>
      <c r="H49" s="35">
        <f ca="1">IF(ISERROR(MATCH(H$1,INDIRECT("Table!A"&amp;$AF49):INDIRECT("Table!" &amp; $AR$159 &amp; $AF49),0)),"",INDIRECT(CONCATENATE("Table!",ADDRESS($AB49,MATCH(H$1,INDIRECT("Table!A" &amp; $AF49):INDIRECT("Table!" &amp; $AR$159 &amp; $AF49),0)))))</f>
        <v>23358.6</v>
      </c>
      <c r="I49" s="35">
        <f ca="1">IF(ISERROR(MATCH(I$1,INDIRECT("Table!A"&amp;$AF49):INDIRECT("Table!" &amp; $AR$159 &amp; $AF49),0)),"",INDIRECT(CONCATENATE("Table!",ADDRESS($AB49,MATCH(I$1,INDIRECT("Table!A" &amp; $AF49):INDIRECT("Table!" &amp; $AR$159 &amp; $AF49),0)))))</f>
        <v>140387.70000000001</v>
      </c>
      <c r="J49" s="35">
        <f ca="1">IF(ISERROR(MATCH(J$1,INDIRECT("Table!A"&amp;$AF49):INDIRECT("Table!" &amp; $AR$159 &amp; $AF49),0)),"",INDIRECT(CONCATENATE("Table!",ADDRESS($AB49,MATCH(J$1,INDIRECT("Table!A" &amp; $AF49):INDIRECT("Table!" &amp; $AR$159 &amp; $AF49),0)))))</f>
        <v>55832.6</v>
      </c>
      <c r="K49" s="35">
        <f ca="1">IF(ISERROR(MATCH(K$1,INDIRECT("Table!A"&amp;$AF49):INDIRECT("Table!" &amp; $AR$159 &amp; $AF49),0)),"",INDIRECT(CONCATENATE("Table!",ADDRESS($AB49,MATCH(K$1,INDIRECT("Table!A" &amp; $AF49):INDIRECT("Table!" &amp; $AR$159 &amp; $AF49),0)))))</f>
        <v>20025.7</v>
      </c>
      <c r="L49" s="35">
        <f ca="1">IF(ISERROR(MATCH(L$1,INDIRECT("Table!A"&amp;$AF49):INDIRECT("Table!" &amp; $AR$159 &amp; $AF49),0)),"",INDIRECT(CONCATENATE("Table!",ADDRESS($AB49,MATCH(L$1,INDIRECT("Table!A" &amp; $AF49):INDIRECT("Table!" &amp; $AR$159 &amp; $AF49),0)))))</f>
        <v>84634.7</v>
      </c>
      <c r="M49" s="35">
        <f ca="1">IF(ISERROR(MATCH(M$1,INDIRECT("Table!A"&amp;$AF49):INDIRECT("Table!" &amp; $AR$159 &amp; $AF49),0)),"",INDIRECT(CONCATENATE("Table!",ADDRESS($AB49,MATCH(M$1,INDIRECT("Table!A" &amp; $AF49):INDIRECT("Table!" &amp; $AR$159 &amp; $AF49),0)))))</f>
        <v>23270.2</v>
      </c>
      <c r="N49" s="35" t="str">
        <f ca="1">IF(ISERROR(MATCH(N$1,INDIRECT("Table!A"&amp;$AF49):INDIRECT("Table!" &amp; $AR$188 &amp; $AF49),0)),"",INDIRECT(CONCATENATE("Table!",ADDRESS($AB49,MATCH(N$1,INDIRECT("Table!A" &amp; $AF49):INDIRECT("Table!" &amp; $AR$188 &amp; $AF49),0)))))</f>
        <v/>
      </c>
      <c r="O49" s="35">
        <f ca="1">IF(ISERROR(MATCH(O$1,INDIRECT("Table!A"&amp;$AN49):INDIRECT("Table!" &amp; $AR$159 &amp; $AN49),0)),"",INDIRECT(CONCATENATE("Table!",ADDRESS($AJ49,MATCH(O$1,INDIRECT("Table!A" &amp; $AN49):INDIRECT("Table!" &amp; $AR$159 &amp; $AN49),0)))))</f>
        <v>143392.20000000001</v>
      </c>
      <c r="P49" s="35">
        <f ca="1">IF(ISERROR(MATCH(P$1,INDIRECT("Table!A"&amp;$AN49):INDIRECT("Table!" &amp; $AR$159 &amp; $AN49),0)),"",INDIRECT(CONCATENATE("Table!",ADDRESS($AJ49,MATCH(P$1,INDIRECT("Table!A" &amp; $AN49):INDIRECT("Table!" &amp; $AR$159 &amp; $AN49),0)))))</f>
        <v>150515.79999999999</v>
      </c>
      <c r="Q49" s="35">
        <f ca="1">IF(ISERROR(MATCH(Q$1,INDIRECT("Table!A"&amp;$AN49):INDIRECT("Table!" &amp; $AR$159 &amp; $AN49),0)),"",INDIRECT(CONCATENATE("Table!",ADDRESS($AJ49,MATCH(Q$1,INDIRECT("Table!A" &amp; $AN49):INDIRECT("Table!" &amp; $AR$159 &amp; $AN49),0)))))</f>
        <v>150515.79999999999</v>
      </c>
      <c r="R49" s="35">
        <f ca="1">IF(ISERROR(MATCH(R$1,INDIRECT("Table!A"&amp;$AN49):INDIRECT("Table!" &amp; $AR$159 &amp; $AN49),0)),"",INDIRECT(CONCATENATE("Table!",ADDRESS($AJ49,MATCH(R$1,INDIRECT("Table!A" &amp; $AN49):INDIRECT("Table!" &amp; $AR$159 &amp; $AN49),0)))))</f>
        <v>181997.8</v>
      </c>
      <c r="S49" s="35">
        <f ca="1">IF(ISERROR(MATCH(S$1,INDIRECT("Table!A"&amp;$AN49):INDIRECT("Table!" &amp; $AR$159 &amp; $AN49),0)),"",INDIRECT(CONCATENATE("Table!",ADDRESS($AJ49,MATCH(S$1,INDIRECT("Table!A" &amp; $AN49):INDIRECT("Table!" &amp; $AR$159 &amp; $AN49),0)))))</f>
        <v>165452.5</v>
      </c>
      <c r="T49" s="35">
        <f ca="1">IF(ISERROR(MATCH(T$1,INDIRECT("Table!A"&amp;$AN49):INDIRECT("Table!" &amp; $AR$159 &amp; $AN49),0)),"",INDIRECT(CONCATENATE("Table!",ADDRESS($AJ49,MATCH(T$1,INDIRECT("Table!A" &amp; $AN49):INDIRECT("Table!" &amp; $AR$159 &amp; $AN49),0)))))</f>
        <v>110071.9</v>
      </c>
      <c r="U49" s="35">
        <f ca="1">IF(ISERROR(MATCH(U$1,INDIRECT("Table!A"&amp;$AN49):INDIRECT("Table!" &amp; $AR$159 &amp; $AN49),0)),"",INDIRECT(CONCATENATE("Table!",ADDRESS($AJ49,MATCH(U$1,INDIRECT("Table!A" &amp; $AN49):INDIRECT("Table!" &amp; $AR$159 &amp; $AN49),0)))))</f>
        <v>121331.8</v>
      </c>
      <c r="V49" s="35">
        <f ca="1">IF(ISERROR(MATCH(V$1,INDIRECT("Table!A"&amp;$AN49):INDIRECT("Table!" &amp; $AR$159 &amp; $AN49),0)),"",INDIRECT(CONCATENATE("Table!",ADDRESS($AJ49,MATCH(V$1,INDIRECT("Table!A" &amp; $AN49):INDIRECT("Table!" &amp; $AR$159 &amp; $AN49),0)))))</f>
        <v>170967.6</v>
      </c>
      <c r="W49" s="35">
        <f ca="1">IF(ISERROR(MATCH(W$1,INDIRECT("Table!A"&amp;$AN49):INDIRECT("Table!" &amp; $AR$159 &amp; $AN49),0)),"",INDIRECT(CONCATENATE("Table!",ADDRESS($AJ49,MATCH(W$1,INDIRECT("Table!A" &amp; $AN49):INDIRECT("Table!" &amp; $AR$159 &amp; $AN49),0)))))</f>
        <v>132132.20000000001</v>
      </c>
      <c r="X49" s="35">
        <f ca="1">IF(ISERROR(MATCH(X$1,INDIRECT("Table!A"&amp;$AN49):INDIRECT("Table!" &amp; $AR$159 &amp; $AN49),0)),"",INDIRECT(CONCATENATE("Table!",ADDRESS($AJ49,MATCH(X$1,INDIRECT("Table!A" &amp; $AN49):INDIRECT("Table!" &amp; $AR$159 &amp; $AN49),0)))))</f>
        <v>82726.3</v>
      </c>
      <c r="Y49" s="35">
        <f ca="1">IF(ISERROR(MATCH(Y$1,INDIRECT("Table!A"&amp;$AN49):INDIRECT("Table!" &amp; $AR$159 &amp; $AN49),0)),"",INDIRECT(CONCATENATE("Table!",ADDRESS($AJ49,MATCH(Y$1,INDIRECT("Table!A" &amp; $AN49):INDIRECT("Table!" &amp; $AR$159 &amp; $AN49),0)))))</f>
        <v>176482.7</v>
      </c>
      <c r="Z49" s="35">
        <f ca="1">IF(ISERROR(MATCH(Z$1,INDIRECT("Table!A"&amp;$AN49):INDIRECT("Table!" &amp; $AR$159 &amp; $AN49),0)),"",INDIRECT(CONCATENATE("Table!",ADDRESS($AJ49,MATCH(Z$1,INDIRECT("Table!A" &amp; $AN49):INDIRECT("Table!" &amp; $AR$159 &amp; $AN49),0)))))</f>
        <v>54921</v>
      </c>
      <c r="AA49" s="12"/>
      <c r="AB49" s="12">
        <f>MATCH($A49,Table!$A:$A,0)+$AD$2-1</f>
        <v>819</v>
      </c>
      <c r="AF49" s="31">
        <f>MATCH($A49,Table!$A:$A,0)+$AH$2-1</f>
        <v>817</v>
      </c>
      <c r="AJ49" s="12">
        <f>MATCH($A49,Table!$A:$A,0)+$AL$2-1</f>
        <v>818</v>
      </c>
      <c r="AN49" s="31">
        <f>MATCH($A49,Table!$A:$A,0)+$AH$2-1</f>
        <v>817</v>
      </c>
      <c r="AR49" s="231" t="s">
        <v>118</v>
      </c>
    </row>
    <row r="50" spans="1:44">
      <c r="A50" s="5">
        <v>41120</v>
      </c>
      <c r="B50" s="35">
        <f ca="1">IF(ISERROR(MATCH(B$1,INDIRECT("Table!A"&amp;$AF50):INDIRECT("Table!" &amp; $AR$159 &amp; $AF50),0)),"",INDIRECT(CONCATENATE("Table!",ADDRESS($AB50,MATCH(B$1,INDIRECT("Table!A" &amp; $AF50):INDIRECT("Table!" &amp; $AR$159 &amp; $AF50),0)))))</f>
        <v>93028.7</v>
      </c>
      <c r="C50" s="35">
        <f ca="1">IF(ISERROR(MATCH(C$1,INDIRECT("Table!A"&amp;$AF50):INDIRECT("Table!" &amp; $AR$159 &amp; $AF50),0)),"",INDIRECT(CONCATENATE("Table!",ADDRESS($AB50,MATCH(C$1,INDIRECT("Table!A" &amp; $AF50):INDIRECT("Table!" &amp; $AR$159 &amp; $AF50),0)))))</f>
        <v>68609.3</v>
      </c>
      <c r="D50" s="35">
        <f ca="1">IF(ISERROR(MATCH(D$1,INDIRECT("Table!A"&amp;$AF50):INDIRECT("Table!" &amp; $AR$159 &amp; $AF50),0)),"",INDIRECT(CONCATENATE("Table!",ADDRESS($AB50,MATCH(D$1,INDIRECT("Table!A" &amp; $AF50):INDIRECT("Table!" &amp; $AR$159 &amp; $AF50),0)))))</f>
        <v>70008</v>
      </c>
      <c r="E50" s="35">
        <f ca="1">IF(ISERROR(MATCH(E$1,INDIRECT("Table!A"&amp;$AF50):INDIRECT("Table!" &amp; $AR$159 &amp; $AF50),0)),"",INDIRECT(CONCATENATE("Table!",ADDRESS($AB50,MATCH(E$1,INDIRECT("Table!A" &amp; $AF50):INDIRECT("Table!" &amp; $AR$159 &amp; $AF50),0)))))</f>
        <v>154630.39999999999</v>
      </c>
      <c r="F50" s="35">
        <f ca="1">IF(ISERROR(MATCH(F$1,INDIRECT("Table!A"&amp;$AF50):INDIRECT("Table!" &amp; $AR$159 &amp; $AF50),0)),"",INDIRECT(CONCATENATE("Table!",ADDRESS($AB50,MATCH(F$1,INDIRECT("Table!A" &amp; $AF50):INDIRECT("Table!" &amp; $AR$159 &amp; $AF50),0)))))</f>
        <v>33713.5</v>
      </c>
      <c r="G50" s="35">
        <f ca="1">IF(ISERROR(MATCH(G$1,INDIRECT("Table!A"&amp;$AF50):INDIRECT("Table!" &amp; $AR$159 &amp; $AF50),0)),"",INDIRECT(CONCATENATE("Table!",ADDRESS($AB50,MATCH(G$1,INDIRECT("Table!A" &amp; $AF50):INDIRECT("Table!" &amp; $AR$159 &amp; $AF50),0)))))</f>
        <v>46240.6</v>
      </c>
      <c r="H50" s="35">
        <f ca="1">IF(ISERROR(MATCH(H$1,INDIRECT("Table!A"&amp;$AF50):INDIRECT("Table!" &amp; $AR$159 &amp; $AF50),0)),"",INDIRECT(CONCATENATE("Table!",ADDRESS($AB50,MATCH(H$1,INDIRECT("Table!A" &amp; $AF50):INDIRECT("Table!" &amp; $AR$159 &amp; $AF50),0)))))</f>
        <v>23301.7</v>
      </c>
      <c r="I50" s="35">
        <f ca="1">IF(ISERROR(MATCH(I$1,INDIRECT("Table!A"&amp;$AF50):INDIRECT("Table!" &amp; $AR$159 &amp; $AF50),0)),"",INDIRECT(CONCATENATE("Table!",ADDRESS($AB50,MATCH(I$1,INDIRECT("Table!A" &amp; $AF50):INDIRECT("Table!" &amp; $AR$159 &amp; $AF50),0)))))</f>
        <v>140216.9</v>
      </c>
      <c r="J50" s="35">
        <f ca="1">IF(ISERROR(MATCH(J$1,INDIRECT("Table!A"&amp;$AF50):INDIRECT("Table!" &amp; $AR$159 &amp; $AF50),0)),"",INDIRECT(CONCATENATE("Table!",ADDRESS($AB50,MATCH(J$1,INDIRECT("Table!A" &amp; $AF50):INDIRECT("Table!" &amp; $AR$159 &amp; $AF50),0)))))</f>
        <v>54764.3</v>
      </c>
      <c r="K50" s="35">
        <f ca="1">IF(ISERROR(MATCH(K$1,INDIRECT("Table!A"&amp;$AF50):INDIRECT("Table!" &amp; $AR$159 &amp; $AF50),0)),"",INDIRECT(CONCATENATE("Table!",ADDRESS($AB50,MATCH(K$1,INDIRECT("Table!A" &amp; $AF50):INDIRECT("Table!" &amp; $AR$159 &amp; $AF50),0)))))</f>
        <v>19797.599999999999</v>
      </c>
      <c r="L50" s="35">
        <f ca="1">IF(ISERROR(MATCH(L$1,INDIRECT("Table!A"&amp;$AF50):INDIRECT("Table!" &amp; $AR$159 &amp; $AF50),0)),"",INDIRECT(CONCATENATE("Table!",ADDRESS($AB50,MATCH(L$1,INDIRECT("Table!A" &amp; $AF50):INDIRECT("Table!" &amp; $AR$159 &amp; $AF50),0)))))</f>
        <v>84533.3</v>
      </c>
      <c r="M50" s="35">
        <f ca="1">IF(ISERROR(MATCH(M$1,INDIRECT("Table!A"&amp;$AF50):INDIRECT("Table!" &amp; $AR$159 &amp; $AF50),0)),"",INDIRECT(CONCATENATE("Table!",ADDRESS($AB50,MATCH(M$1,INDIRECT("Table!A" &amp; $AF50):INDIRECT("Table!" &amp; $AR$159 &amp; $AF50),0)))))</f>
        <v>23269.7</v>
      </c>
      <c r="N50" s="35" t="str">
        <f ca="1">IF(ISERROR(MATCH(N$1,INDIRECT("Table!A"&amp;$AF50):INDIRECT("Table!" &amp; $AR$188 &amp; $AF50),0)),"",INDIRECT(CONCATENATE("Table!",ADDRESS($AB50,MATCH(N$1,INDIRECT("Table!A" &amp; $AF50):INDIRECT("Table!" &amp; $AR$188 &amp; $AF50),0)))))</f>
        <v/>
      </c>
      <c r="O50" s="35">
        <f ca="1">IF(ISERROR(MATCH(O$1,INDIRECT("Table!A"&amp;$AN50):INDIRECT("Table!" &amp; $AR$159 &amp; $AN50),0)),"",INDIRECT(CONCATENATE("Table!",ADDRESS($AJ50,MATCH(O$1,INDIRECT("Table!A" &amp; $AN50):INDIRECT("Table!" &amp; $AR$159 &amp; $AN50),0)))))</f>
        <v>143392.20000000001</v>
      </c>
      <c r="P50" s="35">
        <f ca="1">IF(ISERROR(MATCH(P$1,INDIRECT("Table!A"&amp;$AN50):INDIRECT("Table!" &amp; $AR$159 &amp; $AN50),0)),"",INDIRECT(CONCATENATE("Table!",ADDRESS($AJ50,MATCH(P$1,INDIRECT("Table!A" &amp; $AN50):INDIRECT("Table!" &amp; $AR$159 &amp; $AN50),0)))))</f>
        <v>150515.79999999999</v>
      </c>
      <c r="Q50" s="35">
        <f ca="1">IF(ISERROR(MATCH(Q$1,INDIRECT("Table!A"&amp;$AN50):INDIRECT("Table!" &amp; $AR$159 &amp; $AN50),0)),"",INDIRECT(CONCATENATE("Table!",ADDRESS($AJ50,MATCH(Q$1,INDIRECT("Table!A" &amp; $AN50):INDIRECT("Table!" &amp; $AR$159 &amp; $AN50),0)))))</f>
        <v>150515.79999999999</v>
      </c>
      <c r="R50" s="35">
        <f ca="1">IF(ISERROR(MATCH(R$1,INDIRECT("Table!A"&amp;$AN50):INDIRECT("Table!" &amp; $AR$159 &amp; $AN50),0)),"",INDIRECT(CONCATENATE("Table!",ADDRESS($AJ50,MATCH(R$1,INDIRECT("Table!A" &amp; $AN50):INDIRECT("Table!" &amp; $AR$159 &amp; $AN50),0)))))</f>
        <v>181997.8</v>
      </c>
      <c r="S50" s="35">
        <f ca="1">IF(ISERROR(MATCH(S$1,INDIRECT("Table!A"&amp;$AN50):INDIRECT("Table!" &amp; $AR$159 &amp; $AN50),0)),"",INDIRECT(CONCATENATE("Table!",ADDRESS($AJ50,MATCH(S$1,INDIRECT("Table!A" &amp; $AN50):INDIRECT("Table!" &amp; $AR$159 &amp; $AN50),0)))))</f>
        <v>121331.8</v>
      </c>
      <c r="T50" s="35">
        <f ca="1">IF(ISERROR(MATCH(T$1,INDIRECT("Table!A"&amp;$AN50):INDIRECT("Table!" &amp; $AR$159 &amp; $AN50),0)),"",INDIRECT(CONCATENATE("Table!",ADDRESS($AJ50,MATCH(T$1,INDIRECT("Table!A" &amp; $AN50):INDIRECT("Table!" &amp; $AR$159 &amp; $AN50),0)))))</f>
        <v>110071.9</v>
      </c>
      <c r="U50" s="35">
        <f ca="1">IF(ISERROR(MATCH(U$1,INDIRECT("Table!A"&amp;$AN50):INDIRECT("Table!" &amp; $AR$159 &amp; $AN50),0)),"",INDIRECT(CONCATENATE("Table!",ADDRESS($AJ50,MATCH(U$1,INDIRECT("Table!A" &amp; $AN50):INDIRECT("Table!" &amp; $AR$159 &amp; $AN50),0)))))</f>
        <v>121331.8</v>
      </c>
      <c r="V50" s="35">
        <f ca="1">IF(ISERROR(MATCH(V$1,INDIRECT("Table!A"&amp;$AN50):INDIRECT("Table!" &amp; $AR$159 &amp; $AN50),0)),"",INDIRECT(CONCATENATE("Table!",ADDRESS($AJ50,MATCH(V$1,INDIRECT("Table!A" &amp; $AN50):INDIRECT("Table!" &amp; $AR$159 &amp; $AN50),0)))))</f>
        <v>170967.6</v>
      </c>
      <c r="W50" s="35">
        <f ca="1">IF(ISERROR(MATCH(W$1,INDIRECT("Table!A"&amp;$AN50):INDIRECT("Table!" &amp; $AR$159 &amp; $AN50),0)),"",INDIRECT(CONCATENATE("Table!",ADDRESS($AJ50,MATCH(W$1,INDIRECT("Table!A" &amp; $AN50):INDIRECT("Table!" &amp; $AR$159 &amp; $AN50),0)))))</f>
        <v>132132.20000000001</v>
      </c>
      <c r="X50" s="35">
        <f ca="1">IF(ISERROR(MATCH(X$1,INDIRECT("Table!A"&amp;$AN50):INDIRECT("Table!" &amp; $AR$159 &amp; $AN50),0)),"",INDIRECT(CONCATENATE("Table!",ADDRESS($AJ50,MATCH(X$1,INDIRECT("Table!A" &amp; $AN50):INDIRECT("Table!" &amp; $AR$159 &amp; $AN50),0)))))</f>
        <v>82726.3</v>
      </c>
      <c r="Y50" s="35">
        <f ca="1">IF(ISERROR(MATCH(Y$1,INDIRECT("Table!A"&amp;$AN50):INDIRECT("Table!" &amp; $AR$159 &amp; $AN50),0)),"",INDIRECT(CONCATENATE("Table!",ADDRESS($AJ50,MATCH(Y$1,INDIRECT("Table!A" &amp; $AN50):INDIRECT("Table!" &amp; $AR$159 &amp; $AN50),0)))))</f>
        <v>176482.7</v>
      </c>
      <c r="Z50" s="35">
        <f ca="1">IF(ISERROR(MATCH(Z$1,INDIRECT("Table!A"&amp;$AN50):INDIRECT("Table!" &amp; $AR$159 &amp; $AN50),0)),"",INDIRECT(CONCATENATE("Table!",ADDRESS($AJ50,MATCH(Z$1,INDIRECT("Table!A" &amp; $AN50):INDIRECT("Table!" &amp; $AR$159 &amp; $AN50),0)))))</f>
        <v>54921</v>
      </c>
      <c r="AA50" s="12"/>
      <c r="AB50" s="12">
        <f>MATCH($A50,Table!$A:$A,0)+$AD$2-1</f>
        <v>832</v>
      </c>
      <c r="AF50" s="31">
        <f>MATCH($A50,Table!$A:$A,0)+$AH$2-1</f>
        <v>830</v>
      </c>
      <c r="AJ50" s="12">
        <f>MATCH($A50,Table!$A:$A,0)+$AL$2-1</f>
        <v>831</v>
      </c>
      <c r="AN50" s="31">
        <f>MATCH($A50,Table!$A:$A,0)+$AH$2-1</f>
        <v>830</v>
      </c>
      <c r="AR50" s="230" t="s">
        <v>118</v>
      </c>
    </row>
    <row r="51" spans="1:44">
      <c r="A51" s="5">
        <v>41117</v>
      </c>
      <c r="B51" s="35">
        <f ca="1">IF(ISERROR(MATCH(B$1,INDIRECT("Table!A"&amp;$AF51):INDIRECT("Table!" &amp; $AR$159 &amp; $AF51),0)),"",INDIRECT(CONCATENATE("Table!",ADDRESS($AB51,MATCH(B$1,INDIRECT("Table!A" &amp; $AF51):INDIRECT("Table!" &amp; $AR$159 &amp; $AF51),0)))))</f>
        <v>92869.6</v>
      </c>
      <c r="C51" s="35">
        <f ca="1">IF(ISERROR(MATCH(C$1,INDIRECT("Table!A"&amp;$AF51):INDIRECT("Table!" &amp; $AR$159 &amp; $AF51),0)),"",INDIRECT(CONCATENATE("Table!",ADDRESS($AB51,MATCH(C$1,INDIRECT("Table!A" &amp; $AF51):INDIRECT("Table!" &amp; $AR$159 &amp; $AF51),0)))))</f>
        <v>68591.3</v>
      </c>
      <c r="D51" s="35">
        <f ca="1">IF(ISERROR(MATCH(D$1,INDIRECT("Table!A"&amp;$AF51):INDIRECT("Table!" &amp; $AR$159 &amp; $AF51),0)),"",INDIRECT(CONCATENATE("Table!",ADDRESS($AB51,MATCH(D$1,INDIRECT("Table!A" &amp; $AF51):INDIRECT("Table!" &amp; $AR$159 &amp; $AF51),0)))))</f>
        <v>69999.399999999994</v>
      </c>
      <c r="E51" s="35">
        <f ca="1">IF(ISERROR(MATCH(E$1,INDIRECT("Table!A"&amp;$AF51):INDIRECT("Table!" &amp; $AR$159 &amp; $AF51),0)),"",INDIRECT(CONCATENATE("Table!",ADDRESS($AB51,MATCH(E$1,INDIRECT("Table!A" &amp; $AF51):INDIRECT("Table!" &amp; $AR$159 &amp; $AF51),0)))))</f>
        <v>154454.70000000001</v>
      </c>
      <c r="F51" s="35">
        <f ca="1">IF(ISERROR(MATCH(F$1,INDIRECT("Table!A"&amp;$AF51):INDIRECT("Table!" &amp; $AR$159 &amp; $AF51),0)),"",INDIRECT(CONCATENATE("Table!",ADDRESS($AB51,MATCH(F$1,INDIRECT("Table!A" &amp; $AF51):INDIRECT("Table!" &amp; $AR$159 &amp; $AF51),0)))))</f>
        <v>33573.199999999997</v>
      </c>
      <c r="G51" s="35">
        <f ca="1">IF(ISERROR(MATCH(G$1,INDIRECT("Table!A"&amp;$AF51):INDIRECT("Table!" &amp; $AR$159 &amp; $AF51),0)),"",INDIRECT(CONCATENATE("Table!",ADDRESS($AB51,MATCH(G$1,INDIRECT("Table!A" &amp; $AF51):INDIRECT("Table!" &amp; $AR$159 &amp; $AF51),0)))))</f>
        <v>46260.7</v>
      </c>
      <c r="H51" s="35">
        <f ca="1">IF(ISERROR(MATCH(H$1,INDIRECT("Table!A"&amp;$AF51):INDIRECT("Table!" &amp; $AR$159 &amp; $AF51),0)),"",INDIRECT(CONCATENATE("Table!",ADDRESS($AB51,MATCH(H$1,INDIRECT("Table!A" &amp; $AF51):INDIRECT("Table!" &amp; $AR$159 &amp; $AF51),0)))))</f>
        <v>23291.1</v>
      </c>
      <c r="I51" s="35">
        <f ca="1">IF(ISERROR(MATCH(I$1,INDIRECT("Table!A"&amp;$AF51):INDIRECT("Table!" &amp; $AR$159 &amp; $AF51),0)),"",INDIRECT(CONCATENATE("Table!",ADDRESS($AB51,MATCH(I$1,INDIRECT("Table!A" &amp; $AF51):INDIRECT("Table!" &amp; $AR$159 &amp; $AF51),0)))))</f>
        <v>139910</v>
      </c>
      <c r="J51" s="35">
        <f ca="1">IF(ISERROR(MATCH(J$1,INDIRECT("Table!A"&amp;$AF51):INDIRECT("Table!" &amp; $AR$159 &amp; $AF51),0)),"",INDIRECT(CONCATENATE("Table!",ADDRESS($AB51,MATCH(J$1,INDIRECT("Table!A" &amp; $AF51):INDIRECT("Table!" &amp; $AR$159 &amp; $AF51),0)))))</f>
        <v>54875.1</v>
      </c>
      <c r="K51" s="35">
        <f ca="1">IF(ISERROR(MATCH(K$1,INDIRECT("Table!A"&amp;$AF51):INDIRECT("Table!" &amp; $AR$159 &amp; $AF51),0)),"",INDIRECT(CONCATENATE("Table!",ADDRESS($AB51,MATCH(K$1,INDIRECT("Table!A" &amp; $AF51):INDIRECT("Table!" &amp; $AR$159 &amp; $AF51),0)))))</f>
        <v>19711.099999999999</v>
      </c>
      <c r="L51" s="35">
        <f ca="1">IF(ISERROR(MATCH(L$1,INDIRECT("Table!A"&amp;$AF51):INDIRECT("Table!" &amp; $AR$159 &amp; $AF51),0)),"",INDIRECT(CONCATENATE("Table!",ADDRESS($AB51,MATCH(L$1,INDIRECT("Table!A" &amp; $AF51):INDIRECT("Table!" &amp; $AR$159 &amp; $AF51),0)))))</f>
        <v>84515.199999999997</v>
      </c>
      <c r="M51" s="35">
        <f ca="1">IF(ISERROR(MATCH(M$1,INDIRECT("Table!A"&amp;$AF51):INDIRECT("Table!" &amp; $AR$159 &amp; $AF51),0)),"",INDIRECT(CONCATENATE("Table!",ADDRESS($AB51,MATCH(M$1,INDIRECT("Table!A" &amp; $AF51):INDIRECT("Table!" &amp; $AR$159 &amp; $AF51),0)))))</f>
        <v>23269.7</v>
      </c>
      <c r="N51" s="35" t="str">
        <f ca="1">IF(ISERROR(MATCH(N$1,INDIRECT("Table!A"&amp;$AF51):INDIRECT("Table!" &amp; $AR$188 &amp; $AF51),0)),"",INDIRECT(CONCATENATE("Table!",ADDRESS($AB51,MATCH(N$1,INDIRECT("Table!A" &amp; $AF51):INDIRECT("Table!" &amp; $AR$188 &amp; $AF51),0)))))</f>
        <v/>
      </c>
      <c r="O51" s="35">
        <f ca="1">IF(ISERROR(MATCH(O$1,INDIRECT("Table!A"&amp;$AN51):INDIRECT("Table!" &amp; $AR$159 &amp; $AN51),0)),"",INDIRECT(CONCATENATE("Table!",ADDRESS($AJ51,MATCH(O$1,INDIRECT("Table!A" &amp; $AN51):INDIRECT("Table!" &amp; $AR$159 &amp; $AN51),0)))))</f>
        <v>115816.8</v>
      </c>
      <c r="P51" s="35">
        <f ca="1">IF(ISERROR(MATCH(P$1,INDIRECT("Table!A"&amp;$AN51):INDIRECT("Table!" &amp; $AR$159 &amp; $AN51),0)),"",INDIRECT(CONCATENATE("Table!",ADDRESS($AJ51,MATCH(P$1,INDIRECT("Table!A" &amp; $AN51):INDIRECT("Table!" &amp; $AR$159 &amp; $AN51),0)))))</f>
        <v>99041.7</v>
      </c>
      <c r="Q51" s="35">
        <f ca="1">IF(ISERROR(MATCH(Q$1,INDIRECT("Table!A"&amp;$AN51):INDIRECT("Table!" &amp; $AR$159 &amp; $AN51),0)),"",INDIRECT(CONCATENATE("Table!",ADDRESS($AJ51,MATCH(Q$1,INDIRECT("Table!A" &amp; $AN51):INDIRECT("Table!" &amp; $AR$159 &amp; $AN51),0)))))</f>
        <v>99041.7</v>
      </c>
      <c r="R51" s="35">
        <f ca="1">IF(ISERROR(MATCH(R$1,INDIRECT("Table!A"&amp;$AN51):INDIRECT("Table!" &amp; $AR$159 &amp; $AN51),0)),"",INDIRECT(CONCATENATE("Table!",ADDRESS($AJ51,MATCH(R$1,INDIRECT("Table!A" &amp; $AN51):INDIRECT("Table!" &amp; $AR$159 &amp; $AN51),0)))))</f>
        <v>181997.8</v>
      </c>
      <c r="S51" s="35">
        <f ca="1">IF(ISERROR(MATCH(S$1,INDIRECT("Table!A"&amp;$AN51):INDIRECT("Table!" &amp; $AR$159 &amp; $AN51),0)),"",INDIRECT(CONCATENATE("Table!",ADDRESS($AJ51,MATCH(S$1,INDIRECT("Table!A" &amp; $AN51):INDIRECT("Table!" &amp; $AR$159 &amp; $AN51),0)))))</f>
        <v>121331.8</v>
      </c>
      <c r="T51" s="35">
        <f ca="1">IF(ISERROR(MATCH(T$1,INDIRECT("Table!A"&amp;$AN51):INDIRECT("Table!" &amp; $AR$159 &amp; $AN51),0)),"",INDIRECT(CONCATENATE("Table!",ADDRESS($AJ51,MATCH(T$1,INDIRECT("Table!A" &amp; $AN51):INDIRECT("Table!" &amp; $AR$159 &amp; $AN51),0)))))</f>
        <v>110071.9</v>
      </c>
      <c r="U51" s="35">
        <f ca="1">IF(ISERROR(MATCH(U$1,INDIRECT("Table!A"&amp;$AN51):INDIRECT("Table!" &amp; $AR$159 &amp; $AN51),0)),"",INDIRECT(CONCATENATE("Table!",ADDRESS($AJ51,MATCH(U$1,INDIRECT("Table!A" &amp; $AN51):INDIRECT("Table!" &amp; $AR$159 &amp; $AN51),0)))))</f>
        <v>121331.8</v>
      </c>
      <c r="V51" s="35">
        <f ca="1">IF(ISERROR(MATCH(V$1,INDIRECT("Table!A"&amp;$AN51):INDIRECT("Table!" &amp; $AR$159 &amp; $AN51),0)),"",INDIRECT(CONCATENATE("Table!",ADDRESS($AJ51,MATCH(V$1,INDIRECT("Table!A" &amp; $AN51):INDIRECT("Table!" &amp; $AR$159 &amp; $AN51),0)))))</f>
        <v>170967.6</v>
      </c>
      <c r="W51" s="35">
        <f ca="1">IF(ISERROR(MATCH(W$1,INDIRECT("Table!A"&amp;$AN51):INDIRECT("Table!" &amp; $AR$159 &amp; $AN51),0)),"",INDIRECT(CONCATENATE("Table!",ADDRESS($AJ51,MATCH(W$1,INDIRECT("Table!A" &amp; $AN51):INDIRECT("Table!" &amp; $AR$159 &amp; $AN51),0)))))</f>
        <v>132132.20000000001</v>
      </c>
      <c r="X51" s="35">
        <f ca="1">IF(ISERROR(MATCH(X$1,INDIRECT("Table!A"&amp;$AN51):INDIRECT("Table!" &amp; $AR$159 &amp; $AN51),0)),"",INDIRECT(CONCATENATE("Table!",ADDRESS($AJ51,MATCH(X$1,INDIRECT("Table!A" &amp; $AN51):INDIRECT("Table!" &amp; $AR$159 &amp; $AN51),0)))))</f>
        <v>60665.9</v>
      </c>
      <c r="Y51" s="35">
        <f ca="1">IF(ISERROR(MATCH(Y$1,INDIRECT("Table!A"&amp;$AN51):INDIRECT("Table!" &amp; $AR$159 &amp; $AN51),0)),"",INDIRECT(CONCATENATE("Table!",ADDRESS($AJ51,MATCH(Y$1,INDIRECT("Table!A" &amp; $AN51):INDIRECT("Table!" &amp; $AR$159 &amp; $AN51),0)))))</f>
        <v>176482.7</v>
      </c>
      <c r="Z51" s="35">
        <f ca="1">IF(ISERROR(MATCH(Z$1,INDIRECT("Table!A"&amp;$AN51):INDIRECT("Table!" &amp; $AR$159 &amp; $AN51),0)),"",INDIRECT(CONCATENATE("Table!",ADDRESS($AJ51,MATCH(Z$1,INDIRECT("Table!A" &amp; $AN51):INDIRECT("Table!" &amp; $AR$159 &amp; $AN51),0)))))</f>
        <v>54921</v>
      </c>
      <c r="AA51" s="12"/>
      <c r="AB51" s="12">
        <f>MATCH($A51,Table!$A:$A,0)+$AD$2-1</f>
        <v>845</v>
      </c>
      <c r="AF51" s="31">
        <f>MATCH($A51,Table!$A:$A,0)+$AH$2-1</f>
        <v>843</v>
      </c>
      <c r="AJ51" s="12">
        <f>MATCH($A51,Table!$A:$A,0)+$AL$2-1</f>
        <v>844</v>
      </c>
      <c r="AN51" s="31">
        <f>MATCH($A51,Table!$A:$A,0)+$AH$2-1</f>
        <v>843</v>
      </c>
      <c r="AR51" s="229" t="s">
        <v>118</v>
      </c>
    </row>
    <row r="52" spans="1:44">
      <c r="A52" s="5">
        <v>41115</v>
      </c>
      <c r="B52" s="35">
        <f ca="1">IF(ISERROR(MATCH(B$1,INDIRECT("Table!A"&amp;$AF52):INDIRECT("Table!" &amp; $AR$159 &amp; $AF52),0)),"",INDIRECT(CONCATENATE("Table!",ADDRESS($AB52,MATCH(B$1,INDIRECT("Table!A" &amp; $AF52):INDIRECT("Table!" &amp; $AR$159 &amp; $AF52),0)))))</f>
        <v>92791.1</v>
      </c>
      <c r="C52" s="35">
        <f ca="1">IF(ISERROR(MATCH(C$1,INDIRECT("Table!A"&amp;$AF52):INDIRECT("Table!" &amp; $AR$159 &amp; $AF52),0)),"",INDIRECT(CONCATENATE("Table!",ADDRESS($AB52,MATCH(C$1,INDIRECT("Table!A" &amp; $AF52):INDIRECT("Table!" &amp; $AR$159 &amp; $AF52),0)))))</f>
        <v>68531.199999999997</v>
      </c>
      <c r="D52" s="35">
        <f ca="1">IF(ISERROR(MATCH(D$1,INDIRECT("Table!A"&amp;$AF52):INDIRECT("Table!" &amp; $AR$159 &amp; $AF52),0)),"",INDIRECT(CONCATENATE("Table!",ADDRESS($AB52,MATCH(D$1,INDIRECT("Table!A" &amp; $AF52):INDIRECT("Table!" &amp; $AR$159 &amp; $AF52),0)))))</f>
        <v>69948.399999999994</v>
      </c>
      <c r="E52" s="35">
        <f ca="1">IF(ISERROR(MATCH(E$1,INDIRECT("Table!A"&amp;$AF52):INDIRECT("Table!" &amp; $AR$159 &amp; $AF52),0)),"",INDIRECT(CONCATENATE("Table!",ADDRESS($AB52,MATCH(E$1,INDIRECT("Table!A" &amp; $AF52):INDIRECT("Table!" &amp; $AR$159 &amp; $AF52),0)))))</f>
        <v>154325.79999999999</v>
      </c>
      <c r="F52" s="35">
        <f ca="1">IF(ISERROR(MATCH(F$1,INDIRECT("Table!A"&amp;$AF52):INDIRECT("Table!" &amp; $AR$159 &amp; $AF52),0)),"",INDIRECT(CONCATENATE("Table!",ADDRESS($AB52,MATCH(F$1,INDIRECT("Table!A" &amp; $AF52):INDIRECT("Table!" &amp; $AR$159 &amp; $AF52),0)))))</f>
        <v>30515.599999999999</v>
      </c>
      <c r="G52" s="35">
        <f ca="1">IF(ISERROR(MATCH(G$1,INDIRECT("Table!A"&amp;$AF52):INDIRECT("Table!" &amp; $AR$159 &amp; $AF52),0)),"",INDIRECT(CONCATENATE("Table!",ADDRESS($AB52,MATCH(G$1,INDIRECT("Table!A" &amp; $AF52):INDIRECT("Table!" &amp; $AR$159 &amp; $AF52),0)))))</f>
        <v>46090.9</v>
      </c>
      <c r="H52" s="35">
        <f ca="1">IF(ISERROR(MATCH(H$1,INDIRECT("Table!A"&amp;$AF52):INDIRECT("Table!" &amp; $AR$159 &amp; $AF52),0)),"",INDIRECT(CONCATENATE("Table!",ADDRESS($AB52,MATCH(H$1,INDIRECT("Table!A" &amp; $AF52):INDIRECT("Table!" &amp; $AR$159 &amp; $AF52),0)))))</f>
        <v>23264.7</v>
      </c>
      <c r="I52" s="35">
        <f ca="1">IF(ISERROR(MATCH(I$1,INDIRECT("Table!A"&amp;$AF52):INDIRECT("Table!" &amp; $AR$159 &amp; $AF52),0)),"",INDIRECT(CONCATENATE("Table!",ADDRESS($AB52,MATCH(I$1,INDIRECT("Table!A" &amp; $AF52):INDIRECT("Table!" &amp; $AR$159 &amp; $AF52),0)))))</f>
        <v>139385.4</v>
      </c>
      <c r="J52" s="35">
        <f ca="1">IF(ISERROR(MATCH(J$1,INDIRECT("Table!A"&amp;$AF52):INDIRECT("Table!" &amp; $AR$159 &amp; $AF52),0)),"",INDIRECT(CONCATENATE("Table!",ADDRESS($AB52,MATCH(J$1,INDIRECT("Table!A" &amp; $AF52):INDIRECT("Table!" &amp; $AR$159 &amp; $AF52),0)))))</f>
        <v>51989.5</v>
      </c>
      <c r="K52" s="35">
        <f ca="1">IF(ISERROR(MATCH(K$1,INDIRECT("Table!A"&amp;$AF52):INDIRECT("Table!" &amp; $AR$159 &amp; $AF52),0)),"",INDIRECT(CONCATENATE("Table!",ADDRESS($AB52,MATCH(K$1,INDIRECT("Table!A" &amp; $AF52):INDIRECT("Table!" &amp; $AR$159 &amp; $AF52),0)))))</f>
        <v>19579.099999999999</v>
      </c>
      <c r="L52" s="35">
        <f ca="1">IF(ISERROR(MATCH(L$1,INDIRECT("Table!A"&amp;$AF52):INDIRECT("Table!" &amp; $AR$159 &amp; $AF52),0)),"",INDIRECT(CONCATENATE("Table!",ADDRESS($AB52,MATCH(L$1,INDIRECT("Table!A" &amp; $AF52):INDIRECT("Table!" &amp; $AR$159 &amp; $AF52),0)))))</f>
        <v>84483.199999999997</v>
      </c>
      <c r="M52" s="35">
        <f ca="1">IF(ISERROR(MATCH(M$1,INDIRECT("Table!A"&amp;$AF52):INDIRECT("Table!" &amp; $AR$159 &amp; $AF52),0)),"",INDIRECT(CONCATENATE("Table!",ADDRESS($AB52,MATCH(M$1,INDIRECT("Table!A" &amp; $AF52):INDIRECT("Table!" &amp; $AR$159 &amp; $AF52),0)))))</f>
        <v>24017.599999999999</v>
      </c>
      <c r="N52" s="35" t="str">
        <f ca="1">IF(ISERROR(MATCH(N$1,INDIRECT("Table!A"&amp;$AF52):INDIRECT("Table!" &amp; $AR$188 &amp; $AF52),0)),"",INDIRECT(CONCATENATE("Table!",ADDRESS($AB52,MATCH(N$1,INDIRECT("Table!A" &amp; $AF52):INDIRECT("Table!" &amp; $AR$188 &amp; $AF52),0)))))</f>
        <v/>
      </c>
      <c r="O52" s="35">
        <f ca="1">IF(ISERROR(MATCH(O$1,INDIRECT("Table!A"&amp;$AN52):INDIRECT("Table!" &amp; $AR$159 &amp; $AN52),0)),"",INDIRECT(CONCATENATE("Table!",ADDRESS($AJ52,MATCH(O$1,INDIRECT("Table!A" &amp; $AN52):INDIRECT("Table!" &amp; $AR$159 &amp; $AN52),0)))))</f>
        <v>115816.8</v>
      </c>
      <c r="P52" s="35">
        <f ca="1">IF(ISERROR(MATCH(P$1,INDIRECT("Table!A"&amp;$AN52):INDIRECT("Table!" &amp; $AR$159 &amp; $AN52),0)),"",INDIRECT(CONCATENATE("Table!",ADDRESS($AJ52,MATCH(P$1,INDIRECT("Table!A" &amp; $AN52):INDIRECT("Table!" &amp; $AR$159 &amp; $AN52),0)))))</f>
        <v>99041.7</v>
      </c>
      <c r="Q52" s="35">
        <f ca="1">IF(ISERROR(MATCH(Q$1,INDIRECT("Table!A"&amp;$AN52):INDIRECT("Table!" &amp; $AR$159 &amp; $AN52),0)),"",INDIRECT(CONCATENATE("Table!",ADDRESS($AJ52,MATCH(Q$1,INDIRECT("Table!A" &amp; $AN52):INDIRECT("Table!" &amp; $AR$159 &amp; $AN52),0)))))</f>
        <v>99041.7</v>
      </c>
      <c r="R52" s="35">
        <f ca="1">IF(ISERROR(MATCH(R$1,INDIRECT("Table!A"&amp;$AN52):INDIRECT("Table!" &amp; $AR$159 &amp; $AN52),0)),"",INDIRECT(CONCATENATE("Table!",ADDRESS($AJ52,MATCH(R$1,INDIRECT("Table!A" &amp; $AN52):INDIRECT("Table!" &amp; $AR$159 &amp; $AN52),0)))))</f>
        <v>181997.8</v>
      </c>
      <c r="S52" s="35">
        <f ca="1">IF(ISERROR(MATCH(S$1,INDIRECT("Table!A"&amp;$AN52):INDIRECT("Table!" &amp; $AR$159 &amp; $AN52),0)),"",INDIRECT(CONCATENATE("Table!",ADDRESS($AJ52,MATCH(S$1,INDIRECT("Table!A" &amp; $AN52):INDIRECT("Table!" &amp; $AR$159 &amp; $AN52),0)))))</f>
        <v>121331.8</v>
      </c>
      <c r="T52" s="35">
        <f ca="1">IF(ISERROR(MATCH(T$1,INDIRECT("Table!A"&amp;$AN52):INDIRECT("Table!" &amp; $AR$159 &amp; $AN52),0)),"",INDIRECT(CONCATENATE("Table!",ADDRESS($AJ52,MATCH(T$1,INDIRECT("Table!A" &amp; $AN52):INDIRECT("Table!" &amp; $AR$159 &amp; $AN52),0)))))</f>
        <v>110071.9</v>
      </c>
      <c r="U52" s="35">
        <f ca="1">IF(ISERROR(MATCH(U$1,INDIRECT("Table!A"&amp;$AN52):INDIRECT("Table!" &amp; $AR$159 &amp; $AN52),0)),"",INDIRECT(CONCATENATE("Table!",ADDRESS($AJ52,MATCH(U$1,INDIRECT("Table!A" &amp; $AN52):INDIRECT("Table!" &amp; $AR$159 &amp; $AN52),0)))))</f>
        <v>121331.8</v>
      </c>
      <c r="V52" s="35">
        <f ca="1">IF(ISERROR(MATCH(V$1,INDIRECT("Table!A"&amp;$AN52):INDIRECT("Table!" &amp; $AR$159 &amp; $AN52),0)),"",INDIRECT(CONCATENATE("Table!",ADDRESS($AJ52,MATCH(V$1,INDIRECT("Table!A" &amp; $AN52):INDIRECT("Table!" &amp; $AR$159 &amp; $AN52),0)))))</f>
        <v>170967.6</v>
      </c>
      <c r="W52" s="35">
        <f ca="1">IF(ISERROR(MATCH(W$1,INDIRECT("Table!A"&amp;$AN52):INDIRECT("Table!" &amp; $AR$159 &amp; $AN52),0)),"",INDIRECT(CONCATENATE("Table!",ADDRESS($AJ52,MATCH(W$1,INDIRECT("Table!A" &amp; $AN52):INDIRECT("Table!" &amp; $AR$159 &amp; $AN52),0)))))</f>
        <v>132132.20000000001</v>
      </c>
      <c r="X52" s="35">
        <f ca="1">IF(ISERROR(MATCH(X$1,INDIRECT("Table!A"&amp;$AN52):INDIRECT("Table!" &amp; $AR$159 &amp; $AN52),0)),"",INDIRECT(CONCATENATE("Table!",ADDRESS($AJ52,MATCH(X$1,INDIRECT("Table!A" &amp; $AN52):INDIRECT("Table!" &amp; $AR$159 &amp; $AN52),0)))))</f>
        <v>60665.9</v>
      </c>
      <c r="Y52" s="35">
        <f ca="1">IF(ISERROR(MATCH(Y$1,INDIRECT("Table!A"&amp;$AN52):INDIRECT("Table!" &amp; $AR$159 &amp; $AN52),0)),"",INDIRECT(CONCATENATE("Table!",ADDRESS($AJ52,MATCH(Y$1,INDIRECT("Table!A" &amp; $AN52):INDIRECT("Table!" &amp; $AR$159 &amp; $AN52),0)))))</f>
        <v>176482.7</v>
      </c>
      <c r="Z52" s="35">
        <f ca="1">IF(ISERROR(MATCH(Z$1,INDIRECT("Table!A"&amp;$AN52):INDIRECT("Table!" &amp; $AR$159 &amp; $AN52),0)),"",INDIRECT(CONCATENATE("Table!",ADDRESS($AJ52,MATCH(Z$1,INDIRECT("Table!A" &amp; $AN52):INDIRECT("Table!" &amp; $AR$159 &amp; $AN52),0)))))</f>
        <v>54921</v>
      </c>
      <c r="AA52" s="12"/>
      <c r="AB52" s="12">
        <f>MATCH($A52,Table!$A:$A,0)+$AD$2-1</f>
        <v>858</v>
      </c>
      <c r="AF52" s="31">
        <f>MATCH($A52,Table!$A:$A,0)+$AH$2-1</f>
        <v>856</v>
      </c>
      <c r="AJ52" s="12">
        <f>MATCH($A52,Table!$A:$A,0)+$AL$2-1</f>
        <v>857</v>
      </c>
      <c r="AN52" s="31">
        <f>MATCH($A52,Table!$A:$A,0)+$AH$2-1</f>
        <v>856</v>
      </c>
      <c r="AR52" s="228" t="s">
        <v>118</v>
      </c>
    </row>
    <row r="53" spans="1:44">
      <c r="A53" s="5">
        <v>41113</v>
      </c>
      <c r="B53" s="35">
        <f ca="1">IF(ISERROR(MATCH(B$1,INDIRECT("Table!A"&amp;$AF53):INDIRECT("Table!" &amp; $AR$159 &amp; $AF53),0)),"",INDIRECT(CONCATENATE("Table!",ADDRESS($AB53,MATCH(B$1,INDIRECT("Table!A" &amp; $AF53):INDIRECT("Table!" &amp; $AR$159 &amp; $AF53),0)))))</f>
        <v>92693.2</v>
      </c>
      <c r="C53" s="35">
        <f ca="1">IF(ISERROR(MATCH(C$1,INDIRECT("Table!A"&amp;$AF53):INDIRECT("Table!" &amp; $AR$159 &amp; $AF53),0)),"",INDIRECT(CONCATENATE("Table!",ADDRESS($AB53,MATCH(C$1,INDIRECT("Table!A" &amp; $AF53):INDIRECT("Table!" &amp; $AR$159 &amp; $AF53),0)))))</f>
        <v>68489.2</v>
      </c>
      <c r="D53" s="35">
        <f ca="1">IF(ISERROR(MATCH(D$1,INDIRECT("Table!A"&amp;$AF53):INDIRECT("Table!" &amp; $AR$159 &amp; $AF53),0)),"",INDIRECT(CONCATENATE("Table!",ADDRESS($AB53,MATCH(D$1,INDIRECT("Table!A" &amp; $AF53):INDIRECT("Table!" &amp; $AR$159 &amp; $AF53),0)))))</f>
        <v>69910</v>
      </c>
      <c r="E53" s="35">
        <f ca="1">IF(ISERROR(MATCH(E$1,INDIRECT("Table!A"&amp;$AF53):INDIRECT("Table!" &amp; $AR$159 &amp; $AF53),0)),"",INDIRECT(CONCATENATE("Table!",ADDRESS($AB53,MATCH(E$1,INDIRECT("Table!A" &amp; $AF53):INDIRECT("Table!" &amp; $AR$159 &amp; $AF53),0)))))</f>
        <v>154213.1</v>
      </c>
      <c r="F53" s="35">
        <f ca="1">IF(ISERROR(MATCH(F$1,INDIRECT("Table!A"&amp;$AF53):INDIRECT("Table!" &amp; $AR$159 &amp; $AF53),0)),"",INDIRECT(CONCATENATE("Table!",ADDRESS($AB53,MATCH(F$1,INDIRECT("Table!A" &amp; $AF53):INDIRECT("Table!" &amp; $AR$159 &amp; $AF53),0)))))</f>
        <v>30474.799999999999</v>
      </c>
      <c r="G53" s="35">
        <f ca="1">IF(ISERROR(MATCH(G$1,INDIRECT("Table!A"&amp;$AF53):INDIRECT("Table!" &amp; $AR$159 &amp; $AF53),0)),"",INDIRECT(CONCATENATE("Table!",ADDRESS($AB53,MATCH(G$1,INDIRECT("Table!A" &amp; $AF53):INDIRECT("Table!" &amp; $AR$159 &amp; $AF53),0)))))</f>
        <v>46332.6</v>
      </c>
      <c r="H53" s="35">
        <f ca="1">IF(ISERROR(MATCH(H$1,INDIRECT("Table!A"&amp;$AF53):INDIRECT("Table!" &amp; $AR$159 &amp; $AF53),0)),"",INDIRECT(CONCATENATE("Table!",ADDRESS($AB53,MATCH(H$1,INDIRECT("Table!A" &amp; $AF53):INDIRECT("Table!" &amp; $AR$159 &amp; $AF53),0)))))</f>
        <v>23246.7</v>
      </c>
      <c r="I53" s="35">
        <f ca="1">IF(ISERROR(MATCH(I$1,INDIRECT("Table!A"&amp;$AF53):INDIRECT("Table!" &amp; $AR$159 &amp; $AF53),0)),"",INDIRECT(CONCATENATE("Table!",ADDRESS($AB53,MATCH(I$1,INDIRECT("Table!A" &amp; $AF53):INDIRECT("Table!" &amp; $AR$159 &amp; $AF53),0)))))</f>
        <v>139082.4</v>
      </c>
      <c r="J53" s="35">
        <f ca="1">IF(ISERROR(MATCH(J$1,INDIRECT("Table!A"&amp;$AF53):INDIRECT("Table!" &amp; $AR$159 &amp; $AF53),0)),"",INDIRECT(CONCATENATE("Table!",ADDRESS($AB53,MATCH(J$1,INDIRECT("Table!A" &amp; $AF53):INDIRECT("Table!" &amp; $AR$159 &amp; $AF53),0)))))</f>
        <v>51930.2</v>
      </c>
      <c r="K53" s="35">
        <f ca="1">IF(ISERROR(MATCH(K$1,INDIRECT("Table!A"&amp;$AF53):INDIRECT("Table!" &amp; $AR$159 &amp; $AF53),0)),"",INDIRECT(CONCATENATE("Table!",ADDRESS($AB53,MATCH(K$1,INDIRECT("Table!A" &amp; $AF53):INDIRECT("Table!" &amp; $AR$159 &amp; $AF53),0)))))</f>
        <v>19506.7</v>
      </c>
      <c r="L53" s="35">
        <f ca="1">IF(ISERROR(MATCH(L$1,INDIRECT("Table!A"&amp;$AF53):INDIRECT("Table!" &amp; $AR$159 &amp; $AF53),0)),"",INDIRECT(CONCATENATE("Table!",ADDRESS($AB53,MATCH(L$1,INDIRECT("Table!A" &amp; $AF53):INDIRECT("Table!" &amp; $AR$159 &amp; $AF53),0)))))</f>
        <v>84451.3</v>
      </c>
      <c r="M53" s="35">
        <f ca="1">IF(ISERROR(MATCH(M$1,INDIRECT("Table!A"&amp;$AF53):INDIRECT("Table!" &amp; $AR$159 &amp; $AF53),0)),"",INDIRECT(CONCATENATE("Table!",ADDRESS($AB53,MATCH(M$1,INDIRECT("Table!A" &amp; $AF53):INDIRECT("Table!" &amp; $AR$159 &amp; $AF53),0)))))</f>
        <v>24017.599999999999</v>
      </c>
      <c r="N53" s="35" t="str">
        <f ca="1">IF(ISERROR(MATCH(N$1,INDIRECT("Table!A"&amp;$AF53):INDIRECT("Table!" &amp; $AR$188 &amp; $AF53),0)),"",INDIRECT(CONCATENATE("Table!",ADDRESS($AB53,MATCH(N$1,INDIRECT("Table!A" &amp; $AF53):INDIRECT("Table!" &amp; $AR$188 &amp; $AF53),0)))))</f>
        <v/>
      </c>
      <c r="O53" s="35">
        <f ca="1">IF(ISERROR(MATCH(O$1,INDIRECT("Table!A"&amp;$AN53):INDIRECT("Table!" &amp; $AR$159 &amp; $AN53),0)),"",INDIRECT(CONCATENATE("Table!",ADDRESS($AJ53,MATCH(O$1,INDIRECT("Table!A" &amp; $AN53):INDIRECT("Table!" &amp; $AR$159 &amp; $AN53),0)))))</f>
        <v>115816.8</v>
      </c>
      <c r="P53" s="35">
        <f ca="1">IF(ISERROR(MATCH(P$1,INDIRECT("Table!A"&amp;$AN53):INDIRECT("Table!" &amp; $AR$159 &amp; $AN53),0)),"",INDIRECT(CONCATENATE("Table!",ADDRESS($AJ53,MATCH(P$1,INDIRECT("Table!A" &amp; $AN53):INDIRECT("Table!" &amp; $AR$159 &amp; $AN53),0)))))</f>
        <v>99041.7</v>
      </c>
      <c r="Q53" s="35">
        <f ca="1">IF(ISERROR(MATCH(Q$1,INDIRECT("Table!A"&amp;$AN53):INDIRECT("Table!" &amp; $AR$159 &amp; $AN53),0)),"",INDIRECT(CONCATENATE("Table!",ADDRESS($AJ53,MATCH(Q$1,INDIRECT("Table!A" &amp; $AN53):INDIRECT("Table!" &amp; $AR$159 &amp; $AN53),0)))))</f>
        <v>99041.7</v>
      </c>
      <c r="R53" s="35">
        <f ca="1">IF(ISERROR(MATCH(R$1,INDIRECT("Table!A"&amp;$AN53):INDIRECT("Table!" &amp; $AR$159 &amp; $AN53),0)),"",INDIRECT(CONCATENATE("Table!",ADDRESS($AJ53,MATCH(R$1,INDIRECT("Table!A" &amp; $AN53):INDIRECT("Table!" &amp; $AR$159 &amp; $AN53),0)))))</f>
        <v>181997.8</v>
      </c>
      <c r="S53" s="35">
        <f ca="1">IF(ISERROR(MATCH(S$1,INDIRECT("Table!A"&amp;$AN53):INDIRECT("Table!" &amp; $AR$159 &amp; $AN53),0)),"",INDIRECT(CONCATENATE("Table!",ADDRESS($AJ53,MATCH(S$1,INDIRECT("Table!A" &amp; $AN53):INDIRECT("Table!" &amp; $AR$159 &amp; $AN53),0)))))</f>
        <v>121331.8</v>
      </c>
      <c r="T53" s="35">
        <f ca="1">IF(ISERROR(MATCH(T$1,INDIRECT("Table!A"&amp;$AN53):INDIRECT("Table!" &amp; $AR$159 &amp; $AN53),0)),"",INDIRECT(CONCATENATE("Table!",ADDRESS($AJ53,MATCH(T$1,INDIRECT("Table!A" &amp; $AN53):INDIRECT("Table!" &amp; $AR$159 &amp; $AN53),0)))))</f>
        <v>110071.9</v>
      </c>
      <c r="U53" s="35">
        <f ca="1">IF(ISERROR(MATCH(U$1,INDIRECT("Table!A"&amp;$AN53):INDIRECT("Table!" &amp; $AR$159 &amp; $AN53),0)),"",INDIRECT(CONCATENATE("Table!",ADDRESS($AJ53,MATCH(U$1,INDIRECT("Table!A" &amp; $AN53):INDIRECT("Table!" &amp; $AR$159 &amp; $AN53),0)))))</f>
        <v>121331.8</v>
      </c>
      <c r="V53" s="35">
        <f ca="1">IF(ISERROR(MATCH(V$1,INDIRECT("Table!A"&amp;$AN53):INDIRECT("Table!" &amp; $AR$159 &amp; $AN53),0)),"",INDIRECT(CONCATENATE("Table!",ADDRESS($AJ53,MATCH(V$1,INDIRECT("Table!A" &amp; $AN53):INDIRECT("Table!" &amp; $AR$159 &amp; $AN53),0)))))</f>
        <v>170967.6</v>
      </c>
      <c r="W53" s="35">
        <f ca="1">IF(ISERROR(MATCH(W$1,INDIRECT("Table!A"&amp;$AN53):INDIRECT("Table!" &amp; $AR$159 &amp; $AN53),0)),"",INDIRECT(CONCATENATE("Table!",ADDRESS($AJ53,MATCH(W$1,INDIRECT("Table!A" &amp; $AN53):INDIRECT("Table!" &amp; $AR$159 &amp; $AN53),0)))))</f>
        <v>132132.20000000001</v>
      </c>
      <c r="X53" s="35">
        <f ca="1">IF(ISERROR(MATCH(X$1,INDIRECT("Table!A"&amp;$AN53):INDIRECT("Table!" &amp; $AR$159 &amp; $AN53),0)),"",INDIRECT(CONCATENATE("Table!",ADDRESS($AJ53,MATCH(X$1,INDIRECT("Table!A" &amp; $AN53):INDIRECT("Table!" &amp; $AR$159 &amp; $AN53),0)))))</f>
        <v>60665.9</v>
      </c>
      <c r="Y53" s="35">
        <f ca="1">IF(ISERROR(MATCH(Y$1,INDIRECT("Table!A"&amp;$AN53):INDIRECT("Table!" &amp; $AR$159 &amp; $AN53),0)),"",INDIRECT(CONCATENATE("Table!",ADDRESS($AJ53,MATCH(Y$1,INDIRECT("Table!A" &amp; $AN53):INDIRECT("Table!" &amp; $AR$159 &amp; $AN53),0)))))</f>
        <v>176482.7</v>
      </c>
      <c r="Z53" s="35">
        <f ca="1">IF(ISERROR(MATCH(Z$1,INDIRECT("Table!A"&amp;$AN53):INDIRECT("Table!" &amp; $AR$159 &amp; $AN53),0)),"",INDIRECT(CONCATENATE("Table!",ADDRESS($AJ53,MATCH(Z$1,INDIRECT("Table!A" &amp; $AN53):INDIRECT("Table!" &amp; $AR$159 &amp; $AN53),0)))))</f>
        <v>54921</v>
      </c>
      <c r="AA53" s="12"/>
      <c r="AB53" s="12">
        <f>MATCH($A53,Table!$A:$A,0)+$AD$2-1</f>
        <v>871</v>
      </c>
      <c r="AF53" s="31">
        <f>MATCH($A53,Table!$A:$A,0)+$AH$2-1</f>
        <v>869</v>
      </c>
      <c r="AJ53" s="12">
        <f>MATCH($A53,Table!$A:$A,0)+$AL$2-1</f>
        <v>870</v>
      </c>
      <c r="AN53" s="31">
        <f>MATCH($A53,Table!$A:$A,0)+$AH$2-1</f>
        <v>869</v>
      </c>
      <c r="AR53" s="228" t="s">
        <v>118</v>
      </c>
    </row>
    <row r="54" spans="1:44">
      <c r="A54" s="5">
        <v>41110</v>
      </c>
      <c r="B54" s="35">
        <f ca="1">IF(ISERROR(MATCH(B$1,INDIRECT("Table!A"&amp;$AF54):INDIRECT("Table!" &amp; $AR$159 &amp; $AF54),0)),"",INDIRECT(CONCATENATE("Table!",ADDRESS($AB54,MATCH(B$1,INDIRECT("Table!A" &amp; $AF54):INDIRECT("Table!" &amp; $AR$159 &amp; $AF54),0)))))</f>
        <v>92660.2</v>
      </c>
      <c r="C54" s="35">
        <f ca="1">IF(ISERROR(MATCH(C$1,INDIRECT("Table!A"&amp;$AF54):INDIRECT("Table!" &amp; $AR$159 &amp; $AF54),0)),"",INDIRECT(CONCATENATE("Table!",ADDRESS($AB54,MATCH(C$1,INDIRECT("Table!A" &amp; $AF54):INDIRECT("Table!" &amp; $AR$159 &amp; $AF54),0)))))</f>
        <v>68458.7</v>
      </c>
      <c r="D54" s="35">
        <f ca="1">IF(ISERROR(MATCH(D$1,INDIRECT("Table!A"&amp;$AF54):INDIRECT("Table!" &amp; $AR$159 &amp; $AF54),0)),"",INDIRECT(CONCATENATE("Table!",ADDRESS($AB54,MATCH(D$1,INDIRECT("Table!A" &amp; $AF54):INDIRECT("Table!" &amp; $AR$159 &amp; $AF54),0)))))</f>
        <v>69879.5</v>
      </c>
      <c r="E54" s="35">
        <f ca="1">IF(ISERROR(MATCH(E$1,INDIRECT("Table!A"&amp;$AF54):INDIRECT("Table!" &amp; $AR$159 &amp; $AF54),0)),"",INDIRECT(CONCATENATE("Table!",ADDRESS($AB54,MATCH(E$1,INDIRECT("Table!A" &amp; $AF54):INDIRECT("Table!" &amp; $AR$159 &amp; $AF54),0)))))</f>
        <v>154008.79999999999</v>
      </c>
      <c r="F54" s="35">
        <f ca="1">IF(ISERROR(MATCH(F$1,INDIRECT("Table!A"&amp;$AF54):INDIRECT("Table!" &amp; $AR$159 &amp; $AF54),0)),"",INDIRECT(CONCATENATE("Table!",ADDRESS($AB54,MATCH(F$1,INDIRECT("Table!A" &amp; $AF54):INDIRECT("Table!" &amp; $AR$159 &amp; $AF54),0)))))</f>
        <v>30447.3</v>
      </c>
      <c r="G54" s="35">
        <f ca="1">IF(ISERROR(MATCH(G$1,INDIRECT("Table!A"&amp;$AF54):INDIRECT("Table!" &amp; $AR$159 &amp; $AF54),0)),"",INDIRECT(CONCATENATE("Table!",ADDRESS($AB54,MATCH(G$1,INDIRECT("Table!A" &amp; $AF54):INDIRECT("Table!" &amp; $AR$159 &amp; $AF54),0)))))</f>
        <v>46368.2</v>
      </c>
      <c r="H54" s="35">
        <f ca="1">IF(ISERROR(MATCH(H$1,INDIRECT("Table!A"&amp;$AF54):INDIRECT("Table!" &amp; $AR$159 &amp; $AF54),0)),"",INDIRECT(CONCATENATE("Table!",ADDRESS($AB54,MATCH(H$1,INDIRECT("Table!A" &amp; $AF54):INDIRECT("Table!" &amp; $AR$159 &amp; $AF54),0)))))</f>
        <v>23141.599999999999</v>
      </c>
      <c r="I54" s="35">
        <f ca="1">IF(ISERROR(MATCH(I$1,INDIRECT("Table!A"&amp;$AF54):INDIRECT("Table!" &amp; $AR$159 &amp; $AF54),0)),"",INDIRECT(CONCATENATE("Table!",ADDRESS($AB54,MATCH(I$1,INDIRECT("Table!A" &amp; $AF54):INDIRECT("Table!" &amp; $AR$159 &amp; $AF54),0)))))</f>
        <v>138733.5</v>
      </c>
      <c r="J54" s="35">
        <f ca="1">IF(ISERROR(MATCH(J$1,INDIRECT("Table!A"&amp;$AF54):INDIRECT("Table!" &amp; $AR$159 &amp; $AF54),0)),"",INDIRECT(CONCATENATE("Table!",ADDRESS($AB54,MATCH(J$1,INDIRECT("Table!A" &amp; $AF54):INDIRECT("Table!" &amp; $AR$159 &amp; $AF54),0)))))</f>
        <v>51870.400000000001</v>
      </c>
      <c r="K54" s="35">
        <f ca="1">IF(ISERROR(MATCH(K$1,INDIRECT("Table!A"&amp;$AF54):INDIRECT("Table!" &amp; $AR$159 &amp; $AF54),0)),"",INDIRECT(CONCATENATE("Table!",ADDRESS($AB54,MATCH(K$1,INDIRECT("Table!A" &amp; $AF54):INDIRECT("Table!" &amp; $AR$159 &amp; $AF54),0)))))</f>
        <v>19468.599999999999</v>
      </c>
      <c r="L54" s="35">
        <f ca="1">IF(ISERROR(MATCH(L$1,INDIRECT("Table!A"&amp;$AF54):INDIRECT("Table!" &amp; $AR$159 &amp; $AF54),0)),"",INDIRECT(CONCATENATE("Table!",ADDRESS($AB54,MATCH(L$1,INDIRECT("Table!A" &amp; $AF54):INDIRECT("Table!" &amp; $AR$159 &amp; $AF54),0)))))</f>
        <v>84321.5</v>
      </c>
      <c r="M54" s="35">
        <f ca="1">IF(ISERROR(MATCH(M$1,INDIRECT("Table!A"&amp;$AF54):INDIRECT("Table!" &amp; $AR$159 &amp; $AF54),0)),"",INDIRECT(CONCATENATE("Table!",ADDRESS($AB54,MATCH(M$1,INDIRECT("Table!A" &amp; $AF54):INDIRECT("Table!" &amp; $AR$159 &amp; $AF54),0)))))</f>
        <v>24017.4</v>
      </c>
      <c r="N54" s="35" t="str">
        <f ca="1">IF(ISERROR(MATCH(N$1,INDIRECT("Table!A"&amp;$AF54):INDIRECT("Table!" &amp; $AR$188 &amp; $AF54),0)),"",INDIRECT(CONCATENATE("Table!",ADDRESS($AB54,MATCH(N$1,INDIRECT("Table!A" &amp; $AF54):INDIRECT("Table!" &amp; $AR$188 &amp; $AF54),0)))))</f>
        <v/>
      </c>
      <c r="O54" s="35">
        <f ca="1">IF(ISERROR(MATCH(O$1,INDIRECT("Table!A"&amp;$AN54):INDIRECT("Table!" &amp; $AR$159 &amp; $AN54),0)),"",INDIRECT(CONCATENATE("Table!",ADDRESS($AJ54,MATCH(O$1,INDIRECT("Table!A" &amp; $AN54):INDIRECT("Table!" &amp; $AR$159 &amp; $AN54),0)))))</f>
        <v>115816.8</v>
      </c>
      <c r="P54" s="35">
        <f ca="1">IF(ISERROR(MATCH(P$1,INDIRECT("Table!A"&amp;$AN54):INDIRECT("Table!" &amp; $AR$159 &amp; $AN54),0)),"",INDIRECT(CONCATENATE("Table!",ADDRESS($AJ54,MATCH(P$1,INDIRECT("Table!A" &amp; $AN54):INDIRECT("Table!" &amp; $AR$159 &amp; $AN54),0)))))</f>
        <v>99041.7</v>
      </c>
      <c r="Q54" s="35">
        <f ca="1">IF(ISERROR(MATCH(Q$1,INDIRECT("Table!A"&amp;$AN54):INDIRECT("Table!" &amp; $AR$159 &amp; $AN54),0)),"",INDIRECT(CONCATENATE("Table!",ADDRESS($AJ54,MATCH(Q$1,INDIRECT("Table!A" &amp; $AN54):INDIRECT("Table!" &amp; $AR$159 &amp; $AN54),0)))))</f>
        <v>99041.7</v>
      </c>
      <c r="R54" s="35">
        <f ca="1">IF(ISERROR(MATCH(R$1,INDIRECT("Table!A"&amp;$AN54):INDIRECT("Table!" &amp; $AR$159 &amp; $AN54),0)),"",INDIRECT(CONCATENATE("Table!",ADDRESS($AJ54,MATCH(R$1,INDIRECT("Table!A" &amp; $AN54):INDIRECT("Table!" &amp; $AR$159 &amp; $AN54),0)))))</f>
        <v>181997.8</v>
      </c>
      <c r="S54" s="35">
        <f ca="1">IF(ISERROR(MATCH(S$1,INDIRECT("Table!A"&amp;$AN54):INDIRECT("Table!" &amp; $AR$159 &amp; $AN54),0)),"",INDIRECT(CONCATENATE("Table!",ADDRESS($AJ54,MATCH(S$1,INDIRECT("Table!A" &amp; $AN54):INDIRECT("Table!" &amp; $AR$159 &amp; $AN54),0)))))</f>
        <v>121331.8</v>
      </c>
      <c r="T54" s="35">
        <f ca="1">IF(ISERROR(MATCH(T$1,INDIRECT("Table!A"&amp;$AN54):INDIRECT("Table!" &amp; $AR$159 &amp; $AN54),0)),"",INDIRECT(CONCATENATE("Table!",ADDRESS($AJ54,MATCH(T$1,INDIRECT("Table!A" &amp; $AN54):INDIRECT("Table!" &amp; $AR$159 &amp; $AN54),0)))))</f>
        <v>110071.9</v>
      </c>
      <c r="U54" s="35">
        <f ca="1">IF(ISERROR(MATCH(U$1,INDIRECT("Table!A"&amp;$AN54):INDIRECT("Table!" &amp; $AR$159 &amp; $AN54),0)),"",INDIRECT(CONCATENATE("Table!",ADDRESS($AJ54,MATCH(U$1,INDIRECT("Table!A" &amp; $AN54):INDIRECT("Table!" &amp; $AR$159 &amp; $AN54),0)))))</f>
        <v>121331.8</v>
      </c>
      <c r="V54" s="35">
        <f ca="1">IF(ISERROR(MATCH(V$1,INDIRECT("Table!A"&amp;$AN54):INDIRECT("Table!" &amp; $AR$159 &amp; $AN54),0)),"",INDIRECT(CONCATENATE("Table!",ADDRESS($AJ54,MATCH(V$1,INDIRECT("Table!A" &amp; $AN54):INDIRECT("Table!" &amp; $AR$159 &amp; $AN54),0)))))</f>
        <v>170967.6</v>
      </c>
      <c r="W54" s="35">
        <f ca="1">IF(ISERROR(MATCH(W$1,INDIRECT("Table!A"&amp;$AN54):INDIRECT("Table!" &amp; $AR$159 &amp; $AN54),0)),"",INDIRECT(CONCATENATE("Table!",ADDRESS($AJ54,MATCH(W$1,INDIRECT("Table!A" &amp; $AN54):INDIRECT("Table!" &amp; $AR$159 &amp; $AN54),0)))))</f>
        <v>132132.20000000001</v>
      </c>
      <c r="X54" s="35">
        <f ca="1">IF(ISERROR(MATCH(X$1,INDIRECT("Table!A"&amp;$AN54):INDIRECT("Table!" &amp; $AR$159 &amp; $AN54),0)),"",INDIRECT(CONCATENATE("Table!",ADDRESS($AJ54,MATCH(X$1,INDIRECT("Table!A" &amp; $AN54):INDIRECT("Table!" &amp; $AR$159 &amp; $AN54),0)))))</f>
        <v>60665.9</v>
      </c>
      <c r="Y54" s="35">
        <f ca="1">IF(ISERROR(MATCH(Y$1,INDIRECT("Table!A"&amp;$AN54):INDIRECT("Table!" &amp; $AR$159 &amp; $AN54),0)),"",INDIRECT(CONCATENATE("Table!",ADDRESS($AJ54,MATCH(Y$1,INDIRECT("Table!A" &amp; $AN54):INDIRECT("Table!" &amp; $AR$159 &amp; $AN54),0)))))</f>
        <v>176482.7</v>
      </c>
      <c r="Z54" s="35">
        <f ca="1">IF(ISERROR(MATCH(Z$1,INDIRECT("Table!A"&amp;$AN54):INDIRECT("Table!" &amp; $AR$159 &amp; $AN54),0)),"",INDIRECT(CONCATENATE("Table!",ADDRESS($AJ54,MATCH(Z$1,INDIRECT("Table!A" &amp; $AN54):INDIRECT("Table!" &amp; $AR$159 &amp; $AN54),0)))))</f>
        <v>54921</v>
      </c>
      <c r="AA54" s="12"/>
      <c r="AB54" s="12">
        <f>MATCH($A54,Table!$A:$A,0)+$AD$2-1</f>
        <v>884</v>
      </c>
      <c r="AF54" s="31">
        <f>MATCH($A54,Table!$A:$A,0)+$AH$2-1</f>
        <v>882</v>
      </c>
      <c r="AJ54" s="12">
        <f>MATCH($A54,Table!$A:$A,0)+$AL$2-1</f>
        <v>883</v>
      </c>
      <c r="AN54" s="31">
        <f>MATCH($A54,Table!$A:$A,0)+$AH$2-1</f>
        <v>882</v>
      </c>
      <c r="AR54" s="227" t="s">
        <v>118</v>
      </c>
    </row>
    <row r="55" spans="1:44">
      <c r="A55" s="5">
        <v>41109</v>
      </c>
      <c r="B55" s="35">
        <f ca="1">IF(ISERROR(MATCH(B$1,INDIRECT("Table!A"&amp;$AF55):INDIRECT("Table!" &amp; $AR$159 &amp; $AF55),0)),"",INDIRECT(CONCATENATE("Table!",ADDRESS($AB55,MATCH(B$1,INDIRECT("Table!A" &amp; $AF55):INDIRECT("Table!" &amp; $AR$159 &amp; $AF55),0)))))</f>
        <v>92653.8</v>
      </c>
      <c r="C55" s="35">
        <f ca="1">IF(ISERROR(MATCH(C$1,INDIRECT("Table!A"&amp;$AF55):INDIRECT("Table!" &amp; $AR$159 &amp; $AF55),0)),"",INDIRECT(CONCATENATE("Table!",ADDRESS($AB55,MATCH(C$1,INDIRECT("Table!A" &amp; $AF55):INDIRECT("Table!" &amp; $AR$159 &amp; $AF55),0)))))</f>
        <v>69626.8</v>
      </c>
      <c r="D55" s="35">
        <f ca="1">IF(ISERROR(MATCH(D$1,INDIRECT("Table!A"&amp;$AF55):INDIRECT("Table!" &amp; $AR$159 &amp; $AF55),0)),"",INDIRECT(CONCATENATE("Table!",ADDRESS($AB55,MATCH(D$1,INDIRECT("Table!A" &amp; $AF55):INDIRECT("Table!" &amp; $AR$159 &amp; $AF55),0)))))</f>
        <v>71047.399999999994</v>
      </c>
      <c r="E55" s="35">
        <f ca="1">IF(ISERROR(MATCH(E$1,INDIRECT("Table!A"&amp;$AF55):INDIRECT("Table!" &amp; $AR$159 &amp; $AF55),0)),"",INDIRECT(CONCATENATE("Table!",ADDRESS($AB55,MATCH(E$1,INDIRECT("Table!A" &amp; $AF55):INDIRECT("Table!" &amp; $AR$159 &amp; $AF55),0)))))</f>
        <v>153910.6</v>
      </c>
      <c r="F55" s="35">
        <f ca="1">IF(ISERROR(MATCH(F$1,INDIRECT("Table!A"&amp;$AF55):INDIRECT("Table!" &amp; $AR$159 &amp; $AF55),0)),"",INDIRECT(CONCATENATE("Table!",ADDRESS($AB55,MATCH(F$1,INDIRECT("Table!A" &amp; $AF55):INDIRECT("Table!" &amp; $AR$159 &amp; $AF55),0)))))</f>
        <v>29208.6</v>
      </c>
      <c r="G55" s="35">
        <f ca="1">IF(ISERROR(MATCH(G$1,INDIRECT("Table!A"&amp;$AF55):INDIRECT("Table!" &amp; $AR$159 &amp; $AF55),0)),"",INDIRECT(CONCATENATE("Table!",ADDRESS($AB55,MATCH(G$1,INDIRECT("Table!A" &amp; $AF55):INDIRECT("Table!" &amp; $AR$159 &amp; $AF55),0)))))</f>
        <v>46079.4</v>
      </c>
      <c r="H55" s="35">
        <f ca="1">IF(ISERROR(MATCH(H$1,INDIRECT("Table!A"&amp;$AF55):INDIRECT("Table!" &amp; $AR$159 &amp; $AF55),0)),"",INDIRECT(CONCATENATE("Table!",ADDRESS($AB55,MATCH(H$1,INDIRECT("Table!A" &amp; $AF55):INDIRECT("Table!" &amp; $AR$159 &amp; $AF55),0)))))</f>
        <v>23095.200000000001</v>
      </c>
      <c r="I55" s="35">
        <f ca="1">IF(ISERROR(MATCH(I$1,INDIRECT("Table!A"&amp;$AF55):INDIRECT("Table!" &amp; $AR$159 &amp; $AF55),0)),"",INDIRECT(CONCATENATE("Table!",ADDRESS($AB55,MATCH(I$1,INDIRECT("Table!A" &amp; $AF55):INDIRECT("Table!" &amp; $AR$159 &amp; $AF55),0)))))</f>
        <v>138652.6</v>
      </c>
      <c r="J55" s="35">
        <f ca="1">IF(ISERROR(MATCH(J$1,INDIRECT("Table!A"&amp;$AF55):INDIRECT("Table!" &amp; $AR$159 &amp; $AF55),0)),"",INDIRECT(CONCATENATE("Table!",ADDRESS($AB55,MATCH(J$1,INDIRECT("Table!A" &amp; $AF55):INDIRECT("Table!" &amp; $AR$159 &amp; $AF55),0)))))</f>
        <v>51750.2</v>
      </c>
      <c r="K55" s="35">
        <f ca="1">IF(ISERROR(MATCH(K$1,INDIRECT("Table!A"&amp;$AF55):INDIRECT("Table!" &amp; $AR$159 &amp; $AF55),0)),"",INDIRECT(CONCATENATE("Table!",ADDRESS($AB55,MATCH(K$1,INDIRECT("Table!A" &amp; $AF55):INDIRECT("Table!" &amp; $AR$159 &amp; $AF55),0)))))</f>
        <v>19408.2</v>
      </c>
      <c r="L55" s="35">
        <f ca="1">IF(ISERROR(MATCH(L$1,INDIRECT("Table!A"&amp;$AF55):INDIRECT("Table!" &amp; $AR$159 &amp; $AF55),0)),"",INDIRECT(CONCATENATE("Table!",ADDRESS($AB55,MATCH(L$1,INDIRECT("Table!A" &amp; $AF55):INDIRECT("Table!" &amp; $AR$159 &amp; $AF55),0)))))</f>
        <v>84233.7</v>
      </c>
      <c r="M55" s="35">
        <f ca="1">IF(ISERROR(MATCH(M$1,INDIRECT("Table!A"&amp;$AF55):INDIRECT("Table!" &amp; $AR$159 &amp; $AF55),0)),"",INDIRECT(CONCATENATE("Table!",ADDRESS($AB55,MATCH(M$1,INDIRECT("Table!A" &amp; $AF55):INDIRECT("Table!" &amp; $AR$159 &amp; $AF55),0)))))</f>
        <v>24017.1</v>
      </c>
      <c r="N55" s="35" t="str">
        <f ca="1">IF(ISERROR(MATCH(N$1,INDIRECT("Table!A"&amp;$AF55):INDIRECT("Table!" &amp; $AR$188 &amp; $AF55),0)),"",INDIRECT(CONCATENATE("Table!",ADDRESS($AB55,MATCH(N$1,INDIRECT("Table!A" &amp; $AF55):INDIRECT("Table!" &amp; $AR$188 &amp; $AF55),0)))))</f>
        <v/>
      </c>
      <c r="O55" s="35">
        <f ca="1">IF(ISERROR(MATCH(O$1,INDIRECT("Table!A"&amp;$AN55):INDIRECT("Table!" &amp; $AR$159 &amp; $AN55),0)),"",INDIRECT(CONCATENATE("Table!",ADDRESS($AJ55,MATCH(O$1,INDIRECT("Table!A" &amp; $AN55):INDIRECT("Table!" &amp; $AR$159 &amp; $AN55),0)))))</f>
        <v>115816.8</v>
      </c>
      <c r="P55" s="35">
        <f ca="1">IF(ISERROR(MATCH(P$1,INDIRECT("Table!A"&amp;$AN55):INDIRECT("Table!" &amp; $AR$159 &amp; $AN55),0)),"",INDIRECT(CONCATENATE("Table!",ADDRESS($AJ55,MATCH(P$1,INDIRECT("Table!A" &amp; $AN55):INDIRECT("Table!" &amp; $AR$159 &amp; $AN55),0)))))</f>
        <v>99041.7</v>
      </c>
      <c r="Q55" s="35">
        <f ca="1">IF(ISERROR(MATCH(Q$1,INDIRECT("Table!A"&amp;$AN55):INDIRECT("Table!" &amp; $AR$159 &amp; $AN55),0)),"",INDIRECT(CONCATENATE("Table!",ADDRESS($AJ55,MATCH(Q$1,INDIRECT("Table!A" &amp; $AN55):INDIRECT("Table!" &amp; $AR$159 &amp; $AN55),0)))))</f>
        <v>99041.7</v>
      </c>
      <c r="R55" s="35">
        <f ca="1">IF(ISERROR(MATCH(R$1,INDIRECT("Table!A"&amp;$AN55):INDIRECT("Table!" &amp; $AR$159 &amp; $AN55),0)),"",INDIRECT(CONCATENATE("Table!",ADDRESS($AJ55,MATCH(R$1,INDIRECT("Table!A" &amp; $AN55):INDIRECT("Table!" &amp; $AR$159 &amp; $AN55),0)))))</f>
        <v>181997.8</v>
      </c>
      <c r="S55" s="35">
        <f ca="1">IF(ISERROR(MATCH(S$1,INDIRECT("Table!A"&amp;$AN55):INDIRECT("Table!" &amp; $AR$159 &amp; $AN55),0)),"",INDIRECT(CONCATENATE("Table!",ADDRESS($AJ55,MATCH(S$1,INDIRECT("Table!A" &amp; $AN55):INDIRECT("Table!" &amp; $AR$159 &amp; $AN55),0)))))</f>
        <v>121331.8</v>
      </c>
      <c r="T55" s="35">
        <f ca="1">IF(ISERROR(MATCH(T$1,INDIRECT("Table!A"&amp;$AN55):INDIRECT("Table!" &amp; $AR$159 &amp; $AN55),0)),"",INDIRECT(CONCATENATE("Table!",ADDRESS($AJ55,MATCH(T$1,INDIRECT("Table!A" &amp; $AN55):INDIRECT("Table!" &amp; $AR$159 &amp; $AN55),0)))))</f>
        <v>110071.9</v>
      </c>
      <c r="U55" s="35">
        <f ca="1">IF(ISERROR(MATCH(U$1,INDIRECT("Table!A"&amp;$AN55):INDIRECT("Table!" &amp; $AR$159 &amp; $AN55),0)),"",INDIRECT(CONCATENATE("Table!",ADDRESS($AJ55,MATCH(U$1,INDIRECT("Table!A" &amp; $AN55):INDIRECT("Table!" &amp; $AR$159 &amp; $AN55),0)))))</f>
        <v>121331.8</v>
      </c>
      <c r="V55" s="35">
        <f ca="1">IF(ISERROR(MATCH(V$1,INDIRECT("Table!A"&amp;$AN55):INDIRECT("Table!" &amp; $AR$159 &amp; $AN55),0)),"",INDIRECT(CONCATENATE("Table!",ADDRESS($AJ55,MATCH(V$1,INDIRECT("Table!A" &amp; $AN55):INDIRECT("Table!" &amp; $AR$159 &amp; $AN55),0)))))</f>
        <v>170967.6</v>
      </c>
      <c r="W55" s="35">
        <f ca="1">IF(ISERROR(MATCH(W$1,INDIRECT("Table!A"&amp;$AN55):INDIRECT("Table!" &amp; $AR$159 &amp; $AN55),0)),"",INDIRECT(CONCATENATE("Table!",ADDRESS($AJ55,MATCH(W$1,INDIRECT("Table!A" &amp; $AN55):INDIRECT("Table!" &amp; $AR$159 &amp; $AN55),0)))))</f>
        <v>132132.20000000001</v>
      </c>
      <c r="X55" s="35">
        <f ca="1">IF(ISERROR(MATCH(X$1,INDIRECT("Table!A"&amp;$AN55):INDIRECT("Table!" &amp; $AR$159 &amp; $AN55),0)),"",INDIRECT(CONCATENATE("Table!",ADDRESS($AJ55,MATCH(X$1,INDIRECT("Table!A" &amp; $AN55):INDIRECT("Table!" &amp; $AR$159 &amp; $AN55),0)))))</f>
        <v>60665.9</v>
      </c>
      <c r="Y55" s="35">
        <f ca="1">IF(ISERROR(MATCH(Y$1,INDIRECT("Table!A"&amp;$AN55):INDIRECT("Table!" &amp; $AR$159 &amp; $AN55),0)),"",INDIRECT(CONCATENATE("Table!",ADDRESS($AJ55,MATCH(Y$1,INDIRECT("Table!A" &amp; $AN55):INDIRECT("Table!" &amp; $AR$159 &amp; $AN55),0)))))</f>
        <v>176482.7</v>
      </c>
      <c r="Z55" s="35">
        <f ca="1">IF(ISERROR(MATCH(Z$1,INDIRECT("Table!A"&amp;$AN55):INDIRECT("Table!" &amp; $AR$159 &amp; $AN55),0)),"",INDIRECT(CONCATENATE("Table!",ADDRESS($AJ55,MATCH(Z$1,INDIRECT("Table!A" &amp; $AN55):INDIRECT("Table!" &amp; $AR$159 &amp; $AN55),0)))))</f>
        <v>54921</v>
      </c>
      <c r="AA55" s="12"/>
      <c r="AB55" s="12">
        <f>MATCH($A55,Table!$A:$A,0)+$AD$2-1</f>
        <v>897</v>
      </c>
      <c r="AF55" s="31">
        <f>MATCH($A55,Table!$A:$A,0)+$AH$2-1</f>
        <v>895</v>
      </c>
      <c r="AJ55" s="12">
        <f>MATCH($A55,Table!$A:$A,0)+$AL$2-1</f>
        <v>896</v>
      </c>
      <c r="AN55" s="31">
        <f>MATCH($A55,Table!$A:$A,0)+$AH$2-1</f>
        <v>895</v>
      </c>
      <c r="AR55" s="226" t="s">
        <v>118</v>
      </c>
    </row>
    <row r="56" spans="1:44">
      <c r="A56" s="5">
        <v>41108</v>
      </c>
      <c r="B56" s="35">
        <f ca="1">IF(ISERROR(MATCH(B$1,INDIRECT("Table!A"&amp;$AF56):INDIRECT("Table!" &amp; $AR$159 &amp; $AF56),0)),"",INDIRECT(CONCATENATE("Table!",ADDRESS($AB56,MATCH(B$1,INDIRECT("Table!A" &amp; $AF56):INDIRECT("Table!" &amp; $AR$159 &amp; $AF56),0)))))</f>
        <v>92654.9</v>
      </c>
      <c r="C56" s="35">
        <f ca="1">IF(ISERROR(MATCH(C$1,INDIRECT("Table!A"&amp;$AF56):INDIRECT("Table!" &amp; $AR$159 &amp; $AF56),0)),"",INDIRECT(CONCATENATE("Table!",ADDRESS($AB56,MATCH(C$1,INDIRECT("Table!A" &amp; $AF56):INDIRECT("Table!" &amp; $AR$159 &amp; $AF56),0)))))</f>
        <v>69584.899999999994</v>
      </c>
      <c r="D56" s="35">
        <f ca="1">IF(ISERROR(MATCH(D$1,INDIRECT("Table!A"&amp;$AF56):INDIRECT("Table!" &amp; $AR$159 &amp; $AF56),0)),"",INDIRECT(CONCATENATE("Table!",ADDRESS($AB56,MATCH(D$1,INDIRECT("Table!A" &amp; $AF56):INDIRECT("Table!" &amp; $AR$159 &amp; $AF56),0)))))</f>
        <v>71002.5</v>
      </c>
      <c r="E56" s="35">
        <f ca="1">IF(ISERROR(MATCH(E$1,INDIRECT("Table!A"&amp;$AF56):INDIRECT("Table!" &amp; $AR$159 &amp; $AF56),0)),"",INDIRECT(CONCATENATE("Table!",ADDRESS($AB56,MATCH(E$1,INDIRECT("Table!A" &amp; $AF56):INDIRECT("Table!" &amp; $AR$159 &amp; $AF56),0)))))</f>
        <v>153703.4</v>
      </c>
      <c r="F56" s="35">
        <f ca="1">IF(ISERROR(MATCH(F$1,INDIRECT("Table!A"&amp;$AF56):INDIRECT("Table!" &amp; $AR$159 &amp; $AF56),0)),"",INDIRECT(CONCATENATE("Table!",ADDRESS($AB56,MATCH(F$1,INDIRECT("Table!A" &amp; $AF56):INDIRECT("Table!" &amp; $AR$159 &amp; $AF56),0)))))</f>
        <v>29153.4</v>
      </c>
      <c r="G56" s="35">
        <f ca="1">IF(ISERROR(MATCH(G$1,INDIRECT("Table!A"&amp;$AF56):INDIRECT("Table!" &amp; $AR$159 &amp; $AF56),0)),"",INDIRECT(CONCATENATE("Table!",ADDRESS($AB56,MATCH(G$1,INDIRECT("Table!A" &amp; $AF56):INDIRECT("Table!" &amp; $AR$159 &amp; $AF56),0)))))</f>
        <v>46060.3</v>
      </c>
      <c r="H56" s="35">
        <f ca="1">IF(ISERROR(MATCH(H$1,INDIRECT("Table!A"&amp;$AF56):INDIRECT("Table!" &amp; $AR$159 &amp; $AF56),0)),"",INDIRECT(CONCATENATE("Table!",ADDRESS($AB56,MATCH(H$1,INDIRECT("Table!A" &amp; $AF56):INDIRECT("Table!" &amp; $AR$159 &amp; $AF56),0)))))</f>
        <v>23046</v>
      </c>
      <c r="I56" s="35">
        <f ca="1">IF(ISERROR(MATCH(I$1,INDIRECT("Table!A"&amp;$AF56):INDIRECT("Table!" &amp; $AR$159 &amp; $AF56),0)),"",INDIRECT(CONCATENATE("Table!",ADDRESS($AB56,MATCH(I$1,INDIRECT("Table!A" &amp; $AF56):INDIRECT("Table!" &amp; $AR$159 &amp; $AF56),0)))))</f>
        <v>138501.29999999999</v>
      </c>
      <c r="J56" s="35">
        <f ca="1">IF(ISERROR(MATCH(J$1,INDIRECT("Table!A"&amp;$AF56):INDIRECT("Table!" &amp; $AR$159 &amp; $AF56),0)),"",INDIRECT(CONCATENATE("Table!",ADDRESS($AB56,MATCH(J$1,INDIRECT("Table!A" &amp; $AF56):INDIRECT("Table!" &amp; $AR$159 &amp; $AF56),0)))))</f>
        <v>51360.3</v>
      </c>
      <c r="K56" s="35">
        <f ca="1">IF(ISERROR(MATCH(K$1,INDIRECT("Table!A"&amp;$AF56):INDIRECT("Table!" &amp; $AR$159 &amp; $AF56),0)),"",INDIRECT(CONCATENATE("Table!",ADDRESS($AB56,MATCH(K$1,INDIRECT("Table!A" &amp; $AF56):INDIRECT("Table!" &amp; $AR$159 &amp; $AF56),0)))))</f>
        <v>19370.400000000001</v>
      </c>
      <c r="L56" s="35">
        <f ca="1">IF(ISERROR(MATCH(L$1,INDIRECT("Table!A"&amp;$AF56):INDIRECT("Table!" &amp; $AR$159 &amp; $AF56),0)),"",INDIRECT(CONCATENATE("Table!",ADDRESS($AB56,MATCH(L$1,INDIRECT("Table!A" &amp; $AF56):INDIRECT("Table!" &amp; $AR$159 &amp; $AF56),0)))))</f>
        <v>84138.6</v>
      </c>
      <c r="M56" s="35">
        <f ca="1">IF(ISERROR(MATCH(M$1,INDIRECT("Table!A"&amp;$AF56):INDIRECT("Table!" &amp; $AR$159 &amp; $AF56),0)),"",INDIRECT(CONCATENATE("Table!",ADDRESS($AB56,MATCH(M$1,INDIRECT("Table!A" &amp; $AF56):INDIRECT("Table!" &amp; $AR$159 &amp; $AF56),0)))))</f>
        <v>24016.9</v>
      </c>
      <c r="N56" s="35" t="str">
        <f ca="1">IF(ISERROR(MATCH(N$1,INDIRECT("Table!A"&amp;$AF56):INDIRECT("Table!" &amp; $AR$188 &amp; $AF56),0)),"",INDIRECT(CONCATENATE("Table!",ADDRESS($AB56,MATCH(N$1,INDIRECT("Table!A" &amp; $AF56):INDIRECT("Table!" &amp; $AR$188 &amp; $AF56),0)))))</f>
        <v/>
      </c>
      <c r="O56" s="35">
        <f ca="1">IF(ISERROR(MATCH(O$1,INDIRECT("Table!A"&amp;$AN56):INDIRECT("Table!" &amp; $AR$159 &amp; $AN56),0)),"",INDIRECT(CONCATENATE("Table!",ADDRESS($AJ56,MATCH(O$1,INDIRECT("Table!A" &amp; $AN56):INDIRECT("Table!" &amp; $AR$159 &amp; $AN56),0)))))</f>
        <v>115816.8</v>
      </c>
      <c r="P56" s="35">
        <f ca="1">IF(ISERROR(MATCH(P$1,INDIRECT("Table!A"&amp;$AN56):INDIRECT("Table!" &amp; $AR$159 &amp; $AN56),0)),"",INDIRECT(CONCATENATE("Table!",ADDRESS($AJ56,MATCH(P$1,INDIRECT("Table!A" &amp; $AN56):INDIRECT("Table!" &amp; $AR$159 &amp; $AN56),0)))))</f>
        <v>99041.7</v>
      </c>
      <c r="Q56" s="35">
        <f ca="1">IF(ISERROR(MATCH(Q$1,INDIRECT("Table!A"&amp;$AN56):INDIRECT("Table!" &amp; $AR$159 &amp; $AN56),0)),"",INDIRECT(CONCATENATE("Table!",ADDRESS($AJ56,MATCH(Q$1,INDIRECT("Table!A" &amp; $AN56):INDIRECT("Table!" &amp; $AR$159 &amp; $AN56),0)))))</f>
        <v>99041.7</v>
      </c>
      <c r="R56" s="35">
        <f ca="1">IF(ISERROR(MATCH(R$1,INDIRECT("Table!A"&amp;$AN56):INDIRECT("Table!" &amp; $AR$159 &amp; $AN56),0)),"",INDIRECT(CONCATENATE("Table!",ADDRESS($AJ56,MATCH(R$1,INDIRECT("Table!A" &amp; $AN56):INDIRECT("Table!" &amp; $AR$159 &amp; $AN56),0)))))</f>
        <v>181997.8</v>
      </c>
      <c r="S56" s="35">
        <f ca="1">IF(ISERROR(MATCH(S$1,INDIRECT("Table!A"&amp;$AN56):INDIRECT("Table!" &amp; $AR$159 &amp; $AN56),0)),"",INDIRECT(CONCATENATE("Table!",ADDRESS($AJ56,MATCH(S$1,INDIRECT("Table!A" &amp; $AN56):INDIRECT("Table!" &amp; $AR$159 &amp; $AN56),0)))))</f>
        <v>121331.8</v>
      </c>
      <c r="T56" s="35">
        <f ca="1">IF(ISERROR(MATCH(T$1,INDIRECT("Table!A"&amp;$AN56):INDIRECT("Table!" &amp; $AR$159 &amp; $AN56),0)),"",INDIRECT(CONCATENATE("Table!",ADDRESS($AJ56,MATCH(T$1,INDIRECT("Table!A" &amp; $AN56):INDIRECT("Table!" &amp; $AR$159 &amp; $AN56),0)))))</f>
        <v>110071.9</v>
      </c>
      <c r="U56" s="35">
        <f ca="1">IF(ISERROR(MATCH(U$1,INDIRECT("Table!A"&amp;$AN56):INDIRECT("Table!" &amp; $AR$159 &amp; $AN56),0)),"",INDIRECT(CONCATENATE("Table!",ADDRESS($AJ56,MATCH(U$1,INDIRECT("Table!A" &amp; $AN56):INDIRECT("Table!" &amp; $AR$159 &amp; $AN56),0)))))</f>
        <v>121331.8</v>
      </c>
      <c r="V56" s="35">
        <f ca="1">IF(ISERROR(MATCH(V$1,INDIRECT("Table!A"&amp;$AN56):INDIRECT("Table!" &amp; $AR$159 &amp; $AN56),0)),"",INDIRECT(CONCATENATE("Table!",ADDRESS($AJ56,MATCH(V$1,INDIRECT("Table!A" &amp; $AN56):INDIRECT("Table!" &amp; $AR$159 &amp; $AN56),0)))))</f>
        <v>170967.6</v>
      </c>
      <c r="W56" s="35">
        <f ca="1">IF(ISERROR(MATCH(W$1,INDIRECT("Table!A"&amp;$AN56):INDIRECT("Table!" &amp; $AR$159 &amp; $AN56),0)),"",INDIRECT(CONCATENATE("Table!",ADDRESS($AJ56,MATCH(W$1,INDIRECT("Table!A" &amp; $AN56):INDIRECT("Table!" &amp; $AR$159 &amp; $AN56),0)))))</f>
        <v>132132.20000000001</v>
      </c>
      <c r="X56" s="35">
        <f ca="1">IF(ISERROR(MATCH(X$1,INDIRECT("Table!A"&amp;$AN56):INDIRECT("Table!" &amp; $AR$159 &amp; $AN56),0)),"",INDIRECT(CONCATENATE("Table!",ADDRESS($AJ56,MATCH(X$1,INDIRECT("Table!A" &amp; $AN56):INDIRECT("Table!" &amp; $AR$159 &amp; $AN56),0)))))</f>
        <v>60665.9</v>
      </c>
      <c r="Y56" s="35">
        <f ca="1">IF(ISERROR(MATCH(Y$1,INDIRECT("Table!A"&amp;$AN56):INDIRECT("Table!" &amp; $AR$159 &amp; $AN56),0)),"",INDIRECT(CONCATENATE("Table!",ADDRESS($AJ56,MATCH(Y$1,INDIRECT("Table!A" &amp; $AN56):INDIRECT("Table!" &amp; $AR$159 &amp; $AN56),0)))))</f>
        <v>176482.7</v>
      </c>
      <c r="Z56" s="35">
        <f ca="1">IF(ISERROR(MATCH(Z$1,INDIRECT("Table!A"&amp;$AN56):INDIRECT("Table!" &amp; $AR$159 &amp; $AN56),0)),"",INDIRECT(CONCATENATE("Table!",ADDRESS($AJ56,MATCH(Z$1,INDIRECT("Table!A" &amp; $AN56):INDIRECT("Table!" &amp; $AR$159 &amp; $AN56),0)))))</f>
        <v>54921</v>
      </c>
      <c r="AA56" s="12"/>
      <c r="AB56" s="12">
        <f>MATCH($A56,Table!$A:$A,0)+$AD$2-1</f>
        <v>910</v>
      </c>
      <c r="AF56" s="31">
        <f>MATCH($A56,Table!$A:$A,0)+$AH$2-1</f>
        <v>908</v>
      </c>
      <c r="AJ56" s="12">
        <f>MATCH($A56,Table!$A:$A,0)+$AL$2-1</f>
        <v>909</v>
      </c>
      <c r="AN56" s="31">
        <f>MATCH($A56,Table!$A:$A,0)+$AH$2-1</f>
        <v>908</v>
      </c>
      <c r="AR56" s="226" t="s">
        <v>118</v>
      </c>
    </row>
    <row r="57" spans="1:44">
      <c r="A57" s="5">
        <v>41106</v>
      </c>
      <c r="B57" s="35">
        <f ca="1">IF(ISERROR(MATCH(B$1,INDIRECT("Table!A"&amp;$AF57):INDIRECT("Table!" &amp; $AR$159 &amp; $AF57),0)),"",INDIRECT(CONCATENATE("Table!",ADDRESS($AB57,MATCH(B$1,INDIRECT("Table!A" &amp; $AF57):INDIRECT("Table!" &amp; $AR$159 &amp; $AF57),0)))))</f>
        <v>92451.1</v>
      </c>
      <c r="C57" s="35">
        <f ca="1">IF(ISERROR(MATCH(C$1,INDIRECT("Table!A"&amp;$AF57):INDIRECT("Table!" &amp; $AR$159 &amp; $AF57),0)),"",INDIRECT(CONCATENATE("Table!",ADDRESS($AB57,MATCH(C$1,INDIRECT("Table!A" &amp; $AF57):INDIRECT("Table!" &amp; $AR$159 &amp; $AF57),0)))))</f>
        <v>69557.3</v>
      </c>
      <c r="D57" s="35">
        <f ca="1">IF(ISERROR(MATCH(D$1,INDIRECT("Table!A"&amp;$AF57):INDIRECT("Table!" &amp; $AR$159 &amp; $AF57),0)),"",INDIRECT(CONCATENATE("Table!",ADDRESS($AB57,MATCH(D$1,INDIRECT("Table!A" &amp; $AF57):INDIRECT("Table!" &amp; $AR$159 &amp; $AF57),0)))))</f>
        <v>70978</v>
      </c>
      <c r="E57" s="35">
        <f ca="1">IF(ISERROR(MATCH(E$1,INDIRECT("Table!A"&amp;$AF57):INDIRECT("Table!" &amp; $AR$159 &amp; $AF57),0)),"",INDIRECT(CONCATENATE("Table!",ADDRESS($AB57,MATCH(E$1,INDIRECT("Table!A" &amp; $AF57):INDIRECT("Table!" &amp; $AR$159 &amp; $AF57),0)))))</f>
        <v>153152.6</v>
      </c>
      <c r="F57" s="35">
        <f ca="1">IF(ISERROR(MATCH(F$1,INDIRECT("Table!A"&amp;$AF57):INDIRECT("Table!" &amp; $AR$159 &amp; $AF57),0)),"",INDIRECT(CONCATENATE("Table!",ADDRESS($AB57,MATCH(F$1,INDIRECT("Table!A" &amp; $AF57):INDIRECT("Table!" &amp; $AR$159 &amp; $AF57),0)))))</f>
        <v>28558.7</v>
      </c>
      <c r="G57" s="35">
        <f ca="1">IF(ISERROR(MATCH(G$1,INDIRECT("Table!A"&amp;$AF57):INDIRECT("Table!" &amp; $AR$159 &amp; $AF57),0)),"",INDIRECT(CONCATENATE("Table!",ADDRESS($AB57,MATCH(G$1,INDIRECT("Table!A" &amp; $AF57):INDIRECT("Table!" &amp; $AR$159 &amp; $AF57),0)))))</f>
        <v>45586.5</v>
      </c>
      <c r="H57" s="35">
        <f ca="1">IF(ISERROR(MATCH(H$1,INDIRECT("Table!A"&amp;$AF57):INDIRECT("Table!" &amp; $AR$159 &amp; $AF57),0)),"",INDIRECT(CONCATENATE("Table!",ADDRESS($AB57,MATCH(H$1,INDIRECT("Table!A" &amp; $AF57):INDIRECT("Table!" &amp; $AR$159 &amp; $AF57),0)))))</f>
        <v>22531.7</v>
      </c>
      <c r="I57" s="35">
        <f ca="1">IF(ISERROR(MATCH(I$1,INDIRECT("Table!A"&amp;$AF57):INDIRECT("Table!" &amp; $AR$159 &amp; $AF57),0)),"",INDIRECT(CONCATENATE("Table!",ADDRESS($AB57,MATCH(I$1,INDIRECT("Table!A" &amp; $AF57):INDIRECT("Table!" &amp; $AR$159 &amp; $AF57),0)))))</f>
        <v>137789.20000000001</v>
      </c>
      <c r="J57" s="35">
        <f ca="1">IF(ISERROR(MATCH(J$1,INDIRECT("Table!A"&amp;$AF57):INDIRECT("Table!" &amp; $AR$159 &amp; $AF57),0)),"",INDIRECT(CONCATENATE("Table!",ADDRESS($AB57,MATCH(J$1,INDIRECT("Table!A" &amp; $AF57):INDIRECT("Table!" &amp; $AR$159 &amp; $AF57),0)))))</f>
        <v>49627.4</v>
      </c>
      <c r="K57" s="35">
        <f ca="1">IF(ISERROR(MATCH(K$1,INDIRECT("Table!A"&amp;$AF57):INDIRECT("Table!" &amp; $AR$159 &amp; $AF57),0)),"",INDIRECT(CONCATENATE("Table!",ADDRESS($AB57,MATCH(K$1,INDIRECT("Table!A" &amp; $AF57):INDIRECT("Table!" &amp; $AR$159 &amp; $AF57),0)))))</f>
        <v>19234.5</v>
      </c>
      <c r="L57" s="35">
        <f ca="1">IF(ISERROR(MATCH(L$1,INDIRECT("Table!A"&amp;$AF57):INDIRECT("Table!" &amp; $AR$159 &amp; $AF57),0)),"",INDIRECT(CONCATENATE("Table!",ADDRESS($AB57,MATCH(L$1,INDIRECT("Table!A" &amp; $AF57):INDIRECT("Table!" &amp; $AR$159 &amp; $AF57),0)))))</f>
        <v>83053.7</v>
      </c>
      <c r="M57" s="35">
        <f ca="1">IF(ISERROR(MATCH(M$1,INDIRECT("Table!A"&amp;$AF57):INDIRECT("Table!" &amp; $AR$159 &amp; $AF57),0)),"",INDIRECT(CONCATENATE("Table!",ADDRESS($AB57,MATCH(M$1,INDIRECT("Table!A" &amp; $AF57):INDIRECT("Table!" &amp; $AR$159 &amp; $AF57),0)))))</f>
        <v>24008.6</v>
      </c>
      <c r="N57" s="35" t="str">
        <f ca="1">IF(ISERROR(MATCH(N$1,INDIRECT("Table!A"&amp;$AF57):INDIRECT("Table!" &amp; $AR$188 &amp; $AF57),0)),"",INDIRECT(CONCATENATE("Table!",ADDRESS($AB57,MATCH(N$1,INDIRECT("Table!A" &amp; $AF57):INDIRECT("Table!" &amp; $AR$188 &amp; $AF57),0)))))</f>
        <v/>
      </c>
      <c r="O57" s="35">
        <f ca="1">IF(ISERROR(MATCH(O$1,INDIRECT("Table!A"&amp;$AN57):INDIRECT("Table!" &amp; $AR$159 &amp; $AN57),0)),"",INDIRECT(CONCATENATE("Table!",ADDRESS($AJ57,MATCH(O$1,INDIRECT("Table!A" &amp; $AN57):INDIRECT("Table!" &amp; $AR$159 &amp; $AN57),0)))))</f>
        <v>115816.8</v>
      </c>
      <c r="P57" s="35">
        <f ca="1">IF(ISERROR(MATCH(P$1,INDIRECT("Table!A"&amp;$AN57):INDIRECT("Table!" &amp; $AR$159 &amp; $AN57),0)),"",INDIRECT(CONCATENATE("Table!",ADDRESS($AJ57,MATCH(P$1,INDIRECT("Table!A" &amp; $AN57):INDIRECT("Table!" &amp; $AR$159 &amp; $AN57),0)))))</f>
        <v>99041.7</v>
      </c>
      <c r="Q57" s="35">
        <f ca="1">IF(ISERROR(MATCH(Q$1,INDIRECT("Table!A"&amp;$AN57):INDIRECT("Table!" &amp; $AR$159 &amp; $AN57),0)),"",INDIRECT(CONCATENATE("Table!",ADDRESS($AJ57,MATCH(Q$1,INDIRECT("Table!A" &amp; $AN57):INDIRECT("Table!" &amp; $AR$159 &amp; $AN57),0)))))</f>
        <v>99041.7</v>
      </c>
      <c r="R57" s="35">
        <f ca="1">IF(ISERROR(MATCH(R$1,INDIRECT("Table!A"&amp;$AN57):INDIRECT("Table!" &amp; $AR$159 &amp; $AN57),0)),"",INDIRECT(CONCATENATE("Table!",ADDRESS($AJ57,MATCH(R$1,INDIRECT("Table!A" &amp; $AN57):INDIRECT("Table!" &amp; $AR$159 &amp; $AN57),0)))))</f>
        <v>181997.8</v>
      </c>
      <c r="S57" s="35">
        <f ca="1">IF(ISERROR(MATCH(S$1,INDIRECT("Table!A"&amp;$AN57):INDIRECT("Table!" &amp; $AR$159 &amp; $AN57),0)),"",INDIRECT(CONCATENATE("Table!",ADDRESS($AJ57,MATCH(S$1,INDIRECT("Table!A" &amp; $AN57):INDIRECT("Table!" &amp; $AR$159 &amp; $AN57),0)))))</f>
        <v>121331.8</v>
      </c>
      <c r="T57" s="35">
        <f ca="1">IF(ISERROR(MATCH(T$1,INDIRECT("Table!A"&amp;$AN57):INDIRECT("Table!" &amp; $AR$159 &amp; $AN57),0)),"",INDIRECT(CONCATENATE("Table!",ADDRESS($AJ57,MATCH(T$1,INDIRECT("Table!A" &amp; $AN57):INDIRECT("Table!" &amp; $AR$159 &amp; $AN57),0)))))</f>
        <v>110071.9</v>
      </c>
      <c r="U57" s="35">
        <f ca="1">IF(ISERROR(MATCH(U$1,INDIRECT("Table!A"&amp;$AN57):INDIRECT("Table!" &amp; $AR$159 &amp; $AN57),0)),"",INDIRECT(CONCATENATE("Table!",ADDRESS($AJ57,MATCH(U$1,INDIRECT("Table!A" &amp; $AN57):INDIRECT("Table!" &amp; $AR$159 &amp; $AN57),0)))))</f>
        <v>121331.8</v>
      </c>
      <c r="V57" s="35">
        <f ca="1">IF(ISERROR(MATCH(V$1,INDIRECT("Table!A"&amp;$AN57):INDIRECT("Table!" &amp; $AR$159 &amp; $AN57),0)),"",INDIRECT(CONCATENATE("Table!",ADDRESS($AJ57,MATCH(V$1,INDIRECT("Table!A" &amp; $AN57):INDIRECT("Table!" &amp; $AR$159 &amp; $AN57),0)))))</f>
        <v>170967.6</v>
      </c>
      <c r="W57" s="35">
        <f ca="1">IF(ISERROR(MATCH(W$1,INDIRECT("Table!A"&amp;$AN57):INDIRECT("Table!" &amp; $AR$159 &amp; $AN57),0)),"",INDIRECT(CONCATENATE("Table!",ADDRESS($AJ57,MATCH(W$1,INDIRECT("Table!A" &amp; $AN57):INDIRECT("Table!" &amp; $AR$159 &amp; $AN57),0)))))</f>
        <v>132132.20000000001</v>
      </c>
      <c r="X57" s="35">
        <f ca="1">IF(ISERROR(MATCH(X$1,INDIRECT("Table!A"&amp;$AN57):INDIRECT("Table!" &amp; $AR$159 &amp; $AN57),0)),"",INDIRECT(CONCATENATE("Table!",ADDRESS($AJ57,MATCH(X$1,INDIRECT("Table!A" &amp; $AN57):INDIRECT("Table!" &amp; $AR$159 &amp; $AN57),0)))))</f>
        <v>60665.9</v>
      </c>
      <c r="Y57" s="35">
        <f ca="1">IF(ISERROR(MATCH(Y$1,INDIRECT("Table!A"&amp;$AN57):INDIRECT("Table!" &amp; $AR$159 &amp; $AN57),0)),"",INDIRECT(CONCATENATE("Table!",ADDRESS($AJ57,MATCH(Y$1,INDIRECT("Table!A" &amp; $AN57):INDIRECT("Table!" &amp; $AR$159 &amp; $AN57),0)))))</f>
        <v>176482.7</v>
      </c>
      <c r="Z57" s="35">
        <f ca="1">IF(ISERROR(MATCH(Z$1,INDIRECT("Table!A"&amp;$AN57):INDIRECT("Table!" &amp; $AR$159 &amp; $AN57),0)),"",INDIRECT(CONCATENATE("Table!",ADDRESS($AJ57,MATCH(Z$1,INDIRECT("Table!A" &amp; $AN57):INDIRECT("Table!" &amp; $AR$159 &amp; $AN57),0)))))</f>
        <v>54921</v>
      </c>
      <c r="AA57" s="12"/>
      <c r="AB57" s="12">
        <f>MATCH($A57,Table!$A:$A,0)+$AD$2-1</f>
        <v>923</v>
      </c>
      <c r="AF57" s="31">
        <f>MATCH($A57,Table!$A:$A,0)+$AH$2-1</f>
        <v>921</v>
      </c>
      <c r="AJ57" s="12">
        <f>MATCH($A57,Table!$A:$A,0)+$AL$2-1</f>
        <v>922</v>
      </c>
      <c r="AN57" s="31">
        <f>MATCH($A57,Table!$A:$A,0)+$AH$2-1</f>
        <v>921</v>
      </c>
      <c r="AR57" s="220" t="s">
        <v>118</v>
      </c>
    </row>
    <row r="58" spans="1:44">
      <c r="A58" s="5">
        <v>41103</v>
      </c>
      <c r="B58" s="35">
        <f ca="1">IF(ISERROR(MATCH(B$1,INDIRECT("Table!A"&amp;$AF58):INDIRECT("Table!" &amp; $AR$159 &amp; $AF58),0)),"",INDIRECT(CONCATENATE("Table!",ADDRESS($AB58,MATCH(B$1,INDIRECT("Table!A" &amp; $AF58):INDIRECT("Table!" &amp; $AR$159 &amp; $AF58),0)))))</f>
        <v>92361.3</v>
      </c>
      <c r="C58" s="35">
        <f ca="1">IF(ISERROR(MATCH(C$1,INDIRECT("Table!A"&amp;$AF58):INDIRECT("Table!" &amp; $AR$159 &amp; $AF58),0)),"",INDIRECT(CONCATENATE("Table!",ADDRESS($AB58,MATCH(C$1,INDIRECT("Table!A" &amp; $AF58):INDIRECT("Table!" &amp; $AR$159 &amp; $AF58),0)))))</f>
        <v>69547</v>
      </c>
      <c r="D58" s="35">
        <f ca="1">IF(ISERROR(MATCH(D$1,INDIRECT("Table!A"&amp;$AF58):INDIRECT("Table!" &amp; $AR$159 &amp; $AF58),0)),"",INDIRECT(CONCATENATE("Table!",ADDRESS($AB58,MATCH(D$1,INDIRECT("Table!A" &amp; $AF58):INDIRECT("Table!" &amp; $AR$159 &amp; $AF58),0)))))</f>
        <v>70967.7</v>
      </c>
      <c r="E58" s="35">
        <f ca="1">IF(ISERROR(MATCH(E$1,INDIRECT("Table!A"&amp;$AF58):INDIRECT("Table!" &amp; $AR$159 &amp; $AF58),0)),"",INDIRECT(CONCATENATE("Table!",ADDRESS($AB58,MATCH(E$1,INDIRECT("Table!A" &amp; $AF58):INDIRECT("Table!" &amp; $AR$159 &amp; $AF58),0)))))</f>
        <v>152851.79999999999</v>
      </c>
      <c r="F58" s="35">
        <f ca="1">IF(ISERROR(MATCH(F$1,INDIRECT("Table!A"&amp;$AF58):INDIRECT("Table!" &amp; $AR$159 &amp; $AF58),0)),"",INDIRECT(CONCATENATE("Table!",ADDRESS($AB58,MATCH(F$1,INDIRECT("Table!A" &amp; $AF58):INDIRECT("Table!" &amp; $AR$159 &amp; $AF58),0)))))</f>
        <v>28558.7</v>
      </c>
      <c r="G58" s="35">
        <f ca="1">IF(ISERROR(MATCH(G$1,INDIRECT("Table!A"&amp;$AF58):INDIRECT("Table!" &amp; $AR$159 &amp; $AF58),0)),"",INDIRECT(CONCATENATE("Table!",ADDRESS($AB58,MATCH(G$1,INDIRECT("Table!A" &amp; $AF58):INDIRECT("Table!" &amp; $AR$159 &amp; $AF58),0)))))</f>
        <v>45411.5</v>
      </c>
      <c r="H58" s="35">
        <f ca="1">IF(ISERROR(MATCH(H$1,INDIRECT("Table!A"&amp;$AF58):INDIRECT("Table!" &amp; $AR$159 &amp; $AF58),0)),"",INDIRECT(CONCATENATE("Table!",ADDRESS($AB58,MATCH(H$1,INDIRECT("Table!A" &amp; $AF58):INDIRECT("Table!" &amp; $AR$159 &amp; $AF58),0)))))</f>
        <v>22081.3</v>
      </c>
      <c r="I58" s="35">
        <f ca="1">IF(ISERROR(MATCH(I$1,INDIRECT("Table!A"&amp;$AF58):INDIRECT("Table!" &amp; $AR$159 &amp; $AF58),0)),"",INDIRECT(CONCATENATE("Table!",ADDRESS($AB58,MATCH(I$1,INDIRECT("Table!A" &amp; $AF58):INDIRECT("Table!" &amp; $AR$159 &amp; $AF58),0)))))</f>
        <v>137369.60000000001</v>
      </c>
      <c r="J58" s="35">
        <f ca="1">IF(ISERROR(MATCH(J$1,INDIRECT("Table!A"&amp;$AF58):INDIRECT("Table!" &amp; $AR$159 &amp; $AF58),0)),"",INDIRECT(CONCATENATE("Table!",ADDRESS($AB58,MATCH(J$1,INDIRECT("Table!A" &amp; $AF58):INDIRECT("Table!" &amp; $AR$159 &amp; $AF58),0)))))</f>
        <v>49589.4</v>
      </c>
      <c r="K58" s="35">
        <f ca="1">IF(ISERROR(MATCH(K$1,INDIRECT("Table!A"&amp;$AF58):INDIRECT("Table!" &amp; $AR$159 &amp; $AF58),0)),"",INDIRECT(CONCATENATE("Table!",ADDRESS($AB58,MATCH(K$1,INDIRECT("Table!A" &amp; $AF58):INDIRECT("Table!" &amp; $AR$159 &amp; $AF58),0)))))</f>
        <v>18947.7</v>
      </c>
      <c r="L58" s="35">
        <f ca="1">IF(ISERROR(MATCH(L$1,INDIRECT("Table!A"&amp;$AF58):INDIRECT("Table!" &amp; $AR$159 &amp; $AF58),0)),"",INDIRECT(CONCATENATE("Table!",ADDRESS($AB58,MATCH(L$1,INDIRECT("Table!A" &amp; $AF58):INDIRECT("Table!" &amp; $AR$159 &amp; $AF58),0)))))</f>
        <v>82212.3</v>
      </c>
      <c r="M58" s="35">
        <f ca="1">IF(ISERROR(MATCH(M$1,INDIRECT("Table!A"&amp;$AF58):INDIRECT("Table!" &amp; $AR$159 &amp; $AF58),0)),"",INDIRECT(CONCATENATE("Table!",ADDRESS($AB58,MATCH(M$1,INDIRECT("Table!A" &amp; $AF58):INDIRECT("Table!" &amp; $AR$159 &amp; $AF58),0)))))</f>
        <v>24001.4</v>
      </c>
      <c r="N58" s="35" t="str">
        <f ca="1">IF(ISERROR(MATCH(N$1,INDIRECT("Table!A"&amp;$AF58):INDIRECT("Table!" &amp; $AR$188 &amp; $AF58),0)),"",INDIRECT(CONCATENATE("Table!",ADDRESS($AB58,MATCH(N$1,INDIRECT("Table!A" &amp; $AF58):INDIRECT("Table!" &amp; $AR$188 &amp; $AF58),0)))))</f>
        <v/>
      </c>
      <c r="O58" s="35">
        <f ca="1">IF(ISERROR(MATCH(O$1,INDIRECT("Table!A"&amp;$AN58):INDIRECT("Table!" &amp; $AR$159 &amp; $AN58),0)),"",INDIRECT(CONCATENATE("Table!",ADDRESS($AJ58,MATCH(O$1,INDIRECT("Table!A" &amp; $AN58):INDIRECT("Table!" &amp; $AR$159 &amp; $AN58),0)))))</f>
        <v>115816.8</v>
      </c>
      <c r="P58" s="35">
        <f ca="1">IF(ISERROR(MATCH(P$1,INDIRECT("Table!A"&amp;$AN58):INDIRECT("Table!" &amp; $AR$159 &amp; $AN58),0)),"",INDIRECT(CONCATENATE("Table!",ADDRESS($AJ58,MATCH(P$1,INDIRECT("Table!A" &amp; $AN58):INDIRECT("Table!" &amp; $AR$159 &amp; $AN58),0)))))</f>
        <v>99041.7</v>
      </c>
      <c r="Q58" s="35">
        <f ca="1">IF(ISERROR(MATCH(Q$1,INDIRECT("Table!A"&amp;$AN58):INDIRECT("Table!" &amp; $AR$159 &amp; $AN58),0)),"",INDIRECT(CONCATENATE("Table!",ADDRESS($AJ58,MATCH(Q$1,INDIRECT("Table!A" &amp; $AN58):INDIRECT("Table!" &amp; $AR$159 &amp; $AN58),0)))))</f>
        <v>99041.7</v>
      </c>
      <c r="R58" s="35">
        <f ca="1">IF(ISERROR(MATCH(R$1,INDIRECT("Table!A"&amp;$AN58):INDIRECT("Table!" &amp; $AR$159 &amp; $AN58),0)),"",INDIRECT(CONCATENATE("Table!",ADDRESS($AJ58,MATCH(R$1,INDIRECT("Table!A" &amp; $AN58):INDIRECT("Table!" &amp; $AR$159 &amp; $AN58),0)))))</f>
        <v>181997.8</v>
      </c>
      <c r="S58" s="35">
        <f ca="1">IF(ISERROR(MATCH(S$1,INDIRECT("Table!A"&amp;$AN58):INDIRECT("Table!" &amp; $AR$159 &amp; $AN58),0)),"",INDIRECT(CONCATENATE("Table!",ADDRESS($AJ58,MATCH(S$1,INDIRECT("Table!A" &amp; $AN58):INDIRECT("Table!" &amp; $AR$159 &amp; $AN58),0)))))</f>
        <v>121331.8</v>
      </c>
      <c r="T58" s="35">
        <f ca="1">IF(ISERROR(MATCH(T$1,INDIRECT("Table!A"&amp;$AN58):INDIRECT("Table!" &amp; $AR$159 &amp; $AN58),0)),"",INDIRECT(CONCATENATE("Table!",ADDRESS($AJ58,MATCH(T$1,INDIRECT("Table!A" &amp; $AN58):INDIRECT("Table!" &amp; $AR$159 &amp; $AN58),0)))))</f>
        <v>110071.9</v>
      </c>
      <c r="U58" s="35">
        <f ca="1">IF(ISERROR(MATCH(U$1,INDIRECT("Table!A"&amp;$AN58):INDIRECT("Table!" &amp; $AR$159 &amp; $AN58),0)),"",INDIRECT(CONCATENATE("Table!",ADDRESS($AJ58,MATCH(U$1,INDIRECT("Table!A" &amp; $AN58):INDIRECT("Table!" &amp; $AR$159 &amp; $AN58),0)))))</f>
        <v>121331.8</v>
      </c>
      <c r="V58" s="35">
        <f ca="1">IF(ISERROR(MATCH(V$1,INDIRECT("Table!A"&amp;$AN58):INDIRECT("Table!" &amp; $AR$159 &amp; $AN58),0)),"",INDIRECT(CONCATENATE("Table!",ADDRESS($AJ58,MATCH(V$1,INDIRECT("Table!A" &amp; $AN58):INDIRECT("Table!" &amp; $AR$159 &amp; $AN58),0)))))</f>
        <v>170967.6</v>
      </c>
      <c r="W58" s="35">
        <f ca="1">IF(ISERROR(MATCH(W$1,INDIRECT("Table!A"&amp;$AN58):INDIRECT("Table!" &amp; $AR$159 &amp; $AN58),0)),"",INDIRECT(CONCATENATE("Table!",ADDRESS($AJ58,MATCH(W$1,INDIRECT("Table!A" &amp; $AN58):INDIRECT("Table!" &amp; $AR$159 &amp; $AN58),0)))))</f>
        <v>132132.20000000001</v>
      </c>
      <c r="X58" s="35">
        <f ca="1">IF(ISERROR(MATCH(X$1,INDIRECT("Table!A"&amp;$AN58):INDIRECT("Table!" &amp; $AR$159 &amp; $AN58),0)),"",INDIRECT(CONCATENATE("Table!",ADDRESS($AJ58,MATCH(X$1,INDIRECT("Table!A" &amp; $AN58):INDIRECT("Table!" &amp; $AR$159 &amp; $AN58),0)))))</f>
        <v>60665.9</v>
      </c>
      <c r="Y58" s="35">
        <f ca="1">IF(ISERROR(MATCH(Y$1,INDIRECT("Table!A"&amp;$AN58):INDIRECT("Table!" &amp; $AR$159 &amp; $AN58),0)),"",INDIRECT(CONCATENATE("Table!",ADDRESS($AJ58,MATCH(Y$1,INDIRECT("Table!A" &amp; $AN58):INDIRECT("Table!" &amp; $AR$159 &amp; $AN58),0)))))</f>
        <v>176482.7</v>
      </c>
      <c r="Z58" s="35">
        <f ca="1">IF(ISERROR(MATCH(Z$1,INDIRECT("Table!A"&amp;$AN58):INDIRECT("Table!" &amp; $AR$159 &amp; $AN58),0)),"",INDIRECT(CONCATENATE("Table!",ADDRESS($AJ58,MATCH(Z$1,INDIRECT("Table!A" &amp; $AN58):INDIRECT("Table!" &amp; $AR$159 &amp; $AN58),0)))))</f>
        <v>54921</v>
      </c>
      <c r="AA58" s="12"/>
      <c r="AB58" s="12">
        <f>MATCH($A58,Table!$A:$A,0)+$AD$2-1</f>
        <v>936</v>
      </c>
      <c r="AF58" s="31">
        <f>MATCH($A58,Table!$A:$A,0)+$AH$2-1</f>
        <v>934</v>
      </c>
      <c r="AJ58" s="12">
        <f>MATCH($A58,Table!$A:$A,0)+$AL$2-1</f>
        <v>935</v>
      </c>
      <c r="AN58" s="31">
        <f>MATCH($A58,Table!$A:$A,0)+$AH$2-1</f>
        <v>934</v>
      </c>
      <c r="AR58" s="219" t="s">
        <v>118</v>
      </c>
    </row>
    <row r="59" spans="1:44">
      <c r="A59" s="5">
        <v>41102</v>
      </c>
      <c r="B59" s="35">
        <f ca="1">IF(ISERROR(MATCH(B$1,INDIRECT("Table!A"&amp;$AF59):INDIRECT("Table!" &amp; $AR$159 &amp; $AF59),0)),"",INDIRECT(CONCATENATE("Table!",ADDRESS($AB59,MATCH(B$1,INDIRECT("Table!A" &amp; $AF59):INDIRECT("Table!" &amp; $AR$159 &amp; $AF59),0)))))</f>
        <v>92353.3</v>
      </c>
      <c r="C59" s="35">
        <f ca="1">IF(ISERROR(MATCH(C$1,INDIRECT("Table!A"&amp;$AF59):INDIRECT("Table!" &amp; $AR$159 &amp; $AF59),0)),"",INDIRECT(CONCATENATE("Table!",ADDRESS($AB59,MATCH(C$1,INDIRECT("Table!A" &amp; $AF59):INDIRECT("Table!" &amp; $AR$159 &amp; $AF59),0)))))</f>
        <v>69355.399999999994</v>
      </c>
      <c r="D59" s="35">
        <f ca="1">IF(ISERROR(MATCH(D$1,INDIRECT("Table!A"&amp;$AF59):INDIRECT("Table!" &amp; $AR$159 &amp; $AF59),0)),"",INDIRECT(CONCATENATE("Table!",ADDRESS($AB59,MATCH(D$1,INDIRECT("Table!A" &amp; $AF59):INDIRECT("Table!" &amp; $AR$159 &amp; $AF59),0)))))</f>
        <v>70908.5</v>
      </c>
      <c r="E59" s="35">
        <f ca="1">IF(ISERROR(MATCH(E$1,INDIRECT("Table!A"&amp;$AF59):INDIRECT("Table!" &amp; $AR$159 &amp; $AF59),0)),"",INDIRECT(CONCATENATE("Table!",ADDRESS($AB59,MATCH(E$1,INDIRECT("Table!A" &amp; $AF59):INDIRECT("Table!" &amp; $AR$159 &amp; $AF59),0)))))</f>
        <v>152223.29999999999</v>
      </c>
      <c r="F59" s="35">
        <f ca="1">IF(ISERROR(MATCH(F$1,INDIRECT("Table!A"&amp;$AF59):INDIRECT("Table!" &amp; $AR$159 &amp; $AF59),0)),"",INDIRECT(CONCATENATE("Table!",ADDRESS($AB59,MATCH(F$1,INDIRECT("Table!A" &amp; $AF59):INDIRECT("Table!" &amp; $AR$159 &amp; $AF59),0)))))</f>
        <v>28413.9</v>
      </c>
      <c r="G59" s="35">
        <f ca="1">IF(ISERROR(MATCH(G$1,INDIRECT("Table!A"&amp;$AF59):INDIRECT("Table!" &amp; $AR$159 &amp; $AF59),0)),"",INDIRECT(CONCATENATE("Table!",ADDRESS($AB59,MATCH(G$1,INDIRECT("Table!A" &amp; $AF59):INDIRECT("Table!" &amp; $AR$159 &amp; $AF59),0)))))</f>
        <v>45270</v>
      </c>
      <c r="H59" s="35">
        <f ca="1">IF(ISERROR(MATCH(H$1,INDIRECT("Table!A"&amp;$AF59):INDIRECT("Table!" &amp; $AR$159 &amp; $AF59),0)),"",INDIRECT(CONCATENATE("Table!",ADDRESS($AB59,MATCH(H$1,INDIRECT("Table!A" &amp; $AF59):INDIRECT("Table!" &amp; $AR$159 &amp; $AF59),0)))))</f>
        <v>21684.400000000001</v>
      </c>
      <c r="I59" s="35">
        <f ca="1">IF(ISERROR(MATCH(I$1,INDIRECT("Table!A"&amp;$AF59):INDIRECT("Table!" &amp; $AR$159 &amp; $AF59),0)),"",INDIRECT(CONCATENATE("Table!",ADDRESS($AB59,MATCH(I$1,INDIRECT("Table!A" &amp; $AF59):INDIRECT("Table!" &amp; $AR$159 &amp; $AF59),0)))))</f>
        <v>137369.60000000001</v>
      </c>
      <c r="J59" s="35">
        <f ca="1">IF(ISERROR(MATCH(J$1,INDIRECT("Table!A"&amp;$AF59):INDIRECT("Table!" &amp; $AR$159 &amp; $AF59),0)),"",INDIRECT(CONCATENATE("Table!",ADDRESS($AB59,MATCH(J$1,INDIRECT("Table!A" &amp; $AF59):INDIRECT("Table!" &amp; $AR$159 &amp; $AF59),0)))))</f>
        <v>49589.4</v>
      </c>
      <c r="K59" s="35">
        <f ca="1">IF(ISERROR(MATCH(K$1,INDIRECT("Table!A"&amp;$AF59):INDIRECT("Table!" &amp; $AR$159 &amp; $AF59),0)),"",INDIRECT(CONCATENATE("Table!",ADDRESS($AB59,MATCH(K$1,INDIRECT("Table!A" &amp; $AF59):INDIRECT("Table!" &amp; $AR$159 &amp; $AF59),0)))))</f>
        <v>18947.7</v>
      </c>
      <c r="L59" s="35">
        <f ca="1">IF(ISERROR(MATCH(L$1,INDIRECT("Table!A"&amp;$AF59):INDIRECT("Table!" &amp; $AR$159 &amp; $AF59),0)),"",INDIRECT(CONCATENATE("Table!",ADDRESS($AB59,MATCH(L$1,INDIRECT("Table!A" &amp; $AF59):INDIRECT("Table!" &amp; $AR$159 &amp; $AF59),0)))))</f>
        <v>82212.3</v>
      </c>
      <c r="M59" s="35">
        <f ca="1">IF(ISERROR(MATCH(M$1,INDIRECT("Table!A"&amp;$AF59):INDIRECT("Table!" &amp; $AR$159 &amp; $AF59),0)),"",INDIRECT(CONCATENATE("Table!",ADDRESS($AB59,MATCH(M$1,INDIRECT("Table!A" &amp; $AF59):INDIRECT("Table!" &amp; $AR$159 &amp; $AF59),0)))))</f>
        <v>24001.4</v>
      </c>
      <c r="N59" s="35" t="str">
        <f ca="1">IF(ISERROR(MATCH(N$1,INDIRECT("Table!A"&amp;$AF59):INDIRECT("Table!" &amp; $AR$188 &amp; $AF59),0)),"",INDIRECT(CONCATENATE("Table!",ADDRESS($AB59,MATCH(N$1,INDIRECT("Table!A" &amp; $AF59):INDIRECT("Table!" &amp; $AR$188 &amp; $AF59),0)))))</f>
        <v/>
      </c>
      <c r="O59" s="35">
        <f ca="1">IF(ISERROR(MATCH(O$1,INDIRECT("Table!A"&amp;$AN59):INDIRECT("Table!" &amp; $AR$159 &amp; $AN59),0)),"",INDIRECT(CONCATENATE("Table!",ADDRESS($AJ59,MATCH(O$1,INDIRECT("Table!A" &amp; $AN59):INDIRECT("Table!" &amp; $AR$159 &amp; $AN59),0)))))</f>
        <v>115816.8</v>
      </c>
      <c r="P59" s="35">
        <f ca="1">IF(ISERROR(MATCH(P$1,INDIRECT("Table!A"&amp;$AN59):INDIRECT("Table!" &amp; $AR$159 &amp; $AN59),0)),"",INDIRECT(CONCATENATE("Table!",ADDRESS($AJ59,MATCH(P$1,INDIRECT("Table!A" &amp; $AN59):INDIRECT("Table!" &amp; $AR$159 &amp; $AN59),0)))))</f>
        <v>99041.7</v>
      </c>
      <c r="Q59" s="35">
        <f ca="1">IF(ISERROR(MATCH(Q$1,INDIRECT("Table!A"&amp;$AN59):INDIRECT("Table!" &amp; $AR$159 &amp; $AN59),0)),"",INDIRECT(CONCATENATE("Table!",ADDRESS($AJ59,MATCH(Q$1,INDIRECT("Table!A" &amp; $AN59):INDIRECT("Table!" &amp; $AR$159 &amp; $AN59),0)))))</f>
        <v>99041.7</v>
      </c>
      <c r="R59" s="35">
        <f ca="1">IF(ISERROR(MATCH(R$1,INDIRECT("Table!A"&amp;$AN59):INDIRECT("Table!" &amp; $AR$159 &amp; $AN59),0)),"",INDIRECT(CONCATENATE("Table!",ADDRESS($AJ59,MATCH(R$1,INDIRECT("Table!A" &amp; $AN59):INDIRECT("Table!" &amp; $AR$159 &amp; $AN59),0)))))</f>
        <v>181997.8</v>
      </c>
      <c r="S59" s="35">
        <f ca="1">IF(ISERROR(MATCH(S$1,INDIRECT("Table!A"&amp;$AN59):INDIRECT("Table!" &amp; $AR$159 &amp; $AN59),0)),"",INDIRECT(CONCATENATE("Table!",ADDRESS($AJ59,MATCH(S$1,INDIRECT("Table!A" &amp; $AN59):INDIRECT("Table!" &amp; $AR$159 &amp; $AN59),0)))))</f>
        <v>121331.8</v>
      </c>
      <c r="T59" s="35">
        <f ca="1">IF(ISERROR(MATCH(T$1,INDIRECT("Table!A"&amp;$AN59):INDIRECT("Table!" &amp; $AR$159 &amp; $AN59),0)),"",INDIRECT(CONCATENATE("Table!",ADDRESS($AJ59,MATCH(T$1,INDIRECT("Table!A" &amp; $AN59):INDIRECT("Table!" &amp; $AR$159 &amp; $AN59),0)))))</f>
        <v>110071.9</v>
      </c>
      <c r="U59" s="35">
        <f ca="1">IF(ISERROR(MATCH(U$1,INDIRECT("Table!A"&amp;$AN59):INDIRECT("Table!" &amp; $AR$159 &amp; $AN59),0)),"",INDIRECT(CONCATENATE("Table!",ADDRESS($AJ59,MATCH(U$1,INDIRECT("Table!A" &amp; $AN59):INDIRECT("Table!" &amp; $AR$159 &amp; $AN59),0)))))</f>
        <v>121331.8</v>
      </c>
      <c r="V59" s="35">
        <f ca="1">IF(ISERROR(MATCH(V$1,INDIRECT("Table!A"&amp;$AN59):INDIRECT("Table!" &amp; $AR$159 &amp; $AN59),0)),"",INDIRECT(CONCATENATE("Table!",ADDRESS($AJ59,MATCH(V$1,INDIRECT("Table!A" &amp; $AN59):INDIRECT("Table!" &amp; $AR$159 &amp; $AN59),0)))))</f>
        <v>170967.6</v>
      </c>
      <c r="W59" s="35">
        <f ca="1">IF(ISERROR(MATCH(W$1,INDIRECT("Table!A"&amp;$AN59):INDIRECT("Table!" &amp; $AR$159 &amp; $AN59),0)),"",INDIRECT(CONCATENATE("Table!",ADDRESS($AJ59,MATCH(W$1,INDIRECT("Table!A" &amp; $AN59):INDIRECT("Table!" &amp; $AR$159 &amp; $AN59),0)))))</f>
        <v>132132.20000000001</v>
      </c>
      <c r="X59" s="35">
        <f ca="1">IF(ISERROR(MATCH(X$1,INDIRECT("Table!A"&amp;$AN59):INDIRECT("Table!" &amp; $AR$159 &amp; $AN59),0)),"",INDIRECT(CONCATENATE("Table!",ADDRESS($AJ59,MATCH(X$1,INDIRECT("Table!A" &amp; $AN59):INDIRECT("Table!" &amp; $AR$159 &amp; $AN59),0)))))</f>
        <v>60665.9</v>
      </c>
      <c r="Y59" s="35">
        <f ca="1">IF(ISERROR(MATCH(Y$1,INDIRECT("Table!A"&amp;$AN59):INDIRECT("Table!" &amp; $AR$159 &amp; $AN59),0)),"",INDIRECT(CONCATENATE("Table!",ADDRESS($AJ59,MATCH(Y$1,INDIRECT("Table!A" &amp; $AN59):INDIRECT("Table!" &amp; $AR$159 &amp; $AN59),0)))))</f>
        <v>176482.7</v>
      </c>
      <c r="Z59" s="35">
        <f ca="1">IF(ISERROR(MATCH(Z$1,INDIRECT("Table!A"&amp;$AN59):INDIRECT("Table!" &amp; $AR$159 &amp; $AN59),0)),"",INDIRECT(CONCATENATE("Table!",ADDRESS($AJ59,MATCH(Z$1,INDIRECT("Table!A" &amp; $AN59):INDIRECT("Table!" &amp; $AR$159 &amp; $AN59),0)))))</f>
        <v>54921</v>
      </c>
      <c r="AA59" s="12"/>
      <c r="AB59" s="12">
        <f>MATCH($A59,Table!$A:$A,0)+$AD$2-1</f>
        <v>949</v>
      </c>
      <c r="AF59" s="31">
        <f>MATCH($A59,Table!$A:$A,0)+$AH$2-1</f>
        <v>947</v>
      </c>
      <c r="AJ59" s="12">
        <f>MATCH($A59,Table!$A:$A,0)+$AL$2-1</f>
        <v>948</v>
      </c>
      <c r="AN59" s="31">
        <f>MATCH($A59,Table!$A:$A,0)+$AH$2-1</f>
        <v>947</v>
      </c>
      <c r="AR59" s="218" t="s">
        <v>118</v>
      </c>
    </row>
    <row r="60" spans="1:44">
      <c r="A60" s="5">
        <v>41101</v>
      </c>
      <c r="B60" s="35">
        <f ca="1">IF(ISERROR(MATCH(B$1,INDIRECT("Table!A"&amp;$AF60):INDIRECT("Table!" &amp; $AR$159 &amp; $AF60),0)),"",INDIRECT(CONCATENATE("Table!",ADDRESS($AB60,MATCH(B$1,INDIRECT("Table!A" &amp; $AF60):INDIRECT("Table!" &amp; $AR$159 &amp; $AF60),0)))))</f>
        <v>92349.9</v>
      </c>
      <c r="C60" s="35">
        <f ca="1">IF(ISERROR(MATCH(C$1,INDIRECT("Table!A"&amp;$AF60):INDIRECT("Table!" &amp; $AR$159 &amp; $AF60),0)),"",INDIRECT(CONCATENATE("Table!",ADDRESS($AB60,MATCH(C$1,INDIRECT("Table!A" &amp; $AF60):INDIRECT("Table!" &amp; $AR$159 &amp; $AF60),0)))))</f>
        <v>69336.399999999994</v>
      </c>
      <c r="D60" s="35">
        <f ca="1">IF(ISERROR(MATCH(D$1,INDIRECT("Table!A"&amp;$AF60):INDIRECT("Table!" &amp; $AR$159 &amp; $AF60),0)),"",INDIRECT(CONCATENATE("Table!",ADDRESS($AB60,MATCH(D$1,INDIRECT("Table!A" &amp; $AF60):INDIRECT("Table!" &amp; $AR$159 &amp; $AF60),0)))))</f>
        <v>70902.8</v>
      </c>
      <c r="E60" s="35">
        <f ca="1">IF(ISERROR(MATCH(E$1,INDIRECT("Table!A"&amp;$AF60):INDIRECT("Table!" &amp; $AR$159 &amp; $AF60),0)),"",INDIRECT(CONCATENATE("Table!",ADDRESS($AB60,MATCH(E$1,INDIRECT("Table!A" &amp; $AF60):INDIRECT("Table!" &amp; $AR$159 &amp; $AF60),0)))))</f>
        <v>152096.29999999999</v>
      </c>
      <c r="F60" s="35">
        <f ca="1">IF(ISERROR(MATCH(F$1,INDIRECT("Table!A"&amp;$AF60):INDIRECT("Table!" &amp; $AR$159 &amp; $AF60),0)),"",INDIRECT(CONCATENATE("Table!",ADDRESS($AB60,MATCH(F$1,INDIRECT("Table!A" &amp; $AF60):INDIRECT("Table!" &amp; $AR$159 &amp; $AF60),0)))))</f>
        <v>28314.2</v>
      </c>
      <c r="G60" s="35">
        <f ca="1">IF(ISERROR(MATCH(G$1,INDIRECT("Table!A"&amp;$AF60):INDIRECT("Table!" &amp; $AR$159 &amp; $AF60),0)),"",INDIRECT(CONCATENATE("Table!",ADDRESS($AB60,MATCH(G$1,INDIRECT("Table!A" &amp; $AF60):INDIRECT("Table!" &amp; $AR$159 &amp; $AF60),0)))))</f>
        <v>44531.5</v>
      </c>
      <c r="H60" s="35">
        <f ca="1">IF(ISERROR(MATCH(H$1,INDIRECT("Table!A"&amp;$AF60):INDIRECT("Table!" &amp; $AR$159 &amp; $AF60),0)),"",INDIRECT(CONCATENATE("Table!",ADDRESS($AB60,MATCH(H$1,INDIRECT("Table!A" &amp; $AF60):INDIRECT("Table!" &amp; $AR$159 &amp; $AF60),0)))))</f>
        <v>21658.7</v>
      </c>
      <c r="I60" s="35">
        <f ca="1">IF(ISERROR(MATCH(I$1,INDIRECT("Table!A"&amp;$AF60):INDIRECT("Table!" &amp; $AR$159 &amp; $AF60),0)),"",INDIRECT(CONCATENATE("Table!",ADDRESS($AB60,MATCH(I$1,INDIRECT("Table!A" &amp; $AF60):INDIRECT("Table!" &amp; $AR$159 &amp; $AF60),0)))))</f>
        <v>137281.1</v>
      </c>
      <c r="J60" s="35">
        <f ca="1">IF(ISERROR(MATCH(J$1,INDIRECT("Table!A"&amp;$AF60):INDIRECT("Table!" &amp; $AR$159 &amp; $AF60),0)),"",INDIRECT(CONCATENATE("Table!",ADDRESS($AB60,MATCH(J$1,INDIRECT("Table!A" &amp; $AF60):INDIRECT("Table!" &amp; $AR$159 &amp; $AF60),0)))))</f>
        <v>49445.1</v>
      </c>
      <c r="K60" s="35">
        <f ca="1">IF(ISERROR(MATCH(K$1,INDIRECT("Table!A"&amp;$AF60):INDIRECT("Table!" &amp; $AR$159 &amp; $AF60),0)),"",INDIRECT(CONCATENATE("Table!",ADDRESS($AB60,MATCH(K$1,INDIRECT("Table!A" &amp; $AF60):INDIRECT("Table!" &amp; $AR$159 &amp; $AF60),0)))))</f>
        <v>18896</v>
      </c>
      <c r="L60" s="35">
        <f ca="1">IF(ISERROR(MATCH(L$1,INDIRECT("Table!A"&amp;$AF60):INDIRECT("Table!" &amp; $AR$159 &amp; $AF60),0)),"",INDIRECT(CONCATENATE("Table!",ADDRESS($AB60,MATCH(L$1,INDIRECT("Table!A" &amp; $AF60):INDIRECT("Table!" &amp; $AR$159 &amp; $AF60),0)))))</f>
        <v>82151.399999999994</v>
      </c>
      <c r="M60" s="35">
        <f ca="1">IF(ISERROR(MATCH(M$1,INDIRECT("Table!A"&amp;$AF60):INDIRECT("Table!" &amp; $AR$159 &amp; $AF60),0)),"",INDIRECT(CONCATENATE("Table!",ADDRESS($AB60,MATCH(M$1,INDIRECT("Table!A" &amp; $AF60):INDIRECT("Table!" &amp; $AR$159 &amp; $AF60),0)))))</f>
        <v>24001.4</v>
      </c>
      <c r="N60" s="35" t="str">
        <f ca="1">IF(ISERROR(MATCH(N$1,INDIRECT("Table!A"&amp;$AF60):INDIRECT("Table!" &amp; $AR$188 &amp; $AF60),0)),"",INDIRECT(CONCATENATE("Table!",ADDRESS($AB60,MATCH(N$1,INDIRECT("Table!A" &amp; $AF60):INDIRECT("Table!" &amp; $AR$188 &amp; $AF60),0)))))</f>
        <v/>
      </c>
      <c r="O60" s="35">
        <f ca="1">IF(ISERROR(MATCH(O$1,INDIRECT("Table!A"&amp;$AN60):INDIRECT("Table!" &amp; $AR$159 &amp; $AN60),0)),"",INDIRECT(CONCATENATE("Table!",ADDRESS($AJ60,MATCH(O$1,INDIRECT("Table!A" &amp; $AN60):INDIRECT("Table!" &amp; $AR$159 &amp; $AN60),0)))))</f>
        <v>115816.8</v>
      </c>
      <c r="P60" s="35">
        <f ca="1">IF(ISERROR(MATCH(P$1,INDIRECT("Table!A"&amp;$AN60):INDIRECT("Table!" &amp; $AR$159 &amp; $AN60),0)),"",INDIRECT(CONCATENATE("Table!",ADDRESS($AJ60,MATCH(P$1,INDIRECT("Table!A" &amp; $AN60):INDIRECT("Table!" &amp; $AR$159 &amp; $AN60),0)))))</f>
        <v>99041.7</v>
      </c>
      <c r="Q60" s="35">
        <f ca="1">IF(ISERROR(MATCH(Q$1,INDIRECT("Table!A"&amp;$AN60):INDIRECT("Table!" &amp; $AR$159 &amp; $AN60),0)),"",INDIRECT(CONCATENATE("Table!",ADDRESS($AJ60,MATCH(Q$1,INDIRECT("Table!A" &amp; $AN60):INDIRECT("Table!" &amp; $AR$159 &amp; $AN60),0)))))</f>
        <v>99041.7</v>
      </c>
      <c r="R60" s="35">
        <f ca="1">IF(ISERROR(MATCH(R$1,INDIRECT("Table!A"&amp;$AN60):INDIRECT("Table!" &amp; $AR$159 &amp; $AN60),0)),"",INDIRECT(CONCATENATE("Table!",ADDRESS($AJ60,MATCH(R$1,INDIRECT("Table!A" &amp; $AN60):INDIRECT("Table!" &amp; $AR$159 &amp; $AN60),0)))))</f>
        <v>181997.8</v>
      </c>
      <c r="S60" s="35">
        <f ca="1">IF(ISERROR(MATCH(S$1,INDIRECT("Table!A"&amp;$AN60):INDIRECT("Table!" &amp; $AR$159 &amp; $AN60),0)),"",INDIRECT(CONCATENATE("Table!",ADDRESS($AJ60,MATCH(S$1,INDIRECT("Table!A" &amp; $AN60):INDIRECT("Table!" &amp; $AR$159 &amp; $AN60),0)))))</f>
        <v>121331.8</v>
      </c>
      <c r="T60" s="35">
        <f ca="1">IF(ISERROR(MATCH(T$1,INDIRECT("Table!A"&amp;$AN60):INDIRECT("Table!" &amp; $AR$159 &amp; $AN60),0)),"",INDIRECT(CONCATENATE("Table!",ADDRESS($AJ60,MATCH(T$1,INDIRECT("Table!A" &amp; $AN60):INDIRECT("Table!" &amp; $AR$159 &amp; $AN60),0)))))</f>
        <v>110071.9</v>
      </c>
      <c r="U60" s="35">
        <f ca="1">IF(ISERROR(MATCH(U$1,INDIRECT("Table!A"&amp;$AN60):INDIRECT("Table!" &amp; $AR$159 &amp; $AN60),0)),"",INDIRECT(CONCATENATE("Table!",ADDRESS($AJ60,MATCH(U$1,INDIRECT("Table!A" &amp; $AN60):INDIRECT("Table!" &amp; $AR$159 &amp; $AN60),0)))))</f>
        <v>121331.8</v>
      </c>
      <c r="V60" s="35">
        <f ca="1">IF(ISERROR(MATCH(V$1,INDIRECT("Table!A"&amp;$AN60):INDIRECT("Table!" &amp; $AR$159 &amp; $AN60),0)),"",INDIRECT(CONCATENATE("Table!",ADDRESS($AJ60,MATCH(V$1,INDIRECT("Table!A" &amp; $AN60):INDIRECT("Table!" &amp; $AR$159 &amp; $AN60),0)))))</f>
        <v>170967.6</v>
      </c>
      <c r="W60" s="35">
        <f ca="1">IF(ISERROR(MATCH(W$1,INDIRECT("Table!A"&amp;$AN60):INDIRECT("Table!" &amp; $AR$159 &amp; $AN60),0)),"",INDIRECT(CONCATENATE("Table!",ADDRESS($AJ60,MATCH(W$1,INDIRECT("Table!A" &amp; $AN60):INDIRECT("Table!" &amp; $AR$159 &amp; $AN60),0)))))</f>
        <v>132132.20000000001</v>
      </c>
      <c r="X60" s="35">
        <f ca="1">IF(ISERROR(MATCH(X$1,INDIRECT("Table!A"&amp;$AN60):INDIRECT("Table!" &amp; $AR$159 &amp; $AN60),0)),"",INDIRECT(CONCATENATE("Table!",ADDRESS($AJ60,MATCH(X$1,INDIRECT("Table!A" &amp; $AN60):INDIRECT("Table!" &amp; $AR$159 &amp; $AN60),0)))))</f>
        <v>60665.9</v>
      </c>
      <c r="Y60" s="35">
        <f ca="1">IF(ISERROR(MATCH(Y$1,INDIRECT("Table!A"&amp;$AN60):INDIRECT("Table!" &amp; $AR$159 &amp; $AN60),0)),"",INDIRECT(CONCATENATE("Table!",ADDRESS($AJ60,MATCH(Y$1,INDIRECT("Table!A" &amp; $AN60):INDIRECT("Table!" &amp; $AR$159 &amp; $AN60),0)))))</f>
        <v>176482.7</v>
      </c>
      <c r="Z60" s="35">
        <f ca="1">IF(ISERROR(MATCH(Z$1,INDIRECT("Table!A"&amp;$AN60):INDIRECT("Table!" &amp; $AR$159 &amp; $AN60),0)),"",INDIRECT(CONCATENATE("Table!",ADDRESS($AJ60,MATCH(Z$1,INDIRECT("Table!A" &amp; $AN60):INDIRECT("Table!" &amp; $AR$159 &amp; $AN60),0)))))</f>
        <v>54921</v>
      </c>
      <c r="AA60" s="12"/>
      <c r="AB60" s="12">
        <f>MATCH($A60,Table!$A:$A,0)+$AD$2-1</f>
        <v>962</v>
      </c>
      <c r="AF60" s="31">
        <f>MATCH($A60,Table!$A:$A,0)+$AH$2-1</f>
        <v>960</v>
      </c>
      <c r="AJ60" s="12">
        <f>MATCH($A60,Table!$A:$A,0)+$AL$2-1</f>
        <v>961</v>
      </c>
      <c r="AN60" s="31">
        <f>MATCH($A60,Table!$A:$A,0)+$AH$2-1</f>
        <v>960</v>
      </c>
      <c r="AR60" s="217" t="s">
        <v>118</v>
      </c>
    </row>
    <row r="61" spans="1:44">
      <c r="A61" s="5">
        <v>41099</v>
      </c>
      <c r="B61" s="35">
        <f ca="1">IF(ISERROR(MATCH(B$1,INDIRECT("Table!A"&amp;$AF61):INDIRECT("Table!" &amp; $AR$159 &amp; $AF61),0)),"",INDIRECT(CONCATENATE("Table!",ADDRESS($AB61,MATCH(B$1,INDIRECT("Table!A" &amp; $AF61):INDIRECT("Table!" &amp; $AR$159 &amp; $AF61),0)))))</f>
        <v>92327.7</v>
      </c>
      <c r="C61" s="35">
        <f ca="1">IF(ISERROR(MATCH(C$1,INDIRECT("Table!A"&amp;$AF61):INDIRECT("Table!" &amp; $AR$159 &amp; $AF61),0)),"",INDIRECT(CONCATENATE("Table!",ADDRESS($AB61,MATCH(C$1,INDIRECT("Table!A" &amp; $AF61):INDIRECT("Table!" &amp; $AR$159 &amp; $AF61),0)))))</f>
        <v>69263.399999999994</v>
      </c>
      <c r="D61" s="35">
        <f ca="1">IF(ISERROR(MATCH(D$1,INDIRECT("Table!A"&amp;$AF61):INDIRECT("Table!" &amp; $AR$159 &amp; $AF61),0)),"",INDIRECT(CONCATENATE("Table!",ADDRESS($AB61,MATCH(D$1,INDIRECT("Table!A" &amp; $AF61):INDIRECT("Table!" &amp; $AR$159 &amp; $AF61),0)))))</f>
        <v>70836.399999999994</v>
      </c>
      <c r="E61" s="35">
        <f ca="1">IF(ISERROR(MATCH(E$1,INDIRECT("Table!A"&amp;$AF61):INDIRECT("Table!" &amp; $AR$159 &amp; $AF61),0)),"",INDIRECT(CONCATENATE("Table!",ADDRESS($AB61,MATCH(E$1,INDIRECT("Table!A" &amp; $AF61):INDIRECT("Table!" &amp; $AR$159 &amp; $AF61),0)))))</f>
        <v>151644.5</v>
      </c>
      <c r="F61" s="35">
        <f ca="1">IF(ISERROR(MATCH(F$1,INDIRECT("Table!A"&amp;$AF61):INDIRECT("Table!" &amp; $AR$159 &amp; $AF61),0)),"",INDIRECT(CONCATENATE("Table!",ADDRESS($AB61,MATCH(F$1,INDIRECT("Table!A" &amp; $AF61):INDIRECT("Table!" &amp; $AR$159 &amp; $AF61),0)))))</f>
        <v>28093.3</v>
      </c>
      <c r="G61" s="35">
        <f ca="1">IF(ISERROR(MATCH(G$1,INDIRECT("Table!A"&amp;$AF61):INDIRECT("Table!" &amp; $AR$159 &amp; $AF61),0)),"",INDIRECT(CONCATENATE("Table!",ADDRESS($AB61,MATCH(G$1,INDIRECT("Table!A" &amp; $AF61):INDIRECT("Table!" &amp; $AR$159 &amp; $AF61),0)))))</f>
        <v>44264.6</v>
      </c>
      <c r="H61" s="35">
        <f ca="1">IF(ISERROR(MATCH(H$1,INDIRECT("Table!A"&amp;$AF61):INDIRECT("Table!" &amp; $AR$159 &amp; $AF61),0)),"",INDIRECT(CONCATENATE("Table!",ADDRESS($AB61,MATCH(H$1,INDIRECT("Table!A" &amp; $AF61):INDIRECT("Table!" &amp; $AR$159 &amp; $AF61),0)))))</f>
        <v>21598.5</v>
      </c>
      <c r="I61" s="35">
        <f ca="1">IF(ISERROR(MATCH(I$1,INDIRECT("Table!A"&amp;$AF61):INDIRECT("Table!" &amp; $AR$159 &amp; $AF61),0)),"",INDIRECT(CONCATENATE("Table!",ADDRESS($AB61,MATCH(I$1,INDIRECT("Table!A" &amp; $AF61):INDIRECT("Table!" &amp; $AR$159 &amp; $AF61),0)))))</f>
        <v>136964.20000000001</v>
      </c>
      <c r="J61" s="35">
        <f ca="1">IF(ISERROR(MATCH(J$1,INDIRECT("Table!A"&amp;$AF61):INDIRECT("Table!" &amp; $AR$159 &amp; $AF61),0)),"",INDIRECT(CONCATENATE("Table!",ADDRESS($AB61,MATCH(J$1,INDIRECT("Table!A" &amp; $AF61):INDIRECT("Table!" &amp; $AR$159 &amp; $AF61),0)))))</f>
        <v>49656.800000000003</v>
      </c>
      <c r="K61" s="35">
        <f ca="1">IF(ISERROR(MATCH(K$1,INDIRECT("Table!A"&amp;$AF61):INDIRECT("Table!" &amp; $AR$159 &amp; $AF61),0)),"",INDIRECT(CONCATENATE("Table!",ADDRESS($AB61,MATCH(K$1,INDIRECT("Table!A" &amp; $AF61):INDIRECT("Table!" &amp; $AR$159 &amp; $AF61),0)))))</f>
        <v>18778</v>
      </c>
      <c r="L61" s="35">
        <f ca="1">IF(ISERROR(MATCH(L$1,INDIRECT("Table!A"&amp;$AF61):INDIRECT("Table!" &amp; $AR$159 &amp; $AF61),0)),"",INDIRECT(CONCATENATE("Table!",ADDRESS($AB61,MATCH(L$1,INDIRECT("Table!A" &amp; $AF61):INDIRECT("Table!" &amp; $AR$159 &amp; $AF61),0)))))</f>
        <v>82046.5</v>
      </c>
      <c r="M61" s="35">
        <f ca="1">IF(ISERROR(MATCH(M$1,INDIRECT("Table!A"&amp;$AF61):INDIRECT("Table!" &amp; $AR$159 &amp; $AF61),0)),"",INDIRECT(CONCATENATE("Table!",ADDRESS($AB61,MATCH(M$1,INDIRECT("Table!A" &amp; $AF61):INDIRECT("Table!" &amp; $AR$159 &amp; $AF61),0)))))</f>
        <v>23997.7</v>
      </c>
      <c r="N61" s="35" t="str">
        <f ca="1">IF(ISERROR(MATCH(N$1,INDIRECT("Table!A"&amp;$AF61):INDIRECT("Table!" &amp; $AR$188 &amp; $AF61),0)),"",INDIRECT(CONCATENATE("Table!",ADDRESS($AB61,MATCH(N$1,INDIRECT("Table!A" &amp; $AF61):INDIRECT("Table!" &amp; $AR$188 &amp; $AF61),0)))))</f>
        <v/>
      </c>
      <c r="O61" s="35">
        <f ca="1">IF(ISERROR(MATCH(O$1,INDIRECT("Table!A"&amp;$AN61):INDIRECT("Table!" &amp; $AR$159 &amp; $AN61),0)),"",INDIRECT(CONCATENATE("Table!",ADDRESS($AJ61,MATCH(O$1,INDIRECT("Table!A" &amp; $AN61):INDIRECT("Table!" &amp; $AR$159 &amp; $AN61),0)))))</f>
        <v>115816.8</v>
      </c>
      <c r="P61" s="35">
        <f ca="1">IF(ISERROR(MATCH(P$1,INDIRECT("Table!A"&amp;$AN61):INDIRECT("Table!" &amp; $AR$159 &amp; $AN61),0)),"",INDIRECT(CONCATENATE("Table!",ADDRESS($AJ61,MATCH(P$1,INDIRECT("Table!A" &amp; $AN61):INDIRECT("Table!" &amp; $AR$159 &amp; $AN61),0)))))</f>
        <v>99041.7</v>
      </c>
      <c r="Q61" s="35">
        <f ca="1">IF(ISERROR(MATCH(Q$1,INDIRECT("Table!A"&amp;$AN61):INDIRECT("Table!" &amp; $AR$159 &amp; $AN61),0)),"",INDIRECT(CONCATENATE("Table!",ADDRESS($AJ61,MATCH(Q$1,INDIRECT("Table!A" &amp; $AN61):INDIRECT("Table!" &amp; $AR$159 &amp; $AN61),0)))))</f>
        <v>99041.7</v>
      </c>
      <c r="R61" s="35">
        <f ca="1">IF(ISERROR(MATCH(R$1,INDIRECT("Table!A"&amp;$AN61):INDIRECT("Table!" &amp; $AR$159 &amp; $AN61),0)),"",INDIRECT(CONCATENATE("Table!",ADDRESS($AJ61,MATCH(R$1,INDIRECT("Table!A" &amp; $AN61):INDIRECT("Table!" &amp; $AR$159 &amp; $AN61),0)))))</f>
        <v>181997.8</v>
      </c>
      <c r="S61" s="35">
        <f ca="1">IF(ISERROR(MATCH(S$1,INDIRECT("Table!A"&amp;$AN61):INDIRECT("Table!" &amp; $AR$159 &amp; $AN61),0)),"",INDIRECT(CONCATENATE("Table!",ADDRESS($AJ61,MATCH(S$1,INDIRECT("Table!A" &amp; $AN61):INDIRECT("Table!" &amp; $AR$159 &amp; $AN61),0)))))</f>
        <v>121331.8</v>
      </c>
      <c r="T61" s="35">
        <f ca="1">IF(ISERROR(MATCH(T$1,INDIRECT("Table!A"&amp;$AN61):INDIRECT("Table!" &amp; $AR$159 &amp; $AN61),0)),"",INDIRECT(CONCATENATE("Table!",ADDRESS($AJ61,MATCH(T$1,INDIRECT("Table!A" &amp; $AN61):INDIRECT("Table!" &amp; $AR$159 &amp; $AN61),0)))))</f>
        <v>110071.9</v>
      </c>
      <c r="U61" s="35">
        <f ca="1">IF(ISERROR(MATCH(U$1,INDIRECT("Table!A"&amp;$AN61):INDIRECT("Table!" &amp; $AR$159 &amp; $AN61),0)),"",INDIRECT(CONCATENATE("Table!",ADDRESS($AJ61,MATCH(U$1,INDIRECT("Table!A" &amp; $AN61):INDIRECT("Table!" &amp; $AR$159 &amp; $AN61),0)))))</f>
        <v>121331.8</v>
      </c>
      <c r="V61" s="35">
        <f ca="1">IF(ISERROR(MATCH(V$1,INDIRECT("Table!A"&amp;$AN61):INDIRECT("Table!" &amp; $AR$159 &amp; $AN61),0)),"",INDIRECT(CONCATENATE("Table!",ADDRESS($AJ61,MATCH(V$1,INDIRECT("Table!A" &amp; $AN61):INDIRECT("Table!" &amp; $AR$159 &amp; $AN61),0)))))</f>
        <v>170967.6</v>
      </c>
      <c r="W61" s="35">
        <f ca="1">IF(ISERROR(MATCH(W$1,INDIRECT("Table!A"&amp;$AN61):INDIRECT("Table!" &amp; $AR$159 &amp; $AN61),0)),"",INDIRECT(CONCATENATE("Table!",ADDRESS($AJ61,MATCH(W$1,INDIRECT("Table!A" &amp; $AN61):INDIRECT("Table!" &amp; $AR$159 &amp; $AN61),0)))))</f>
        <v>132132.20000000001</v>
      </c>
      <c r="X61" s="35">
        <f ca="1">IF(ISERROR(MATCH(X$1,INDIRECT("Table!A"&amp;$AN61):INDIRECT("Table!" &amp; $AR$159 &amp; $AN61),0)),"",INDIRECT(CONCATENATE("Table!",ADDRESS($AJ61,MATCH(X$1,INDIRECT("Table!A" &amp; $AN61):INDIRECT("Table!" &amp; $AR$159 &amp; $AN61),0)))))</f>
        <v>60665.9</v>
      </c>
      <c r="Y61" s="35">
        <f ca="1">IF(ISERROR(MATCH(Y$1,INDIRECT("Table!A"&amp;$AN61):INDIRECT("Table!" &amp; $AR$159 &amp; $AN61),0)),"",INDIRECT(CONCATENATE("Table!",ADDRESS($AJ61,MATCH(Y$1,INDIRECT("Table!A" &amp; $AN61):INDIRECT("Table!" &amp; $AR$159 &amp; $AN61),0)))))</f>
        <v>176482.7</v>
      </c>
      <c r="Z61" s="35">
        <f ca="1">IF(ISERROR(MATCH(Z$1,INDIRECT("Table!A"&amp;$AN61):INDIRECT("Table!" &amp; $AR$159 &amp; $AN61),0)),"",INDIRECT(CONCATENATE("Table!",ADDRESS($AJ61,MATCH(Z$1,INDIRECT("Table!A" &amp; $AN61):INDIRECT("Table!" &amp; $AR$159 &amp; $AN61),0)))))</f>
        <v>54921</v>
      </c>
      <c r="AA61" s="12"/>
      <c r="AB61" s="12">
        <f>MATCH($A61,Table!$A:$A,0)+$AD$2-1</f>
        <v>975</v>
      </c>
      <c r="AF61" s="31">
        <f>MATCH($A61,Table!$A:$A,0)+$AH$2-1</f>
        <v>973</v>
      </c>
      <c r="AJ61" s="12">
        <f>MATCH($A61,Table!$A:$A,0)+$AL$2-1</f>
        <v>974</v>
      </c>
      <c r="AN61" s="31">
        <f>MATCH($A61,Table!$A:$A,0)+$AH$2-1</f>
        <v>973</v>
      </c>
      <c r="AR61" s="215" t="s">
        <v>118</v>
      </c>
    </row>
    <row r="62" spans="1:44">
      <c r="A62" s="5">
        <v>41095</v>
      </c>
      <c r="B62" s="35">
        <f ca="1">IF(ISERROR(MATCH(B$1,INDIRECT("Table!A"&amp;$AF62):INDIRECT("Table!" &amp; $AR$159 &amp; $AF62),0)),"",INDIRECT(CONCATENATE("Table!",ADDRESS($AB62,MATCH(B$1,INDIRECT("Table!A" &amp; $AF62):INDIRECT("Table!" &amp; $AR$159 &amp; $AF62),0)))))</f>
        <v>91999.4</v>
      </c>
      <c r="C62" s="35">
        <f ca="1">IF(ISERROR(MATCH(C$1,INDIRECT("Table!A"&amp;$AF62):INDIRECT("Table!" &amp; $AR$159 &amp; $AF62),0)),"",INDIRECT(CONCATENATE("Table!",ADDRESS($AB62,MATCH(C$1,INDIRECT("Table!A" &amp; $AF62):INDIRECT("Table!" &amp; $AR$159 &amp; $AF62),0)))))</f>
        <v>69239</v>
      </c>
      <c r="D62" s="35">
        <f ca="1">IF(ISERROR(MATCH(D$1,INDIRECT("Table!A"&amp;$AF62):INDIRECT("Table!" &amp; $AR$159 &amp; $AF62),0)),"",INDIRECT(CONCATENATE("Table!",ADDRESS($AB62,MATCH(D$1,INDIRECT("Table!A" &amp; $AF62):INDIRECT("Table!" &amp; $AR$159 &amp; $AF62),0)))))</f>
        <v>70812</v>
      </c>
      <c r="E62" s="35">
        <f ca="1">IF(ISERROR(MATCH(E$1,INDIRECT("Table!A"&amp;$AF62):INDIRECT("Table!" &amp; $AR$159 &amp; $AF62),0)),"",INDIRECT(CONCATENATE("Table!",ADDRESS($AB62,MATCH(E$1,INDIRECT("Table!A" &amp; $AF62):INDIRECT("Table!" &amp; $AR$159 &amp; $AF62),0)))))</f>
        <v>151468.6</v>
      </c>
      <c r="F62" s="35">
        <f ca="1">IF(ISERROR(MATCH(F$1,INDIRECT("Table!A"&amp;$AF62):INDIRECT("Table!" &amp; $AR$159 &amp; $AF62),0)),"",INDIRECT(CONCATENATE("Table!",ADDRESS($AB62,MATCH(F$1,INDIRECT("Table!A" &amp; $AF62):INDIRECT("Table!" &amp; $AR$159 &amp; $AF62),0)))))</f>
        <v>26482.2</v>
      </c>
      <c r="G62" s="35">
        <f ca="1">IF(ISERROR(MATCH(G$1,INDIRECT("Table!A"&amp;$AF62):INDIRECT("Table!" &amp; $AR$159 &amp; $AF62),0)),"",INDIRECT(CONCATENATE("Table!",ADDRESS($AB62,MATCH(G$1,INDIRECT("Table!A" &amp; $AF62):INDIRECT("Table!" &amp; $AR$159 &amp; $AF62),0)))))</f>
        <v>44205.9</v>
      </c>
      <c r="H62" s="35">
        <f ca="1">IF(ISERROR(MATCH(H$1,INDIRECT("Table!A"&amp;$AF62):INDIRECT("Table!" &amp; $AR$159 &amp; $AF62),0)),"",INDIRECT(CONCATENATE("Table!",ADDRESS($AB62,MATCH(H$1,INDIRECT("Table!A" &amp; $AF62):INDIRECT("Table!" &amp; $AR$159 &amp; $AF62),0)))))</f>
        <v>21527.3</v>
      </c>
      <c r="I62" s="35">
        <f ca="1">IF(ISERROR(MATCH(I$1,INDIRECT("Table!A"&amp;$AF62):INDIRECT("Table!" &amp; $AR$159 &amp; $AF62),0)),"",INDIRECT(CONCATENATE("Table!",ADDRESS($AB62,MATCH(I$1,INDIRECT("Table!A" &amp; $AF62):INDIRECT("Table!" &amp; $AR$159 &amp; $AF62),0)))))</f>
        <v>136795.20000000001</v>
      </c>
      <c r="J62" s="35">
        <f ca="1">IF(ISERROR(MATCH(J$1,INDIRECT("Table!A"&amp;$AF62):INDIRECT("Table!" &amp; $AR$159 &amp; $AF62),0)),"",INDIRECT(CONCATENATE("Table!",ADDRESS($AB62,MATCH(J$1,INDIRECT("Table!A" &amp; $AF62):INDIRECT("Table!" &amp; $AR$159 &amp; $AF62),0)))))</f>
        <v>49683.4</v>
      </c>
      <c r="K62" s="35">
        <f ca="1">IF(ISERROR(MATCH(K$1,INDIRECT("Table!A"&amp;$AF62):INDIRECT("Table!" &amp; $AR$159 &amp; $AF62),0)),"",INDIRECT(CONCATENATE("Table!",ADDRESS($AB62,MATCH(K$1,INDIRECT("Table!A" &amp; $AF62):INDIRECT("Table!" &amp; $AR$159 &amp; $AF62),0)))))</f>
        <v>18002.400000000001</v>
      </c>
      <c r="L62" s="35">
        <f ca="1">IF(ISERROR(MATCH(L$1,INDIRECT("Table!A"&amp;$AF62):INDIRECT("Table!" &amp; $AR$159 &amp; $AF62),0)),"",INDIRECT(CONCATENATE("Table!",ADDRESS($AB62,MATCH(L$1,INDIRECT("Table!A" &amp; $AF62):INDIRECT("Table!" &amp; $AR$159 &amp; $AF62),0)))))</f>
        <v>81878.600000000006</v>
      </c>
      <c r="M62" s="35">
        <f ca="1">IF(ISERROR(MATCH(M$1,INDIRECT("Table!A"&amp;$AF62):INDIRECT("Table!" &amp; $AR$159 &amp; $AF62),0)),"",INDIRECT(CONCATENATE("Table!",ADDRESS($AB62,MATCH(M$1,INDIRECT("Table!A" &amp; $AF62):INDIRECT("Table!" &amp; $AR$159 &amp; $AF62),0)))))</f>
        <v>23973.599999999999</v>
      </c>
      <c r="N62" s="35" t="str">
        <f ca="1">IF(ISERROR(MATCH(N$1,INDIRECT("Table!A"&amp;$AF62):INDIRECT("Table!" &amp; $AR$188 &amp; $AF62),0)),"",INDIRECT(CONCATENATE("Table!",ADDRESS($AB62,MATCH(N$1,INDIRECT("Table!A" &amp; $AF62):INDIRECT("Table!" &amp; $AR$188 &amp; $AF62),0)))))</f>
        <v/>
      </c>
      <c r="O62" s="35">
        <f ca="1">IF(ISERROR(MATCH(O$1,INDIRECT("Table!A"&amp;$AN62):INDIRECT("Table!" &amp; $AR$159 &amp; $AN62),0)),"",INDIRECT(CONCATENATE("Table!",ADDRESS($AJ62,MATCH(O$1,INDIRECT("Table!A" &amp; $AN62):INDIRECT("Table!" &amp; $AR$159 &amp; $AN62),0)))))</f>
        <v>115816.8</v>
      </c>
      <c r="P62" s="35">
        <f ca="1">IF(ISERROR(MATCH(P$1,INDIRECT("Table!A"&amp;$AN62):INDIRECT("Table!" &amp; $AR$159 &amp; $AN62),0)),"",INDIRECT(CONCATENATE("Table!",ADDRESS($AJ62,MATCH(P$1,INDIRECT("Table!A" &amp; $AN62):INDIRECT("Table!" &amp; $AR$159 &amp; $AN62),0)))))</f>
        <v>99041.7</v>
      </c>
      <c r="Q62" s="35">
        <f ca="1">IF(ISERROR(MATCH(Q$1,INDIRECT("Table!A"&amp;$AN62):INDIRECT("Table!" &amp; $AR$159 &amp; $AN62),0)),"",INDIRECT(CONCATENATE("Table!",ADDRESS($AJ62,MATCH(Q$1,INDIRECT("Table!A" &amp; $AN62):INDIRECT("Table!" &amp; $AR$159 &amp; $AN62),0)))))</f>
        <v>99041.7</v>
      </c>
      <c r="R62" s="35">
        <f ca="1">IF(ISERROR(MATCH(R$1,INDIRECT("Table!A"&amp;$AN62):INDIRECT("Table!" &amp; $AR$159 &amp; $AN62),0)),"",INDIRECT(CONCATENATE("Table!",ADDRESS($AJ62,MATCH(R$1,INDIRECT("Table!A" &amp; $AN62):INDIRECT("Table!" &amp; $AR$159 &amp; $AN62),0)))))</f>
        <v>181997.8</v>
      </c>
      <c r="S62" s="35">
        <f ca="1">IF(ISERROR(MATCH(S$1,INDIRECT("Table!A"&amp;$AN62):INDIRECT("Table!" &amp; $AR$159 &amp; $AN62),0)),"",INDIRECT(CONCATENATE("Table!",ADDRESS($AJ62,MATCH(S$1,INDIRECT("Table!A" &amp; $AN62):INDIRECT("Table!" &amp; $AR$159 &amp; $AN62),0)))))</f>
        <v>121331.8</v>
      </c>
      <c r="T62" s="35">
        <f ca="1">IF(ISERROR(MATCH(T$1,INDIRECT("Table!A"&amp;$AN62):INDIRECT("Table!" &amp; $AR$159 &amp; $AN62),0)),"",INDIRECT(CONCATENATE("Table!",ADDRESS($AJ62,MATCH(T$1,INDIRECT("Table!A" &amp; $AN62):INDIRECT("Table!" &amp; $AR$159 &amp; $AN62),0)))))</f>
        <v>110071.9</v>
      </c>
      <c r="U62" s="35">
        <f ca="1">IF(ISERROR(MATCH(U$1,INDIRECT("Table!A"&amp;$AN62):INDIRECT("Table!" &amp; $AR$159 &amp; $AN62),0)),"",INDIRECT(CONCATENATE("Table!",ADDRESS($AJ62,MATCH(U$1,INDIRECT("Table!A" &amp; $AN62):INDIRECT("Table!" &amp; $AR$159 &amp; $AN62),0)))))</f>
        <v>121331.8</v>
      </c>
      <c r="V62" s="35">
        <f ca="1">IF(ISERROR(MATCH(V$1,INDIRECT("Table!A"&amp;$AN62):INDIRECT("Table!" &amp; $AR$159 &amp; $AN62),0)),"",INDIRECT(CONCATENATE("Table!",ADDRESS($AJ62,MATCH(V$1,INDIRECT("Table!A" &amp; $AN62):INDIRECT("Table!" &amp; $AR$159 &amp; $AN62),0)))))</f>
        <v>170967.6</v>
      </c>
      <c r="W62" s="35">
        <f ca="1">IF(ISERROR(MATCH(W$1,INDIRECT("Table!A"&amp;$AN62):INDIRECT("Table!" &amp; $AR$159 &amp; $AN62),0)),"",INDIRECT(CONCATENATE("Table!",ADDRESS($AJ62,MATCH(W$1,INDIRECT("Table!A" &amp; $AN62):INDIRECT("Table!" &amp; $AR$159 &amp; $AN62),0)))))</f>
        <v>132132.20000000001</v>
      </c>
      <c r="X62" s="35">
        <f ca="1">IF(ISERROR(MATCH(X$1,INDIRECT("Table!A"&amp;$AN62):INDIRECT("Table!" &amp; $AR$159 &amp; $AN62),0)),"",INDIRECT(CONCATENATE("Table!",ADDRESS($AJ62,MATCH(X$1,INDIRECT("Table!A" &amp; $AN62):INDIRECT("Table!" &amp; $AR$159 &amp; $AN62),0)))))</f>
        <v>60665.9</v>
      </c>
      <c r="Y62" s="35">
        <f ca="1">IF(ISERROR(MATCH(Y$1,INDIRECT("Table!A"&amp;$AN62):INDIRECT("Table!" &amp; $AR$159 &amp; $AN62),0)),"",INDIRECT(CONCATENATE("Table!",ADDRESS($AJ62,MATCH(Y$1,INDIRECT("Table!A" &amp; $AN62):INDIRECT("Table!" &amp; $AR$159 &amp; $AN62),0)))))</f>
        <v>176482.7</v>
      </c>
      <c r="Z62" s="35">
        <f ca="1">IF(ISERROR(MATCH(Z$1,INDIRECT("Table!A"&amp;$AN62):INDIRECT("Table!" &amp; $AR$159 &amp; $AN62),0)),"",INDIRECT(CONCATENATE("Table!",ADDRESS($AJ62,MATCH(Z$1,INDIRECT("Table!A" &amp; $AN62):INDIRECT("Table!" &amp; $AR$159 &amp; $AN62),0)))))</f>
        <v>54921</v>
      </c>
      <c r="AA62" s="12"/>
      <c r="AB62" s="12">
        <f>MATCH($A62,Table!$A:$A,0)+$AD$2-1</f>
        <v>988</v>
      </c>
      <c r="AF62" s="31">
        <f>MATCH($A62,Table!$A:$A,0)+$AH$2-1</f>
        <v>986</v>
      </c>
      <c r="AJ62" s="12">
        <f>MATCH($A62,Table!$A:$A,0)+$AL$2-1</f>
        <v>987</v>
      </c>
      <c r="AN62" s="31">
        <f>MATCH($A62,Table!$A:$A,0)+$AH$2-1</f>
        <v>986</v>
      </c>
      <c r="AR62" s="213" t="s">
        <v>118</v>
      </c>
    </row>
    <row r="63" spans="1:44">
      <c r="A63" s="5">
        <v>41094</v>
      </c>
      <c r="B63" s="35">
        <f ca="1">IF(ISERROR(MATCH(B$1,INDIRECT("Table!A"&amp;$AF63):INDIRECT("Table!" &amp; $AR$159 &amp; $AF63),0)),"",INDIRECT(CONCATENATE("Table!",ADDRESS($AB63,MATCH(B$1,INDIRECT("Table!A" &amp; $AF63):INDIRECT("Table!" &amp; $AR$159 &amp; $AF63),0)))))</f>
        <v>91991.7</v>
      </c>
      <c r="C63" s="35">
        <f ca="1">IF(ISERROR(MATCH(C$1,INDIRECT("Table!A"&amp;$AF63):INDIRECT("Table!" &amp; $AR$159 &amp; $AF63),0)),"",INDIRECT(CONCATENATE("Table!",ADDRESS($AB63,MATCH(C$1,INDIRECT("Table!A" &amp; $AF63):INDIRECT("Table!" &amp; $AR$159 &amp; $AF63),0)))))</f>
        <v>69233.3</v>
      </c>
      <c r="D63" s="35">
        <f ca="1">IF(ISERROR(MATCH(D$1,INDIRECT("Table!A"&amp;$AF63):INDIRECT("Table!" &amp; $AR$159 &amp; $AF63),0)),"",INDIRECT(CONCATENATE("Table!",ADDRESS($AB63,MATCH(D$1,INDIRECT("Table!A" &amp; $AF63):INDIRECT("Table!" &amp; $AR$159 &amp; $AF63),0)))))</f>
        <v>70806.399999999994</v>
      </c>
      <c r="E63" s="35">
        <f ca="1">IF(ISERROR(MATCH(E$1,INDIRECT("Table!A"&amp;$AF63):INDIRECT("Table!" &amp; $AR$159 &amp; $AF63),0)),"",INDIRECT(CONCATENATE("Table!",ADDRESS($AB63,MATCH(E$1,INDIRECT("Table!A" &amp; $AF63):INDIRECT("Table!" &amp; $AR$159 &amp; $AF63),0)))))</f>
        <v>151388.79999999999</v>
      </c>
      <c r="F63" s="35">
        <f ca="1">IF(ISERROR(MATCH(F$1,INDIRECT("Table!A"&amp;$AF63):INDIRECT("Table!" &amp; $AR$159 &amp; $AF63),0)),"",INDIRECT(CONCATENATE("Table!",ADDRESS($AB63,MATCH(F$1,INDIRECT("Table!A" &amp; $AF63):INDIRECT("Table!" &amp; $AR$159 &amp; $AF63),0)))))</f>
        <v>23846.1</v>
      </c>
      <c r="G63" s="35">
        <f ca="1">IF(ISERROR(MATCH(G$1,INDIRECT("Table!A"&amp;$AF63):INDIRECT("Table!" &amp; $AR$159 &amp; $AF63),0)),"",INDIRECT(CONCATENATE("Table!",ADDRESS($AB63,MATCH(G$1,INDIRECT("Table!A" &amp; $AF63):INDIRECT("Table!" &amp; $AR$159 &amp; $AF63),0)))))</f>
        <v>44223.199999999997</v>
      </c>
      <c r="H63" s="35">
        <f ca="1">IF(ISERROR(MATCH(H$1,INDIRECT("Table!A"&amp;$AF63):INDIRECT("Table!" &amp; $AR$159 &amp; $AF63),0)),"",INDIRECT(CONCATENATE("Table!",ADDRESS($AB63,MATCH(H$1,INDIRECT("Table!A" &amp; $AF63):INDIRECT("Table!" &amp; $AR$159 &amp; $AF63),0)))))</f>
        <v>21485.200000000001</v>
      </c>
      <c r="I63" s="35">
        <f ca="1">IF(ISERROR(MATCH(I$1,INDIRECT("Table!A"&amp;$AF63):INDIRECT("Table!" &amp; $AR$159 &amp; $AF63),0)),"",INDIRECT(CONCATENATE("Table!",ADDRESS($AB63,MATCH(I$1,INDIRECT("Table!A" &amp; $AF63):INDIRECT("Table!" &amp; $AR$159 &amp; $AF63),0)))))</f>
        <v>136777.4</v>
      </c>
      <c r="J63" s="35">
        <f ca="1">IF(ISERROR(MATCH(J$1,INDIRECT("Table!A"&amp;$AF63):INDIRECT("Table!" &amp; $AR$159 &amp; $AF63),0)),"",INDIRECT(CONCATENATE("Table!",ADDRESS($AB63,MATCH(J$1,INDIRECT("Table!A" &amp; $AF63):INDIRECT("Table!" &amp; $AR$159 &amp; $AF63),0)))))</f>
        <v>49644.5</v>
      </c>
      <c r="K63" s="35">
        <f ca="1">IF(ISERROR(MATCH(K$1,INDIRECT("Table!A"&amp;$AF63):INDIRECT("Table!" &amp; $AR$159 &amp; $AF63),0)),"",INDIRECT(CONCATENATE("Table!",ADDRESS($AB63,MATCH(K$1,INDIRECT("Table!A" &amp; $AF63):INDIRECT("Table!" &amp; $AR$159 &amp; $AF63),0)))))</f>
        <v>17910.099999999999</v>
      </c>
      <c r="L63" s="35">
        <f ca="1">IF(ISERROR(MATCH(L$1,INDIRECT("Table!A"&amp;$AF63):INDIRECT("Table!" &amp; $AR$159 &amp; $AF63),0)),"",INDIRECT(CONCATENATE("Table!",ADDRESS($AB63,MATCH(L$1,INDIRECT("Table!A" &amp; $AF63):INDIRECT("Table!" &amp; $AR$159 &amp; $AF63),0)))))</f>
        <v>81796.3</v>
      </c>
      <c r="M63" s="35">
        <f ca="1">IF(ISERROR(MATCH(M$1,INDIRECT("Table!A"&amp;$AF63):INDIRECT("Table!" &amp; $AR$159 &amp; $AF63),0)),"",INDIRECT(CONCATENATE("Table!",ADDRESS($AB63,MATCH(M$1,INDIRECT("Table!A" &amp; $AF63):INDIRECT("Table!" &amp; $AR$159 &amp; $AF63),0)))))</f>
        <v>23973.599999999999</v>
      </c>
      <c r="N63" s="35" t="str">
        <f ca="1">IF(ISERROR(MATCH(N$1,INDIRECT("Table!A"&amp;$AF63):INDIRECT("Table!" &amp; $AR$188 &amp; $AF63),0)),"",INDIRECT(CONCATENATE("Table!",ADDRESS($AB63,MATCH(N$1,INDIRECT("Table!A" &amp; $AF63):INDIRECT("Table!" &amp; $AR$188 &amp; $AF63),0)))))</f>
        <v/>
      </c>
      <c r="O63" s="35">
        <f ca="1">IF(ISERROR(MATCH(O$1,INDIRECT("Table!A"&amp;$AN63):INDIRECT("Table!" &amp; $AR$159 &amp; $AN63),0)),"",INDIRECT(CONCATENATE("Table!",ADDRESS($AJ63,MATCH(O$1,INDIRECT("Table!A" &amp; $AN63):INDIRECT("Table!" &amp; $AR$159 &amp; $AN63),0)))))</f>
        <v>115816.8</v>
      </c>
      <c r="P63" s="35">
        <f ca="1">IF(ISERROR(MATCH(P$1,INDIRECT("Table!A"&amp;$AN63):INDIRECT("Table!" &amp; $AR$159 &amp; $AN63),0)),"",INDIRECT(CONCATENATE("Table!",ADDRESS($AJ63,MATCH(P$1,INDIRECT("Table!A" &amp; $AN63):INDIRECT("Table!" &amp; $AR$159 &amp; $AN63),0)))))</f>
        <v>99041.7</v>
      </c>
      <c r="Q63" s="35">
        <f ca="1">IF(ISERROR(MATCH(Q$1,INDIRECT("Table!A"&amp;$AN63):INDIRECT("Table!" &amp; $AR$159 &amp; $AN63),0)),"",INDIRECT(CONCATENATE("Table!",ADDRESS($AJ63,MATCH(Q$1,INDIRECT("Table!A" &amp; $AN63):INDIRECT("Table!" &amp; $AR$159 &amp; $AN63),0)))))</f>
        <v>99041.7</v>
      </c>
      <c r="R63" s="35">
        <f ca="1">IF(ISERROR(MATCH(R$1,INDIRECT("Table!A"&amp;$AN63):INDIRECT("Table!" &amp; $AR$159 &amp; $AN63),0)),"",INDIRECT(CONCATENATE("Table!",ADDRESS($AJ63,MATCH(R$1,INDIRECT("Table!A" &amp; $AN63):INDIRECT("Table!" &amp; $AR$159 &amp; $AN63),0)))))</f>
        <v>181997.8</v>
      </c>
      <c r="S63" s="35">
        <f ca="1">IF(ISERROR(MATCH(S$1,INDIRECT("Table!A"&amp;$AN63):INDIRECT("Table!" &amp; $AR$159 &amp; $AN63),0)),"",INDIRECT(CONCATENATE("Table!",ADDRESS($AJ63,MATCH(S$1,INDIRECT("Table!A" &amp; $AN63):INDIRECT("Table!" &amp; $AR$159 &amp; $AN63),0)))))</f>
        <v>121331.8</v>
      </c>
      <c r="T63" s="35">
        <f ca="1">IF(ISERROR(MATCH(T$1,INDIRECT("Table!A"&amp;$AN63):INDIRECT("Table!" &amp; $AR$159 &amp; $AN63),0)),"",INDIRECT(CONCATENATE("Table!",ADDRESS($AJ63,MATCH(T$1,INDIRECT("Table!A" &amp; $AN63):INDIRECT("Table!" &amp; $AR$159 &amp; $AN63),0)))))</f>
        <v>110071.9</v>
      </c>
      <c r="U63" s="35">
        <f ca="1">IF(ISERROR(MATCH(U$1,INDIRECT("Table!A"&amp;$AN63):INDIRECT("Table!" &amp; $AR$159 &amp; $AN63),0)),"",INDIRECT(CONCATENATE("Table!",ADDRESS($AJ63,MATCH(U$1,INDIRECT("Table!A" &amp; $AN63):INDIRECT("Table!" &amp; $AR$159 &amp; $AN63),0)))))</f>
        <v>121331.8</v>
      </c>
      <c r="V63" s="35">
        <f ca="1">IF(ISERROR(MATCH(V$1,INDIRECT("Table!A"&amp;$AN63):INDIRECT("Table!" &amp; $AR$159 &amp; $AN63),0)),"",INDIRECT(CONCATENATE("Table!",ADDRESS($AJ63,MATCH(V$1,INDIRECT("Table!A" &amp; $AN63):INDIRECT("Table!" &amp; $AR$159 &amp; $AN63),0)))))</f>
        <v>170967.6</v>
      </c>
      <c r="W63" s="35">
        <f ca="1">IF(ISERROR(MATCH(W$1,INDIRECT("Table!A"&amp;$AN63):INDIRECT("Table!" &amp; $AR$159 &amp; $AN63),0)),"",INDIRECT(CONCATENATE("Table!",ADDRESS($AJ63,MATCH(W$1,INDIRECT("Table!A" &amp; $AN63):INDIRECT("Table!" &amp; $AR$159 &amp; $AN63),0)))))</f>
        <v>132132.20000000001</v>
      </c>
      <c r="X63" s="35">
        <f ca="1">IF(ISERROR(MATCH(X$1,INDIRECT("Table!A"&amp;$AN63):INDIRECT("Table!" &amp; $AR$159 &amp; $AN63),0)),"",INDIRECT(CONCATENATE("Table!",ADDRESS($AJ63,MATCH(X$1,INDIRECT("Table!A" &amp; $AN63):INDIRECT("Table!" &amp; $AR$159 &amp; $AN63),0)))))</f>
        <v>60665.9</v>
      </c>
      <c r="Y63" s="35">
        <f ca="1">IF(ISERROR(MATCH(Y$1,INDIRECT("Table!A"&amp;$AN63):INDIRECT("Table!" &amp; $AR$159 &amp; $AN63),0)),"",INDIRECT(CONCATENATE("Table!",ADDRESS($AJ63,MATCH(Y$1,INDIRECT("Table!A" &amp; $AN63):INDIRECT("Table!" &amp; $AR$159 &amp; $AN63),0)))))</f>
        <v>176482.7</v>
      </c>
      <c r="Z63" s="35">
        <f ca="1">IF(ISERROR(MATCH(Z$1,INDIRECT("Table!A"&amp;$AN63):INDIRECT("Table!" &amp; $AR$159 &amp; $AN63),0)),"",INDIRECT(CONCATENATE("Table!",ADDRESS($AJ63,MATCH(Z$1,INDIRECT("Table!A" &amp; $AN63):INDIRECT("Table!" &amp; $AR$159 &amp; $AN63),0)))))</f>
        <v>54921</v>
      </c>
      <c r="AA63" s="12"/>
      <c r="AB63" s="12">
        <f>MATCH($A63,Table!$A:$A,0)+$AD$2-1</f>
        <v>1001</v>
      </c>
      <c r="AF63" s="31">
        <f>MATCH($A63,Table!$A:$A,0)+$AH$2-1</f>
        <v>999</v>
      </c>
      <c r="AJ63" s="12">
        <f>MATCH($A63,Table!$A:$A,0)+$AL$2-1</f>
        <v>1000</v>
      </c>
      <c r="AN63" s="31">
        <f>MATCH($A63,Table!$A:$A,0)+$AH$2-1</f>
        <v>999</v>
      </c>
      <c r="AR63" s="214" t="s">
        <v>118</v>
      </c>
    </row>
    <row r="64" spans="1:44">
      <c r="A64" s="5">
        <v>41093</v>
      </c>
      <c r="B64" s="35">
        <f ca="1">IF(ISERROR(MATCH(B$1,INDIRECT("Table!A"&amp;$AF64):INDIRECT("Table!" &amp; $AR$159 &amp; $AF64),0)),"",INDIRECT(CONCATENATE("Table!",ADDRESS($AB64,MATCH(B$1,INDIRECT("Table!A" &amp; $AF64):INDIRECT("Table!" &amp; $AR$159 &amp; $AF64),0)))))</f>
        <v>91978.8</v>
      </c>
      <c r="C64" s="35">
        <f ca="1">IF(ISERROR(MATCH(C$1,INDIRECT("Table!A"&amp;$AF64):INDIRECT("Table!" &amp; $AR$159 &amp; $AF64),0)),"",INDIRECT(CONCATENATE("Table!",ADDRESS($AB64,MATCH(C$1,INDIRECT("Table!A" &amp; $AF64):INDIRECT("Table!" &amp; $AR$159 &amp; $AF64),0)))))</f>
        <v>69226.7</v>
      </c>
      <c r="D64" s="35">
        <f ca="1">IF(ISERROR(MATCH(D$1,INDIRECT("Table!A"&amp;$AF64):INDIRECT("Table!" &amp; $AR$159 &amp; $AF64),0)),"",INDIRECT(CONCATENATE("Table!",ADDRESS($AB64,MATCH(D$1,INDIRECT("Table!A" &amp; $AF64):INDIRECT("Table!" &amp; $AR$159 &amp; $AF64),0)))))</f>
        <v>70801.5</v>
      </c>
      <c r="E64" s="35">
        <f ca="1">IF(ISERROR(MATCH(E$1,INDIRECT("Table!A"&amp;$AF64):INDIRECT("Table!" &amp; $AR$159 &amp; $AF64),0)),"",INDIRECT(CONCATENATE("Table!",ADDRESS($AB64,MATCH(E$1,INDIRECT("Table!A" &amp; $AF64):INDIRECT("Table!" &amp; $AR$159 &amp; $AF64),0)))))</f>
        <v>151291.70000000001</v>
      </c>
      <c r="F64" s="35">
        <f ca="1">IF(ISERROR(MATCH(F$1,INDIRECT("Table!A"&amp;$AF64):INDIRECT("Table!" &amp; $AR$159 &amp; $AF64),0)),"",INDIRECT(CONCATENATE("Table!",ADDRESS($AB64,MATCH(F$1,INDIRECT("Table!A" &amp; $AF64):INDIRECT("Table!" &amp; $AR$159 &amp; $AF64),0)))))</f>
        <v>23774.9</v>
      </c>
      <c r="G64" s="35">
        <f ca="1">IF(ISERROR(MATCH(G$1,INDIRECT("Table!A"&amp;$AF64):INDIRECT("Table!" &amp; $AR$159 &amp; $AF64),0)),"",INDIRECT(CONCATENATE("Table!",ADDRESS($AB64,MATCH(G$1,INDIRECT("Table!A" &amp; $AF64):INDIRECT("Table!" &amp; $AR$159 &amp; $AF64),0)))))</f>
        <v>44231.5</v>
      </c>
      <c r="H64" s="35">
        <f ca="1">IF(ISERROR(MATCH(H$1,INDIRECT("Table!A"&amp;$AF64):INDIRECT("Table!" &amp; $AR$159 &amp; $AF64),0)),"",INDIRECT(CONCATENATE("Table!",ADDRESS($AB64,MATCH(H$1,INDIRECT("Table!A" &amp; $AF64):INDIRECT("Table!" &amp; $AR$159 &amp; $AF64),0)))))</f>
        <v>21473.3</v>
      </c>
      <c r="I64" s="35">
        <f ca="1">IF(ISERROR(MATCH(I$1,INDIRECT("Table!A"&amp;$AF64):INDIRECT("Table!" &amp; $AR$159 &amp; $AF64),0)),"",INDIRECT(CONCATENATE("Table!",ADDRESS($AB64,MATCH(I$1,INDIRECT("Table!A" &amp; $AF64):INDIRECT("Table!" &amp; $AR$159 &amp; $AF64),0)))))</f>
        <v>136747.20000000001</v>
      </c>
      <c r="J64" s="35">
        <f ca="1">IF(ISERROR(MATCH(J$1,INDIRECT("Table!A"&amp;$AF64):INDIRECT("Table!" &amp; $AR$159 &amp; $AF64),0)),"",INDIRECT(CONCATENATE("Table!",ADDRESS($AB64,MATCH(J$1,INDIRECT("Table!A" &amp; $AF64):INDIRECT("Table!" &amp; $AR$159 &amp; $AF64),0)))))</f>
        <v>49602</v>
      </c>
      <c r="K64" s="35">
        <f ca="1">IF(ISERROR(MATCH(K$1,INDIRECT("Table!A"&amp;$AF64):INDIRECT("Table!" &amp; $AR$159 &amp; $AF64),0)),"",INDIRECT(CONCATENATE("Table!",ADDRESS($AB64,MATCH(K$1,INDIRECT("Table!A" &amp; $AF64):INDIRECT("Table!" &amp; $AR$159 &amp; $AF64),0)))))</f>
        <v>17686.7</v>
      </c>
      <c r="L64" s="35">
        <f ca="1">IF(ISERROR(MATCH(L$1,INDIRECT("Table!A"&amp;$AF64):INDIRECT("Table!" &amp; $AR$159 &amp; $AF64),0)),"",INDIRECT(CONCATENATE("Table!",ADDRESS($AB64,MATCH(L$1,INDIRECT("Table!A" &amp; $AF64):INDIRECT("Table!" &amp; $AR$159 &amp; $AF64),0)))))</f>
        <v>81773.5</v>
      </c>
      <c r="M64" s="35">
        <f ca="1">IF(ISERROR(MATCH(M$1,INDIRECT("Table!A"&amp;$AF64):INDIRECT("Table!" &amp; $AR$159 &amp; $AF64),0)),"",INDIRECT(CONCATENATE("Table!",ADDRESS($AB64,MATCH(M$1,INDIRECT("Table!A" &amp; $AF64):INDIRECT("Table!" &amp; $AR$159 &amp; $AF64),0)))))</f>
        <v>23973.4</v>
      </c>
      <c r="N64" s="35" t="str">
        <f ca="1">IF(ISERROR(MATCH(N$1,INDIRECT("Table!A"&amp;$AF64):INDIRECT("Table!" &amp; $AR$188 &amp; $AF64),0)),"",INDIRECT(CONCATENATE("Table!",ADDRESS($AB64,MATCH(N$1,INDIRECT("Table!A" &amp; $AF64):INDIRECT("Table!" &amp; $AR$188 &amp; $AF64),0)))))</f>
        <v/>
      </c>
      <c r="O64" s="35">
        <f ca="1">IF(ISERROR(MATCH(O$1,INDIRECT("Table!A"&amp;$AN64):INDIRECT("Table!" &amp; $AR$159 &amp; $AN64),0)),"",INDIRECT(CONCATENATE("Table!",ADDRESS($AJ64,MATCH(O$1,INDIRECT("Table!A" &amp; $AN64):INDIRECT("Table!" &amp; $AR$159 &amp; $AN64),0)))))</f>
        <v>115816.8</v>
      </c>
      <c r="P64" s="35">
        <f ca="1">IF(ISERROR(MATCH(P$1,INDIRECT("Table!A"&amp;$AN64):INDIRECT("Table!" &amp; $AR$159 &amp; $AN64),0)),"",INDIRECT(CONCATENATE("Table!",ADDRESS($AJ64,MATCH(P$1,INDIRECT("Table!A" &amp; $AN64):INDIRECT("Table!" &amp; $AR$159 &amp; $AN64),0)))))</f>
        <v>99041.7</v>
      </c>
      <c r="Q64" s="35">
        <f ca="1">IF(ISERROR(MATCH(Q$1,INDIRECT("Table!A"&amp;$AN64):INDIRECT("Table!" &amp; $AR$159 &amp; $AN64),0)),"",INDIRECT(CONCATENATE("Table!",ADDRESS($AJ64,MATCH(Q$1,INDIRECT("Table!A" &amp; $AN64):INDIRECT("Table!" &amp; $AR$159 &amp; $AN64),0)))))</f>
        <v>99041.7</v>
      </c>
      <c r="R64" s="35">
        <f ca="1">IF(ISERROR(MATCH(R$1,INDIRECT("Table!A"&amp;$AN64):INDIRECT("Table!" &amp; $AR$159 &amp; $AN64),0)),"",INDIRECT(CONCATENATE("Table!",ADDRESS($AJ64,MATCH(R$1,INDIRECT("Table!A" &amp; $AN64):INDIRECT("Table!" &amp; $AR$159 &amp; $AN64),0)))))</f>
        <v>181997.8</v>
      </c>
      <c r="S64" s="35">
        <f ca="1">IF(ISERROR(MATCH(S$1,INDIRECT("Table!A"&amp;$AN64):INDIRECT("Table!" &amp; $AR$159 &amp; $AN64),0)),"",INDIRECT(CONCATENATE("Table!",ADDRESS($AJ64,MATCH(S$1,INDIRECT("Table!A" &amp; $AN64):INDIRECT("Table!" &amp; $AR$159 &amp; $AN64),0)))))</f>
        <v>121331.8</v>
      </c>
      <c r="T64" s="35">
        <f ca="1">IF(ISERROR(MATCH(T$1,INDIRECT("Table!A"&amp;$AN64):INDIRECT("Table!" &amp; $AR$159 &amp; $AN64),0)),"",INDIRECT(CONCATENATE("Table!",ADDRESS($AJ64,MATCH(T$1,INDIRECT("Table!A" &amp; $AN64):INDIRECT("Table!" &amp; $AR$159 &amp; $AN64),0)))))</f>
        <v>110071.9</v>
      </c>
      <c r="U64" s="35">
        <f ca="1">IF(ISERROR(MATCH(U$1,INDIRECT("Table!A"&amp;$AN64):INDIRECT("Table!" &amp; $AR$159 &amp; $AN64),0)),"",INDIRECT(CONCATENATE("Table!",ADDRESS($AJ64,MATCH(U$1,INDIRECT("Table!A" &amp; $AN64):INDIRECT("Table!" &amp; $AR$159 &amp; $AN64),0)))))</f>
        <v>121331.8</v>
      </c>
      <c r="V64" s="35">
        <f ca="1">IF(ISERROR(MATCH(V$1,INDIRECT("Table!A"&amp;$AN64):INDIRECT("Table!" &amp; $AR$159 &amp; $AN64),0)),"",INDIRECT(CONCATENATE("Table!",ADDRESS($AJ64,MATCH(V$1,INDIRECT("Table!A" &amp; $AN64):INDIRECT("Table!" &amp; $AR$159 &amp; $AN64),0)))))</f>
        <v>170967.6</v>
      </c>
      <c r="W64" s="35">
        <f ca="1">IF(ISERROR(MATCH(W$1,INDIRECT("Table!A"&amp;$AN64):INDIRECT("Table!" &amp; $AR$159 &amp; $AN64),0)),"",INDIRECT(CONCATENATE("Table!",ADDRESS($AJ64,MATCH(W$1,INDIRECT("Table!A" &amp; $AN64):INDIRECT("Table!" &amp; $AR$159 &amp; $AN64),0)))))</f>
        <v>132132.20000000001</v>
      </c>
      <c r="X64" s="35">
        <f ca="1">IF(ISERROR(MATCH(X$1,INDIRECT("Table!A"&amp;$AN64):INDIRECT("Table!" &amp; $AR$159 &amp; $AN64),0)),"",INDIRECT(CONCATENATE("Table!",ADDRESS($AJ64,MATCH(X$1,INDIRECT("Table!A" &amp; $AN64):INDIRECT("Table!" &amp; $AR$159 &amp; $AN64),0)))))</f>
        <v>60665.9</v>
      </c>
      <c r="Y64" s="35">
        <f ca="1">IF(ISERROR(MATCH(Y$1,INDIRECT("Table!A"&amp;$AN64):INDIRECT("Table!" &amp; $AR$159 &amp; $AN64),0)),"",INDIRECT(CONCATENATE("Table!",ADDRESS($AJ64,MATCH(Y$1,INDIRECT("Table!A" &amp; $AN64):INDIRECT("Table!" &amp; $AR$159 &amp; $AN64),0)))))</f>
        <v>176482.7</v>
      </c>
      <c r="Z64" s="35">
        <f ca="1">IF(ISERROR(MATCH(Z$1,INDIRECT("Table!A"&amp;$AN64):INDIRECT("Table!" &amp; $AR$159 &amp; $AN64),0)),"",INDIRECT(CONCATENATE("Table!",ADDRESS($AJ64,MATCH(Z$1,INDIRECT("Table!A" &amp; $AN64):INDIRECT("Table!" &amp; $AR$159 &amp; $AN64),0)))))</f>
        <v>54921</v>
      </c>
      <c r="AA64" s="12"/>
      <c r="AB64" s="12">
        <f>MATCH($A64,Table!$A:$A,0)+$AD$2-1</f>
        <v>1014</v>
      </c>
      <c r="AF64" s="31">
        <f>MATCH($A64,Table!$A:$A,0)+$AH$2-1</f>
        <v>1012</v>
      </c>
      <c r="AJ64" s="12">
        <f>MATCH($A64,Table!$A:$A,0)+$AL$2-1</f>
        <v>1013</v>
      </c>
      <c r="AN64" s="31">
        <f>MATCH($A64,Table!$A:$A,0)+$AH$2-1</f>
        <v>1012</v>
      </c>
      <c r="AR64" s="212" t="s">
        <v>118</v>
      </c>
    </row>
    <row r="65" spans="1:44">
      <c r="A65" s="5">
        <v>41092</v>
      </c>
      <c r="B65" s="35">
        <f ca="1">IF(ISERROR(MATCH(B$1,INDIRECT("Table!A"&amp;$AF65):INDIRECT("Table!" &amp; $AR$159 &amp; $AF65),0)),"",INDIRECT(CONCATENATE("Table!",ADDRESS($AB65,MATCH(B$1,INDIRECT("Table!A" &amp; $AF65):INDIRECT("Table!" &amp; $AR$159 &amp; $AF65),0)))))</f>
        <v>91925.2</v>
      </c>
      <c r="C65" s="35">
        <f ca="1">IF(ISERROR(MATCH(C$1,INDIRECT("Table!A"&amp;$AF65):INDIRECT("Table!" &amp; $AR$159 &amp; $AF65),0)),"",INDIRECT(CONCATENATE("Table!",ADDRESS($AB65,MATCH(C$1,INDIRECT("Table!A" &amp; $AF65):INDIRECT("Table!" &amp; $AR$159 &amp; $AF65),0)))))</f>
        <v>69224.2</v>
      </c>
      <c r="D65" s="35">
        <f ca="1">IF(ISERROR(MATCH(D$1,INDIRECT("Table!A"&amp;$AF65):INDIRECT("Table!" &amp; $AR$159 &amp; $AF65),0)),"",INDIRECT(CONCATENATE("Table!",ADDRESS($AB65,MATCH(D$1,INDIRECT("Table!A" &amp; $AF65):INDIRECT("Table!" &amp; $AR$159 &amp; $AF65),0)))))</f>
        <v>70800.5</v>
      </c>
      <c r="E65" s="35">
        <f ca="1">IF(ISERROR(MATCH(E$1,INDIRECT("Table!A"&amp;$AF65):INDIRECT("Table!" &amp; $AR$159 &amp; $AF65),0)),"",INDIRECT(CONCATENATE("Table!",ADDRESS($AB65,MATCH(E$1,INDIRECT("Table!A" &amp; $AF65):INDIRECT("Table!" &amp; $AR$159 &amp; $AF65),0)))))</f>
        <v>151208.4</v>
      </c>
      <c r="F65" s="35">
        <f ca="1">IF(ISERROR(MATCH(F$1,INDIRECT("Table!A"&amp;$AF65):INDIRECT("Table!" &amp; $AR$159 &amp; $AF65),0)),"",INDIRECT(CONCATENATE("Table!",ADDRESS($AB65,MATCH(F$1,INDIRECT("Table!A" &amp; $AF65):INDIRECT("Table!" &amp; $AR$159 &amp; $AF65),0)))))</f>
        <v>23674.400000000001</v>
      </c>
      <c r="G65" s="35">
        <f ca="1">IF(ISERROR(MATCH(G$1,INDIRECT("Table!A"&amp;$AF65):INDIRECT("Table!" &amp; $AR$159 &amp; $AF65),0)),"",INDIRECT(CONCATENATE("Table!",ADDRESS($AB65,MATCH(G$1,INDIRECT("Table!A" &amp; $AF65):INDIRECT("Table!" &amp; $AR$159 &amp; $AF65),0)))))</f>
        <v>44379.8</v>
      </c>
      <c r="H65" s="35">
        <f ca="1">IF(ISERROR(MATCH(H$1,INDIRECT("Table!A"&amp;$AF65):INDIRECT("Table!" &amp; $AR$159 &amp; $AF65),0)),"",INDIRECT(CONCATENATE("Table!",ADDRESS($AB65,MATCH(H$1,INDIRECT("Table!A" &amp; $AF65):INDIRECT("Table!" &amp; $AR$159 &amp; $AF65),0)))))</f>
        <v>21440.6</v>
      </c>
      <c r="I65" s="35">
        <f ca="1">IF(ISERROR(MATCH(I$1,INDIRECT("Table!A"&amp;$AF65):INDIRECT("Table!" &amp; $AR$159 &amp; $AF65),0)),"",INDIRECT(CONCATENATE("Table!",ADDRESS($AB65,MATCH(I$1,INDIRECT("Table!A" &amp; $AF65):INDIRECT("Table!" &amp; $AR$159 &amp; $AF65),0)))))</f>
        <v>136615.4</v>
      </c>
      <c r="J65" s="35">
        <f ca="1">IF(ISERROR(MATCH(J$1,INDIRECT("Table!A"&amp;$AF65):INDIRECT("Table!" &amp; $AR$159 &amp; $AF65),0)),"",INDIRECT(CONCATENATE("Table!",ADDRESS($AB65,MATCH(J$1,INDIRECT("Table!A" &amp; $AF65):INDIRECT("Table!" &amp; $AR$159 &amp; $AF65),0)))))</f>
        <v>49555.5</v>
      </c>
      <c r="K65" s="35">
        <f ca="1">IF(ISERROR(MATCH(K$1,INDIRECT("Table!A"&amp;$AF65):INDIRECT("Table!" &amp; $AR$159 &amp; $AF65),0)),"",INDIRECT(CONCATENATE("Table!",ADDRESS($AB65,MATCH(K$1,INDIRECT("Table!A" &amp; $AF65):INDIRECT("Table!" &amp; $AR$159 &amp; $AF65),0)))))</f>
        <v>17428.2</v>
      </c>
      <c r="L65" s="35">
        <f ca="1">IF(ISERROR(MATCH(L$1,INDIRECT("Table!A"&amp;$AF65):INDIRECT("Table!" &amp; $AR$159 &amp; $AF65),0)),"",INDIRECT(CONCATENATE("Table!",ADDRESS($AB65,MATCH(L$1,INDIRECT("Table!A" &amp; $AF65):INDIRECT("Table!" &amp; $AR$159 &amp; $AF65),0)))))</f>
        <v>81702.600000000006</v>
      </c>
      <c r="M65" s="35">
        <f ca="1">IF(ISERROR(MATCH(M$1,INDIRECT("Table!A"&amp;$AF65):INDIRECT("Table!" &amp; $AR$159 &amp; $AF65),0)),"",INDIRECT(CONCATENATE("Table!",ADDRESS($AB65,MATCH(M$1,INDIRECT("Table!A" &amp; $AF65):INDIRECT("Table!" &amp; $AR$159 &amp; $AF65),0)))))</f>
        <v>23969.9</v>
      </c>
      <c r="N65" s="35" t="str">
        <f ca="1">IF(ISERROR(MATCH(N$1,INDIRECT("Table!A"&amp;$AF65):INDIRECT("Table!" &amp; $AR$188 &amp; $AF65),0)),"",INDIRECT(CONCATENATE("Table!",ADDRESS($AB65,MATCH(N$1,INDIRECT("Table!A" &amp; $AF65):INDIRECT("Table!" &amp; $AR$188 &amp; $AF65),0)))))</f>
        <v/>
      </c>
      <c r="O65" s="35">
        <f ca="1">IF(ISERROR(MATCH(O$1,INDIRECT("Table!A"&amp;$AN65):INDIRECT("Table!" &amp; $AR$159 &amp; $AN65),0)),"",INDIRECT(CONCATENATE("Table!",ADDRESS($AJ65,MATCH(O$1,INDIRECT("Table!A" &amp; $AN65):INDIRECT("Table!" &amp; $AR$159 &amp; $AN65),0)))))</f>
        <v>115816.8</v>
      </c>
      <c r="P65" s="35">
        <f ca="1">IF(ISERROR(MATCH(P$1,INDIRECT("Table!A"&amp;$AN65):INDIRECT("Table!" &amp; $AR$159 &amp; $AN65),0)),"",INDIRECT(CONCATENATE("Table!",ADDRESS($AJ65,MATCH(P$1,INDIRECT("Table!A" &amp; $AN65):INDIRECT("Table!" &amp; $AR$159 &amp; $AN65),0)))))</f>
        <v>99041.7</v>
      </c>
      <c r="Q65" s="35">
        <f ca="1">IF(ISERROR(MATCH(Q$1,INDIRECT("Table!A"&amp;$AN65):INDIRECT("Table!" &amp; $AR$159 &amp; $AN65),0)),"",INDIRECT(CONCATENATE("Table!",ADDRESS($AJ65,MATCH(Q$1,INDIRECT("Table!A" &amp; $AN65):INDIRECT("Table!" &amp; $AR$159 &amp; $AN65),0)))))</f>
        <v>99041.7</v>
      </c>
      <c r="R65" s="35">
        <f ca="1">IF(ISERROR(MATCH(R$1,INDIRECT("Table!A"&amp;$AN65):INDIRECT("Table!" &amp; $AR$159 &amp; $AN65),0)),"",INDIRECT(CONCATENATE("Table!",ADDRESS($AJ65,MATCH(R$1,INDIRECT("Table!A" &amp; $AN65):INDIRECT("Table!" &amp; $AR$159 &amp; $AN65),0)))))</f>
        <v>181997.8</v>
      </c>
      <c r="S65" s="35">
        <f ca="1">IF(ISERROR(MATCH(S$1,INDIRECT("Table!A"&amp;$AN65):INDIRECT("Table!" &amp; $AR$159 &amp; $AN65),0)),"",INDIRECT(CONCATENATE("Table!",ADDRESS($AJ65,MATCH(S$1,INDIRECT("Table!A" &amp; $AN65):INDIRECT("Table!" &amp; $AR$159 &amp; $AN65),0)))))</f>
        <v>121331.8</v>
      </c>
      <c r="T65" s="35">
        <f ca="1">IF(ISERROR(MATCH(T$1,INDIRECT("Table!A"&amp;$AN65):INDIRECT("Table!" &amp; $AR$159 &amp; $AN65),0)),"",INDIRECT(CONCATENATE("Table!",ADDRESS($AJ65,MATCH(T$1,INDIRECT("Table!A" &amp; $AN65):INDIRECT("Table!" &amp; $AR$159 &amp; $AN65),0)))))</f>
        <v>110071.9</v>
      </c>
      <c r="U65" s="35">
        <f ca="1">IF(ISERROR(MATCH(U$1,INDIRECT("Table!A"&amp;$AN65):INDIRECT("Table!" &amp; $AR$159 &amp; $AN65),0)),"",INDIRECT(CONCATENATE("Table!",ADDRESS($AJ65,MATCH(U$1,INDIRECT("Table!A" &amp; $AN65):INDIRECT("Table!" &amp; $AR$159 &amp; $AN65),0)))))</f>
        <v>121331.8</v>
      </c>
      <c r="V65" s="35">
        <f ca="1">IF(ISERROR(MATCH(V$1,INDIRECT("Table!A"&amp;$AN65):INDIRECT("Table!" &amp; $AR$159 &amp; $AN65),0)),"",INDIRECT(CONCATENATE("Table!",ADDRESS($AJ65,MATCH(V$1,INDIRECT("Table!A" &amp; $AN65):INDIRECT("Table!" &amp; $AR$159 &amp; $AN65),0)))))</f>
        <v>170967.6</v>
      </c>
      <c r="W65" s="35">
        <f ca="1">IF(ISERROR(MATCH(W$1,INDIRECT("Table!A"&amp;$AN65):INDIRECT("Table!" &amp; $AR$159 &amp; $AN65),0)),"",INDIRECT(CONCATENATE("Table!",ADDRESS($AJ65,MATCH(W$1,INDIRECT("Table!A" &amp; $AN65):INDIRECT("Table!" &amp; $AR$159 &amp; $AN65),0)))))</f>
        <v>132132.20000000001</v>
      </c>
      <c r="X65" s="35">
        <f ca="1">IF(ISERROR(MATCH(X$1,INDIRECT("Table!A"&amp;$AN65):INDIRECT("Table!" &amp; $AR$159 &amp; $AN65),0)),"",INDIRECT(CONCATENATE("Table!",ADDRESS($AJ65,MATCH(X$1,INDIRECT("Table!A" &amp; $AN65):INDIRECT("Table!" &amp; $AR$159 &amp; $AN65),0)))))</f>
        <v>60665.9</v>
      </c>
      <c r="Y65" s="35">
        <f ca="1">IF(ISERROR(MATCH(Y$1,INDIRECT("Table!A"&amp;$AN65):INDIRECT("Table!" &amp; $AR$159 &amp; $AN65),0)),"",INDIRECT(CONCATENATE("Table!",ADDRESS($AJ65,MATCH(Y$1,INDIRECT("Table!A" &amp; $AN65):INDIRECT("Table!" &amp; $AR$159 &amp; $AN65),0)))))</f>
        <v>176482.7</v>
      </c>
      <c r="Z65" s="35">
        <f ca="1">IF(ISERROR(MATCH(Z$1,INDIRECT("Table!A"&amp;$AN65):INDIRECT("Table!" &amp; $AR$159 &amp; $AN65),0)),"",INDIRECT(CONCATENATE("Table!",ADDRESS($AJ65,MATCH(Z$1,INDIRECT("Table!A" &amp; $AN65):INDIRECT("Table!" &amp; $AR$159 &amp; $AN65),0)))))</f>
        <v>54921</v>
      </c>
      <c r="AA65" s="12"/>
      <c r="AB65" s="12">
        <f>MATCH($A65,Table!$A:$A,0)+$AD$2-1</f>
        <v>1027</v>
      </c>
      <c r="AF65" s="31">
        <f>MATCH($A65,Table!$A:$A,0)+$AH$2-1</f>
        <v>1025</v>
      </c>
      <c r="AJ65" s="12">
        <f>MATCH($A65,Table!$A:$A,0)+$AL$2-1</f>
        <v>1026</v>
      </c>
      <c r="AN65" s="31">
        <f>MATCH($A65,Table!$A:$A,0)+$AH$2-1</f>
        <v>1025</v>
      </c>
      <c r="AR65" s="203" t="s">
        <v>118</v>
      </c>
    </row>
    <row r="66" spans="1:44">
      <c r="A66" s="5">
        <v>41087</v>
      </c>
      <c r="B66" s="35">
        <f ca="1">IF(ISERROR(MATCH(B$1,INDIRECT("Table!A"&amp;$AF66):INDIRECT("Table!" &amp; $AR$159 &amp; $AF66),0)),"",INDIRECT(CONCATENATE("Table!",ADDRESS($AB66,MATCH(B$1,INDIRECT("Table!A" &amp; $AF66):INDIRECT("Table!" &amp; $AR$159 &amp; $AF66),0)))))</f>
        <v>91713.5</v>
      </c>
      <c r="C66" s="35">
        <f ca="1">IF(ISERROR(MATCH(C$1,INDIRECT("Table!A"&amp;$AF66):INDIRECT("Table!" &amp; $AR$159 &amp; $AF66),0)),"",INDIRECT(CONCATENATE("Table!",ADDRESS($AB66,MATCH(C$1,INDIRECT("Table!A" &amp; $AF66):INDIRECT("Table!" &amp; $AR$159 &amp; $AF66),0)))))</f>
        <v>69220.899999999994</v>
      </c>
      <c r="D66" s="35">
        <f ca="1">IF(ISERROR(MATCH(D$1,INDIRECT("Table!A"&amp;$AF66):INDIRECT("Table!" &amp; $AR$159 &amp; $AF66),0)),"",INDIRECT(CONCATENATE("Table!",ADDRESS($AB66,MATCH(D$1,INDIRECT("Table!A" &amp; $AF66):INDIRECT("Table!" &amp; $AR$159 &amp; $AF66),0)))))</f>
        <v>70797.2</v>
      </c>
      <c r="E66" s="35">
        <f ca="1">IF(ISERROR(MATCH(E$1,INDIRECT("Table!A"&amp;$AF66):INDIRECT("Table!" &amp; $AR$159 &amp; $AF66),0)),"",INDIRECT(CONCATENATE("Table!",ADDRESS($AB66,MATCH(E$1,INDIRECT("Table!A" &amp; $AF66):INDIRECT("Table!" &amp; $AR$159 &amp; $AF66),0)))))</f>
        <v>150425.9</v>
      </c>
      <c r="F66" s="35">
        <f ca="1">IF(ISERROR(MATCH(F$1,INDIRECT("Table!A"&amp;$AF66):INDIRECT("Table!" &amp; $AR$159 &amp; $AF66),0)),"",INDIRECT(CONCATENATE("Table!",ADDRESS($AB66,MATCH(F$1,INDIRECT("Table!A" &amp; $AF66):INDIRECT("Table!" &amp; $AR$159 &amp; $AF66),0)))))</f>
        <v>22115.7</v>
      </c>
      <c r="G66" s="35">
        <f ca="1">IF(ISERROR(MATCH(G$1,INDIRECT("Table!A"&amp;$AF66):INDIRECT("Table!" &amp; $AR$159 &amp; $AF66),0)),"",INDIRECT(CONCATENATE("Table!",ADDRESS($AB66,MATCH(G$1,INDIRECT("Table!A" &amp; $AF66):INDIRECT("Table!" &amp; $AR$159 &amp; $AF66),0)))))</f>
        <v>44106</v>
      </c>
      <c r="H66" s="35">
        <f ca="1">IF(ISERROR(MATCH(H$1,INDIRECT("Table!A"&amp;$AF66):INDIRECT("Table!" &amp; $AR$159 &amp; $AF66),0)),"",INDIRECT(CONCATENATE("Table!",ADDRESS($AB66,MATCH(H$1,INDIRECT("Table!A" &amp; $AF66):INDIRECT("Table!" &amp; $AR$159 &amp; $AF66),0)))))</f>
        <v>21411.8</v>
      </c>
      <c r="I66" s="35">
        <f ca="1">IF(ISERROR(MATCH(I$1,INDIRECT("Table!A"&amp;$AF66):INDIRECT("Table!" &amp; $AR$159 &amp; $AF66),0)),"",INDIRECT(CONCATENATE("Table!",ADDRESS($AB66,MATCH(I$1,INDIRECT("Table!A" &amp; $AF66):INDIRECT("Table!" &amp; $AR$159 &amp; $AF66),0)))))</f>
        <v>136237.6</v>
      </c>
      <c r="J66" s="35">
        <f ca="1">IF(ISERROR(MATCH(J$1,INDIRECT("Table!A"&amp;$AF66):INDIRECT("Table!" &amp; $AR$159 &amp; $AF66),0)),"",INDIRECT(CONCATENATE("Table!",ADDRESS($AB66,MATCH(J$1,INDIRECT("Table!A" &amp; $AF66):INDIRECT("Table!" &amp; $AR$159 &amp; $AF66),0)))))</f>
        <v>49257</v>
      </c>
      <c r="K66" s="35">
        <f ca="1">IF(ISERROR(MATCH(K$1,INDIRECT("Table!A"&amp;$AF66):INDIRECT("Table!" &amp; $AR$159 &amp; $AF66),0)),"",INDIRECT(CONCATENATE("Table!",ADDRESS($AB66,MATCH(K$1,INDIRECT("Table!A" &amp; $AF66):INDIRECT("Table!" &amp; $AR$159 &amp; $AF66),0)))))</f>
        <v>16379.8</v>
      </c>
      <c r="L66" s="35">
        <f ca="1">IF(ISERROR(MATCH(L$1,INDIRECT("Table!A"&amp;$AF66):INDIRECT("Table!" &amp; $AR$159 &amp; $AF66),0)),"",INDIRECT(CONCATENATE("Table!",ADDRESS($AB66,MATCH(L$1,INDIRECT("Table!A" &amp; $AF66):INDIRECT("Table!" &amp; $AR$159 &amp; $AF66),0)))))</f>
        <v>81648.3</v>
      </c>
      <c r="M66" s="35">
        <f ca="1">IF(ISERROR(MATCH(M$1,INDIRECT("Table!A"&amp;$AF66):INDIRECT("Table!" &amp; $AR$159 &amp; $AF66),0)),"",INDIRECT(CONCATENATE("Table!",ADDRESS($AB66,MATCH(M$1,INDIRECT("Table!A" &amp; $AF66):INDIRECT("Table!" &amp; $AR$159 &amp; $AF66),0)))))</f>
        <v>23968</v>
      </c>
      <c r="N66" s="35" t="str">
        <f ca="1">IF(ISERROR(MATCH(N$1,INDIRECT("Table!A"&amp;$AF66):INDIRECT("Table!" &amp; $AR$188 &amp; $AF66),0)),"",INDIRECT(CONCATENATE("Table!",ADDRESS($AB66,MATCH(N$1,INDIRECT("Table!A" &amp; $AF66):INDIRECT("Table!" &amp; $AR$188 &amp; $AF66),0)))))</f>
        <v/>
      </c>
      <c r="O66" s="35">
        <f ca="1">IF(ISERROR(MATCH(O$1,INDIRECT("Table!A"&amp;$AN66):INDIRECT("Table!" &amp; $AR$159 &amp; $AN66),0)),"",INDIRECT(CONCATENATE("Table!",ADDRESS($AJ66,MATCH(O$1,INDIRECT("Table!A" &amp; $AN66):INDIRECT("Table!" &amp; $AR$159 &amp; $AN66),0)))))</f>
        <v>115816.8</v>
      </c>
      <c r="P66" s="35">
        <f ca="1">IF(ISERROR(MATCH(P$1,INDIRECT("Table!A"&amp;$AN66):INDIRECT("Table!" &amp; $AR$159 &amp; $AN66),0)),"",INDIRECT(CONCATENATE("Table!",ADDRESS($AJ66,MATCH(P$1,INDIRECT("Table!A" &amp; $AN66):INDIRECT("Table!" &amp; $AR$159 &amp; $AN66),0)))))</f>
        <v>99041.7</v>
      </c>
      <c r="Q66" s="35">
        <f ca="1">IF(ISERROR(MATCH(Q$1,INDIRECT("Table!A"&amp;$AN66):INDIRECT("Table!" &amp; $AR$159 &amp; $AN66),0)),"",INDIRECT(CONCATENATE("Table!",ADDRESS($AJ66,MATCH(Q$1,INDIRECT("Table!A" &amp; $AN66):INDIRECT("Table!" &amp; $AR$159 &amp; $AN66),0)))))</f>
        <v>99041.7</v>
      </c>
      <c r="R66" s="35">
        <f ca="1">IF(ISERROR(MATCH(R$1,INDIRECT("Table!A"&amp;$AN66):INDIRECT("Table!" &amp; $AR$159 &amp; $AN66),0)),"",INDIRECT(CONCATENATE("Table!",ADDRESS($AJ66,MATCH(R$1,INDIRECT("Table!A" &amp; $AN66):INDIRECT("Table!" &amp; $AR$159 &amp; $AN66),0)))))</f>
        <v>181997.8</v>
      </c>
      <c r="S66" s="35">
        <f ca="1">IF(ISERROR(MATCH(S$1,INDIRECT("Table!A"&amp;$AN66):INDIRECT("Table!" &amp; $AR$159 &amp; $AN66),0)),"",INDIRECT(CONCATENATE("Table!",ADDRESS($AJ66,MATCH(S$1,INDIRECT("Table!A" &amp; $AN66):INDIRECT("Table!" &amp; $AR$159 &amp; $AN66),0)))))</f>
        <v>121331.8</v>
      </c>
      <c r="T66" s="35">
        <f ca="1">IF(ISERROR(MATCH(T$1,INDIRECT("Table!A"&amp;$AN66):INDIRECT("Table!" &amp; $AR$159 &amp; $AN66),0)),"",INDIRECT(CONCATENATE("Table!",ADDRESS($AJ66,MATCH(T$1,INDIRECT("Table!A" &amp; $AN66):INDIRECT("Table!" &amp; $AR$159 &amp; $AN66),0)))))</f>
        <v>110071.9</v>
      </c>
      <c r="U66" s="35">
        <f ca="1">IF(ISERROR(MATCH(U$1,INDIRECT("Table!A"&amp;$AN66):INDIRECT("Table!" &amp; $AR$159 &amp; $AN66),0)),"",INDIRECT(CONCATENATE("Table!",ADDRESS($AJ66,MATCH(U$1,INDIRECT("Table!A" &amp; $AN66):INDIRECT("Table!" &amp; $AR$159 &amp; $AN66),0)))))</f>
        <v>121331.8</v>
      </c>
      <c r="V66" s="35">
        <f ca="1">IF(ISERROR(MATCH(V$1,INDIRECT("Table!A"&amp;$AN66):INDIRECT("Table!" &amp; $AR$159 &amp; $AN66),0)),"",INDIRECT(CONCATENATE("Table!",ADDRESS($AJ66,MATCH(V$1,INDIRECT("Table!A" &amp; $AN66):INDIRECT("Table!" &amp; $AR$159 &amp; $AN66),0)))))</f>
        <v>170967.6</v>
      </c>
      <c r="W66" s="35">
        <f ca="1">IF(ISERROR(MATCH(W$1,INDIRECT("Table!A"&amp;$AN66):INDIRECT("Table!" &amp; $AR$159 &amp; $AN66),0)),"",INDIRECT(CONCATENATE("Table!",ADDRESS($AJ66,MATCH(W$1,INDIRECT("Table!A" &amp; $AN66):INDIRECT("Table!" &amp; $AR$159 &amp; $AN66),0)))))</f>
        <v>132132.20000000001</v>
      </c>
      <c r="X66" s="35">
        <f ca="1">IF(ISERROR(MATCH(X$1,INDIRECT("Table!A"&amp;$AN66):INDIRECT("Table!" &amp; $AR$159 &amp; $AN66),0)),"",INDIRECT(CONCATENATE("Table!",ADDRESS($AJ66,MATCH(X$1,INDIRECT("Table!A" &amp; $AN66):INDIRECT("Table!" &amp; $AR$159 &amp; $AN66),0)))))</f>
        <v>60665.9</v>
      </c>
      <c r="Y66" s="35">
        <f ca="1">IF(ISERROR(MATCH(Y$1,INDIRECT("Table!A"&amp;$AN66):INDIRECT("Table!" &amp; $AR$159 &amp; $AN66),0)),"",INDIRECT(CONCATENATE("Table!",ADDRESS($AJ66,MATCH(Y$1,INDIRECT("Table!A" &amp; $AN66):INDIRECT("Table!" &amp; $AR$159 &amp; $AN66),0)))))</f>
        <v>176482.7</v>
      </c>
      <c r="Z66" s="35">
        <f ca="1">IF(ISERROR(MATCH(Z$1,INDIRECT("Table!A"&amp;$AN66):INDIRECT("Table!" &amp; $AR$159 &amp; $AN66),0)),"",INDIRECT(CONCATENATE("Table!",ADDRESS($AJ66,MATCH(Z$1,INDIRECT("Table!A" &amp; $AN66):INDIRECT("Table!" &amp; $AR$159 &amp; $AN66),0)))))</f>
        <v>54921</v>
      </c>
      <c r="AA66" s="12"/>
      <c r="AB66" s="12">
        <f>MATCH($A66,Table!$A:$A,0)+$AD$2-1</f>
        <v>1040</v>
      </c>
      <c r="AF66" s="31">
        <f>MATCH($A66,Table!$A:$A,0)+$AH$2-1</f>
        <v>1038</v>
      </c>
      <c r="AJ66" s="12">
        <f>MATCH($A66,Table!$A:$A,0)+$AL$2-1</f>
        <v>1039</v>
      </c>
      <c r="AN66" s="31">
        <f>MATCH($A66,Table!$A:$A,0)+$AH$2-1</f>
        <v>1038</v>
      </c>
      <c r="AR66" s="211" t="s">
        <v>118</v>
      </c>
    </row>
    <row r="67" spans="1:44">
      <c r="A67" s="5">
        <v>41086</v>
      </c>
      <c r="B67" s="35">
        <f ca="1">IF(ISERROR(MATCH(B$1,INDIRECT("Table!A"&amp;$AF67):INDIRECT("Table!" &amp; $AR$159 &amp; $AF67),0)),"",INDIRECT(CONCATENATE("Table!",ADDRESS($AB67,MATCH(B$1,INDIRECT("Table!A" &amp; $AF67):INDIRECT("Table!" &amp; $AR$159 &amp; $AF67),0)))))</f>
        <v>91696.1</v>
      </c>
      <c r="C67" s="35">
        <f ca="1">IF(ISERROR(MATCH(C$1,INDIRECT("Table!A"&amp;$AF67):INDIRECT("Table!" &amp; $AR$159 &amp; $AF67),0)),"",INDIRECT(CONCATENATE("Table!",ADDRESS($AB67,MATCH(C$1,INDIRECT("Table!A" &amp; $AF67):INDIRECT("Table!" &amp; $AR$159 &amp; $AF67),0)))))</f>
        <v>69219.8</v>
      </c>
      <c r="D67" s="35">
        <f ca="1">IF(ISERROR(MATCH(D$1,INDIRECT("Table!A"&amp;$AF67):INDIRECT("Table!" &amp; $AR$159 &amp; $AF67),0)),"",INDIRECT(CONCATENATE("Table!",ADDRESS($AB67,MATCH(D$1,INDIRECT("Table!A" &amp; $AF67):INDIRECT("Table!" &amp; $AR$159 &amp; $AF67),0)))))</f>
        <v>70796</v>
      </c>
      <c r="E67" s="35">
        <f ca="1">IF(ISERROR(MATCH(E$1,INDIRECT("Table!A"&amp;$AF67):INDIRECT("Table!" &amp; $AR$159 &amp; $AF67),0)),"",INDIRECT(CONCATENATE("Table!",ADDRESS($AB67,MATCH(E$1,INDIRECT("Table!A" &amp; $AF67):INDIRECT("Table!" &amp; $AR$159 &amp; $AF67),0)))))</f>
        <v>150265.70000000001</v>
      </c>
      <c r="F67" s="35">
        <f ca="1">IF(ISERROR(MATCH(F$1,INDIRECT("Table!A"&amp;$AF67):INDIRECT("Table!" &amp; $AR$159 &amp; $AF67),0)),"",INDIRECT(CONCATENATE("Table!",ADDRESS($AB67,MATCH(F$1,INDIRECT("Table!A" &amp; $AF67):INDIRECT("Table!" &amp; $AR$159 &amp; $AF67),0)))))</f>
        <v>21635.1</v>
      </c>
      <c r="G67" s="35">
        <f ca="1">IF(ISERROR(MATCH(G$1,INDIRECT("Table!A"&amp;$AF67):INDIRECT("Table!" &amp; $AR$159 &amp; $AF67),0)),"",INDIRECT(CONCATENATE("Table!",ADDRESS($AB67,MATCH(G$1,INDIRECT("Table!A" &amp; $AF67):INDIRECT("Table!" &amp; $AR$159 &amp; $AF67),0)))))</f>
        <v>43727.3</v>
      </c>
      <c r="H67" s="35">
        <f ca="1">IF(ISERROR(MATCH(H$1,INDIRECT("Table!A"&amp;$AF67):INDIRECT("Table!" &amp; $AR$159 &amp; $AF67),0)),"",INDIRECT(CONCATENATE("Table!",ADDRESS($AB67,MATCH(H$1,INDIRECT("Table!A" &amp; $AF67):INDIRECT("Table!" &amp; $AR$159 &amp; $AF67),0)))))</f>
        <v>21400</v>
      </c>
      <c r="I67" s="35">
        <f ca="1">IF(ISERROR(MATCH(I$1,INDIRECT("Table!A"&amp;$AF67):INDIRECT("Table!" &amp; $AR$159 &amp; $AF67),0)),"",INDIRECT(CONCATENATE("Table!",ADDRESS($AB67,MATCH(I$1,INDIRECT("Table!A" &amp; $AF67):INDIRECT("Table!" &amp; $AR$159 &amp; $AF67),0)))))</f>
        <v>136045.4</v>
      </c>
      <c r="J67" s="35">
        <f ca="1">IF(ISERROR(MATCH(J$1,INDIRECT("Table!A"&amp;$AF67):INDIRECT("Table!" &amp; $AR$159 &amp; $AF67),0)),"",INDIRECT(CONCATENATE("Table!",ADDRESS($AB67,MATCH(J$1,INDIRECT("Table!A" &amp; $AF67):INDIRECT("Table!" &amp; $AR$159 &amp; $AF67),0)))))</f>
        <v>48934.400000000001</v>
      </c>
      <c r="K67" s="35">
        <f ca="1">IF(ISERROR(MATCH(K$1,INDIRECT("Table!A"&amp;$AF67):INDIRECT("Table!" &amp; $AR$159 &amp; $AF67),0)),"",INDIRECT(CONCATENATE("Table!",ADDRESS($AB67,MATCH(K$1,INDIRECT("Table!A" &amp; $AF67):INDIRECT("Table!" &amp; $AR$159 &amp; $AF67),0)))))</f>
        <v>16129.9</v>
      </c>
      <c r="L67" s="35">
        <f ca="1">IF(ISERROR(MATCH(L$1,INDIRECT("Table!A"&amp;$AF67):INDIRECT("Table!" &amp; $AR$159 &amp; $AF67),0)),"",INDIRECT(CONCATENATE("Table!",ADDRESS($AB67,MATCH(L$1,INDIRECT("Table!A" &amp; $AF67):INDIRECT("Table!" &amp; $AR$159 &amp; $AF67),0)))))</f>
        <v>81626.600000000006</v>
      </c>
      <c r="M67" s="35">
        <f ca="1">IF(ISERROR(MATCH(M$1,INDIRECT("Table!A"&amp;$AF67):INDIRECT("Table!" &amp; $AR$159 &amp; $AF67),0)),"",INDIRECT(CONCATENATE("Table!",ADDRESS($AB67,MATCH(M$1,INDIRECT("Table!A" &amp; $AF67):INDIRECT("Table!" &amp; $AR$159 &amp; $AF67),0)))))</f>
        <v>23968</v>
      </c>
      <c r="N67" s="35" t="str">
        <f ca="1">IF(ISERROR(MATCH(N$1,INDIRECT("Table!A"&amp;$AF67):INDIRECT("Table!" &amp; $AR$188 &amp; $AF67),0)),"",INDIRECT(CONCATENATE("Table!",ADDRESS($AB67,MATCH(N$1,INDIRECT("Table!A" &amp; $AF67):INDIRECT("Table!" &amp; $AR$188 &amp; $AF67),0)))))</f>
        <v/>
      </c>
      <c r="O67" s="35">
        <f ca="1">IF(ISERROR(MATCH(O$1,INDIRECT("Table!A"&amp;$AN67):INDIRECT("Table!" &amp; $AR$159 &amp; $AN67),0)),"",INDIRECT(CONCATENATE("Table!",ADDRESS($AJ67,MATCH(O$1,INDIRECT("Table!A" &amp; $AN67):INDIRECT("Table!" &amp; $AR$159 &amp; $AN67),0)))))</f>
        <v>115816.8</v>
      </c>
      <c r="P67" s="35">
        <f ca="1">IF(ISERROR(MATCH(P$1,INDIRECT("Table!A"&amp;$AN67):INDIRECT("Table!" &amp; $AR$159 &amp; $AN67),0)),"",INDIRECT(CONCATENATE("Table!",ADDRESS($AJ67,MATCH(P$1,INDIRECT("Table!A" &amp; $AN67):INDIRECT("Table!" &amp; $AR$159 &amp; $AN67),0)))))</f>
        <v>99041.7</v>
      </c>
      <c r="Q67" s="35">
        <f ca="1">IF(ISERROR(MATCH(Q$1,INDIRECT("Table!A"&amp;$AN67):INDIRECT("Table!" &amp; $AR$159 &amp; $AN67),0)),"",INDIRECT(CONCATENATE("Table!",ADDRESS($AJ67,MATCH(Q$1,INDIRECT("Table!A" &amp; $AN67):INDIRECT("Table!" &amp; $AR$159 &amp; $AN67),0)))))</f>
        <v>99041.7</v>
      </c>
      <c r="R67" s="35">
        <f ca="1">IF(ISERROR(MATCH(R$1,INDIRECT("Table!A"&amp;$AN67):INDIRECT("Table!" &amp; $AR$159 &amp; $AN67),0)),"",INDIRECT(CONCATENATE("Table!",ADDRESS($AJ67,MATCH(R$1,INDIRECT("Table!A" &amp; $AN67):INDIRECT("Table!" &amp; $AR$159 &amp; $AN67),0)))))</f>
        <v>181997.8</v>
      </c>
      <c r="S67" s="35">
        <f ca="1">IF(ISERROR(MATCH(S$1,INDIRECT("Table!A"&amp;$AN67):INDIRECT("Table!" &amp; $AR$159 &amp; $AN67),0)),"",INDIRECT(CONCATENATE("Table!",ADDRESS($AJ67,MATCH(S$1,INDIRECT("Table!A" &amp; $AN67):INDIRECT("Table!" &amp; $AR$159 &amp; $AN67),0)))))</f>
        <v>121331.8</v>
      </c>
      <c r="T67" s="35">
        <f ca="1">IF(ISERROR(MATCH(T$1,INDIRECT("Table!A"&amp;$AN67):INDIRECT("Table!" &amp; $AR$159 &amp; $AN67),0)),"",INDIRECT(CONCATENATE("Table!",ADDRESS($AJ67,MATCH(T$1,INDIRECT("Table!A" &amp; $AN67):INDIRECT("Table!" &amp; $AR$159 &amp; $AN67),0)))))</f>
        <v>110071.9</v>
      </c>
      <c r="U67" s="35">
        <f ca="1">IF(ISERROR(MATCH(U$1,INDIRECT("Table!A"&amp;$AN67):INDIRECT("Table!" &amp; $AR$159 &amp; $AN67),0)),"",INDIRECT(CONCATENATE("Table!",ADDRESS($AJ67,MATCH(U$1,INDIRECT("Table!A" &amp; $AN67):INDIRECT("Table!" &amp; $AR$159 &amp; $AN67),0)))))</f>
        <v>121331.8</v>
      </c>
      <c r="V67" s="35">
        <f ca="1">IF(ISERROR(MATCH(V$1,INDIRECT("Table!A"&amp;$AN67):INDIRECT("Table!" &amp; $AR$159 &amp; $AN67),0)),"",INDIRECT(CONCATENATE("Table!",ADDRESS($AJ67,MATCH(V$1,INDIRECT("Table!A" &amp; $AN67):INDIRECT("Table!" &amp; $AR$159 &amp; $AN67),0)))))</f>
        <v>170967.6</v>
      </c>
      <c r="W67" s="35">
        <f ca="1">IF(ISERROR(MATCH(W$1,INDIRECT("Table!A"&amp;$AN67):INDIRECT("Table!" &amp; $AR$159 &amp; $AN67),0)),"",INDIRECT(CONCATENATE("Table!",ADDRESS($AJ67,MATCH(W$1,INDIRECT("Table!A" &amp; $AN67):INDIRECT("Table!" &amp; $AR$159 &amp; $AN67),0)))))</f>
        <v>132132.20000000001</v>
      </c>
      <c r="X67" s="35">
        <f ca="1">IF(ISERROR(MATCH(X$1,INDIRECT("Table!A"&amp;$AN67):INDIRECT("Table!" &amp; $AR$159 &amp; $AN67),0)),"",INDIRECT(CONCATENATE("Table!",ADDRESS($AJ67,MATCH(X$1,INDIRECT("Table!A" &amp; $AN67):INDIRECT("Table!" &amp; $AR$159 &amp; $AN67),0)))))</f>
        <v>60665.9</v>
      </c>
      <c r="Y67" s="35">
        <f ca="1">IF(ISERROR(MATCH(Y$1,INDIRECT("Table!A"&amp;$AN67):INDIRECT("Table!" &amp; $AR$159 &amp; $AN67),0)),"",INDIRECT(CONCATENATE("Table!",ADDRESS($AJ67,MATCH(Y$1,INDIRECT("Table!A" &amp; $AN67):INDIRECT("Table!" &amp; $AR$159 &amp; $AN67),0)))))</f>
        <v>176482.7</v>
      </c>
      <c r="Z67" s="35">
        <f ca="1">IF(ISERROR(MATCH(Z$1,INDIRECT("Table!A"&amp;$AN67):INDIRECT("Table!" &amp; $AR$159 &amp; $AN67),0)),"",INDIRECT(CONCATENATE("Table!",ADDRESS($AJ67,MATCH(Z$1,INDIRECT("Table!A" &amp; $AN67):INDIRECT("Table!" &amp; $AR$159 &amp; $AN67),0)))))</f>
        <v>54921</v>
      </c>
      <c r="AA67" s="12"/>
      <c r="AB67" s="12">
        <f>MATCH($A67,Table!$A:$A,0)+$AD$2-1</f>
        <v>1053</v>
      </c>
      <c r="AF67" s="31">
        <f>MATCH($A67,Table!$A:$A,0)+$AH$2-1</f>
        <v>1051</v>
      </c>
      <c r="AJ67" s="12">
        <f>MATCH($A67,Table!$A:$A,0)+$AL$2-1</f>
        <v>1052</v>
      </c>
      <c r="AN67" s="31">
        <f>MATCH($A67,Table!$A:$A,0)+$AH$2-1</f>
        <v>1051</v>
      </c>
      <c r="AR67" s="210" t="s">
        <v>118</v>
      </c>
    </row>
    <row r="68" spans="1:44">
      <c r="A68" s="5">
        <v>41085</v>
      </c>
      <c r="B68" s="35">
        <f ca="1">IF(ISERROR(MATCH(B$1,INDIRECT("Table!A"&amp;$AF68):INDIRECT("Table!" &amp; $AR$159 &amp; $AF68),0)),"",INDIRECT(CONCATENATE("Table!",ADDRESS($AB68,MATCH(B$1,INDIRECT("Table!A" &amp; $AF68):INDIRECT("Table!" &amp; $AR$159 &amp; $AF68),0)))))</f>
        <v>91685</v>
      </c>
      <c r="C68" s="35">
        <f ca="1">IF(ISERROR(MATCH(C$1,INDIRECT("Table!A"&amp;$AF68):INDIRECT("Table!" &amp; $AR$159 &amp; $AF68),0)),"",INDIRECT(CONCATENATE("Table!",ADDRESS($AB68,MATCH(C$1,INDIRECT("Table!A" &amp; $AF68):INDIRECT("Table!" &amp; $AR$159 &amp; $AF68),0)))))</f>
        <v>69219.199999999997</v>
      </c>
      <c r="D68" s="35">
        <f ca="1">IF(ISERROR(MATCH(D$1,INDIRECT("Table!A"&amp;$AF68):INDIRECT("Table!" &amp; $AR$159 &amp; $AF68),0)),"",INDIRECT(CONCATENATE("Table!",ADDRESS($AB68,MATCH(D$1,INDIRECT("Table!A" &amp; $AF68):INDIRECT("Table!" &amp; $AR$159 &amp; $AF68),0)))))</f>
        <v>70794.399999999994</v>
      </c>
      <c r="E68" s="35">
        <f ca="1">IF(ISERROR(MATCH(E$1,INDIRECT("Table!A"&amp;$AF68):INDIRECT("Table!" &amp; $AR$159 &amp; $AF68),0)),"",INDIRECT(CONCATENATE("Table!",ADDRESS($AB68,MATCH(E$1,INDIRECT("Table!A" &amp; $AF68):INDIRECT("Table!" &amp; $AR$159 &amp; $AF68),0)))))</f>
        <v>150206</v>
      </c>
      <c r="F68" s="35">
        <f ca="1">IF(ISERROR(MATCH(F$1,INDIRECT("Table!A"&amp;$AF68):INDIRECT("Table!" &amp; $AR$159 &amp; $AF68),0)),"",INDIRECT(CONCATENATE("Table!",ADDRESS($AB68,MATCH(F$1,INDIRECT("Table!A" &amp; $AF68):INDIRECT("Table!" &amp; $AR$159 &amp; $AF68),0)))))</f>
        <v>21514.5</v>
      </c>
      <c r="G68" s="35">
        <f ca="1">IF(ISERROR(MATCH(G$1,INDIRECT("Table!A"&amp;$AF68):INDIRECT("Table!" &amp; $AR$159 &amp; $AF68),0)),"",INDIRECT(CONCATENATE("Table!",ADDRESS($AB68,MATCH(G$1,INDIRECT("Table!A" &amp; $AF68):INDIRECT("Table!" &amp; $AR$159 &amp; $AF68),0)))))</f>
        <v>43457.7</v>
      </c>
      <c r="H68" s="35">
        <f ca="1">IF(ISERROR(MATCH(H$1,INDIRECT("Table!A"&amp;$AF68):INDIRECT("Table!" &amp; $AR$159 &amp; $AF68),0)),"",INDIRECT(CONCATENATE("Table!",ADDRESS($AB68,MATCH(H$1,INDIRECT("Table!A" &amp; $AF68):INDIRECT("Table!" &amp; $AR$159 &amp; $AF68),0)))))</f>
        <v>21392.2</v>
      </c>
      <c r="I68" s="35">
        <f ca="1">IF(ISERROR(MATCH(I$1,INDIRECT("Table!A"&amp;$AF68):INDIRECT("Table!" &amp; $AR$159 &amp; $AF68),0)),"",INDIRECT(CONCATENATE("Table!",ADDRESS($AB68,MATCH(I$1,INDIRECT("Table!A" &amp; $AF68):INDIRECT("Table!" &amp; $AR$159 &amp; $AF68),0)))))</f>
        <v>135953.9</v>
      </c>
      <c r="J68" s="35">
        <f ca="1">IF(ISERROR(MATCH(J$1,INDIRECT("Table!A"&amp;$AF68):INDIRECT("Table!" &amp; $AR$159 &amp; $AF68),0)),"",INDIRECT(CONCATENATE("Table!",ADDRESS($AB68,MATCH(J$1,INDIRECT("Table!A" &amp; $AF68):INDIRECT("Table!" &amp; $AR$159 &amp; $AF68),0)))))</f>
        <v>48834.2</v>
      </c>
      <c r="K68" s="35">
        <f ca="1">IF(ISERROR(MATCH(K$1,INDIRECT("Table!A"&amp;$AF68):INDIRECT("Table!" &amp; $AR$159 &amp; $AF68),0)),"",INDIRECT(CONCATENATE("Table!",ADDRESS($AB68,MATCH(K$1,INDIRECT("Table!A" &amp; $AF68):INDIRECT("Table!" &amp; $AR$159 &amp; $AF68),0)))))</f>
        <v>15966.9</v>
      </c>
      <c r="L68" s="35">
        <f ca="1">IF(ISERROR(MATCH(L$1,INDIRECT("Table!A"&amp;$AF68):INDIRECT("Table!" &amp; $AR$159 &amp; $AF68),0)),"",INDIRECT(CONCATENATE("Table!",ADDRESS($AB68,MATCH(L$1,INDIRECT("Table!A" &amp; $AF68):INDIRECT("Table!" &amp; $AR$159 &amp; $AF68),0)))))</f>
        <v>81612.800000000003</v>
      </c>
      <c r="M68" s="35">
        <f ca="1">IF(ISERROR(MATCH(M$1,INDIRECT("Table!A"&amp;$AF68):INDIRECT("Table!" &amp; $AR$159 &amp; $AF68),0)),"",INDIRECT(CONCATENATE("Table!",ADDRESS($AB68,MATCH(M$1,INDIRECT("Table!A" &amp; $AF68):INDIRECT("Table!" &amp; $AR$159 &amp; $AF68),0)))))</f>
        <v>23968</v>
      </c>
      <c r="N68" s="35" t="str">
        <f ca="1">IF(ISERROR(MATCH(N$1,INDIRECT("Table!A"&amp;$AF68):INDIRECT("Table!" &amp; $AR$188 &amp; $AF68),0)),"",INDIRECT(CONCATENATE("Table!",ADDRESS($AB68,MATCH(N$1,INDIRECT("Table!A" &amp; $AF68):INDIRECT("Table!" &amp; $AR$188 &amp; $AF68),0)))))</f>
        <v/>
      </c>
      <c r="O68" s="35">
        <f ca="1">IF(ISERROR(MATCH(O$1,INDIRECT("Table!A"&amp;$AN68):INDIRECT("Table!" &amp; $AR$159 &amp; $AN68),0)),"",INDIRECT(CONCATENATE("Table!",ADDRESS($AJ68,MATCH(O$1,INDIRECT("Table!A" &amp; $AN68):INDIRECT("Table!" &amp; $AR$159 &amp; $AN68),0)))))</f>
        <v>115816.8</v>
      </c>
      <c r="P68" s="35">
        <f ca="1">IF(ISERROR(MATCH(P$1,INDIRECT("Table!A"&amp;$AN68):INDIRECT("Table!" &amp; $AR$159 &amp; $AN68),0)),"",INDIRECT(CONCATENATE("Table!",ADDRESS($AJ68,MATCH(P$1,INDIRECT("Table!A" &amp; $AN68):INDIRECT("Table!" &amp; $AR$159 &amp; $AN68),0)))))</f>
        <v>99041.7</v>
      </c>
      <c r="Q68" s="35">
        <f ca="1">IF(ISERROR(MATCH(Q$1,INDIRECT("Table!A"&amp;$AN68):INDIRECT("Table!" &amp; $AR$159 &amp; $AN68),0)),"",INDIRECT(CONCATENATE("Table!",ADDRESS($AJ68,MATCH(Q$1,INDIRECT("Table!A" &amp; $AN68):INDIRECT("Table!" &amp; $AR$159 &amp; $AN68),0)))))</f>
        <v>99041.7</v>
      </c>
      <c r="R68" s="35">
        <f ca="1">IF(ISERROR(MATCH(R$1,INDIRECT("Table!A"&amp;$AN68):INDIRECT("Table!" &amp; $AR$159 &amp; $AN68),0)),"",INDIRECT(CONCATENATE("Table!",ADDRESS($AJ68,MATCH(R$1,INDIRECT("Table!A" &amp; $AN68):INDIRECT("Table!" &amp; $AR$159 &amp; $AN68),0)))))</f>
        <v>181997.8</v>
      </c>
      <c r="S68" s="35">
        <f ca="1">IF(ISERROR(MATCH(S$1,INDIRECT("Table!A"&amp;$AN68):INDIRECT("Table!" &amp; $AR$159 &amp; $AN68),0)),"",INDIRECT(CONCATENATE("Table!",ADDRESS($AJ68,MATCH(S$1,INDIRECT("Table!A" &amp; $AN68):INDIRECT("Table!" &amp; $AR$159 &amp; $AN68),0)))))</f>
        <v>121331.8</v>
      </c>
      <c r="T68" s="35">
        <f ca="1">IF(ISERROR(MATCH(T$1,INDIRECT("Table!A"&amp;$AN68):INDIRECT("Table!" &amp; $AR$159 &amp; $AN68),0)),"",INDIRECT(CONCATENATE("Table!",ADDRESS($AJ68,MATCH(T$1,INDIRECT("Table!A" &amp; $AN68):INDIRECT("Table!" &amp; $AR$159 &amp; $AN68),0)))))</f>
        <v>110071.9</v>
      </c>
      <c r="U68" s="35">
        <f ca="1">IF(ISERROR(MATCH(U$1,INDIRECT("Table!A"&amp;$AN68):INDIRECT("Table!" &amp; $AR$159 &amp; $AN68),0)),"",INDIRECT(CONCATENATE("Table!",ADDRESS($AJ68,MATCH(U$1,INDIRECT("Table!A" &amp; $AN68):INDIRECT("Table!" &amp; $AR$159 &amp; $AN68),0)))))</f>
        <v>121331.8</v>
      </c>
      <c r="V68" s="35">
        <f ca="1">IF(ISERROR(MATCH(V$1,INDIRECT("Table!A"&amp;$AN68):INDIRECT("Table!" &amp; $AR$159 &amp; $AN68),0)),"",INDIRECT(CONCATENATE("Table!",ADDRESS($AJ68,MATCH(V$1,INDIRECT("Table!A" &amp; $AN68):INDIRECT("Table!" &amp; $AR$159 &amp; $AN68),0)))))</f>
        <v>170967.6</v>
      </c>
      <c r="W68" s="35">
        <f ca="1">IF(ISERROR(MATCH(W$1,INDIRECT("Table!A"&amp;$AN68):INDIRECT("Table!" &amp; $AR$159 &amp; $AN68),0)),"",INDIRECT(CONCATENATE("Table!",ADDRESS($AJ68,MATCH(W$1,INDIRECT("Table!A" &amp; $AN68):INDIRECT("Table!" &amp; $AR$159 &amp; $AN68),0)))))</f>
        <v>132132.20000000001</v>
      </c>
      <c r="X68" s="35">
        <f ca="1">IF(ISERROR(MATCH(X$1,INDIRECT("Table!A"&amp;$AN68):INDIRECT("Table!" &amp; $AR$159 &amp; $AN68),0)),"",INDIRECT(CONCATENATE("Table!",ADDRESS($AJ68,MATCH(X$1,INDIRECT("Table!A" &amp; $AN68):INDIRECT("Table!" &amp; $AR$159 &amp; $AN68),0)))))</f>
        <v>60665.9</v>
      </c>
      <c r="Y68" s="35">
        <f ca="1">IF(ISERROR(MATCH(Y$1,INDIRECT("Table!A"&amp;$AN68):INDIRECT("Table!" &amp; $AR$159 &amp; $AN68),0)),"",INDIRECT(CONCATENATE("Table!",ADDRESS($AJ68,MATCH(Y$1,INDIRECT("Table!A" &amp; $AN68):INDIRECT("Table!" &amp; $AR$159 &amp; $AN68),0)))))</f>
        <v>176482.7</v>
      </c>
      <c r="Z68" s="35">
        <f ca="1">IF(ISERROR(MATCH(Z$1,INDIRECT("Table!A"&amp;$AN68):INDIRECT("Table!" &amp; $AR$159 &amp; $AN68),0)),"",INDIRECT(CONCATENATE("Table!",ADDRESS($AJ68,MATCH(Z$1,INDIRECT("Table!A" &amp; $AN68):INDIRECT("Table!" &amp; $AR$159 &amp; $AN68),0)))))</f>
        <v>54921</v>
      </c>
      <c r="AA68" s="12"/>
      <c r="AB68" s="12">
        <f>MATCH($A68,Table!$A:$A,0)+$AD$2-1</f>
        <v>1066</v>
      </c>
      <c r="AF68" s="31">
        <f>MATCH($A68,Table!$A:$A,0)+$AH$2-1</f>
        <v>1064</v>
      </c>
      <c r="AJ68" s="12">
        <f>MATCH($A68,Table!$A:$A,0)+$AL$2-1</f>
        <v>1065</v>
      </c>
      <c r="AN68" s="31">
        <f>MATCH($A68,Table!$A:$A,0)+$AH$2-1</f>
        <v>1064</v>
      </c>
      <c r="AR68" s="209" t="s">
        <v>118</v>
      </c>
    </row>
    <row r="69" spans="1:44">
      <c r="A69" s="5">
        <v>41081</v>
      </c>
      <c r="B69" s="35">
        <f ca="1">IF(ISERROR(MATCH(B$1,INDIRECT("Table!A"&amp;$AF69):INDIRECT("Table!" &amp; $AR$159 &amp; $AF69),0)),"",INDIRECT(CONCATENATE("Table!",ADDRESS($AB69,MATCH(B$1,INDIRECT("Table!A" &amp; $AF69):INDIRECT("Table!" &amp; $AR$159 &amp; $AF69),0)))))</f>
        <v>91643.5</v>
      </c>
      <c r="C69" s="35">
        <f ca="1">IF(ISERROR(MATCH(C$1,INDIRECT("Table!A"&amp;$AF69):INDIRECT("Table!" &amp; $AR$159 &amp; $AF69),0)),"",INDIRECT(CONCATENATE("Table!",ADDRESS($AB69,MATCH(C$1,INDIRECT("Table!A" &amp; $AF69):INDIRECT("Table!" &amp; $AR$159 &amp; $AF69),0)))))</f>
        <v>69205.8</v>
      </c>
      <c r="D69" s="35">
        <f ca="1">IF(ISERROR(MATCH(D$1,INDIRECT("Table!A"&amp;$AF69):INDIRECT("Table!" &amp; $AR$159 &amp; $AF69),0)),"",INDIRECT(CONCATENATE("Table!",ADDRESS($AB69,MATCH(D$1,INDIRECT("Table!A" &amp; $AF69):INDIRECT("Table!" &amp; $AR$159 &amp; $AF69),0)))))</f>
        <v>70782</v>
      </c>
      <c r="E69" s="35">
        <f ca="1">IF(ISERROR(MATCH(E$1,INDIRECT("Table!A"&amp;$AF69):INDIRECT("Table!" &amp; $AR$159 &amp; $AF69),0)),"",INDIRECT(CONCATENATE("Table!",ADDRESS($AB69,MATCH(E$1,INDIRECT("Table!A" &amp; $AF69):INDIRECT("Table!" &amp; $AR$159 &amp; $AF69),0)))))</f>
        <v>149969.20000000001</v>
      </c>
      <c r="F69" s="35">
        <f ca="1">IF(ISERROR(MATCH(F$1,INDIRECT("Table!A"&amp;$AF69):INDIRECT("Table!" &amp; $AR$159 &amp; $AF69),0)),"",INDIRECT(CONCATENATE("Table!",ADDRESS($AB69,MATCH(F$1,INDIRECT("Table!A" &amp; $AF69):INDIRECT("Table!" &amp; $AR$159 &amp; $AF69),0)))))</f>
        <v>21143.200000000001</v>
      </c>
      <c r="G69" s="35">
        <f ca="1">IF(ISERROR(MATCH(G$1,INDIRECT("Table!A"&amp;$AF69):INDIRECT("Table!" &amp; $AR$159 &amp; $AF69),0)),"",INDIRECT(CONCATENATE("Table!",ADDRESS($AB69,MATCH(G$1,INDIRECT("Table!A" &amp; $AF69):INDIRECT("Table!" &amp; $AR$159 &amp; $AF69),0)))))</f>
        <v>43321.9</v>
      </c>
      <c r="H69" s="35">
        <f ca="1">IF(ISERROR(MATCH(H$1,INDIRECT("Table!A"&amp;$AF69):INDIRECT("Table!" &amp; $AR$159 &amp; $AF69),0)),"",INDIRECT(CONCATENATE("Table!",ADDRESS($AB69,MATCH(H$1,INDIRECT("Table!A" &amp; $AF69):INDIRECT("Table!" &amp; $AR$159 &amp; $AF69),0)))))</f>
        <v>21399.8</v>
      </c>
      <c r="I69" s="35">
        <f ca="1">IF(ISERROR(MATCH(I$1,INDIRECT("Table!A"&amp;$AF69):INDIRECT("Table!" &amp; $AR$159 &amp; $AF69),0)),"",INDIRECT(CONCATENATE("Table!",ADDRESS($AB69,MATCH(I$1,INDIRECT("Table!A" &amp; $AF69):INDIRECT("Table!" &amp; $AR$159 &amp; $AF69),0)))))</f>
        <v>135460.1</v>
      </c>
      <c r="J69" s="35">
        <f ca="1">IF(ISERROR(MATCH(J$1,INDIRECT("Table!A"&amp;$AF69):INDIRECT("Table!" &amp; $AR$159 &amp; $AF69),0)),"",INDIRECT(CONCATENATE("Table!",ADDRESS($AB69,MATCH(J$1,INDIRECT("Table!A" &amp; $AF69):INDIRECT("Table!" &amp; $AR$159 &amp; $AF69),0)))))</f>
        <v>48761</v>
      </c>
      <c r="K69" s="35">
        <f ca="1">IF(ISERROR(MATCH(K$1,INDIRECT("Table!A"&amp;$AF69):INDIRECT("Table!" &amp; $AR$159 &amp; $AF69),0)),"",INDIRECT(CONCATENATE("Table!",ADDRESS($AB69,MATCH(K$1,INDIRECT("Table!A" &amp; $AF69):INDIRECT("Table!" &amp; $AR$159 &amp; $AF69),0)))))</f>
        <v>15581.9</v>
      </c>
      <c r="L69" s="35">
        <f ca="1">IF(ISERROR(MATCH(L$1,INDIRECT("Table!A"&amp;$AF69):INDIRECT("Table!" &amp; $AR$159 &amp; $AF69),0)),"",INDIRECT(CONCATENATE("Table!",ADDRESS($AB69,MATCH(L$1,INDIRECT("Table!A" &amp; $AF69):INDIRECT("Table!" &amp; $AR$159 &amp; $AF69),0)))))</f>
        <v>81515.7</v>
      </c>
      <c r="M69" s="35">
        <f ca="1">IF(ISERROR(MATCH(M$1,INDIRECT("Table!A"&amp;$AF69):INDIRECT("Table!" &amp; $AR$159 &amp; $AF69),0)),"",INDIRECT(CONCATENATE("Table!",ADDRESS($AB69,MATCH(M$1,INDIRECT("Table!A" &amp; $AF69):INDIRECT("Table!" &amp; $AR$159 &amp; $AF69),0)))))</f>
        <v>23967.3</v>
      </c>
      <c r="N69" s="35" t="str">
        <f ca="1">IF(ISERROR(MATCH(N$1,INDIRECT("Table!A"&amp;$AF69):INDIRECT("Table!" &amp; $AR$188 &amp; $AF69),0)),"",INDIRECT(CONCATENATE("Table!",ADDRESS($AB69,MATCH(N$1,INDIRECT("Table!A" &amp; $AF69):INDIRECT("Table!" &amp; $AR$188 &amp; $AF69),0)))))</f>
        <v/>
      </c>
      <c r="O69" s="35">
        <f ca="1">IF(ISERROR(MATCH(O$1,INDIRECT("Table!A"&amp;$AN69):INDIRECT("Table!" &amp; $AR$159 &amp; $AN69),0)),"",INDIRECT(CONCATENATE("Table!",ADDRESS($AJ69,MATCH(O$1,INDIRECT("Table!A" &amp; $AN69):INDIRECT("Table!" &amp; $AR$159 &amp; $AN69),0)))))</f>
        <v>115816.8</v>
      </c>
      <c r="P69" s="35">
        <f ca="1">IF(ISERROR(MATCH(P$1,INDIRECT("Table!A"&amp;$AN69):INDIRECT("Table!" &amp; $AR$159 &amp; $AN69),0)),"",INDIRECT(CONCATENATE("Table!",ADDRESS($AJ69,MATCH(P$1,INDIRECT("Table!A" &amp; $AN69):INDIRECT("Table!" &amp; $AR$159 &amp; $AN69),0)))))</f>
        <v>99041.7</v>
      </c>
      <c r="Q69" s="35">
        <f ca="1">IF(ISERROR(MATCH(Q$1,INDIRECT("Table!A"&amp;$AN69):INDIRECT("Table!" &amp; $AR$159 &amp; $AN69),0)),"",INDIRECT(CONCATENATE("Table!",ADDRESS($AJ69,MATCH(Q$1,INDIRECT("Table!A" &amp; $AN69):INDIRECT("Table!" &amp; $AR$159 &amp; $AN69),0)))))</f>
        <v>99041.7</v>
      </c>
      <c r="R69" s="35">
        <f ca="1">IF(ISERROR(MATCH(R$1,INDIRECT("Table!A"&amp;$AN69):INDIRECT("Table!" &amp; $AR$159 &amp; $AN69),0)),"",INDIRECT(CONCATENATE("Table!",ADDRESS($AJ69,MATCH(R$1,INDIRECT("Table!A" &amp; $AN69):INDIRECT("Table!" &amp; $AR$159 &amp; $AN69),0)))))</f>
        <v>181997.8</v>
      </c>
      <c r="S69" s="35">
        <f ca="1">IF(ISERROR(MATCH(S$1,INDIRECT("Table!A"&amp;$AN69):INDIRECT("Table!" &amp; $AR$159 &amp; $AN69),0)),"",INDIRECT(CONCATENATE("Table!",ADDRESS($AJ69,MATCH(S$1,INDIRECT("Table!A" &amp; $AN69):INDIRECT("Table!" &amp; $AR$159 &amp; $AN69),0)))))</f>
        <v>121331.8</v>
      </c>
      <c r="T69" s="35">
        <f ca="1">IF(ISERROR(MATCH(T$1,INDIRECT("Table!A"&amp;$AN69):INDIRECT("Table!" &amp; $AR$159 &amp; $AN69),0)),"",INDIRECT(CONCATENATE("Table!",ADDRESS($AJ69,MATCH(T$1,INDIRECT("Table!A" &amp; $AN69):INDIRECT("Table!" &amp; $AR$159 &amp; $AN69),0)))))</f>
        <v>110071.9</v>
      </c>
      <c r="U69" s="35">
        <f ca="1">IF(ISERROR(MATCH(U$1,INDIRECT("Table!A"&amp;$AN69):INDIRECT("Table!" &amp; $AR$159 &amp; $AN69),0)),"",INDIRECT(CONCATENATE("Table!",ADDRESS($AJ69,MATCH(U$1,INDIRECT("Table!A" &amp; $AN69):INDIRECT("Table!" &amp; $AR$159 &amp; $AN69),0)))))</f>
        <v>121331.8</v>
      </c>
      <c r="V69" s="35">
        <f ca="1">IF(ISERROR(MATCH(V$1,INDIRECT("Table!A"&amp;$AN69):INDIRECT("Table!" &amp; $AR$159 &amp; $AN69),0)),"",INDIRECT(CONCATENATE("Table!",ADDRESS($AJ69,MATCH(V$1,INDIRECT("Table!A" &amp; $AN69):INDIRECT("Table!" &amp; $AR$159 &amp; $AN69),0)))))</f>
        <v>170967.6</v>
      </c>
      <c r="W69" s="35">
        <f ca="1">IF(ISERROR(MATCH(W$1,INDIRECT("Table!A"&amp;$AN69):INDIRECT("Table!" &amp; $AR$159 &amp; $AN69),0)),"",INDIRECT(CONCATENATE("Table!",ADDRESS($AJ69,MATCH(W$1,INDIRECT("Table!A" &amp; $AN69):INDIRECT("Table!" &amp; $AR$159 &amp; $AN69),0)))))</f>
        <v>132132.20000000001</v>
      </c>
      <c r="X69" s="35">
        <f ca="1">IF(ISERROR(MATCH(X$1,INDIRECT("Table!A"&amp;$AN69):INDIRECT("Table!" &amp; $AR$159 &amp; $AN69),0)),"",INDIRECT(CONCATENATE("Table!",ADDRESS($AJ69,MATCH(X$1,INDIRECT("Table!A" &amp; $AN69):INDIRECT("Table!" &amp; $AR$159 &amp; $AN69),0)))))</f>
        <v>60665.9</v>
      </c>
      <c r="Y69" s="35">
        <f ca="1">IF(ISERROR(MATCH(Y$1,INDIRECT("Table!A"&amp;$AN69):INDIRECT("Table!" &amp; $AR$159 &amp; $AN69),0)),"",INDIRECT(CONCATENATE("Table!",ADDRESS($AJ69,MATCH(Y$1,INDIRECT("Table!A" &amp; $AN69):INDIRECT("Table!" &amp; $AR$159 &amp; $AN69),0)))))</f>
        <v>176482.7</v>
      </c>
      <c r="Z69" s="35">
        <f ca="1">IF(ISERROR(MATCH(Z$1,INDIRECT("Table!A"&amp;$AN69):INDIRECT("Table!" &amp; $AR$159 &amp; $AN69),0)),"",INDIRECT(CONCATENATE("Table!",ADDRESS($AJ69,MATCH(Z$1,INDIRECT("Table!A" &amp; $AN69):INDIRECT("Table!" &amp; $AR$159 &amp; $AN69),0)))))</f>
        <v>54921</v>
      </c>
      <c r="AA69" s="12"/>
      <c r="AB69" s="12">
        <f>MATCH($A69,Table!$A:$A,0)+$AD$2-1</f>
        <v>1079</v>
      </c>
      <c r="AF69" s="31">
        <f>MATCH($A69,Table!$A:$A,0)+$AH$2-1</f>
        <v>1077</v>
      </c>
      <c r="AJ69" s="12">
        <f>MATCH($A69,Table!$A:$A,0)+$AL$2-1</f>
        <v>1078</v>
      </c>
      <c r="AN69" s="31">
        <f>MATCH($A69,Table!$A:$A,0)+$AH$2-1</f>
        <v>1077</v>
      </c>
      <c r="AR69" s="208" t="s">
        <v>118</v>
      </c>
    </row>
    <row r="70" spans="1:44">
      <c r="A70" s="5">
        <v>41080</v>
      </c>
      <c r="B70" s="35">
        <f ca="1">IF(ISERROR(MATCH(B$1,INDIRECT("Table!A"&amp;$AF70):INDIRECT("Table!" &amp; $AR$159 &amp; $AF70),0)),"",INDIRECT(CONCATENATE("Table!",ADDRESS($AB70,MATCH(B$1,INDIRECT("Table!A" &amp; $AF70):INDIRECT("Table!" &amp; $AR$159 &amp; $AF70),0)))))</f>
        <v>91636.5</v>
      </c>
      <c r="C70" s="35">
        <f ca="1">IF(ISERROR(MATCH(C$1,INDIRECT("Table!A"&amp;$AF70):INDIRECT("Table!" &amp; $AR$159 &amp; $AF70),0)),"",INDIRECT(CONCATENATE("Table!",ADDRESS($AB70,MATCH(C$1,INDIRECT("Table!A" &amp; $AF70):INDIRECT("Table!" &amp; $AR$159 &amp; $AF70),0)))))</f>
        <v>69227.7</v>
      </c>
      <c r="D70" s="35">
        <f ca="1">IF(ISERROR(MATCH(D$1,INDIRECT("Table!A"&amp;$AF70):INDIRECT("Table!" &amp; $AR$159 &amp; $AF70),0)),"",INDIRECT(CONCATENATE("Table!",ADDRESS($AB70,MATCH(D$1,INDIRECT("Table!A" &amp; $AF70):INDIRECT("Table!" &amp; $AR$159 &amp; $AF70),0)))))</f>
        <v>70776.600000000006</v>
      </c>
      <c r="E70" s="35">
        <f ca="1">IF(ISERROR(MATCH(E$1,INDIRECT("Table!A"&amp;$AF70):INDIRECT("Table!" &amp; $AR$159 &amp; $AF70),0)),"",INDIRECT(CONCATENATE("Table!",ADDRESS($AB70,MATCH(E$1,INDIRECT("Table!A" &amp; $AF70):INDIRECT("Table!" &amp; $AR$159 &amp; $AF70),0)))))</f>
        <v>149798.70000000001</v>
      </c>
      <c r="F70" s="35">
        <f ca="1">IF(ISERROR(MATCH(F$1,INDIRECT("Table!A"&amp;$AF70):INDIRECT("Table!" &amp; $AR$159 &amp; $AF70),0)),"",INDIRECT(CONCATENATE("Table!",ADDRESS($AB70,MATCH(F$1,INDIRECT("Table!A" &amp; $AF70):INDIRECT("Table!" &amp; $AR$159 &amp; $AF70),0)))))</f>
        <v>21092.3</v>
      </c>
      <c r="G70" s="35">
        <f ca="1">IF(ISERROR(MATCH(G$1,INDIRECT("Table!A"&amp;$AF70):INDIRECT("Table!" &amp; $AR$159 &amp; $AF70),0)),"",INDIRECT(CONCATENATE("Table!",ADDRESS($AB70,MATCH(G$1,INDIRECT("Table!A" &amp; $AF70):INDIRECT("Table!" &amp; $AR$159 &amp; $AF70),0)))))</f>
        <v>43027.3</v>
      </c>
      <c r="H70" s="35">
        <f ca="1">IF(ISERROR(MATCH(H$1,INDIRECT("Table!A"&amp;$AF70):INDIRECT("Table!" &amp; $AR$159 &amp; $AF70),0)),"",INDIRECT(CONCATENATE("Table!",ADDRESS($AB70,MATCH(H$1,INDIRECT("Table!A" &amp; $AF70):INDIRECT("Table!" &amp; $AR$159 &amp; $AF70),0)))))</f>
        <v>21299.3</v>
      </c>
      <c r="I70" s="35">
        <f ca="1">IF(ISERROR(MATCH(I$1,INDIRECT("Table!A"&amp;$AF70):INDIRECT("Table!" &amp; $AR$159 &amp; $AF70),0)),"",INDIRECT(CONCATENATE("Table!",ADDRESS($AB70,MATCH(I$1,INDIRECT("Table!A" &amp; $AF70):INDIRECT("Table!" &amp; $AR$159 &amp; $AF70),0)))))</f>
        <v>135396.29999999999</v>
      </c>
      <c r="J70" s="35">
        <f ca="1">IF(ISERROR(MATCH(J$1,INDIRECT("Table!A"&amp;$AF70):INDIRECT("Table!" &amp; $AR$159 &amp; $AF70),0)),"",INDIRECT(CONCATENATE("Table!",ADDRESS($AB70,MATCH(J$1,INDIRECT("Table!A" &amp; $AF70):INDIRECT("Table!" &amp; $AR$159 &amp; $AF70),0)))))</f>
        <v>48711.7</v>
      </c>
      <c r="K70" s="35">
        <f ca="1">IF(ISERROR(MATCH(K$1,INDIRECT("Table!A"&amp;$AF70):INDIRECT("Table!" &amp; $AR$159 &amp; $AF70),0)),"",INDIRECT(CONCATENATE("Table!",ADDRESS($AB70,MATCH(K$1,INDIRECT("Table!A" &amp; $AF70):INDIRECT("Table!" &amp; $AR$159 &amp; $AF70),0)))))</f>
        <v>15467.4</v>
      </c>
      <c r="L70" s="35">
        <f ca="1">IF(ISERROR(MATCH(L$1,INDIRECT("Table!A"&amp;$AF70):INDIRECT("Table!" &amp; $AR$159 &amp; $AF70),0)),"",INDIRECT(CONCATENATE("Table!",ADDRESS($AB70,MATCH(L$1,INDIRECT("Table!A" &amp; $AF70):INDIRECT("Table!" &amp; $AR$159 &amp; $AF70),0)))))</f>
        <v>81435.7</v>
      </c>
      <c r="M70" s="35">
        <f ca="1">IF(ISERROR(MATCH(M$1,INDIRECT("Table!A"&amp;$AF70):INDIRECT("Table!" &amp; $AR$159 &amp; $AF70),0)),"",INDIRECT(CONCATENATE("Table!",ADDRESS($AB70,MATCH(M$1,INDIRECT("Table!A" &amp; $AF70):INDIRECT("Table!" &amp; $AR$159 &amp; $AF70),0)))))</f>
        <v>23966.799999999999</v>
      </c>
      <c r="N70" s="35" t="str">
        <f ca="1">IF(ISERROR(MATCH(N$1,INDIRECT("Table!A"&amp;$AF70):INDIRECT("Table!" &amp; $AR$188 &amp; $AF70),0)),"",INDIRECT(CONCATENATE("Table!",ADDRESS($AB70,MATCH(N$1,INDIRECT("Table!A" &amp; $AF70):INDIRECT("Table!" &amp; $AR$188 &amp; $AF70),0)))))</f>
        <v/>
      </c>
      <c r="O70" s="35">
        <f ca="1">IF(ISERROR(MATCH(O$1,INDIRECT("Table!A"&amp;$AN70):INDIRECT("Table!" &amp; $AR$159 &amp; $AN70),0)),"",INDIRECT(CONCATENATE("Table!",ADDRESS($AJ70,MATCH(O$1,INDIRECT("Table!A" &amp; $AN70):INDIRECT("Table!" &amp; $AR$159 &amp; $AN70),0)))))</f>
        <v>115816.8</v>
      </c>
      <c r="P70" s="35">
        <f ca="1">IF(ISERROR(MATCH(P$1,INDIRECT("Table!A"&amp;$AN70):INDIRECT("Table!" &amp; $AR$159 &amp; $AN70),0)),"",INDIRECT(CONCATENATE("Table!",ADDRESS($AJ70,MATCH(P$1,INDIRECT("Table!A" &amp; $AN70):INDIRECT("Table!" &amp; $AR$159 &amp; $AN70),0)))))</f>
        <v>99041.7</v>
      </c>
      <c r="Q70" s="35">
        <f ca="1">IF(ISERROR(MATCH(Q$1,INDIRECT("Table!A"&amp;$AN70):INDIRECT("Table!" &amp; $AR$159 &amp; $AN70),0)),"",INDIRECT(CONCATENATE("Table!",ADDRESS($AJ70,MATCH(Q$1,INDIRECT("Table!A" &amp; $AN70):INDIRECT("Table!" &amp; $AR$159 &amp; $AN70),0)))))</f>
        <v>99041.7</v>
      </c>
      <c r="R70" s="35">
        <f ca="1">IF(ISERROR(MATCH(R$1,INDIRECT("Table!A"&amp;$AN70):INDIRECT("Table!" &amp; $AR$159 &amp; $AN70),0)),"",INDIRECT(CONCATENATE("Table!",ADDRESS($AJ70,MATCH(R$1,INDIRECT("Table!A" &amp; $AN70):INDIRECT("Table!" &amp; $AR$159 &amp; $AN70),0)))))</f>
        <v>181997.8</v>
      </c>
      <c r="S70" s="35">
        <f ca="1">IF(ISERROR(MATCH(S$1,INDIRECT("Table!A"&amp;$AN70):INDIRECT("Table!" &amp; $AR$159 &amp; $AN70),0)),"",INDIRECT(CONCATENATE("Table!",ADDRESS($AJ70,MATCH(S$1,INDIRECT("Table!A" &amp; $AN70):INDIRECT("Table!" &amp; $AR$159 &amp; $AN70),0)))))</f>
        <v>121331.8</v>
      </c>
      <c r="T70" s="35">
        <f ca="1">IF(ISERROR(MATCH(T$1,INDIRECT("Table!A"&amp;$AN70):INDIRECT("Table!" &amp; $AR$159 &amp; $AN70),0)),"",INDIRECT(CONCATENATE("Table!",ADDRESS($AJ70,MATCH(T$1,INDIRECT("Table!A" &amp; $AN70):INDIRECT("Table!" &amp; $AR$159 &amp; $AN70),0)))))</f>
        <v>110071.9</v>
      </c>
      <c r="U70" s="35">
        <f ca="1">IF(ISERROR(MATCH(U$1,INDIRECT("Table!A"&amp;$AN70):INDIRECT("Table!" &amp; $AR$159 &amp; $AN70),0)),"",INDIRECT(CONCATENATE("Table!",ADDRESS($AJ70,MATCH(U$1,INDIRECT("Table!A" &amp; $AN70):INDIRECT("Table!" &amp; $AR$159 &amp; $AN70),0)))))</f>
        <v>121331.8</v>
      </c>
      <c r="V70" s="35">
        <f ca="1">IF(ISERROR(MATCH(V$1,INDIRECT("Table!A"&amp;$AN70):INDIRECT("Table!" &amp; $AR$159 &amp; $AN70),0)),"",INDIRECT(CONCATENATE("Table!",ADDRESS($AJ70,MATCH(V$1,INDIRECT("Table!A" &amp; $AN70):INDIRECT("Table!" &amp; $AR$159 &amp; $AN70),0)))))</f>
        <v>170967.6</v>
      </c>
      <c r="W70" s="35">
        <f ca="1">IF(ISERROR(MATCH(W$1,INDIRECT("Table!A"&amp;$AN70):INDIRECT("Table!" &amp; $AR$159 &amp; $AN70),0)),"",INDIRECT(CONCATENATE("Table!",ADDRESS($AJ70,MATCH(W$1,INDIRECT("Table!A" &amp; $AN70):INDIRECT("Table!" &amp; $AR$159 &amp; $AN70),0)))))</f>
        <v>132132.20000000001</v>
      </c>
      <c r="X70" s="35">
        <f ca="1">IF(ISERROR(MATCH(X$1,INDIRECT("Table!A"&amp;$AN70):INDIRECT("Table!" &amp; $AR$159 &amp; $AN70),0)),"",INDIRECT(CONCATENATE("Table!",ADDRESS($AJ70,MATCH(X$1,INDIRECT("Table!A" &amp; $AN70):INDIRECT("Table!" &amp; $AR$159 &amp; $AN70),0)))))</f>
        <v>60665.9</v>
      </c>
      <c r="Y70" s="35">
        <f ca="1">IF(ISERROR(MATCH(Y$1,INDIRECT("Table!A"&amp;$AN70):INDIRECT("Table!" &amp; $AR$159 &amp; $AN70),0)),"",INDIRECT(CONCATENATE("Table!",ADDRESS($AJ70,MATCH(Y$1,INDIRECT("Table!A" &amp; $AN70):INDIRECT("Table!" &amp; $AR$159 &amp; $AN70),0)))))</f>
        <v>176482.7</v>
      </c>
      <c r="Z70" s="35">
        <f ca="1">IF(ISERROR(MATCH(Z$1,INDIRECT("Table!A"&amp;$AN70):INDIRECT("Table!" &amp; $AR$159 &amp; $AN70),0)),"",INDIRECT(CONCATENATE("Table!",ADDRESS($AJ70,MATCH(Z$1,INDIRECT("Table!A" &amp; $AN70):INDIRECT("Table!" &amp; $AR$159 &amp; $AN70),0)))))</f>
        <v>54921</v>
      </c>
      <c r="AA70" s="12"/>
      <c r="AB70" s="12">
        <f>MATCH($A70,Table!$A:$A,0)+$AD$2-1</f>
        <v>1092</v>
      </c>
      <c r="AF70" s="31">
        <f>MATCH($A70,Table!$A:$A,0)+$AH$2-1</f>
        <v>1090</v>
      </c>
      <c r="AJ70" s="12">
        <f>MATCH($A70,Table!$A:$A,0)+$AL$2-1</f>
        <v>1091</v>
      </c>
      <c r="AN70" s="31">
        <f>MATCH($A70,Table!$A:$A,0)+$AH$2-1</f>
        <v>1090</v>
      </c>
      <c r="AR70" s="207" t="s">
        <v>118</v>
      </c>
    </row>
    <row r="71" spans="1:44">
      <c r="A71" s="5">
        <v>41078</v>
      </c>
      <c r="B71" s="35">
        <f ca="1">IF(ISERROR(MATCH(B$1,INDIRECT("Table!A"&amp;$AF71):INDIRECT("Table!" &amp; $AR$159 &amp; $AF71),0)),"",INDIRECT(CONCATENATE("Table!",ADDRESS($AB71,MATCH(B$1,INDIRECT("Table!A" &amp; $AF71):INDIRECT("Table!" &amp; $AR$159 &amp; $AF71),0)))))</f>
        <v>91585.8</v>
      </c>
      <c r="C71" s="35">
        <f ca="1">IF(ISERROR(MATCH(C$1,INDIRECT("Table!A"&amp;$AF71):INDIRECT("Table!" &amp; $AR$159 &amp; $AF71),0)),"",INDIRECT(CONCATENATE("Table!",ADDRESS($AB71,MATCH(C$1,INDIRECT("Table!A" &amp; $AF71):INDIRECT("Table!" &amp; $AR$159 &amp; $AF71),0)))))</f>
        <v>69222.100000000006</v>
      </c>
      <c r="D71" s="35">
        <f ca="1">IF(ISERROR(MATCH(D$1,INDIRECT("Table!A"&amp;$AF71):INDIRECT("Table!" &amp; $AR$159 &amp; $AF71),0)),"",INDIRECT(CONCATENATE("Table!",ADDRESS($AB71,MATCH(D$1,INDIRECT("Table!A" &amp; $AF71):INDIRECT("Table!" &amp; $AR$159 &amp; $AF71),0)))))</f>
        <v>70771.7</v>
      </c>
      <c r="E71" s="35">
        <f ca="1">IF(ISERROR(MATCH(E$1,INDIRECT("Table!A"&amp;$AF71):INDIRECT("Table!" &amp; $AR$159 &amp; $AF71),0)),"",INDIRECT(CONCATENATE("Table!",ADDRESS($AB71,MATCH(E$1,INDIRECT("Table!A" &amp; $AF71):INDIRECT("Table!" &amp; $AR$159 &amp; $AF71),0)))))</f>
        <v>149362.6</v>
      </c>
      <c r="F71" s="35">
        <f ca="1">IF(ISERROR(MATCH(F$1,INDIRECT("Table!A"&amp;$AF71):INDIRECT("Table!" &amp; $AR$159 &amp; $AF71),0)),"",INDIRECT(CONCATENATE("Table!",ADDRESS($AB71,MATCH(F$1,INDIRECT("Table!A" &amp; $AF71):INDIRECT("Table!" &amp; $AR$159 &amp; $AF71),0)))))</f>
        <v>20767.8</v>
      </c>
      <c r="G71" s="35">
        <f ca="1">IF(ISERROR(MATCH(G$1,INDIRECT("Table!A"&amp;$AF71):INDIRECT("Table!" &amp; $AR$159 &amp; $AF71),0)),"",INDIRECT(CONCATENATE("Table!",ADDRESS($AB71,MATCH(G$1,INDIRECT("Table!A" &amp; $AF71):INDIRECT("Table!" &amp; $AR$159 &amp; $AF71),0)))))</f>
        <v>42815.8</v>
      </c>
      <c r="H71" s="35">
        <f ca="1">IF(ISERROR(MATCH(H$1,INDIRECT("Table!A"&amp;$AF71):INDIRECT("Table!" &amp; $AR$159 &amp; $AF71),0)),"",INDIRECT(CONCATENATE("Table!",ADDRESS($AB71,MATCH(H$1,INDIRECT("Table!A" &amp; $AF71):INDIRECT("Table!" &amp; $AR$159 &amp; $AF71),0)))))</f>
        <v>21269.8</v>
      </c>
      <c r="I71" s="35">
        <f ca="1">IF(ISERROR(MATCH(I$1,INDIRECT("Table!A"&amp;$AF71):INDIRECT("Table!" &amp; $AR$159 &amp; $AF71),0)),"",INDIRECT(CONCATENATE("Table!",ADDRESS($AB71,MATCH(I$1,INDIRECT("Table!A" &amp; $AF71):INDIRECT("Table!" &amp; $AR$159 &amp; $AF71),0)))))</f>
        <v>135180.29999999999</v>
      </c>
      <c r="J71" s="35">
        <f ca="1">IF(ISERROR(MATCH(J$1,INDIRECT("Table!A"&amp;$AF71):INDIRECT("Table!" &amp; $AR$159 &amp; $AF71),0)),"",INDIRECT(CONCATENATE("Table!",ADDRESS($AB71,MATCH(J$1,INDIRECT("Table!A" &amp; $AF71):INDIRECT("Table!" &amp; $AR$159 &amp; $AF71),0)))))</f>
        <v>48694.9</v>
      </c>
      <c r="K71" s="35">
        <f ca="1">IF(ISERROR(MATCH(K$1,INDIRECT("Table!A"&amp;$AF71):INDIRECT("Table!" &amp; $AR$159 &amp; $AF71),0)),"",INDIRECT(CONCATENATE("Table!",ADDRESS($AB71,MATCH(K$1,INDIRECT("Table!A" &amp; $AF71):INDIRECT("Table!" &amp; $AR$159 &amp; $AF71),0)))))</f>
        <v>15225.7</v>
      </c>
      <c r="L71" s="35">
        <f ca="1">IF(ISERROR(MATCH(L$1,INDIRECT("Table!A"&amp;$AF71):INDIRECT("Table!" &amp; $AR$159 &amp; $AF71),0)),"",INDIRECT(CONCATENATE("Table!",ADDRESS($AB71,MATCH(L$1,INDIRECT("Table!A" &amp; $AF71):INDIRECT("Table!" &amp; $AR$159 &amp; $AF71),0)))))</f>
        <v>81380.800000000003</v>
      </c>
      <c r="M71" s="35">
        <f ca="1">IF(ISERROR(MATCH(M$1,INDIRECT("Table!A"&amp;$AF71):INDIRECT("Table!" &amp; $AR$159 &amp; $AF71),0)),"",INDIRECT(CONCATENATE("Table!",ADDRESS($AB71,MATCH(M$1,INDIRECT("Table!A" &amp; $AF71):INDIRECT("Table!" &amp; $AR$159 &amp; $AF71),0)))))</f>
        <v>23966.7</v>
      </c>
      <c r="N71" s="35" t="str">
        <f ca="1">IF(ISERROR(MATCH(N$1,INDIRECT("Table!A"&amp;$AF71):INDIRECT("Table!" &amp; $AR$188 &amp; $AF71),0)),"",INDIRECT(CONCATENATE("Table!",ADDRESS($AB71,MATCH(N$1,INDIRECT("Table!A" &amp; $AF71):INDIRECT("Table!" &amp; $AR$188 &amp; $AF71),0)))))</f>
        <v/>
      </c>
      <c r="O71" s="35">
        <f ca="1">IF(ISERROR(MATCH(O$1,INDIRECT("Table!A"&amp;$AN71):INDIRECT("Table!" &amp; $AR$159 &amp; $AN71),0)),"",INDIRECT(CONCATENATE("Table!",ADDRESS($AJ71,MATCH(O$1,INDIRECT("Table!A" &amp; $AN71):INDIRECT("Table!" &amp; $AR$159 &amp; $AN71),0)))))</f>
        <v>115816.8</v>
      </c>
      <c r="P71" s="35">
        <f ca="1">IF(ISERROR(MATCH(P$1,INDIRECT("Table!A"&amp;$AN71):INDIRECT("Table!" &amp; $AR$159 &amp; $AN71),0)),"",INDIRECT(CONCATENATE("Table!",ADDRESS($AJ71,MATCH(P$1,INDIRECT("Table!A" &amp; $AN71):INDIRECT("Table!" &amp; $AR$159 &amp; $AN71),0)))))</f>
        <v>99041.7</v>
      </c>
      <c r="Q71" s="35">
        <f ca="1">IF(ISERROR(MATCH(Q$1,INDIRECT("Table!A"&amp;$AN71):INDIRECT("Table!" &amp; $AR$159 &amp; $AN71),0)),"",INDIRECT(CONCATENATE("Table!",ADDRESS($AJ71,MATCH(Q$1,INDIRECT("Table!A" &amp; $AN71):INDIRECT("Table!" &amp; $AR$159 &amp; $AN71),0)))))</f>
        <v>99041.7</v>
      </c>
      <c r="R71" s="35">
        <f ca="1">IF(ISERROR(MATCH(R$1,INDIRECT("Table!A"&amp;$AN71):INDIRECT("Table!" &amp; $AR$159 &amp; $AN71),0)),"",INDIRECT(CONCATENATE("Table!",ADDRESS($AJ71,MATCH(R$1,INDIRECT("Table!A" &amp; $AN71):INDIRECT("Table!" &amp; $AR$159 &amp; $AN71),0)))))</f>
        <v>181997.8</v>
      </c>
      <c r="S71" s="35">
        <f ca="1">IF(ISERROR(MATCH(S$1,INDIRECT("Table!A"&amp;$AN71):INDIRECT("Table!" &amp; $AR$159 &amp; $AN71),0)),"",INDIRECT(CONCATENATE("Table!",ADDRESS($AJ71,MATCH(S$1,INDIRECT("Table!A" &amp; $AN71):INDIRECT("Table!" &amp; $AR$159 &amp; $AN71),0)))))</f>
        <v>121331.8</v>
      </c>
      <c r="T71" s="35">
        <f ca="1">IF(ISERROR(MATCH(T$1,INDIRECT("Table!A"&amp;$AN71):INDIRECT("Table!" &amp; $AR$159 &amp; $AN71),0)),"",INDIRECT(CONCATENATE("Table!",ADDRESS($AJ71,MATCH(T$1,INDIRECT("Table!A" &amp; $AN71):INDIRECT("Table!" &amp; $AR$159 &amp; $AN71),0)))))</f>
        <v>110071.9</v>
      </c>
      <c r="U71" s="35">
        <f ca="1">IF(ISERROR(MATCH(U$1,INDIRECT("Table!A"&amp;$AN71):INDIRECT("Table!" &amp; $AR$159 &amp; $AN71),0)),"",INDIRECT(CONCATENATE("Table!",ADDRESS($AJ71,MATCH(U$1,INDIRECT("Table!A" &amp; $AN71):INDIRECT("Table!" &amp; $AR$159 &amp; $AN71),0)))))</f>
        <v>121331.8</v>
      </c>
      <c r="V71" s="35">
        <f ca="1">IF(ISERROR(MATCH(V$1,INDIRECT("Table!A"&amp;$AN71):INDIRECT("Table!" &amp; $AR$159 &amp; $AN71),0)),"",INDIRECT(CONCATENATE("Table!",ADDRESS($AJ71,MATCH(V$1,INDIRECT("Table!A" &amp; $AN71):INDIRECT("Table!" &amp; $AR$159 &amp; $AN71),0)))))</f>
        <v>170967.6</v>
      </c>
      <c r="W71" s="35">
        <f ca="1">IF(ISERROR(MATCH(W$1,INDIRECT("Table!A"&amp;$AN71):INDIRECT("Table!" &amp; $AR$159 &amp; $AN71),0)),"",INDIRECT(CONCATENATE("Table!",ADDRESS($AJ71,MATCH(W$1,INDIRECT("Table!A" &amp; $AN71):INDIRECT("Table!" &amp; $AR$159 &amp; $AN71),0)))))</f>
        <v>132132.20000000001</v>
      </c>
      <c r="X71" s="35">
        <f ca="1">IF(ISERROR(MATCH(X$1,INDIRECT("Table!A"&amp;$AN71):INDIRECT("Table!" &amp; $AR$159 &amp; $AN71),0)),"",INDIRECT(CONCATENATE("Table!",ADDRESS($AJ71,MATCH(X$1,INDIRECT("Table!A" &amp; $AN71):INDIRECT("Table!" &amp; $AR$159 &amp; $AN71),0)))))</f>
        <v>60665.9</v>
      </c>
      <c r="Y71" s="35">
        <f ca="1">IF(ISERROR(MATCH(Y$1,INDIRECT("Table!A"&amp;$AN71):INDIRECT("Table!" &amp; $AR$159 &amp; $AN71),0)),"",INDIRECT(CONCATENATE("Table!",ADDRESS($AJ71,MATCH(Y$1,INDIRECT("Table!A" &amp; $AN71):INDIRECT("Table!" &amp; $AR$159 &amp; $AN71),0)))))</f>
        <v>176482.7</v>
      </c>
      <c r="Z71" s="35">
        <f ca="1">IF(ISERROR(MATCH(Z$1,INDIRECT("Table!A"&amp;$AN71):INDIRECT("Table!" &amp; $AR$159 &amp; $AN71),0)),"",INDIRECT(CONCATENATE("Table!",ADDRESS($AJ71,MATCH(Z$1,INDIRECT("Table!A" &amp; $AN71):INDIRECT("Table!" &amp; $AR$159 &amp; $AN71),0)))))</f>
        <v>54921</v>
      </c>
      <c r="AA71" s="12"/>
      <c r="AB71" s="12">
        <f>MATCH($A71,Table!$A:$A,0)+$AD$2-1</f>
        <v>1105</v>
      </c>
      <c r="AF71" s="31">
        <f>MATCH($A71,Table!$A:$A,0)+$AH$2-1</f>
        <v>1103</v>
      </c>
      <c r="AJ71" s="12">
        <f>MATCH($A71,Table!$A:$A,0)+$AL$2-1</f>
        <v>1104</v>
      </c>
      <c r="AN71" s="31">
        <f>MATCH($A71,Table!$A:$A,0)+$AH$2-1</f>
        <v>1103</v>
      </c>
      <c r="AR71" s="206" t="s">
        <v>118</v>
      </c>
    </row>
    <row r="72" spans="1:44">
      <c r="A72" s="5">
        <v>41075</v>
      </c>
      <c r="B72" s="35">
        <f ca="1">IF(ISERROR(MATCH(B$1,INDIRECT("Table!A"&amp;$AF72):INDIRECT("Table!" &amp; $AR$159 &amp; $AF72),0)),"",INDIRECT(CONCATENATE("Table!",ADDRESS($AB72,MATCH(B$1,INDIRECT("Table!A" &amp; $AF72):INDIRECT("Table!" &amp; $AR$159 &amp; $AF72),0)))))</f>
        <v>91530.8</v>
      </c>
      <c r="C72" s="35">
        <f ca="1">IF(ISERROR(MATCH(C$1,INDIRECT("Table!A"&amp;$AF72):INDIRECT("Table!" &amp; $AR$159 &amp; $AF72),0)),"",INDIRECT(CONCATENATE("Table!",ADDRESS($AB72,MATCH(C$1,INDIRECT("Table!A" &amp; $AF72):INDIRECT("Table!" &amp; $AR$159 &amp; $AF72),0)))))</f>
        <v>69119.3</v>
      </c>
      <c r="D72" s="35">
        <f ca="1">IF(ISERROR(MATCH(D$1,INDIRECT("Table!A"&amp;$AF72):INDIRECT("Table!" &amp; $AR$159 &amp; $AF72),0)),"",INDIRECT(CONCATENATE("Table!",ADDRESS($AB72,MATCH(D$1,INDIRECT("Table!A" &amp; $AF72):INDIRECT("Table!" &amp; $AR$159 &amp; $AF72),0)))))</f>
        <v>70679.5</v>
      </c>
      <c r="E72" s="35">
        <f ca="1">IF(ISERROR(MATCH(E$1,INDIRECT("Table!A"&amp;$AF72):INDIRECT("Table!" &amp; $AR$159 &amp; $AF72),0)),"",INDIRECT(CONCATENATE("Table!",ADDRESS($AB72,MATCH(E$1,INDIRECT("Table!A" &amp; $AF72):INDIRECT("Table!" &amp; $AR$159 &amp; $AF72),0)))))</f>
        <v>149035.5</v>
      </c>
      <c r="F72" s="35">
        <f ca="1">IF(ISERROR(MATCH(F$1,INDIRECT("Table!A"&amp;$AF72):INDIRECT("Table!" &amp; $AR$159 &amp; $AF72),0)),"",INDIRECT(CONCATENATE("Table!",ADDRESS($AB72,MATCH(F$1,INDIRECT("Table!A" &amp; $AF72):INDIRECT("Table!" &amp; $AR$159 &amp; $AF72),0)))))</f>
        <v>20639.900000000001</v>
      </c>
      <c r="G72" s="35">
        <f ca="1">IF(ISERROR(MATCH(G$1,INDIRECT("Table!A"&amp;$AF72):INDIRECT("Table!" &amp; $AR$159 &amp; $AF72),0)),"",INDIRECT(CONCATENATE("Table!",ADDRESS($AB72,MATCH(G$1,INDIRECT("Table!A" &amp; $AF72):INDIRECT("Table!" &amp; $AR$159 &amp; $AF72),0)))))</f>
        <v>42516.7</v>
      </c>
      <c r="H72" s="35">
        <f ca="1">IF(ISERROR(MATCH(H$1,INDIRECT("Table!A"&amp;$AF72):INDIRECT("Table!" &amp; $AR$159 &amp; $AF72),0)),"",INDIRECT(CONCATENATE("Table!",ADDRESS($AB72,MATCH(H$1,INDIRECT("Table!A" &amp; $AF72):INDIRECT("Table!" &amp; $AR$159 &amp; $AF72),0)))))</f>
        <v>21109.8</v>
      </c>
      <c r="I72" s="35">
        <f ca="1">IF(ISERROR(MATCH(I$1,INDIRECT("Table!A"&amp;$AF72):INDIRECT("Table!" &amp; $AR$159 &amp; $AF72),0)),"",INDIRECT(CONCATENATE("Table!",ADDRESS($AB72,MATCH(I$1,INDIRECT("Table!A" &amp; $AF72):INDIRECT("Table!" &amp; $AR$159 &amp; $AF72),0)))))</f>
        <v>134740.79999999999</v>
      </c>
      <c r="J72" s="35">
        <f ca="1">IF(ISERROR(MATCH(J$1,INDIRECT("Table!A"&amp;$AF72):INDIRECT("Table!" &amp; $AR$159 &amp; $AF72),0)),"",INDIRECT(CONCATENATE("Table!",ADDRESS($AB72,MATCH(J$1,INDIRECT("Table!A" &amp; $AF72):INDIRECT("Table!" &amp; $AR$159 &amp; $AF72),0)))))</f>
        <v>48724.3</v>
      </c>
      <c r="K72" s="35">
        <f ca="1">IF(ISERROR(MATCH(K$1,INDIRECT("Table!A"&amp;$AF72):INDIRECT("Table!" &amp; $AR$159 &amp; $AF72),0)),"",INDIRECT(CONCATENATE("Table!",ADDRESS($AB72,MATCH(K$1,INDIRECT("Table!A" &amp; $AF72):INDIRECT("Table!" &amp; $AR$159 &amp; $AF72),0)))))</f>
        <v>15147.3</v>
      </c>
      <c r="L72" s="35">
        <f ca="1">IF(ISERROR(MATCH(L$1,INDIRECT("Table!A"&amp;$AF72):INDIRECT("Table!" &amp; $AR$159 &amp; $AF72),0)),"",INDIRECT(CONCATENATE("Table!",ADDRESS($AB72,MATCH(L$1,INDIRECT("Table!A" &amp; $AF72):INDIRECT("Table!" &amp; $AR$159 &amp; $AF72),0)))))</f>
        <v>81058.7</v>
      </c>
      <c r="M72" s="35">
        <f ca="1">IF(ISERROR(MATCH(M$1,INDIRECT("Table!A"&amp;$AF72):INDIRECT("Table!" &amp; $AR$159 &amp; $AF72),0)),"",INDIRECT(CONCATENATE("Table!",ADDRESS($AB72,MATCH(M$1,INDIRECT("Table!A" &amp; $AF72):INDIRECT("Table!" &amp; $AR$159 &amp; $AF72),0)))))</f>
        <v>23965.200000000001</v>
      </c>
      <c r="N72" s="35" t="str">
        <f ca="1">IF(ISERROR(MATCH(N$1,INDIRECT("Table!A"&amp;$AF72):INDIRECT("Table!" &amp; $AR$188 &amp; $AF72),0)),"",INDIRECT(CONCATENATE("Table!",ADDRESS($AB72,MATCH(N$1,INDIRECT("Table!A" &amp; $AF72):INDIRECT("Table!" &amp; $AR$188 &amp; $AF72),0)))))</f>
        <v/>
      </c>
      <c r="O72" s="35">
        <f ca="1">IF(ISERROR(MATCH(O$1,INDIRECT("Table!A"&amp;$AN72):INDIRECT("Table!" &amp; $AR$159 &amp; $AN72),0)),"",INDIRECT(CONCATENATE("Table!",ADDRESS($AJ72,MATCH(O$1,INDIRECT("Table!A" &amp; $AN72):INDIRECT("Table!" &amp; $AR$159 &amp; $AN72),0)))))</f>
        <v>115816.8</v>
      </c>
      <c r="P72" s="35">
        <f ca="1">IF(ISERROR(MATCH(P$1,INDIRECT("Table!A"&amp;$AN72):INDIRECT("Table!" &amp; $AR$159 &amp; $AN72),0)),"",INDIRECT(CONCATENATE("Table!",ADDRESS($AJ72,MATCH(P$1,INDIRECT("Table!A" &amp; $AN72):INDIRECT("Table!" &amp; $AR$159 &amp; $AN72),0)))))</f>
        <v>99041.7</v>
      </c>
      <c r="Q72" s="35">
        <f ca="1">IF(ISERROR(MATCH(Q$1,INDIRECT("Table!A"&amp;$AN72):INDIRECT("Table!" &amp; $AR$159 &amp; $AN72),0)),"",INDIRECT(CONCATENATE("Table!",ADDRESS($AJ72,MATCH(Q$1,INDIRECT("Table!A" &amp; $AN72):INDIRECT("Table!" &amp; $AR$159 &amp; $AN72),0)))))</f>
        <v>99041.7</v>
      </c>
      <c r="R72" s="35">
        <f ca="1">IF(ISERROR(MATCH(R$1,INDIRECT("Table!A"&amp;$AN72):INDIRECT("Table!" &amp; $AR$159 &amp; $AN72),0)),"",INDIRECT(CONCATENATE("Table!",ADDRESS($AJ72,MATCH(R$1,INDIRECT("Table!A" &amp; $AN72):INDIRECT("Table!" &amp; $AR$159 &amp; $AN72),0)))))</f>
        <v>181997.8</v>
      </c>
      <c r="S72" s="35">
        <f ca="1">IF(ISERROR(MATCH(S$1,INDIRECT("Table!A"&amp;$AN72):INDIRECT("Table!" &amp; $AR$159 &amp; $AN72),0)),"",INDIRECT(CONCATENATE("Table!",ADDRESS($AJ72,MATCH(S$1,INDIRECT("Table!A" &amp; $AN72):INDIRECT("Table!" &amp; $AR$159 &amp; $AN72),0)))))</f>
        <v>121331.8</v>
      </c>
      <c r="T72" s="35">
        <f ca="1">IF(ISERROR(MATCH(T$1,INDIRECT("Table!A"&amp;$AN72):INDIRECT("Table!" &amp; $AR$159 &amp; $AN72),0)),"",INDIRECT(CONCATENATE("Table!",ADDRESS($AJ72,MATCH(T$1,INDIRECT("Table!A" &amp; $AN72):INDIRECT("Table!" &amp; $AR$159 &amp; $AN72),0)))))</f>
        <v>110071.9</v>
      </c>
      <c r="U72" s="35">
        <f ca="1">IF(ISERROR(MATCH(U$1,INDIRECT("Table!A"&amp;$AN72):INDIRECT("Table!" &amp; $AR$159 &amp; $AN72),0)),"",INDIRECT(CONCATENATE("Table!",ADDRESS($AJ72,MATCH(U$1,INDIRECT("Table!A" &amp; $AN72):INDIRECT("Table!" &amp; $AR$159 &amp; $AN72),0)))))</f>
        <v>121331.8</v>
      </c>
      <c r="V72" s="35">
        <f ca="1">IF(ISERROR(MATCH(V$1,INDIRECT("Table!A"&amp;$AN72):INDIRECT("Table!" &amp; $AR$159 &amp; $AN72),0)),"",INDIRECT(CONCATENATE("Table!",ADDRESS($AJ72,MATCH(V$1,INDIRECT("Table!A" &amp; $AN72):INDIRECT("Table!" &amp; $AR$159 &amp; $AN72),0)))))</f>
        <v>170967.6</v>
      </c>
      <c r="W72" s="35">
        <f ca="1">IF(ISERROR(MATCH(W$1,INDIRECT("Table!A"&amp;$AN72):INDIRECT("Table!" &amp; $AR$159 &amp; $AN72),0)),"",INDIRECT(CONCATENATE("Table!",ADDRESS($AJ72,MATCH(W$1,INDIRECT("Table!A" &amp; $AN72):INDIRECT("Table!" &amp; $AR$159 &amp; $AN72),0)))))</f>
        <v>132132.20000000001</v>
      </c>
      <c r="X72" s="35">
        <f ca="1">IF(ISERROR(MATCH(X$1,INDIRECT("Table!A"&amp;$AN72):INDIRECT("Table!" &amp; $AR$159 &amp; $AN72),0)),"",INDIRECT(CONCATENATE("Table!",ADDRESS($AJ72,MATCH(X$1,INDIRECT("Table!A" &amp; $AN72):INDIRECT("Table!" &amp; $AR$159 &amp; $AN72),0)))))</f>
        <v>60665.9</v>
      </c>
      <c r="Y72" s="35">
        <f ca="1">IF(ISERROR(MATCH(Y$1,INDIRECT("Table!A"&amp;$AN72):INDIRECT("Table!" &amp; $AR$159 &amp; $AN72),0)),"",INDIRECT(CONCATENATE("Table!",ADDRESS($AJ72,MATCH(Y$1,INDIRECT("Table!A" &amp; $AN72):INDIRECT("Table!" &amp; $AR$159 &amp; $AN72),0)))))</f>
        <v>176482.7</v>
      </c>
      <c r="Z72" s="35">
        <f ca="1">IF(ISERROR(MATCH(Z$1,INDIRECT("Table!A"&amp;$AN72):INDIRECT("Table!" &amp; $AR$159 &amp; $AN72),0)),"",INDIRECT(CONCATENATE("Table!",ADDRESS($AJ72,MATCH(Z$1,INDIRECT("Table!A" &amp; $AN72):INDIRECT("Table!" &amp; $AR$159 &amp; $AN72),0)))))</f>
        <v>54921</v>
      </c>
      <c r="AA72" s="12"/>
      <c r="AB72" s="12">
        <f>MATCH($A72,Table!$A:$A,0)+$AD$2-1</f>
        <v>1118</v>
      </c>
      <c r="AF72" s="31">
        <f>MATCH($A72,Table!$A:$A,0)+$AH$2-1</f>
        <v>1116</v>
      </c>
      <c r="AJ72" s="12">
        <f>MATCH($A72,Table!$A:$A,0)+$AL$2-1</f>
        <v>1117</v>
      </c>
      <c r="AN72" s="31">
        <f>MATCH($A72,Table!$A:$A,0)+$AH$2-1</f>
        <v>1116</v>
      </c>
      <c r="AR72" s="205" t="s">
        <v>118</v>
      </c>
    </row>
    <row r="73" spans="1:44">
      <c r="A73" s="5">
        <v>41074</v>
      </c>
      <c r="B73" s="35">
        <f ca="1">IF(ISERROR(MATCH(B$1,INDIRECT("Table!A"&amp;$AF73):INDIRECT("Table!" &amp; $AR$159 &amp; $AF73),0)),"",INDIRECT(CONCATENATE("Table!",ADDRESS($AB73,MATCH(B$1,INDIRECT("Table!A" &amp; $AF73):INDIRECT("Table!" &amp; $AR$159 &amp; $AF73),0)))))</f>
        <v>91509.3</v>
      </c>
      <c r="C73" s="35">
        <f ca="1">IF(ISERROR(MATCH(C$1,INDIRECT("Table!A"&amp;$AF73):INDIRECT("Table!" &amp; $AR$159 &amp; $AF73),0)),"",INDIRECT(CONCATENATE("Table!",ADDRESS($AB73,MATCH(C$1,INDIRECT("Table!A" &amp; $AF73):INDIRECT("Table!" &amp; $AR$159 &amp; $AF73),0)))))</f>
        <v>69110.7</v>
      </c>
      <c r="D73" s="35">
        <f ca="1">IF(ISERROR(MATCH(D$1,INDIRECT("Table!A"&amp;$AF73):INDIRECT("Table!" &amp; $AR$159 &amp; $AF73),0)),"",INDIRECT(CONCATENATE("Table!",ADDRESS($AB73,MATCH(D$1,INDIRECT("Table!A" &amp; $AF73):INDIRECT("Table!" &amp; $AR$159 &amp; $AF73),0)))))</f>
        <v>70672.2</v>
      </c>
      <c r="E73" s="35">
        <f ca="1">IF(ISERROR(MATCH(E$1,INDIRECT("Table!A"&amp;$AF73):INDIRECT("Table!" &amp; $AR$159 &amp; $AF73),0)),"",INDIRECT(CONCATENATE("Table!",ADDRESS($AB73,MATCH(E$1,INDIRECT("Table!A" &amp; $AF73):INDIRECT("Table!" &amp; $AR$159 &amp; $AF73),0)))))</f>
        <v>148969</v>
      </c>
      <c r="F73" s="35">
        <f ca="1">IF(ISERROR(MATCH(F$1,INDIRECT("Table!A"&amp;$AF73):INDIRECT("Table!" &amp; $AR$159 &amp; $AF73),0)),"",INDIRECT(CONCATENATE("Table!",ADDRESS($AB73,MATCH(F$1,INDIRECT("Table!A" &amp; $AF73):INDIRECT("Table!" &amp; $AR$159 &amp; $AF73),0)))))</f>
        <v>20519.900000000001</v>
      </c>
      <c r="G73" s="35">
        <f ca="1">IF(ISERROR(MATCH(G$1,INDIRECT("Table!A"&amp;$AF73):INDIRECT("Table!" &amp; $AR$159 &amp; $AF73),0)),"",INDIRECT(CONCATENATE("Table!",ADDRESS($AB73,MATCH(G$1,INDIRECT("Table!A" &amp; $AF73):INDIRECT("Table!" &amp; $AR$159 &amp; $AF73),0)))))</f>
        <v>42329.4</v>
      </c>
      <c r="H73" s="35">
        <f ca="1">IF(ISERROR(MATCH(H$1,INDIRECT("Table!A"&amp;$AF73):INDIRECT("Table!" &amp; $AR$159 &amp; $AF73),0)),"",INDIRECT(CONCATENATE("Table!",ADDRESS($AB73,MATCH(H$1,INDIRECT("Table!A" &amp; $AF73):INDIRECT("Table!" &amp; $AR$159 &amp; $AF73),0)))))</f>
        <v>21106.400000000001</v>
      </c>
      <c r="I73" s="35">
        <f ca="1">IF(ISERROR(MATCH(I$1,INDIRECT("Table!A"&amp;$AF73):INDIRECT("Table!" &amp; $AR$159 &amp; $AF73),0)),"",INDIRECT(CONCATENATE("Table!",ADDRESS($AB73,MATCH(I$1,INDIRECT("Table!A" &amp; $AF73):INDIRECT("Table!" &amp; $AR$159 &amp; $AF73),0)))))</f>
        <v>134702.6</v>
      </c>
      <c r="J73" s="35">
        <f ca="1">IF(ISERROR(MATCH(J$1,INDIRECT("Table!A"&amp;$AF73):INDIRECT("Table!" &amp; $AR$159 &amp; $AF73),0)),"",INDIRECT(CONCATENATE("Table!",ADDRESS($AB73,MATCH(J$1,INDIRECT("Table!A" &amp; $AF73):INDIRECT("Table!" &amp; $AR$159 &amp; $AF73),0)))))</f>
        <v>48678.2</v>
      </c>
      <c r="K73" s="35">
        <f ca="1">IF(ISERROR(MATCH(K$1,INDIRECT("Table!A"&amp;$AF73):INDIRECT("Table!" &amp; $AR$159 &amp; $AF73),0)),"",INDIRECT(CONCATENATE("Table!",ADDRESS($AB73,MATCH(K$1,INDIRECT("Table!A" &amp; $AF73):INDIRECT("Table!" &amp; $AR$159 &amp; $AF73),0)))))</f>
        <v>15087</v>
      </c>
      <c r="L73" s="35">
        <f ca="1">IF(ISERROR(MATCH(L$1,INDIRECT("Table!A"&amp;$AF73):INDIRECT("Table!" &amp; $AR$159 &amp; $AF73),0)),"",INDIRECT(CONCATENATE("Table!",ADDRESS($AB73,MATCH(L$1,INDIRECT("Table!A" &amp; $AF73):INDIRECT("Table!" &amp; $AR$159 &amp; $AF73),0)))))</f>
        <v>81052.600000000006</v>
      </c>
      <c r="M73" s="35">
        <f ca="1">IF(ISERROR(MATCH(M$1,INDIRECT("Table!A"&amp;$AF73):INDIRECT("Table!" &amp; $AR$159 &amp; $AF73),0)),"",INDIRECT(CONCATENATE("Table!",ADDRESS($AB73,MATCH(M$1,INDIRECT("Table!A" &amp; $AF73):INDIRECT("Table!" &amp; $AR$159 &amp; $AF73),0)))))</f>
        <v>23965</v>
      </c>
      <c r="N73" s="35" t="str">
        <f ca="1">IF(ISERROR(MATCH(N$1,INDIRECT("Table!A"&amp;$AF73):INDIRECT("Table!" &amp; $AR$188 &amp; $AF73),0)),"",INDIRECT(CONCATENATE("Table!",ADDRESS($AB73,MATCH(N$1,INDIRECT("Table!A" &amp; $AF73):INDIRECT("Table!" &amp; $AR$188 &amp; $AF73),0)))))</f>
        <v/>
      </c>
      <c r="O73" s="35">
        <f ca="1">IF(ISERROR(MATCH(O$1,INDIRECT("Table!A"&amp;$AN73):INDIRECT("Table!" &amp; $AR$159 &amp; $AN73),0)),"",INDIRECT(CONCATENATE("Table!",ADDRESS($AJ73,MATCH(O$1,INDIRECT("Table!A" &amp; $AN73):INDIRECT("Table!" &amp; $AR$159 &amp; $AN73),0)))))</f>
        <v>115816.8</v>
      </c>
      <c r="P73" s="35">
        <f ca="1">IF(ISERROR(MATCH(P$1,INDIRECT("Table!A"&amp;$AN73):INDIRECT("Table!" &amp; $AR$159 &amp; $AN73),0)),"",INDIRECT(CONCATENATE("Table!",ADDRESS($AJ73,MATCH(P$1,INDIRECT("Table!A" &amp; $AN73):INDIRECT("Table!" &amp; $AR$159 &amp; $AN73),0)))))</f>
        <v>99041.7</v>
      </c>
      <c r="Q73" s="35">
        <f ca="1">IF(ISERROR(MATCH(Q$1,INDIRECT("Table!A"&amp;$AN73):INDIRECT("Table!" &amp; $AR$159 &amp; $AN73),0)),"",INDIRECT(CONCATENATE("Table!",ADDRESS($AJ73,MATCH(Q$1,INDIRECT("Table!A" &amp; $AN73):INDIRECT("Table!" &amp; $AR$159 &amp; $AN73),0)))))</f>
        <v>99041.7</v>
      </c>
      <c r="R73" s="35">
        <f ca="1">IF(ISERROR(MATCH(R$1,INDIRECT("Table!A"&amp;$AN73):INDIRECT("Table!" &amp; $AR$159 &amp; $AN73),0)),"",INDIRECT(CONCATENATE("Table!",ADDRESS($AJ73,MATCH(R$1,INDIRECT("Table!A" &amp; $AN73):INDIRECT("Table!" &amp; $AR$159 &amp; $AN73),0)))))</f>
        <v>181997.8</v>
      </c>
      <c r="S73" s="35">
        <f ca="1">IF(ISERROR(MATCH(S$1,INDIRECT("Table!A"&amp;$AN73):INDIRECT("Table!" &amp; $AR$159 &amp; $AN73),0)),"",INDIRECT(CONCATENATE("Table!",ADDRESS($AJ73,MATCH(S$1,INDIRECT("Table!A" &amp; $AN73):INDIRECT("Table!" &amp; $AR$159 &amp; $AN73),0)))))</f>
        <v>121331.8</v>
      </c>
      <c r="T73" s="35">
        <f ca="1">IF(ISERROR(MATCH(T$1,INDIRECT("Table!A"&amp;$AN73):INDIRECT("Table!" &amp; $AR$159 &amp; $AN73),0)),"",INDIRECT(CONCATENATE("Table!",ADDRESS($AJ73,MATCH(T$1,INDIRECT("Table!A" &amp; $AN73):INDIRECT("Table!" &amp; $AR$159 &amp; $AN73),0)))))</f>
        <v>110071.9</v>
      </c>
      <c r="U73" s="35">
        <f ca="1">IF(ISERROR(MATCH(U$1,INDIRECT("Table!A"&amp;$AN73):INDIRECT("Table!" &amp; $AR$159 &amp; $AN73),0)),"",INDIRECT(CONCATENATE("Table!",ADDRESS($AJ73,MATCH(U$1,INDIRECT("Table!A" &amp; $AN73):INDIRECT("Table!" &amp; $AR$159 &amp; $AN73),0)))))</f>
        <v>121331.8</v>
      </c>
      <c r="V73" s="35">
        <f ca="1">IF(ISERROR(MATCH(V$1,INDIRECT("Table!A"&amp;$AN73):INDIRECT("Table!" &amp; $AR$159 &amp; $AN73),0)),"",INDIRECT(CONCATENATE("Table!",ADDRESS($AJ73,MATCH(V$1,INDIRECT("Table!A" &amp; $AN73):INDIRECT("Table!" &amp; $AR$159 &amp; $AN73),0)))))</f>
        <v>170967.6</v>
      </c>
      <c r="W73" s="35">
        <f ca="1">IF(ISERROR(MATCH(W$1,INDIRECT("Table!A"&amp;$AN73):INDIRECT("Table!" &amp; $AR$159 &amp; $AN73),0)),"",INDIRECT(CONCATENATE("Table!",ADDRESS($AJ73,MATCH(W$1,INDIRECT("Table!A" &amp; $AN73):INDIRECT("Table!" &amp; $AR$159 &amp; $AN73),0)))))</f>
        <v>132132.20000000001</v>
      </c>
      <c r="X73" s="35">
        <f ca="1">IF(ISERROR(MATCH(X$1,INDIRECT("Table!A"&amp;$AN73):INDIRECT("Table!" &amp; $AR$159 &amp; $AN73),0)),"",INDIRECT(CONCATENATE("Table!",ADDRESS($AJ73,MATCH(X$1,INDIRECT("Table!A" &amp; $AN73):INDIRECT("Table!" &amp; $AR$159 &amp; $AN73),0)))))</f>
        <v>60665.9</v>
      </c>
      <c r="Y73" s="35">
        <f ca="1">IF(ISERROR(MATCH(Y$1,INDIRECT("Table!A"&amp;$AN73):INDIRECT("Table!" &amp; $AR$159 &amp; $AN73),0)),"",INDIRECT(CONCATENATE("Table!",ADDRESS($AJ73,MATCH(Y$1,INDIRECT("Table!A" &amp; $AN73):INDIRECT("Table!" &amp; $AR$159 &amp; $AN73),0)))))</f>
        <v>176482.7</v>
      </c>
      <c r="Z73" s="35">
        <f ca="1">IF(ISERROR(MATCH(Z$1,INDIRECT("Table!A"&amp;$AN73):INDIRECT("Table!" &amp; $AR$159 &amp; $AN73),0)),"",INDIRECT(CONCATENATE("Table!",ADDRESS($AJ73,MATCH(Z$1,INDIRECT("Table!A" &amp; $AN73):INDIRECT("Table!" &amp; $AR$159 &amp; $AN73),0)))))</f>
        <v>54921</v>
      </c>
      <c r="AA73" s="12"/>
      <c r="AB73" s="12">
        <f>MATCH($A73,Table!$A:$A,0)+$AD$2-1</f>
        <v>1131</v>
      </c>
      <c r="AF73" s="31">
        <f>MATCH($A73,Table!$A:$A,0)+$AH$2-1</f>
        <v>1129</v>
      </c>
      <c r="AJ73" s="12">
        <f>MATCH($A73,Table!$A:$A,0)+$AL$2-1</f>
        <v>1130</v>
      </c>
      <c r="AN73" s="31">
        <f>MATCH($A73,Table!$A:$A,0)+$AH$2-1</f>
        <v>1129</v>
      </c>
      <c r="AR73" s="204" t="s">
        <v>118</v>
      </c>
    </row>
    <row r="74" spans="1:44">
      <c r="A74" s="5">
        <v>41071</v>
      </c>
      <c r="B74" s="35">
        <f ca="1">IF(ISERROR(MATCH(B$1,INDIRECT("Table!A"&amp;$AF74):INDIRECT("Table!" &amp; $AR$159 &amp; $AF74),0)),"",INDIRECT(CONCATENATE("Table!",ADDRESS($AB74,MATCH(B$1,INDIRECT("Table!A" &amp; $AF74):INDIRECT("Table!" &amp; $AR$159 &amp; $AF74),0)))))</f>
        <v>91328.5</v>
      </c>
      <c r="C74" s="35">
        <f ca="1">IF(ISERROR(MATCH(C$1,INDIRECT("Table!A"&amp;$AF74):INDIRECT("Table!" &amp; $AR$159 &amp; $AF74),0)),"",INDIRECT(CONCATENATE("Table!",ADDRESS($AB74,MATCH(C$1,INDIRECT("Table!A" &amp; $AF74):INDIRECT("Table!" &amp; $AR$159 &amp; $AF74),0)))))</f>
        <v>69091.3</v>
      </c>
      <c r="D74" s="35">
        <f ca="1">IF(ISERROR(MATCH(D$1,INDIRECT("Table!A"&amp;$AF74):INDIRECT("Table!" &amp; $AR$159 &amp; $AF74),0)),"",INDIRECT(CONCATENATE("Table!",ADDRESS($AB74,MATCH(D$1,INDIRECT("Table!A" &amp; $AF74):INDIRECT("Table!" &amp; $AR$159 &amp; $AF74),0)))))</f>
        <v>70651.600000000006</v>
      </c>
      <c r="E74" s="35">
        <f ca="1">IF(ISERROR(MATCH(E$1,INDIRECT("Table!A"&amp;$AF74):INDIRECT("Table!" &amp; $AR$159 &amp; $AF74),0)),"",INDIRECT(CONCATENATE("Table!",ADDRESS($AB74,MATCH(E$1,INDIRECT("Table!A" &amp; $AF74):INDIRECT("Table!" &amp; $AR$159 &amp; $AF74),0)))))</f>
        <v>148613.29999999999</v>
      </c>
      <c r="F74" s="35">
        <f ca="1">IF(ISERROR(MATCH(F$1,INDIRECT("Table!A"&amp;$AF74):INDIRECT("Table!" &amp; $AR$159 &amp; $AF74),0)),"",INDIRECT(CONCATENATE("Table!",ADDRESS($AB74,MATCH(F$1,INDIRECT("Table!A" &amp; $AF74):INDIRECT("Table!" &amp; $AR$159 &amp; $AF74),0)))))</f>
        <v>20498.900000000001</v>
      </c>
      <c r="G74" s="35">
        <f ca="1">IF(ISERROR(MATCH(G$1,INDIRECT("Table!A"&amp;$AF74):INDIRECT("Table!" &amp; $AR$159 &amp; $AF74),0)),"",INDIRECT(CONCATENATE("Table!",ADDRESS($AB74,MATCH(G$1,INDIRECT("Table!A" &amp; $AF74):INDIRECT("Table!" &amp; $AR$159 &amp; $AF74),0)))))</f>
        <v>41922.199999999997</v>
      </c>
      <c r="H74" s="35">
        <f ca="1">IF(ISERROR(MATCH(H$1,INDIRECT("Table!A"&amp;$AF74):INDIRECT("Table!" &amp; $AR$159 &amp; $AF74),0)),"",INDIRECT(CONCATENATE("Table!",ADDRESS($AB74,MATCH(H$1,INDIRECT("Table!A" &amp; $AF74):INDIRECT("Table!" &amp; $AR$159 &amp; $AF74),0)))))</f>
        <v>20961.900000000001</v>
      </c>
      <c r="I74" s="35">
        <f ca="1">IF(ISERROR(MATCH(I$1,INDIRECT("Table!A"&amp;$AF74):INDIRECT("Table!" &amp; $AR$159 &amp; $AF74),0)),"",INDIRECT(CONCATENATE("Table!",ADDRESS($AB74,MATCH(I$1,INDIRECT("Table!A" &amp; $AF74):INDIRECT("Table!" &amp; $AR$159 &amp; $AF74),0)))))</f>
        <v>134578.5</v>
      </c>
      <c r="J74" s="35">
        <f ca="1">IF(ISERROR(MATCH(J$1,INDIRECT("Table!A"&amp;$AF74):INDIRECT("Table!" &amp; $AR$159 &amp; $AF74),0)),"",INDIRECT(CONCATENATE("Table!",ADDRESS($AB74,MATCH(J$1,INDIRECT("Table!A" &amp; $AF74):INDIRECT("Table!" &amp; $AR$159 &amp; $AF74),0)))))</f>
        <v>46373.9</v>
      </c>
      <c r="K74" s="35">
        <f ca="1">IF(ISERROR(MATCH(K$1,INDIRECT("Table!A"&amp;$AF74):INDIRECT("Table!" &amp; $AR$159 &amp; $AF74),0)),"",INDIRECT(CONCATENATE("Table!",ADDRESS($AB74,MATCH(K$1,INDIRECT("Table!A" &amp; $AF74):INDIRECT("Table!" &amp; $AR$159 &amp; $AF74),0)))))</f>
        <v>15068.9</v>
      </c>
      <c r="L74" s="35">
        <f ca="1">IF(ISERROR(MATCH(L$1,INDIRECT("Table!A"&amp;$AF74):INDIRECT("Table!" &amp; $AR$159 &amp; $AF74),0)),"",INDIRECT(CONCATENATE("Table!",ADDRESS($AB74,MATCH(L$1,INDIRECT("Table!A" &amp; $AF74):INDIRECT("Table!" &amp; $AR$159 &amp; $AF74),0)))))</f>
        <v>80768.100000000006</v>
      </c>
      <c r="M74" s="35">
        <f ca="1">IF(ISERROR(MATCH(M$1,INDIRECT("Table!A"&amp;$AF74):INDIRECT("Table!" &amp; $AR$159 &amp; $AF74),0)),"",INDIRECT(CONCATENATE("Table!",ADDRESS($AB74,MATCH(M$1,INDIRECT("Table!A" &amp; $AF74):INDIRECT("Table!" &amp; $AR$159 &amp; $AF74),0)))))</f>
        <v>23964.3</v>
      </c>
      <c r="N74" s="35" t="str">
        <f ca="1">IF(ISERROR(MATCH(N$1,INDIRECT("Table!A"&amp;$AF74):INDIRECT("Table!" &amp; $AR$188 &amp; $AF74),0)),"",INDIRECT(CONCATENATE("Table!",ADDRESS($AB74,MATCH(N$1,INDIRECT("Table!A" &amp; $AF74):INDIRECT("Table!" &amp; $AR$188 &amp; $AF74),0)))))</f>
        <v/>
      </c>
      <c r="O74" s="35">
        <f ca="1">IF(ISERROR(MATCH(O$1,INDIRECT("Table!A"&amp;$AN74):INDIRECT("Table!" &amp; $AR$159 &amp; $AN74),0)),"",INDIRECT(CONCATENATE("Table!",ADDRESS($AJ74,MATCH(O$1,INDIRECT("Table!A" &amp; $AN74):INDIRECT("Table!" &amp; $AR$159 &amp; $AN74),0)))))</f>
        <v>115816.8</v>
      </c>
      <c r="P74" s="35">
        <f ca="1">IF(ISERROR(MATCH(P$1,INDIRECT("Table!A"&amp;$AN74):INDIRECT("Table!" &amp; $AR$159 &amp; $AN74),0)),"",INDIRECT(CONCATENATE("Table!",ADDRESS($AJ74,MATCH(P$1,INDIRECT("Table!A" &amp; $AN74):INDIRECT("Table!" &amp; $AR$159 &amp; $AN74),0)))))</f>
        <v>99041.7</v>
      </c>
      <c r="Q74" s="35">
        <f ca="1">IF(ISERROR(MATCH(Q$1,INDIRECT("Table!A"&amp;$AN74):INDIRECT("Table!" &amp; $AR$159 &amp; $AN74),0)),"",INDIRECT(CONCATENATE("Table!",ADDRESS($AJ74,MATCH(Q$1,INDIRECT("Table!A" &amp; $AN74):INDIRECT("Table!" &amp; $AR$159 &amp; $AN74),0)))))</f>
        <v>99041.7</v>
      </c>
      <c r="R74" s="35">
        <f ca="1">IF(ISERROR(MATCH(R$1,INDIRECT("Table!A"&amp;$AN74):INDIRECT("Table!" &amp; $AR$159 &amp; $AN74),0)),"",INDIRECT(CONCATENATE("Table!",ADDRESS($AJ74,MATCH(R$1,INDIRECT("Table!A" &amp; $AN74):INDIRECT("Table!" &amp; $AR$159 &amp; $AN74),0)))))</f>
        <v>181997.8</v>
      </c>
      <c r="S74" s="35">
        <f ca="1">IF(ISERROR(MATCH(S$1,INDIRECT("Table!A"&amp;$AN74):INDIRECT("Table!" &amp; $AR$159 &amp; $AN74),0)),"",INDIRECT(CONCATENATE("Table!",ADDRESS($AJ74,MATCH(S$1,INDIRECT("Table!A" &amp; $AN74):INDIRECT("Table!" &amp; $AR$159 &amp; $AN74),0)))))</f>
        <v>121331.8</v>
      </c>
      <c r="T74" s="35">
        <f ca="1">IF(ISERROR(MATCH(T$1,INDIRECT("Table!A"&amp;$AN74):INDIRECT("Table!" &amp; $AR$159 &amp; $AN74),0)),"",INDIRECT(CONCATENATE("Table!",ADDRESS($AJ74,MATCH(T$1,INDIRECT("Table!A" &amp; $AN74):INDIRECT("Table!" &amp; $AR$159 &amp; $AN74),0)))))</f>
        <v>110071.9</v>
      </c>
      <c r="U74" s="35">
        <f ca="1">IF(ISERROR(MATCH(U$1,INDIRECT("Table!A"&amp;$AN74):INDIRECT("Table!" &amp; $AR$159 &amp; $AN74),0)),"",INDIRECT(CONCATENATE("Table!",ADDRESS($AJ74,MATCH(U$1,INDIRECT("Table!A" &amp; $AN74):INDIRECT("Table!" &amp; $AR$159 &amp; $AN74),0)))))</f>
        <v>121331.8</v>
      </c>
      <c r="V74" s="35">
        <f ca="1">IF(ISERROR(MATCH(V$1,INDIRECT("Table!A"&amp;$AN74):INDIRECT("Table!" &amp; $AR$159 &amp; $AN74),0)),"",INDIRECT(CONCATENATE("Table!",ADDRESS($AJ74,MATCH(V$1,INDIRECT("Table!A" &amp; $AN74):INDIRECT("Table!" &amp; $AR$159 &amp; $AN74),0)))))</f>
        <v>170967.6</v>
      </c>
      <c r="W74" s="35">
        <f ca="1">IF(ISERROR(MATCH(W$1,INDIRECT("Table!A"&amp;$AN74):INDIRECT("Table!" &amp; $AR$159 &amp; $AN74),0)),"",INDIRECT(CONCATENATE("Table!",ADDRESS($AJ74,MATCH(W$1,INDIRECT("Table!A" &amp; $AN74):INDIRECT("Table!" &amp; $AR$159 &amp; $AN74),0)))))</f>
        <v>132132.20000000001</v>
      </c>
      <c r="X74" s="35">
        <f ca="1">IF(ISERROR(MATCH(X$1,INDIRECT("Table!A"&amp;$AN74):INDIRECT("Table!" &amp; $AR$159 &amp; $AN74),0)),"",INDIRECT(CONCATENATE("Table!",ADDRESS($AJ74,MATCH(X$1,INDIRECT("Table!A" &amp; $AN74):INDIRECT("Table!" &amp; $AR$159 &amp; $AN74),0)))))</f>
        <v>60665.9</v>
      </c>
      <c r="Y74" s="35">
        <f ca="1">IF(ISERROR(MATCH(Y$1,INDIRECT("Table!A"&amp;$AN74):INDIRECT("Table!" &amp; $AR$159 &amp; $AN74),0)),"",INDIRECT(CONCATENATE("Table!",ADDRESS($AJ74,MATCH(Y$1,INDIRECT("Table!A" &amp; $AN74):INDIRECT("Table!" &amp; $AR$159 &amp; $AN74),0)))))</f>
        <v>176482.7</v>
      </c>
      <c r="Z74" s="35">
        <f ca="1">IF(ISERROR(MATCH(Z$1,INDIRECT("Table!A"&amp;$AN74):INDIRECT("Table!" &amp; $AR$159 &amp; $AN74),0)),"",INDIRECT(CONCATENATE("Table!",ADDRESS($AJ74,MATCH(Z$1,INDIRECT("Table!A" &amp; $AN74):INDIRECT("Table!" &amp; $AR$159 &amp; $AN74),0)))))</f>
        <v>54921</v>
      </c>
      <c r="AA74" s="12"/>
      <c r="AB74" s="12">
        <f>MATCH($A74,Table!$A:$A,0)+$AD$2-1</f>
        <v>1144</v>
      </c>
      <c r="AF74" s="31">
        <f>MATCH($A74,Table!$A:$A,0)+$AH$2-1</f>
        <v>1142</v>
      </c>
      <c r="AJ74" s="12">
        <f>MATCH($A74,Table!$A:$A,0)+$AL$2-1</f>
        <v>1143</v>
      </c>
      <c r="AN74" s="31">
        <f>MATCH($A74,Table!$A:$A,0)+$AH$2-1</f>
        <v>1142</v>
      </c>
      <c r="AR74" s="199" t="s">
        <v>118</v>
      </c>
    </row>
    <row r="75" spans="1:44">
      <c r="A75" s="5">
        <v>41068</v>
      </c>
      <c r="B75" s="35">
        <f ca="1">IF(ISERROR(MATCH(B$1,INDIRECT("Table!A"&amp;$AF75):INDIRECT("Table!" &amp; $AR$159 &amp; $AF75),0)),"",INDIRECT(CONCATENATE("Table!",ADDRESS($AB75,MATCH(B$1,INDIRECT("Table!A" &amp; $AF75):INDIRECT("Table!" &amp; $AR$159 &amp; $AF75),0)))))</f>
        <v>91257.8</v>
      </c>
      <c r="C75" s="35">
        <f ca="1">IF(ISERROR(MATCH(C$1,INDIRECT("Table!A"&amp;$AF75):INDIRECT("Table!" &amp; $AR$159 &amp; $AF75),0)),"",INDIRECT(CONCATENATE("Table!",ADDRESS($AB75,MATCH(C$1,INDIRECT("Table!A" &amp; $AF75):INDIRECT("Table!" &amp; $AR$159 &amp; $AF75),0)))))</f>
        <v>68961.600000000006</v>
      </c>
      <c r="D75" s="35">
        <f ca="1">IF(ISERROR(MATCH(D$1,INDIRECT("Table!A"&amp;$AF75):INDIRECT("Table!" &amp; $AR$159 &amp; $AF75),0)),"",INDIRECT(CONCATENATE("Table!",ADDRESS($AB75,MATCH(D$1,INDIRECT("Table!A" &amp; $AF75):INDIRECT("Table!" &amp; $AR$159 &amp; $AF75),0)))))</f>
        <v>70530.8</v>
      </c>
      <c r="E75" s="35">
        <f ca="1">IF(ISERROR(MATCH(E$1,INDIRECT("Table!A"&amp;$AF75):INDIRECT("Table!" &amp; $AR$159 &amp; $AF75),0)),"",INDIRECT(CONCATENATE("Table!",ADDRESS($AB75,MATCH(E$1,INDIRECT("Table!A" &amp; $AF75):INDIRECT("Table!" &amp; $AR$159 &amp; $AF75),0)))))</f>
        <v>148289.29999999999</v>
      </c>
      <c r="F75" s="35">
        <f ca="1">IF(ISERROR(MATCH(F$1,INDIRECT("Table!A"&amp;$AF75):INDIRECT("Table!" &amp; $AR$159 &amp; $AF75),0)),"",INDIRECT(CONCATENATE("Table!",ADDRESS($AB75,MATCH(F$1,INDIRECT("Table!A" &amp; $AF75):INDIRECT("Table!" &amp; $AR$159 &amp; $AF75),0)))))</f>
        <v>20498.8</v>
      </c>
      <c r="G75" s="35">
        <f ca="1">IF(ISERROR(MATCH(G$1,INDIRECT("Table!A"&amp;$AF75):INDIRECT("Table!" &amp; $AR$159 &amp; $AF75),0)),"",INDIRECT(CONCATENATE("Table!",ADDRESS($AB75,MATCH(G$1,INDIRECT("Table!A" &amp; $AF75):INDIRECT("Table!" &amp; $AR$159 &amp; $AF75),0)))))</f>
        <v>41445.599999999999</v>
      </c>
      <c r="H75" s="35">
        <f ca="1">IF(ISERROR(MATCH(H$1,INDIRECT("Table!A"&amp;$AF75):INDIRECT("Table!" &amp; $AR$159 &amp; $AF75),0)),"",INDIRECT(CONCATENATE("Table!",ADDRESS($AB75,MATCH(H$1,INDIRECT("Table!A" &amp; $AF75):INDIRECT("Table!" &amp; $AR$159 &amp; $AF75),0)))))</f>
        <v>20920.099999999999</v>
      </c>
      <c r="I75" s="35">
        <f ca="1">IF(ISERROR(MATCH(I$1,INDIRECT("Table!A"&amp;$AF75):INDIRECT("Table!" &amp; $AR$159 &amp; $AF75),0)),"",INDIRECT(CONCATENATE("Table!",ADDRESS($AB75,MATCH(I$1,INDIRECT("Table!A" &amp; $AF75):INDIRECT("Table!" &amp; $AR$159 &amp; $AF75),0)))))</f>
        <v>134329.4</v>
      </c>
      <c r="J75" s="35">
        <f ca="1">IF(ISERROR(MATCH(J$1,INDIRECT("Table!A"&amp;$AF75):INDIRECT("Table!" &amp; $AR$159 &amp; $AF75),0)),"",INDIRECT(CONCATENATE("Table!",ADDRESS($AB75,MATCH(J$1,INDIRECT("Table!A" &amp; $AF75):INDIRECT("Table!" &amp; $AR$159 &amp; $AF75),0)))))</f>
        <v>46357.1</v>
      </c>
      <c r="K75" s="35">
        <f ca="1">IF(ISERROR(MATCH(K$1,INDIRECT("Table!A"&amp;$AF75):INDIRECT("Table!" &amp; $AR$159 &amp; $AF75),0)),"",INDIRECT(CONCATENATE("Table!",ADDRESS($AB75,MATCH(K$1,INDIRECT("Table!A" &amp; $AF75):INDIRECT("Table!" &amp; $AR$159 &amp; $AF75),0)))))</f>
        <v>14431.1</v>
      </c>
      <c r="L75" s="35">
        <f ca="1">IF(ISERROR(MATCH(L$1,INDIRECT("Table!A"&amp;$AF75):INDIRECT("Table!" &amp; $AR$159 &amp; $AF75),0)),"",INDIRECT(CONCATENATE("Table!",ADDRESS($AB75,MATCH(L$1,INDIRECT("Table!A" &amp; $AF75):INDIRECT("Table!" &amp; $AR$159 &amp; $AF75),0)))))</f>
        <v>80689.3</v>
      </c>
      <c r="M75" s="35">
        <f ca="1">IF(ISERROR(MATCH(M$1,INDIRECT("Table!A"&amp;$AF75):INDIRECT("Table!" &amp; $AR$159 &amp; $AF75),0)),"",INDIRECT(CONCATENATE("Table!",ADDRESS($AB75,MATCH(M$1,INDIRECT("Table!A" &amp; $AF75):INDIRECT("Table!" &amp; $AR$159 &amp; $AF75),0)))))</f>
        <v>23961.8</v>
      </c>
      <c r="N75" s="35" t="str">
        <f ca="1">IF(ISERROR(MATCH(N$1,INDIRECT("Table!A"&amp;$AF75):INDIRECT("Table!" &amp; $AR$188 &amp; $AF75),0)),"",INDIRECT(CONCATENATE("Table!",ADDRESS($AB75,MATCH(N$1,INDIRECT("Table!A" &amp; $AF75):INDIRECT("Table!" &amp; $AR$188 &amp; $AF75),0)))))</f>
        <v/>
      </c>
      <c r="O75" s="35">
        <f ca="1">IF(ISERROR(MATCH(O$1,INDIRECT("Table!A"&amp;$AN75):INDIRECT("Table!" &amp; $AR$159 &amp; $AN75),0)),"",INDIRECT(CONCATENATE("Table!",ADDRESS($AJ75,MATCH(O$1,INDIRECT("Table!A" &amp; $AN75):INDIRECT("Table!" &amp; $AR$159 &amp; $AN75),0)))))</f>
        <v>115816.8</v>
      </c>
      <c r="P75" s="35">
        <f ca="1">IF(ISERROR(MATCH(P$1,INDIRECT("Table!A"&amp;$AN75):INDIRECT("Table!" &amp; $AR$159 &amp; $AN75),0)),"",INDIRECT(CONCATENATE("Table!",ADDRESS($AJ75,MATCH(P$1,INDIRECT("Table!A" &amp; $AN75):INDIRECT("Table!" &amp; $AR$159 &amp; $AN75),0)))))</f>
        <v>99041.7</v>
      </c>
      <c r="Q75" s="35">
        <f ca="1">IF(ISERROR(MATCH(Q$1,INDIRECT("Table!A"&amp;$AN75):INDIRECT("Table!" &amp; $AR$159 &amp; $AN75),0)),"",INDIRECT(CONCATENATE("Table!",ADDRESS($AJ75,MATCH(Q$1,INDIRECT("Table!A" &amp; $AN75):INDIRECT("Table!" &amp; $AR$159 &amp; $AN75),0)))))</f>
        <v>99041.7</v>
      </c>
      <c r="R75" s="35">
        <f ca="1">IF(ISERROR(MATCH(R$1,INDIRECT("Table!A"&amp;$AN75):INDIRECT("Table!" &amp; $AR$159 &amp; $AN75),0)),"",INDIRECT(CONCATENATE("Table!",ADDRESS($AJ75,MATCH(R$1,INDIRECT("Table!A" &amp; $AN75):INDIRECT("Table!" &amp; $AR$159 &amp; $AN75),0)))))</f>
        <v>181997.8</v>
      </c>
      <c r="S75" s="35">
        <f ca="1">IF(ISERROR(MATCH(S$1,INDIRECT("Table!A"&amp;$AN75):INDIRECT("Table!" &amp; $AR$159 &amp; $AN75),0)),"",INDIRECT(CONCATENATE("Table!",ADDRESS($AJ75,MATCH(S$1,INDIRECT("Table!A" &amp; $AN75):INDIRECT("Table!" &amp; $AR$159 &amp; $AN75),0)))))</f>
        <v>121331.8</v>
      </c>
      <c r="T75" s="35">
        <f ca="1">IF(ISERROR(MATCH(T$1,INDIRECT("Table!A"&amp;$AN75):INDIRECT("Table!" &amp; $AR$159 &amp; $AN75),0)),"",INDIRECT(CONCATENATE("Table!",ADDRESS($AJ75,MATCH(T$1,INDIRECT("Table!A" &amp; $AN75):INDIRECT("Table!" &amp; $AR$159 &amp; $AN75),0)))))</f>
        <v>110071.9</v>
      </c>
      <c r="U75" s="35">
        <f ca="1">IF(ISERROR(MATCH(U$1,INDIRECT("Table!A"&amp;$AN75):INDIRECT("Table!" &amp; $AR$159 &amp; $AN75),0)),"",INDIRECT(CONCATENATE("Table!",ADDRESS($AJ75,MATCH(U$1,INDIRECT("Table!A" &amp; $AN75):INDIRECT("Table!" &amp; $AR$159 &amp; $AN75),0)))))</f>
        <v>121331.8</v>
      </c>
      <c r="V75" s="35">
        <f ca="1">IF(ISERROR(MATCH(V$1,INDIRECT("Table!A"&amp;$AN75):INDIRECT("Table!" &amp; $AR$159 &amp; $AN75),0)),"",INDIRECT(CONCATENATE("Table!",ADDRESS($AJ75,MATCH(V$1,INDIRECT("Table!A" &amp; $AN75):INDIRECT("Table!" &amp; $AR$159 &amp; $AN75),0)))))</f>
        <v>170967.6</v>
      </c>
      <c r="W75" s="35">
        <f ca="1">IF(ISERROR(MATCH(W$1,INDIRECT("Table!A"&amp;$AN75):INDIRECT("Table!" &amp; $AR$159 &amp; $AN75),0)),"",INDIRECT(CONCATENATE("Table!",ADDRESS($AJ75,MATCH(W$1,INDIRECT("Table!A" &amp; $AN75):INDIRECT("Table!" &amp; $AR$159 &amp; $AN75),0)))))</f>
        <v>132132.20000000001</v>
      </c>
      <c r="X75" s="35">
        <f ca="1">IF(ISERROR(MATCH(X$1,INDIRECT("Table!A"&amp;$AN75):INDIRECT("Table!" &amp; $AR$159 &amp; $AN75),0)),"",INDIRECT(CONCATENATE("Table!",ADDRESS($AJ75,MATCH(X$1,INDIRECT("Table!A" &amp; $AN75):INDIRECT("Table!" &amp; $AR$159 &amp; $AN75),0)))))</f>
        <v>60665.9</v>
      </c>
      <c r="Y75" s="35">
        <f ca="1">IF(ISERROR(MATCH(Y$1,INDIRECT("Table!A"&amp;$AN75):INDIRECT("Table!" &amp; $AR$159 &amp; $AN75),0)),"",INDIRECT(CONCATENATE("Table!",ADDRESS($AJ75,MATCH(Y$1,INDIRECT("Table!A" &amp; $AN75):INDIRECT("Table!" &amp; $AR$159 &amp; $AN75),0)))))</f>
        <v>176482.7</v>
      </c>
      <c r="Z75" s="35">
        <f ca="1">IF(ISERROR(MATCH(Z$1,INDIRECT("Table!A"&amp;$AN75):INDIRECT("Table!" &amp; $AR$159 &amp; $AN75),0)),"",INDIRECT(CONCATENATE("Table!",ADDRESS($AJ75,MATCH(Z$1,INDIRECT("Table!A" &amp; $AN75):INDIRECT("Table!" &amp; $AR$159 &amp; $AN75),0)))))</f>
        <v>54921</v>
      </c>
      <c r="AA75" s="12"/>
      <c r="AB75" s="12">
        <f>MATCH($A75,Table!$A:$A,0)+$AD$2-1</f>
        <v>1157</v>
      </c>
      <c r="AF75" s="31">
        <f>MATCH($A75,Table!$A:$A,0)+$AH$2-1</f>
        <v>1155</v>
      </c>
      <c r="AJ75" s="12">
        <f>MATCH($A75,Table!$A:$A,0)+$AL$2-1</f>
        <v>1156</v>
      </c>
      <c r="AN75" s="31">
        <f>MATCH($A75,Table!$A:$A,0)+$AH$2-1</f>
        <v>1155</v>
      </c>
      <c r="AR75" s="202" t="s">
        <v>118</v>
      </c>
    </row>
    <row r="76" spans="1:44">
      <c r="A76" s="5">
        <v>41067</v>
      </c>
      <c r="B76" s="35">
        <f ca="1">IF(ISERROR(MATCH(B$1,INDIRECT("Table!A"&amp;$AF76):INDIRECT("Table!" &amp; $AR$159 &amp; $AF76),0)),"",INDIRECT(CONCATENATE("Table!",ADDRESS($AB76,MATCH(B$1,INDIRECT("Table!A" &amp; $AF76):INDIRECT("Table!" &amp; $AR$159 &amp; $AF76),0)))))</f>
        <v>91230</v>
      </c>
      <c r="C76" s="35">
        <f ca="1">IF(ISERROR(MATCH(C$1,INDIRECT("Table!A"&amp;$AF76):INDIRECT("Table!" &amp; $AR$159 &amp; $AF76),0)),"",INDIRECT(CONCATENATE("Table!",ADDRESS($AB76,MATCH(C$1,INDIRECT("Table!A" &amp; $AF76):INDIRECT("Table!" &amp; $AR$159 &amp; $AF76),0)))))</f>
        <v>68960.7</v>
      </c>
      <c r="D76" s="35">
        <f ca="1">IF(ISERROR(MATCH(D$1,INDIRECT("Table!A"&amp;$AF76):INDIRECT("Table!" &amp; $AR$159 &amp; $AF76),0)),"",INDIRECT(CONCATENATE("Table!",ADDRESS($AB76,MATCH(D$1,INDIRECT("Table!A" &amp; $AF76):INDIRECT("Table!" &amp; $AR$159 &amp; $AF76),0)))))</f>
        <v>70529.899999999994</v>
      </c>
      <c r="E76" s="35">
        <f ca="1">IF(ISERROR(MATCH(E$1,INDIRECT("Table!A"&amp;$AF76):INDIRECT("Table!" &amp; $AR$159 &amp; $AF76),0)),"",INDIRECT(CONCATENATE("Table!",ADDRESS($AB76,MATCH(E$1,INDIRECT("Table!A" &amp; $AF76):INDIRECT("Table!" &amp; $AR$159 &amp; $AF76),0)))))</f>
        <v>148228.1</v>
      </c>
      <c r="F76" s="35">
        <f ca="1">IF(ISERROR(MATCH(F$1,INDIRECT("Table!A"&amp;$AF76):INDIRECT("Table!" &amp; $AR$159 &amp; $AF76),0)),"",INDIRECT(CONCATENATE("Table!",ADDRESS($AB76,MATCH(F$1,INDIRECT("Table!A" &amp; $AF76):INDIRECT("Table!" &amp; $AR$159 &amp; $AF76),0)))))</f>
        <v>20491.5</v>
      </c>
      <c r="G76" s="35">
        <f ca="1">IF(ISERROR(MATCH(G$1,INDIRECT("Table!A"&amp;$AF76):INDIRECT("Table!" &amp; $AR$159 &amp; $AF76),0)),"",INDIRECT(CONCATENATE("Table!",ADDRESS($AB76,MATCH(G$1,INDIRECT("Table!A" &amp; $AF76):INDIRECT("Table!" &amp; $AR$159 &amp; $AF76),0)))))</f>
        <v>41263.4</v>
      </c>
      <c r="H76" s="35">
        <f ca="1">IF(ISERROR(MATCH(H$1,INDIRECT("Table!A"&amp;$AF76):INDIRECT("Table!" &amp; $AR$159 &amp; $AF76),0)),"",INDIRECT(CONCATENATE("Table!",ADDRESS($AB76,MATCH(H$1,INDIRECT("Table!A" &amp; $AF76):INDIRECT("Table!" &amp; $AR$159 &amp; $AF76),0)))))</f>
        <v>20913.5</v>
      </c>
      <c r="I76" s="35">
        <f ca="1">IF(ISERROR(MATCH(I$1,INDIRECT("Table!A"&amp;$AF76):INDIRECT("Table!" &amp; $AR$159 &amp; $AF76),0)),"",INDIRECT(CONCATENATE("Table!",ADDRESS($AB76,MATCH(I$1,INDIRECT("Table!A" &amp; $AF76):INDIRECT("Table!" &amp; $AR$159 &amp; $AF76),0)))))</f>
        <v>134275.5</v>
      </c>
      <c r="J76" s="35">
        <f ca="1">IF(ISERROR(MATCH(J$1,INDIRECT("Table!A"&amp;$AF76):INDIRECT("Table!" &amp; $AR$159 &amp; $AF76),0)),"",INDIRECT(CONCATENATE("Table!",ADDRESS($AB76,MATCH(J$1,INDIRECT("Table!A" &amp; $AF76):INDIRECT("Table!" &amp; $AR$159 &amp; $AF76),0)))))</f>
        <v>46263.199999999997</v>
      </c>
      <c r="K76" s="35">
        <f ca="1">IF(ISERROR(MATCH(K$1,INDIRECT("Table!A"&amp;$AF76):INDIRECT("Table!" &amp; $AR$159 &amp; $AF76),0)),"",INDIRECT(CONCATENATE("Table!",ADDRESS($AB76,MATCH(K$1,INDIRECT("Table!A" &amp; $AF76):INDIRECT("Table!" &amp; $AR$159 &amp; $AF76),0)))))</f>
        <v>14426.6</v>
      </c>
      <c r="L76" s="35">
        <f ca="1">IF(ISERROR(MATCH(L$1,INDIRECT("Table!A"&amp;$AF76):INDIRECT("Table!" &amp; $AR$159 &amp; $AF76),0)),"",INDIRECT(CONCATENATE("Table!",ADDRESS($AB76,MATCH(L$1,INDIRECT("Table!A" &amp; $AF76):INDIRECT("Table!" &amp; $AR$159 &amp; $AF76),0)))))</f>
        <v>80655.899999999994</v>
      </c>
      <c r="M76" s="35">
        <f ca="1">IF(ISERROR(MATCH(M$1,INDIRECT("Table!A"&amp;$AF76):INDIRECT("Table!" &amp; $AR$159 &amp; $AF76),0)),"",INDIRECT(CONCATENATE("Table!",ADDRESS($AB76,MATCH(M$1,INDIRECT("Table!A" &amp; $AF76):INDIRECT("Table!" &amp; $AR$159 &amp; $AF76),0)))))</f>
        <v>23961.599999999999</v>
      </c>
      <c r="N76" s="35" t="str">
        <f ca="1">IF(ISERROR(MATCH(N$1,INDIRECT("Table!A"&amp;$AF76):INDIRECT("Table!" &amp; $AR$188 &amp; $AF76),0)),"",INDIRECT(CONCATENATE("Table!",ADDRESS($AB76,MATCH(N$1,INDIRECT("Table!A" &amp; $AF76):INDIRECT("Table!" &amp; $AR$188 &amp; $AF76),0)))))</f>
        <v/>
      </c>
      <c r="O76" s="35">
        <f ca="1">IF(ISERROR(MATCH(O$1,INDIRECT("Table!A"&amp;$AN76):INDIRECT("Table!" &amp; $AR$159 &amp; $AN76),0)),"",INDIRECT(CONCATENATE("Table!",ADDRESS($AJ76,MATCH(O$1,INDIRECT("Table!A" &amp; $AN76):INDIRECT("Table!" &amp; $AR$159 &amp; $AN76),0)))))</f>
        <v>115816.8</v>
      </c>
      <c r="P76" s="35">
        <f ca="1">IF(ISERROR(MATCH(P$1,INDIRECT("Table!A"&amp;$AN76):INDIRECT("Table!" &amp; $AR$159 &amp; $AN76),0)),"",INDIRECT(CONCATENATE("Table!",ADDRESS($AJ76,MATCH(P$1,INDIRECT("Table!A" &amp; $AN76):INDIRECT("Table!" &amp; $AR$159 &amp; $AN76),0)))))</f>
        <v>99041.7</v>
      </c>
      <c r="Q76" s="35">
        <f ca="1">IF(ISERROR(MATCH(Q$1,INDIRECT("Table!A"&amp;$AN76):INDIRECT("Table!" &amp; $AR$159 &amp; $AN76),0)),"",INDIRECT(CONCATENATE("Table!",ADDRESS($AJ76,MATCH(Q$1,INDIRECT("Table!A" &amp; $AN76):INDIRECT("Table!" &amp; $AR$159 &amp; $AN76),0)))))</f>
        <v>99041.7</v>
      </c>
      <c r="R76" s="35">
        <f ca="1">IF(ISERROR(MATCH(R$1,INDIRECT("Table!A"&amp;$AN76):INDIRECT("Table!" &amp; $AR$159 &amp; $AN76),0)),"",INDIRECT(CONCATENATE("Table!",ADDRESS($AJ76,MATCH(R$1,INDIRECT("Table!A" &amp; $AN76):INDIRECT("Table!" &amp; $AR$159 &amp; $AN76),0)))))</f>
        <v>181997.8</v>
      </c>
      <c r="S76" s="35">
        <f ca="1">IF(ISERROR(MATCH(S$1,INDIRECT("Table!A"&amp;$AN76):INDIRECT("Table!" &amp; $AR$159 &amp; $AN76),0)),"",INDIRECT(CONCATENATE("Table!",ADDRESS($AJ76,MATCH(S$1,INDIRECT("Table!A" &amp; $AN76):INDIRECT("Table!" &amp; $AR$159 &amp; $AN76),0)))))</f>
        <v>121331.8</v>
      </c>
      <c r="T76" s="35">
        <f ca="1">IF(ISERROR(MATCH(T$1,INDIRECT("Table!A"&amp;$AN76):INDIRECT("Table!" &amp; $AR$159 &amp; $AN76),0)),"",INDIRECT(CONCATENATE("Table!",ADDRESS($AJ76,MATCH(T$1,INDIRECT("Table!A" &amp; $AN76):INDIRECT("Table!" &amp; $AR$159 &amp; $AN76),0)))))</f>
        <v>110071.9</v>
      </c>
      <c r="U76" s="35">
        <f ca="1">IF(ISERROR(MATCH(U$1,INDIRECT("Table!A"&amp;$AN76):INDIRECT("Table!" &amp; $AR$159 &amp; $AN76),0)),"",INDIRECT(CONCATENATE("Table!",ADDRESS($AJ76,MATCH(U$1,INDIRECT("Table!A" &amp; $AN76):INDIRECT("Table!" &amp; $AR$159 &amp; $AN76),0)))))</f>
        <v>121331.8</v>
      </c>
      <c r="V76" s="35">
        <f ca="1">IF(ISERROR(MATCH(V$1,INDIRECT("Table!A"&amp;$AN76):INDIRECT("Table!" &amp; $AR$159 &amp; $AN76),0)),"",INDIRECT(CONCATENATE("Table!",ADDRESS($AJ76,MATCH(V$1,INDIRECT("Table!A" &amp; $AN76):INDIRECT("Table!" &amp; $AR$159 &amp; $AN76),0)))))</f>
        <v>170967.6</v>
      </c>
      <c r="W76" s="35">
        <f ca="1">IF(ISERROR(MATCH(W$1,INDIRECT("Table!A"&amp;$AN76):INDIRECT("Table!" &amp; $AR$159 &amp; $AN76),0)),"",INDIRECT(CONCATENATE("Table!",ADDRESS($AJ76,MATCH(W$1,INDIRECT("Table!A" &amp; $AN76):INDIRECT("Table!" &amp; $AR$159 &amp; $AN76),0)))))</f>
        <v>132132.20000000001</v>
      </c>
      <c r="X76" s="35">
        <f ca="1">IF(ISERROR(MATCH(X$1,INDIRECT("Table!A"&amp;$AN76):INDIRECT("Table!" &amp; $AR$159 &amp; $AN76),0)),"",INDIRECT(CONCATENATE("Table!",ADDRESS($AJ76,MATCH(X$1,INDIRECT("Table!A" &amp; $AN76):INDIRECT("Table!" &amp; $AR$159 &amp; $AN76),0)))))</f>
        <v>60665.9</v>
      </c>
      <c r="Y76" s="35">
        <f ca="1">IF(ISERROR(MATCH(Y$1,INDIRECT("Table!A"&amp;$AN76):INDIRECT("Table!" &amp; $AR$159 &amp; $AN76),0)),"",INDIRECT(CONCATENATE("Table!",ADDRESS($AJ76,MATCH(Y$1,INDIRECT("Table!A" &amp; $AN76):INDIRECT("Table!" &amp; $AR$159 &amp; $AN76),0)))))</f>
        <v>176482.7</v>
      </c>
      <c r="Z76" s="35">
        <f ca="1">IF(ISERROR(MATCH(Z$1,INDIRECT("Table!A"&amp;$AN76):INDIRECT("Table!" &amp; $AR$159 &amp; $AN76),0)),"",INDIRECT(CONCATENATE("Table!",ADDRESS($AJ76,MATCH(Z$1,INDIRECT("Table!A" &amp; $AN76):INDIRECT("Table!" &amp; $AR$159 &amp; $AN76),0)))))</f>
        <v>54921</v>
      </c>
      <c r="AA76" s="12"/>
      <c r="AB76" s="12">
        <f>MATCH($A76,Table!$A:$A,0)+$AD$2-1</f>
        <v>1170</v>
      </c>
      <c r="AF76" s="31">
        <f>MATCH($A76,Table!$A:$A,0)+$AH$2-1</f>
        <v>1168</v>
      </c>
      <c r="AJ76" s="12">
        <f>MATCH($A76,Table!$A:$A,0)+$AL$2-1</f>
        <v>1169</v>
      </c>
      <c r="AN76" s="31">
        <f>MATCH($A76,Table!$A:$A,0)+$AH$2-1</f>
        <v>1168</v>
      </c>
      <c r="AR76" s="201" t="s">
        <v>118</v>
      </c>
    </row>
    <row r="77" spans="1:44">
      <c r="A77" s="5">
        <v>41066</v>
      </c>
      <c r="B77" s="35">
        <f ca="1">IF(ISERROR(MATCH(B$1,INDIRECT("Table!A"&amp;$AF77):INDIRECT("Table!" &amp; $AR$159 &amp; $AF77),0)),"",INDIRECT(CONCATENATE("Table!",ADDRESS($AB77,MATCH(B$1,INDIRECT("Table!A" &amp; $AF77):INDIRECT("Table!" &amp; $AR$159 &amp; $AF77),0)))))</f>
        <v>91228.7</v>
      </c>
      <c r="C77" s="35">
        <f ca="1">IF(ISERROR(MATCH(C$1,INDIRECT("Table!A"&amp;$AF77):INDIRECT("Table!" &amp; $AR$159 &amp; $AF77),0)),"",INDIRECT(CONCATENATE("Table!",ADDRESS($AB77,MATCH(C$1,INDIRECT("Table!A" &amp; $AF77):INDIRECT("Table!" &amp; $AR$159 &amp; $AF77),0)))))</f>
        <v>68959.600000000006</v>
      </c>
      <c r="D77" s="35">
        <f ca="1">IF(ISERROR(MATCH(D$1,INDIRECT("Table!A"&amp;$AF77):INDIRECT("Table!" &amp; $AR$159 &amp; $AF77),0)),"",INDIRECT(CONCATENATE("Table!",ADDRESS($AB77,MATCH(D$1,INDIRECT("Table!A" &amp; $AF77):INDIRECT("Table!" &amp; $AR$159 &amp; $AF77),0)))))</f>
        <v>70528.7</v>
      </c>
      <c r="E77" s="35">
        <f ca="1">IF(ISERROR(MATCH(E$1,INDIRECT("Table!A"&amp;$AF77):INDIRECT("Table!" &amp; $AR$159 &amp; $AF77),0)),"",INDIRECT(CONCATENATE("Table!",ADDRESS($AB77,MATCH(E$1,INDIRECT("Table!A" &amp; $AF77):INDIRECT("Table!" &amp; $AR$159 &amp; $AF77),0)))))</f>
        <v>148158</v>
      </c>
      <c r="F77" s="35">
        <f ca="1">IF(ISERROR(MATCH(F$1,INDIRECT("Table!A"&amp;$AF77):INDIRECT("Table!" &amp; $AR$159 &amp; $AF77),0)),"",INDIRECT(CONCATENATE("Table!",ADDRESS($AB77,MATCH(F$1,INDIRECT("Table!A" &amp; $AF77):INDIRECT("Table!" &amp; $AR$159 &amp; $AF77),0)))))</f>
        <v>20491.5</v>
      </c>
      <c r="G77" s="35">
        <f ca="1">IF(ISERROR(MATCH(G$1,INDIRECT("Table!A"&amp;$AF77):INDIRECT("Table!" &amp; $AR$159 &amp; $AF77),0)),"",INDIRECT(CONCATENATE("Table!",ADDRESS($AB77,MATCH(G$1,INDIRECT("Table!A" &amp; $AF77):INDIRECT("Table!" &amp; $AR$159 &amp; $AF77),0)))))</f>
        <v>40667.5</v>
      </c>
      <c r="H77" s="35">
        <f ca="1">IF(ISERROR(MATCH(H$1,INDIRECT("Table!A"&amp;$AF77):INDIRECT("Table!" &amp; $AR$159 &amp; $AF77),0)),"",INDIRECT(CONCATENATE("Table!",ADDRESS($AB77,MATCH(H$1,INDIRECT("Table!A" &amp; $AF77):INDIRECT("Table!" &amp; $AR$159 &amp; $AF77),0)))))</f>
        <v>20910.599999999999</v>
      </c>
      <c r="I77" s="35">
        <f ca="1">IF(ISERROR(MATCH(I$1,INDIRECT("Table!A"&amp;$AF77):INDIRECT("Table!" &amp; $AR$159 &amp; $AF77),0)),"",INDIRECT(CONCATENATE("Table!",ADDRESS($AB77,MATCH(I$1,INDIRECT("Table!A" &amp; $AF77):INDIRECT("Table!" &amp; $AR$159 &amp; $AF77),0)))))</f>
        <v>134244.29999999999</v>
      </c>
      <c r="J77" s="35">
        <f ca="1">IF(ISERROR(MATCH(J$1,INDIRECT("Table!A"&amp;$AF77):INDIRECT("Table!" &amp; $AR$159 &amp; $AF77),0)),"",INDIRECT(CONCATENATE("Table!",ADDRESS($AB77,MATCH(J$1,INDIRECT("Table!A" &amp; $AF77):INDIRECT("Table!" &amp; $AR$159 &amp; $AF77),0)))))</f>
        <v>46203.199999999997</v>
      </c>
      <c r="K77" s="35">
        <f ca="1">IF(ISERROR(MATCH(K$1,INDIRECT("Table!A"&amp;$AF77):INDIRECT("Table!" &amp; $AR$159 &amp; $AF77),0)),"",INDIRECT(CONCATENATE("Table!",ADDRESS($AB77,MATCH(K$1,INDIRECT("Table!A" &amp; $AF77):INDIRECT("Table!" &amp; $AR$159 &amp; $AF77),0)))))</f>
        <v>14420.8</v>
      </c>
      <c r="L77" s="35">
        <f ca="1">IF(ISERROR(MATCH(L$1,INDIRECT("Table!A"&amp;$AF77):INDIRECT("Table!" &amp; $AR$159 &amp; $AF77),0)),"",INDIRECT(CONCATENATE("Table!",ADDRESS($AB77,MATCH(L$1,INDIRECT("Table!A" &amp; $AF77):INDIRECT("Table!" &amp; $AR$159 &amp; $AF77),0)))))</f>
        <v>80649.8</v>
      </c>
      <c r="M77" s="35">
        <f ca="1">IF(ISERROR(MATCH(M$1,INDIRECT("Table!A"&amp;$AF77):INDIRECT("Table!" &amp; $AR$159 &amp; $AF77),0)),"",INDIRECT(CONCATENATE("Table!",ADDRESS($AB77,MATCH(M$1,INDIRECT("Table!A" &amp; $AF77):INDIRECT("Table!" &amp; $AR$159 &amp; $AF77),0)))))</f>
        <v>23961.1</v>
      </c>
      <c r="N77" s="35" t="str">
        <f ca="1">IF(ISERROR(MATCH(N$1,INDIRECT("Table!A"&amp;$AF77):INDIRECT("Table!" &amp; $AR$188 &amp; $AF77),0)),"",INDIRECT(CONCATENATE("Table!",ADDRESS($AB77,MATCH(N$1,INDIRECT("Table!A" &amp; $AF77):INDIRECT("Table!" &amp; $AR$188 &amp; $AF77),0)))))</f>
        <v/>
      </c>
      <c r="O77" s="35">
        <f ca="1">IF(ISERROR(MATCH(O$1,INDIRECT("Table!A"&amp;$AN77):INDIRECT("Table!" &amp; $AR$159 &amp; $AN77),0)),"",INDIRECT(CONCATENATE("Table!",ADDRESS($AJ77,MATCH(O$1,INDIRECT("Table!A" &amp; $AN77):INDIRECT("Table!" &amp; $AR$159 &amp; $AN77),0)))))</f>
        <v>115816.8</v>
      </c>
      <c r="P77" s="35">
        <f ca="1">IF(ISERROR(MATCH(P$1,INDIRECT("Table!A"&amp;$AN77):INDIRECT("Table!" &amp; $AR$159 &amp; $AN77),0)),"",INDIRECT(CONCATENATE("Table!",ADDRESS($AJ77,MATCH(P$1,INDIRECT("Table!A" &amp; $AN77):INDIRECT("Table!" &amp; $AR$159 &amp; $AN77),0)))))</f>
        <v>99041.7</v>
      </c>
      <c r="Q77" s="35">
        <f ca="1">IF(ISERROR(MATCH(Q$1,INDIRECT("Table!A"&amp;$AN77):INDIRECT("Table!" &amp; $AR$159 &amp; $AN77),0)),"",INDIRECT(CONCATENATE("Table!",ADDRESS($AJ77,MATCH(Q$1,INDIRECT("Table!A" &amp; $AN77):INDIRECT("Table!" &amp; $AR$159 &amp; $AN77),0)))))</f>
        <v>99041.7</v>
      </c>
      <c r="R77" s="35">
        <f ca="1">IF(ISERROR(MATCH(R$1,INDIRECT("Table!A"&amp;$AN77):INDIRECT("Table!" &amp; $AR$159 &amp; $AN77),0)),"",INDIRECT(CONCATENATE("Table!",ADDRESS($AJ77,MATCH(R$1,INDIRECT("Table!A" &amp; $AN77):INDIRECT("Table!" &amp; $AR$159 &amp; $AN77),0)))))</f>
        <v>181997.8</v>
      </c>
      <c r="S77" s="35">
        <f ca="1">IF(ISERROR(MATCH(S$1,INDIRECT("Table!A"&amp;$AN77):INDIRECT("Table!" &amp; $AR$159 &amp; $AN77),0)),"",INDIRECT(CONCATENATE("Table!",ADDRESS($AJ77,MATCH(S$1,INDIRECT("Table!A" &amp; $AN77):INDIRECT("Table!" &amp; $AR$159 &amp; $AN77),0)))))</f>
        <v>121331.8</v>
      </c>
      <c r="T77" s="35">
        <f ca="1">IF(ISERROR(MATCH(T$1,INDIRECT("Table!A"&amp;$AN77):INDIRECT("Table!" &amp; $AR$159 &amp; $AN77),0)),"",INDIRECT(CONCATENATE("Table!",ADDRESS($AJ77,MATCH(T$1,INDIRECT("Table!A" &amp; $AN77):INDIRECT("Table!" &amp; $AR$159 &amp; $AN77),0)))))</f>
        <v>110071.9</v>
      </c>
      <c r="U77" s="35">
        <f ca="1">IF(ISERROR(MATCH(U$1,INDIRECT("Table!A"&amp;$AN77):INDIRECT("Table!" &amp; $AR$159 &amp; $AN77),0)),"",INDIRECT(CONCATENATE("Table!",ADDRESS($AJ77,MATCH(U$1,INDIRECT("Table!A" &amp; $AN77):INDIRECT("Table!" &amp; $AR$159 &amp; $AN77),0)))))</f>
        <v>121331.8</v>
      </c>
      <c r="V77" s="35">
        <f ca="1">IF(ISERROR(MATCH(V$1,INDIRECT("Table!A"&amp;$AN77):INDIRECT("Table!" &amp; $AR$159 &amp; $AN77),0)),"",INDIRECT(CONCATENATE("Table!",ADDRESS($AJ77,MATCH(V$1,INDIRECT("Table!A" &amp; $AN77):INDIRECT("Table!" &amp; $AR$159 &amp; $AN77),0)))))</f>
        <v>170967.6</v>
      </c>
      <c r="W77" s="35">
        <f ca="1">IF(ISERROR(MATCH(W$1,INDIRECT("Table!A"&amp;$AN77):INDIRECT("Table!" &amp; $AR$159 &amp; $AN77),0)),"",INDIRECT(CONCATENATE("Table!",ADDRESS($AJ77,MATCH(W$1,INDIRECT("Table!A" &amp; $AN77):INDIRECT("Table!" &amp; $AR$159 &amp; $AN77),0)))))</f>
        <v>132132.20000000001</v>
      </c>
      <c r="X77" s="35">
        <f ca="1">IF(ISERROR(MATCH(X$1,INDIRECT("Table!A"&amp;$AN77):INDIRECT("Table!" &amp; $AR$159 &amp; $AN77),0)),"",INDIRECT(CONCATENATE("Table!",ADDRESS($AJ77,MATCH(X$1,INDIRECT("Table!A" &amp; $AN77):INDIRECT("Table!" &amp; $AR$159 &amp; $AN77),0)))))</f>
        <v>60665.9</v>
      </c>
      <c r="Y77" s="35">
        <f ca="1">IF(ISERROR(MATCH(Y$1,INDIRECT("Table!A"&amp;$AN77):INDIRECT("Table!" &amp; $AR$159 &amp; $AN77),0)),"",INDIRECT(CONCATENATE("Table!",ADDRESS($AJ77,MATCH(Y$1,INDIRECT("Table!A" &amp; $AN77):INDIRECT("Table!" &amp; $AR$159 &amp; $AN77),0)))))</f>
        <v>176482.7</v>
      </c>
      <c r="Z77" s="35">
        <f ca="1">IF(ISERROR(MATCH(Z$1,INDIRECT("Table!A"&amp;$AN77):INDIRECT("Table!" &amp; $AR$159 &amp; $AN77),0)),"",INDIRECT(CONCATENATE("Table!",ADDRESS($AJ77,MATCH(Z$1,INDIRECT("Table!A" &amp; $AN77):INDIRECT("Table!" &amp; $AR$159 &amp; $AN77),0)))))</f>
        <v>54921</v>
      </c>
      <c r="AA77" s="12"/>
      <c r="AB77" s="12">
        <f>MATCH($A77,Table!$A:$A,0)+$AD$2-1</f>
        <v>1183</v>
      </c>
      <c r="AF77" s="31">
        <f>MATCH($A77,Table!$A:$A,0)+$AH$2-1</f>
        <v>1181</v>
      </c>
      <c r="AJ77" s="12">
        <f>MATCH($A77,Table!$A:$A,0)+$AL$2-1</f>
        <v>1182</v>
      </c>
      <c r="AN77" s="31">
        <f>MATCH($A77,Table!$A:$A,0)+$AH$2-1</f>
        <v>1181</v>
      </c>
      <c r="AR77" s="200" t="s">
        <v>118</v>
      </c>
    </row>
    <row r="78" spans="1:44">
      <c r="A78" s="5">
        <v>41059</v>
      </c>
      <c r="B78" s="35">
        <f ca="1">IF(ISERROR(MATCH(B$1,INDIRECT("Table!A"&amp;$AF78):INDIRECT("Table!" &amp; $AR$159 &amp; $AF78),0)),"",INDIRECT(CONCATENATE("Table!",ADDRESS($AB78,MATCH(B$1,INDIRECT("Table!A" &amp; $AF78):INDIRECT("Table!" &amp; $AR$159 &amp; $AF78),0)))))</f>
        <v>91066.5</v>
      </c>
      <c r="C78" s="35">
        <f ca="1">IF(ISERROR(MATCH(C$1,INDIRECT("Table!A"&amp;$AF78):INDIRECT("Table!" &amp; $AR$159 &amp; $AF78),0)),"",INDIRECT(CONCATENATE("Table!",ADDRESS($AB78,MATCH(C$1,INDIRECT("Table!A" &amp; $AF78):INDIRECT("Table!" &amp; $AR$159 &amp; $AF78),0)))))</f>
        <v>68594.7</v>
      </c>
      <c r="D78" s="35">
        <f ca="1">IF(ISERROR(MATCH(D$1,INDIRECT("Table!A"&amp;$AF78):INDIRECT("Table!" &amp; $AR$159 &amp; $AF78),0)),"",INDIRECT(CONCATENATE("Table!",ADDRESS($AB78,MATCH(D$1,INDIRECT("Table!A" &amp; $AF78):INDIRECT("Table!" &amp; $AR$159 &amp; $AF78),0)))))</f>
        <v>70167</v>
      </c>
      <c r="E78" s="35">
        <f ca="1">IF(ISERROR(MATCH(E$1,INDIRECT("Table!A"&amp;$AF78):INDIRECT("Table!" &amp; $AR$159 &amp; $AF78),0)),"",INDIRECT(CONCATENATE("Table!",ADDRESS($AB78,MATCH(E$1,INDIRECT("Table!A" &amp; $AF78):INDIRECT("Table!" &amp; $AR$159 &amp; $AF78),0)))))</f>
        <v>147434.6</v>
      </c>
      <c r="F78" s="35">
        <f ca="1">IF(ISERROR(MATCH(F$1,INDIRECT("Table!A"&amp;$AF78):INDIRECT("Table!" &amp; $AR$159 &amp; $AF78),0)),"",INDIRECT(CONCATENATE("Table!",ADDRESS($AB78,MATCH(F$1,INDIRECT("Table!A" &amp; $AF78):INDIRECT("Table!" &amp; $AR$159 &amp; $AF78),0)))))</f>
        <v>20490.900000000001</v>
      </c>
      <c r="G78" s="35">
        <f ca="1">IF(ISERROR(MATCH(G$1,INDIRECT("Table!A"&amp;$AF78):INDIRECT("Table!" &amp; $AR$159 &amp; $AF78),0)),"",INDIRECT(CONCATENATE("Table!",ADDRESS($AB78,MATCH(G$1,INDIRECT("Table!A" &amp; $AF78):INDIRECT("Table!" &amp; $AR$159 &amp; $AF78),0)))))</f>
        <v>38133.199999999997</v>
      </c>
      <c r="H78" s="35">
        <f ca="1">IF(ISERROR(MATCH(H$1,INDIRECT("Table!A"&amp;$AF78):INDIRECT("Table!" &amp; $AR$159 &amp; $AF78),0)),"",INDIRECT(CONCATENATE("Table!",ADDRESS($AB78,MATCH(H$1,INDIRECT("Table!A" &amp; $AF78):INDIRECT("Table!" &amp; $AR$159 &amp; $AF78),0)))))</f>
        <v>20681.400000000001</v>
      </c>
      <c r="I78" s="35">
        <f ca="1">IF(ISERROR(MATCH(I$1,INDIRECT("Table!A"&amp;$AF78):INDIRECT("Table!" &amp; $AR$159 &amp; $AF78),0)),"",INDIRECT(CONCATENATE("Table!",ADDRESS($AB78,MATCH(I$1,INDIRECT("Table!A" &amp; $AF78):INDIRECT("Table!" &amp; $AR$159 &amp; $AF78),0)))))</f>
        <v>133521.20000000001</v>
      </c>
      <c r="J78" s="35">
        <f ca="1">IF(ISERROR(MATCH(J$1,INDIRECT("Table!A"&amp;$AF78):INDIRECT("Table!" &amp; $AR$159 &amp; $AF78),0)),"",INDIRECT(CONCATENATE("Table!",ADDRESS($AB78,MATCH(J$1,INDIRECT("Table!A" &amp; $AF78):INDIRECT("Table!" &amp; $AR$159 &amp; $AF78),0)))))</f>
        <v>45004.9</v>
      </c>
      <c r="K78" s="35">
        <f ca="1">IF(ISERROR(MATCH(K$1,INDIRECT("Table!A"&amp;$AF78):INDIRECT("Table!" &amp; $AR$159 &amp; $AF78),0)),"",INDIRECT(CONCATENATE("Table!",ADDRESS($AB78,MATCH(K$1,INDIRECT("Table!A" &amp; $AF78):INDIRECT("Table!" &amp; $AR$159 &amp; $AF78),0)))))</f>
        <v>14303.9</v>
      </c>
      <c r="L78" s="35">
        <f ca="1">IF(ISERROR(MATCH(L$1,INDIRECT("Table!A"&amp;$AF78):INDIRECT("Table!" &amp; $AR$159 &amp; $AF78),0)),"",INDIRECT(CONCATENATE("Table!",ADDRESS($AB78,MATCH(L$1,INDIRECT("Table!A" &amp; $AF78):INDIRECT("Table!" &amp; $AR$159 &amp; $AF78),0)))))</f>
        <v>80182.899999999994</v>
      </c>
      <c r="M78" s="35">
        <f ca="1">IF(ISERROR(MATCH(M$1,INDIRECT("Table!A"&amp;$AF78):INDIRECT("Table!" &amp; $AR$159 &amp; $AF78),0)),"",INDIRECT(CONCATENATE("Table!",ADDRESS($AB78,MATCH(M$1,INDIRECT("Table!A" &amp; $AF78):INDIRECT("Table!" &amp; $AR$159 &amp; $AF78),0)))))</f>
        <v>23949.5</v>
      </c>
      <c r="N78" s="35" t="str">
        <f ca="1">IF(ISERROR(MATCH(N$1,INDIRECT("Table!A"&amp;$AF78):INDIRECT("Table!" &amp; $AR$188 &amp; $AF78),0)),"",INDIRECT(CONCATENATE("Table!",ADDRESS($AB78,MATCH(N$1,INDIRECT("Table!A" &amp; $AF78):INDIRECT("Table!" &amp; $AR$188 &amp; $AF78),0)))))</f>
        <v/>
      </c>
      <c r="O78" s="35">
        <f ca="1">IF(ISERROR(MATCH(O$1,INDIRECT("Table!A"&amp;$AN78):INDIRECT("Table!" &amp; $AR$159 &amp; $AN78),0)),"",INDIRECT(CONCATENATE("Table!",ADDRESS($AJ78,MATCH(O$1,INDIRECT("Table!A" &amp; $AN78):INDIRECT("Table!" &amp; $AR$159 &amp; $AN78),0)))))</f>
        <v>115816.8</v>
      </c>
      <c r="P78" s="35">
        <f ca="1">IF(ISERROR(MATCH(P$1,INDIRECT("Table!A"&amp;$AN78):INDIRECT("Table!" &amp; $AR$159 &amp; $AN78),0)),"",INDIRECT(CONCATENATE("Table!",ADDRESS($AJ78,MATCH(P$1,INDIRECT("Table!A" &amp; $AN78):INDIRECT("Table!" &amp; $AR$159 &amp; $AN78),0)))))</f>
        <v>99041.7</v>
      </c>
      <c r="Q78" s="35">
        <f ca="1">IF(ISERROR(MATCH(Q$1,INDIRECT("Table!A"&amp;$AN78):INDIRECT("Table!" &amp; $AR$159 &amp; $AN78),0)),"",INDIRECT(CONCATENATE("Table!",ADDRESS($AJ78,MATCH(Q$1,INDIRECT("Table!A" &amp; $AN78):INDIRECT("Table!" &amp; $AR$159 &amp; $AN78),0)))))</f>
        <v>99041.7</v>
      </c>
      <c r="R78" s="35">
        <f ca="1">IF(ISERROR(MATCH(R$1,INDIRECT("Table!A"&amp;$AN78):INDIRECT("Table!" &amp; $AR$159 &amp; $AN78),0)),"",INDIRECT(CONCATENATE("Table!",ADDRESS($AJ78,MATCH(R$1,INDIRECT("Table!A" &amp; $AN78):INDIRECT("Table!" &amp; $AR$159 &amp; $AN78),0)))))</f>
        <v>181997.8</v>
      </c>
      <c r="S78" s="35">
        <f ca="1">IF(ISERROR(MATCH(S$1,INDIRECT("Table!A"&amp;$AN78):INDIRECT("Table!" &amp; $AR$159 &amp; $AN78),0)),"",INDIRECT(CONCATENATE("Table!",ADDRESS($AJ78,MATCH(S$1,INDIRECT("Table!A" &amp; $AN78):INDIRECT("Table!" &amp; $AR$159 &amp; $AN78),0)))))</f>
        <v>121331.8</v>
      </c>
      <c r="T78" s="35">
        <f ca="1">IF(ISERROR(MATCH(T$1,INDIRECT("Table!A"&amp;$AN78):INDIRECT("Table!" &amp; $AR$159 &amp; $AN78),0)),"",INDIRECT(CONCATENATE("Table!",ADDRESS($AJ78,MATCH(T$1,INDIRECT("Table!A" &amp; $AN78):INDIRECT("Table!" &amp; $AR$159 &amp; $AN78),0)))))</f>
        <v>110071.9</v>
      </c>
      <c r="U78" s="35">
        <f ca="1">IF(ISERROR(MATCH(U$1,INDIRECT("Table!A"&amp;$AN78):INDIRECT("Table!" &amp; $AR$159 &amp; $AN78),0)),"",INDIRECT(CONCATENATE("Table!",ADDRESS($AJ78,MATCH(U$1,INDIRECT("Table!A" &amp; $AN78):INDIRECT("Table!" &amp; $AR$159 &amp; $AN78),0)))))</f>
        <v>121331.8</v>
      </c>
      <c r="V78" s="35">
        <f ca="1">IF(ISERROR(MATCH(V$1,INDIRECT("Table!A"&amp;$AN78):INDIRECT("Table!" &amp; $AR$159 &amp; $AN78),0)),"",INDIRECT(CONCATENATE("Table!",ADDRESS($AJ78,MATCH(V$1,INDIRECT("Table!A" &amp; $AN78):INDIRECT("Table!" &amp; $AR$159 &amp; $AN78),0)))))</f>
        <v>170967.6</v>
      </c>
      <c r="W78" s="35">
        <f ca="1">IF(ISERROR(MATCH(W$1,INDIRECT("Table!A"&amp;$AN78):INDIRECT("Table!" &amp; $AR$159 &amp; $AN78),0)),"",INDIRECT(CONCATENATE("Table!",ADDRESS($AJ78,MATCH(W$1,INDIRECT("Table!A" &amp; $AN78):INDIRECT("Table!" &amp; $AR$159 &amp; $AN78),0)))))</f>
        <v>132132.20000000001</v>
      </c>
      <c r="X78" s="35">
        <f ca="1">IF(ISERROR(MATCH(X$1,INDIRECT("Table!A"&amp;$AN78):INDIRECT("Table!" &amp; $AR$159 &amp; $AN78),0)),"",INDIRECT(CONCATENATE("Table!",ADDRESS($AJ78,MATCH(X$1,INDIRECT("Table!A" &amp; $AN78):INDIRECT("Table!" &amp; $AR$159 &amp; $AN78),0)))))</f>
        <v>60665.9</v>
      </c>
      <c r="Y78" s="35">
        <f ca="1">IF(ISERROR(MATCH(Y$1,INDIRECT("Table!A"&amp;$AN78):INDIRECT("Table!" &amp; $AR$159 &amp; $AN78),0)),"",INDIRECT(CONCATENATE("Table!",ADDRESS($AJ78,MATCH(Y$1,INDIRECT("Table!A" &amp; $AN78):INDIRECT("Table!" &amp; $AR$159 &amp; $AN78),0)))))</f>
        <v>176482.7</v>
      </c>
      <c r="Z78" s="35">
        <f ca="1">IF(ISERROR(MATCH(Z$1,INDIRECT("Table!A"&amp;$AN78):INDIRECT("Table!" &amp; $AR$159 &amp; $AN78),0)),"",INDIRECT(CONCATENATE("Table!",ADDRESS($AJ78,MATCH(Z$1,INDIRECT("Table!A" &amp; $AN78):INDIRECT("Table!" &amp; $AR$159 &amp; $AN78),0)))))</f>
        <v>54921</v>
      </c>
      <c r="AA78" s="12"/>
      <c r="AB78" s="12">
        <f>MATCH($A78,Table!$A:$A,0)+$AD$2-1</f>
        <v>1196</v>
      </c>
      <c r="AF78" s="31">
        <f>MATCH($A78,Table!$A:$A,0)+$AH$2-1</f>
        <v>1194</v>
      </c>
      <c r="AJ78" s="12">
        <f>MATCH($A78,Table!$A:$A,0)+$AL$2-1</f>
        <v>1195</v>
      </c>
      <c r="AN78" s="31">
        <f>MATCH($A78,Table!$A:$A,0)+$AH$2-1</f>
        <v>1194</v>
      </c>
      <c r="AR78" s="200" t="s">
        <v>118</v>
      </c>
    </row>
    <row r="79" spans="1:44">
      <c r="A79" s="5">
        <v>41058</v>
      </c>
      <c r="B79" s="35">
        <f ca="1">IF(ISERROR(MATCH(B$1,INDIRECT("Table!A"&amp;$AF79):INDIRECT("Table!" &amp; $AR$159 &amp; $AF79),0)),"",INDIRECT(CONCATENATE("Table!",ADDRESS($AB79,MATCH(B$1,INDIRECT("Table!A" &amp; $AF79):INDIRECT("Table!" &amp; $AR$159 &amp; $AF79),0)))))</f>
        <v>91057.8</v>
      </c>
      <c r="C79" s="35">
        <f ca="1">IF(ISERROR(MATCH(C$1,INDIRECT("Table!A"&amp;$AF79):INDIRECT("Table!" &amp; $AR$159 &amp; $AF79),0)),"",INDIRECT(CONCATENATE("Table!",ADDRESS($AB79,MATCH(C$1,INDIRECT("Table!A" &amp; $AF79):INDIRECT("Table!" &amp; $AR$159 &amp; $AF79),0)))))</f>
        <v>68593.7</v>
      </c>
      <c r="D79" s="35">
        <f ca="1">IF(ISERROR(MATCH(D$1,INDIRECT("Table!A"&amp;$AF79):INDIRECT("Table!" &amp; $AR$159 &amp; $AF79),0)),"",INDIRECT(CONCATENATE("Table!",ADDRESS($AB79,MATCH(D$1,INDIRECT("Table!A" &amp; $AF79):INDIRECT("Table!" &amp; $AR$159 &amp; $AF79),0)))))</f>
        <v>70163</v>
      </c>
      <c r="E79" s="35">
        <f ca="1">IF(ISERROR(MATCH(E$1,INDIRECT("Table!A"&amp;$AF79):INDIRECT("Table!" &amp; $AR$159 &amp; $AF79),0)),"",INDIRECT(CONCATENATE("Table!",ADDRESS($AB79,MATCH(E$1,INDIRECT("Table!A" &amp; $AF79):INDIRECT("Table!" &amp; $AR$159 &amp; $AF79),0)))))</f>
        <v>146937.1</v>
      </c>
      <c r="F79" s="35">
        <f ca="1">IF(ISERROR(MATCH(F$1,INDIRECT("Table!A"&amp;$AF79):INDIRECT("Table!" &amp; $AR$159 &amp; $AF79),0)),"",INDIRECT(CONCATENATE("Table!",ADDRESS($AB79,MATCH(F$1,INDIRECT("Table!A" &amp; $AF79):INDIRECT("Table!" &amp; $AR$159 &amp; $AF79),0)))))</f>
        <v>20490.900000000001</v>
      </c>
      <c r="G79" s="35">
        <f ca="1">IF(ISERROR(MATCH(G$1,INDIRECT("Table!A"&amp;$AF79):INDIRECT("Table!" &amp; $AR$159 &amp; $AF79),0)),"",INDIRECT(CONCATENATE("Table!",ADDRESS($AB79,MATCH(G$1,INDIRECT("Table!A" &amp; $AF79):INDIRECT("Table!" &amp; $AR$159 &amp; $AF79),0)))))</f>
        <v>37667.4</v>
      </c>
      <c r="H79" s="35">
        <f ca="1">IF(ISERROR(MATCH(H$1,INDIRECT("Table!A"&amp;$AF79):INDIRECT("Table!" &amp; $AR$159 &amp; $AF79),0)),"",INDIRECT(CONCATENATE("Table!",ADDRESS($AB79,MATCH(H$1,INDIRECT("Table!A" &amp; $AF79):INDIRECT("Table!" &amp; $AR$159 &amp; $AF79),0)))))</f>
        <v>20673.400000000001</v>
      </c>
      <c r="I79" s="35">
        <f ca="1">IF(ISERROR(MATCH(I$1,INDIRECT("Table!A"&amp;$AF79):INDIRECT("Table!" &amp; $AR$159 &amp; $AF79),0)),"",INDIRECT(CONCATENATE("Table!",ADDRESS($AB79,MATCH(I$1,INDIRECT("Table!A" &amp; $AF79):INDIRECT("Table!" &amp; $AR$159 &amp; $AF79),0)))))</f>
        <v>132517.4</v>
      </c>
      <c r="J79" s="35">
        <f ca="1">IF(ISERROR(MATCH(J$1,INDIRECT("Table!A"&amp;$AF79):INDIRECT("Table!" &amp; $AR$159 &amp; $AF79),0)),"",INDIRECT(CONCATENATE("Table!",ADDRESS($AB79,MATCH(J$1,INDIRECT("Table!A" &amp; $AF79):INDIRECT("Table!" &amp; $AR$159 &amp; $AF79),0)))))</f>
        <v>44819.199999999997</v>
      </c>
      <c r="K79" s="35">
        <f ca="1">IF(ISERROR(MATCH(K$1,INDIRECT("Table!A"&amp;$AF79):INDIRECT("Table!" &amp; $AR$159 &amp; $AF79),0)),"",INDIRECT(CONCATENATE("Table!",ADDRESS($AB79,MATCH(K$1,INDIRECT("Table!A" &amp; $AF79):INDIRECT("Table!" &amp; $AR$159 &amp; $AF79),0)))))</f>
        <v>14303.4</v>
      </c>
      <c r="L79" s="35">
        <f ca="1">IF(ISERROR(MATCH(L$1,INDIRECT("Table!A"&amp;$AF79):INDIRECT("Table!" &amp; $AR$159 &amp; $AF79),0)),"",INDIRECT(CONCATENATE("Table!",ADDRESS($AB79,MATCH(L$1,INDIRECT("Table!A" &amp; $AF79):INDIRECT("Table!" &amp; $AR$159 &amp; $AF79),0)))))</f>
        <v>80167</v>
      </c>
      <c r="M79" s="35">
        <f ca="1">IF(ISERROR(MATCH(M$1,INDIRECT("Table!A"&amp;$AF79):INDIRECT("Table!" &amp; $AR$159 &amp; $AF79),0)),"",INDIRECT(CONCATENATE("Table!",ADDRESS($AB79,MATCH(M$1,INDIRECT("Table!A" &amp; $AF79):INDIRECT("Table!" &amp; $AR$159 &amp; $AF79),0)))))</f>
        <v>23949.4</v>
      </c>
      <c r="N79" s="35" t="str">
        <f ca="1">IF(ISERROR(MATCH(N$1,INDIRECT("Table!A"&amp;$AF79):INDIRECT("Table!" &amp; $AR$188 &amp; $AF79),0)),"",INDIRECT(CONCATENATE("Table!",ADDRESS($AB79,MATCH(N$1,INDIRECT("Table!A" &amp; $AF79):INDIRECT("Table!" &amp; $AR$188 &amp; $AF79),0)))))</f>
        <v/>
      </c>
      <c r="O79" s="35">
        <f ca="1">IF(ISERROR(MATCH(O$1,INDIRECT("Table!A"&amp;$AN79):INDIRECT("Table!" &amp; $AR$159 &amp; $AN79),0)),"",INDIRECT(CONCATENATE("Table!",ADDRESS($AJ79,MATCH(O$1,INDIRECT("Table!A" &amp; $AN79):INDIRECT("Table!" &amp; $AR$159 &amp; $AN79),0)))))</f>
        <v>115816.8</v>
      </c>
      <c r="P79" s="35">
        <f ca="1">IF(ISERROR(MATCH(P$1,INDIRECT("Table!A"&amp;$AN79):INDIRECT("Table!" &amp; $AR$159 &amp; $AN79),0)),"",INDIRECT(CONCATENATE("Table!",ADDRESS($AJ79,MATCH(P$1,INDIRECT("Table!A" &amp; $AN79):INDIRECT("Table!" &amp; $AR$159 &amp; $AN79),0)))))</f>
        <v>99041.7</v>
      </c>
      <c r="Q79" s="35">
        <f ca="1">IF(ISERROR(MATCH(Q$1,INDIRECT("Table!A"&amp;$AN79):INDIRECT("Table!" &amp; $AR$159 &amp; $AN79),0)),"",INDIRECT(CONCATENATE("Table!",ADDRESS($AJ79,MATCH(Q$1,INDIRECT("Table!A" &amp; $AN79):INDIRECT("Table!" &amp; $AR$159 &amp; $AN79),0)))))</f>
        <v>99041.7</v>
      </c>
      <c r="R79" s="35">
        <f ca="1">IF(ISERROR(MATCH(R$1,INDIRECT("Table!A"&amp;$AN79):INDIRECT("Table!" &amp; $AR$159 &amp; $AN79),0)),"",INDIRECT(CONCATENATE("Table!",ADDRESS($AJ79,MATCH(R$1,INDIRECT("Table!A" &amp; $AN79):INDIRECT("Table!" &amp; $AR$159 &amp; $AN79),0)))))</f>
        <v>181997.8</v>
      </c>
      <c r="S79" s="35">
        <f ca="1">IF(ISERROR(MATCH(S$1,INDIRECT("Table!A"&amp;$AN79):INDIRECT("Table!" &amp; $AR$159 &amp; $AN79),0)),"",INDIRECT(CONCATENATE("Table!",ADDRESS($AJ79,MATCH(S$1,INDIRECT("Table!A" &amp; $AN79):INDIRECT("Table!" &amp; $AR$159 &amp; $AN79),0)))))</f>
        <v>121331.8</v>
      </c>
      <c r="T79" s="35">
        <f ca="1">IF(ISERROR(MATCH(T$1,INDIRECT("Table!A"&amp;$AN79):INDIRECT("Table!" &amp; $AR$159 &amp; $AN79),0)),"",INDIRECT(CONCATENATE("Table!",ADDRESS($AJ79,MATCH(T$1,INDIRECT("Table!A" &amp; $AN79):INDIRECT("Table!" &amp; $AR$159 &amp; $AN79),0)))))</f>
        <v>110071.9</v>
      </c>
      <c r="U79" s="35">
        <f ca="1">IF(ISERROR(MATCH(U$1,INDIRECT("Table!A"&amp;$AN79):INDIRECT("Table!" &amp; $AR$159 &amp; $AN79),0)),"",INDIRECT(CONCATENATE("Table!",ADDRESS($AJ79,MATCH(U$1,INDIRECT("Table!A" &amp; $AN79):INDIRECT("Table!" &amp; $AR$159 &amp; $AN79),0)))))</f>
        <v>121331.8</v>
      </c>
      <c r="V79" s="35">
        <f ca="1">IF(ISERROR(MATCH(V$1,INDIRECT("Table!A"&amp;$AN79):INDIRECT("Table!" &amp; $AR$159 &amp; $AN79),0)),"",INDIRECT(CONCATENATE("Table!",ADDRESS($AJ79,MATCH(V$1,INDIRECT("Table!A" &amp; $AN79):INDIRECT("Table!" &amp; $AR$159 &amp; $AN79),0)))))</f>
        <v>170967.6</v>
      </c>
      <c r="W79" s="35">
        <f ca="1">IF(ISERROR(MATCH(W$1,INDIRECT("Table!A"&amp;$AN79):INDIRECT("Table!" &amp; $AR$159 &amp; $AN79),0)),"",INDIRECT(CONCATENATE("Table!",ADDRESS($AJ79,MATCH(W$1,INDIRECT("Table!A" &amp; $AN79):INDIRECT("Table!" &amp; $AR$159 &amp; $AN79),0)))))</f>
        <v>132132.20000000001</v>
      </c>
      <c r="X79" s="35">
        <f ca="1">IF(ISERROR(MATCH(X$1,INDIRECT("Table!A"&amp;$AN79):INDIRECT("Table!" &amp; $AR$159 &amp; $AN79),0)),"",INDIRECT(CONCATENATE("Table!",ADDRESS($AJ79,MATCH(X$1,INDIRECT("Table!A" &amp; $AN79):INDIRECT("Table!" &amp; $AR$159 &amp; $AN79),0)))))</f>
        <v>60665.9</v>
      </c>
      <c r="Y79" s="35">
        <f ca="1">IF(ISERROR(MATCH(Y$1,INDIRECT("Table!A"&amp;$AN79):INDIRECT("Table!" &amp; $AR$159 &amp; $AN79),0)),"",INDIRECT(CONCATENATE("Table!",ADDRESS($AJ79,MATCH(Y$1,INDIRECT("Table!A" &amp; $AN79):INDIRECT("Table!" &amp; $AR$159 &amp; $AN79),0)))))</f>
        <v>176482.7</v>
      </c>
      <c r="Z79" s="35">
        <f ca="1">IF(ISERROR(MATCH(Z$1,INDIRECT("Table!A"&amp;$AN79):INDIRECT("Table!" &amp; $AR$159 &amp; $AN79),0)),"",INDIRECT(CONCATENATE("Table!",ADDRESS($AJ79,MATCH(Z$1,INDIRECT("Table!A" &amp; $AN79):INDIRECT("Table!" &amp; $AR$159 &amp; $AN79),0)))))</f>
        <v>54921</v>
      </c>
      <c r="AA79" s="12"/>
      <c r="AB79" s="12">
        <f>MATCH($A79,Table!$A:$A,0)+$AD$2-1</f>
        <v>1209</v>
      </c>
      <c r="AF79" s="31">
        <f>MATCH($A79,Table!$A:$A,0)+$AH$2-1</f>
        <v>1207</v>
      </c>
      <c r="AJ79" s="12">
        <f>MATCH($A79,Table!$A:$A,0)+$AL$2-1</f>
        <v>1208</v>
      </c>
      <c r="AN79" s="31">
        <f>MATCH($A79,Table!$A:$A,0)+$AH$2-1</f>
        <v>1207</v>
      </c>
      <c r="AR79" s="173" t="s">
        <v>118</v>
      </c>
    </row>
    <row r="80" spans="1:44">
      <c r="A80" s="5">
        <v>41057</v>
      </c>
      <c r="B80" s="35">
        <f ca="1">IF(ISERROR(MATCH(B$1,INDIRECT("Table!A"&amp;$AF80):INDIRECT("Table!" &amp; $AR$159 &amp; $AF80),0)),"",INDIRECT(CONCATENATE("Table!",ADDRESS($AB80,MATCH(B$1,INDIRECT("Table!A" &amp; $AF80):INDIRECT("Table!" &amp; $AR$159 &amp; $AF80),0)))))</f>
        <v>91028</v>
      </c>
      <c r="C80" s="35">
        <f ca="1">IF(ISERROR(MATCH(C$1,INDIRECT("Table!A"&amp;$AF80):INDIRECT("Table!" &amp; $AR$159 &amp; $AF80),0)),"",INDIRECT(CONCATENATE("Table!",ADDRESS($AB80,MATCH(C$1,INDIRECT("Table!A" &amp; $AF80):INDIRECT("Table!" &amp; $AR$159 &amp; $AF80),0)))))</f>
        <v>68592.800000000003</v>
      </c>
      <c r="D80" s="35">
        <f ca="1">IF(ISERROR(MATCH(D$1,INDIRECT("Table!A"&amp;$AF80):INDIRECT("Table!" &amp; $AR$159 &amp; $AF80),0)),"",INDIRECT(CONCATENATE("Table!",ADDRESS($AB80,MATCH(D$1,INDIRECT("Table!A" &amp; $AF80):INDIRECT("Table!" &amp; $AR$159 &amp; $AF80),0)))))</f>
        <v>69913</v>
      </c>
      <c r="E80" s="35">
        <f ca="1">IF(ISERROR(MATCH(E$1,INDIRECT("Table!A"&amp;$AF80):INDIRECT("Table!" &amp; $AR$159 &amp; $AF80),0)),"",INDIRECT(CONCATENATE("Table!",ADDRESS($AB80,MATCH(E$1,INDIRECT("Table!A" &amp; $AF80):INDIRECT("Table!" &amp; $AR$159 &amp; $AF80),0)))))</f>
        <v>146815.1</v>
      </c>
      <c r="F80" s="35">
        <f ca="1">IF(ISERROR(MATCH(F$1,INDIRECT("Table!A"&amp;$AF80):INDIRECT("Table!" &amp; $AR$159 &amp; $AF80),0)),"",INDIRECT(CONCATENATE("Table!",ADDRESS($AB80,MATCH(F$1,INDIRECT("Table!A" &amp; $AF80):INDIRECT("Table!" &amp; $AR$159 &amp; $AF80),0)))))</f>
        <v>20490.8</v>
      </c>
      <c r="G80" s="35">
        <f ca="1">IF(ISERROR(MATCH(G$1,INDIRECT("Table!A"&amp;$AF80):INDIRECT("Table!" &amp; $AR$159 &amp; $AF80),0)),"",INDIRECT(CONCATENATE("Table!",ADDRESS($AB80,MATCH(G$1,INDIRECT("Table!A" &amp; $AF80):INDIRECT("Table!" &amp; $AR$159 &amp; $AF80),0)))))</f>
        <v>37521.199999999997</v>
      </c>
      <c r="H80" s="35">
        <f ca="1">IF(ISERROR(MATCH(H$1,INDIRECT("Table!A"&amp;$AF80):INDIRECT("Table!" &amp; $AR$159 &amp; $AF80),0)),"",INDIRECT(CONCATENATE("Table!",ADDRESS($AB80,MATCH(H$1,INDIRECT("Table!A" &amp; $AF80):INDIRECT("Table!" &amp; $AR$159 &amp; $AF80),0)))))</f>
        <v>20666.099999999999</v>
      </c>
      <c r="I80" s="35">
        <f ca="1">IF(ISERROR(MATCH(I$1,INDIRECT("Table!A"&amp;$AF80):INDIRECT("Table!" &amp; $AR$159 &amp; $AF80),0)),"",INDIRECT(CONCATENATE("Table!",ADDRESS($AB80,MATCH(I$1,INDIRECT("Table!A" &amp; $AF80):INDIRECT("Table!" &amp; $AR$159 &amp; $AF80),0)))))</f>
        <v>132475.1</v>
      </c>
      <c r="J80" s="35">
        <f ca="1">IF(ISERROR(MATCH(J$1,INDIRECT("Table!A"&amp;$AF80):INDIRECT("Table!" &amp; $AR$159 &amp; $AF80),0)),"",INDIRECT(CONCATENATE("Table!",ADDRESS($AB80,MATCH(J$1,INDIRECT("Table!A" &amp; $AF80):INDIRECT("Table!" &amp; $AR$159 &amp; $AF80),0)))))</f>
        <v>45020.7</v>
      </c>
      <c r="K80" s="35">
        <f ca="1">IF(ISERROR(MATCH(K$1,INDIRECT("Table!A"&amp;$AF80):INDIRECT("Table!" &amp; $AR$159 &amp; $AF80),0)),"",INDIRECT(CONCATENATE("Table!",ADDRESS($AB80,MATCH(K$1,INDIRECT("Table!A" &amp; $AF80):INDIRECT("Table!" &amp; $AR$159 &amp; $AF80),0)))))</f>
        <v>14277.3</v>
      </c>
      <c r="L80" s="35">
        <f ca="1">IF(ISERROR(MATCH(L$1,INDIRECT("Table!A"&amp;$AF80):INDIRECT("Table!" &amp; $AR$159 &amp; $AF80),0)),"",INDIRECT(CONCATENATE("Table!",ADDRESS($AB80,MATCH(L$1,INDIRECT("Table!A" &amp; $AF80):INDIRECT("Table!" &amp; $AR$159 &amp; $AF80),0)))))</f>
        <v>80154</v>
      </c>
      <c r="M80" s="35">
        <f ca="1">IF(ISERROR(MATCH(M$1,INDIRECT("Table!A"&amp;$AF80):INDIRECT("Table!" &amp; $AR$159 &amp; $AF80),0)),"",INDIRECT(CONCATENATE("Table!",ADDRESS($AB80,MATCH(M$1,INDIRECT("Table!A" &amp; $AF80):INDIRECT("Table!" &amp; $AR$159 &amp; $AF80),0)))))</f>
        <v>23949.4</v>
      </c>
      <c r="N80" s="35" t="str">
        <f ca="1">IF(ISERROR(MATCH(N$1,INDIRECT("Table!A"&amp;$AF80):INDIRECT("Table!" &amp; $AR$188 &amp; $AF80),0)),"",INDIRECT(CONCATENATE("Table!",ADDRESS($AB80,MATCH(N$1,INDIRECT("Table!A" &amp; $AF80):INDIRECT("Table!" &amp; $AR$188 &amp; $AF80),0)))))</f>
        <v/>
      </c>
      <c r="O80" s="35">
        <f ca="1">IF(ISERROR(MATCH(O$1,INDIRECT("Table!A"&amp;$AN80):INDIRECT("Table!" &amp; $AR$159 &amp; $AN80),0)),"",INDIRECT(CONCATENATE("Table!",ADDRESS($AJ80,MATCH(O$1,INDIRECT("Table!A" &amp; $AN80):INDIRECT("Table!" &amp; $AR$159 &amp; $AN80),0)))))</f>
        <v>115816.8</v>
      </c>
      <c r="P80" s="35">
        <f ca="1">IF(ISERROR(MATCH(P$1,INDIRECT("Table!A"&amp;$AN80):INDIRECT("Table!" &amp; $AR$159 &amp; $AN80),0)),"",INDIRECT(CONCATENATE("Table!",ADDRESS($AJ80,MATCH(P$1,INDIRECT("Table!A" &amp; $AN80):INDIRECT("Table!" &amp; $AR$159 &amp; $AN80),0)))))</f>
        <v>99041.7</v>
      </c>
      <c r="Q80" s="35">
        <f ca="1">IF(ISERROR(MATCH(Q$1,INDIRECT("Table!A"&amp;$AN80):INDIRECT("Table!" &amp; $AR$159 &amp; $AN80),0)),"",INDIRECT(CONCATENATE("Table!",ADDRESS($AJ80,MATCH(Q$1,INDIRECT("Table!A" &amp; $AN80):INDIRECT("Table!" &amp; $AR$159 &amp; $AN80),0)))))</f>
        <v>99041.7</v>
      </c>
      <c r="R80" s="35">
        <f ca="1">IF(ISERROR(MATCH(R$1,INDIRECT("Table!A"&amp;$AN80):INDIRECT("Table!" &amp; $AR$159 &amp; $AN80),0)),"",INDIRECT(CONCATENATE("Table!",ADDRESS($AJ80,MATCH(R$1,INDIRECT("Table!A" &amp; $AN80):INDIRECT("Table!" &amp; $AR$159 &amp; $AN80),0)))))</f>
        <v>181997.8</v>
      </c>
      <c r="S80" s="35">
        <f ca="1">IF(ISERROR(MATCH(S$1,INDIRECT("Table!A"&amp;$AN80):INDIRECT("Table!" &amp; $AR$159 &amp; $AN80),0)),"",INDIRECT(CONCATENATE("Table!",ADDRESS($AJ80,MATCH(S$1,INDIRECT("Table!A" &amp; $AN80):INDIRECT("Table!" &amp; $AR$159 &amp; $AN80),0)))))</f>
        <v>121331.8</v>
      </c>
      <c r="T80" s="35">
        <f ca="1">IF(ISERROR(MATCH(T$1,INDIRECT("Table!A"&amp;$AN80):INDIRECT("Table!" &amp; $AR$159 &amp; $AN80),0)),"",INDIRECT(CONCATENATE("Table!",ADDRESS($AJ80,MATCH(T$1,INDIRECT("Table!A" &amp; $AN80):INDIRECT("Table!" &amp; $AR$159 &amp; $AN80),0)))))</f>
        <v>110071.9</v>
      </c>
      <c r="U80" s="35">
        <f ca="1">IF(ISERROR(MATCH(U$1,INDIRECT("Table!A"&amp;$AN80):INDIRECT("Table!" &amp; $AR$159 &amp; $AN80),0)),"",INDIRECT(CONCATENATE("Table!",ADDRESS($AJ80,MATCH(U$1,INDIRECT("Table!A" &amp; $AN80):INDIRECT("Table!" &amp; $AR$159 &amp; $AN80),0)))))</f>
        <v>121331.8</v>
      </c>
      <c r="V80" s="35">
        <f ca="1">IF(ISERROR(MATCH(V$1,INDIRECT("Table!A"&amp;$AN80):INDIRECT("Table!" &amp; $AR$159 &amp; $AN80),0)),"",INDIRECT(CONCATENATE("Table!",ADDRESS($AJ80,MATCH(V$1,INDIRECT("Table!A" &amp; $AN80):INDIRECT("Table!" &amp; $AR$159 &amp; $AN80),0)))))</f>
        <v>170967.6</v>
      </c>
      <c r="W80" s="35">
        <f ca="1">IF(ISERROR(MATCH(W$1,INDIRECT("Table!A"&amp;$AN80):INDIRECT("Table!" &amp; $AR$159 &amp; $AN80),0)),"",INDIRECT(CONCATENATE("Table!",ADDRESS($AJ80,MATCH(W$1,INDIRECT("Table!A" &amp; $AN80):INDIRECT("Table!" &amp; $AR$159 &amp; $AN80),0)))))</f>
        <v>132132.20000000001</v>
      </c>
      <c r="X80" s="35">
        <f ca="1">IF(ISERROR(MATCH(X$1,INDIRECT("Table!A"&amp;$AN80):INDIRECT("Table!" &amp; $AR$159 &amp; $AN80),0)),"",INDIRECT(CONCATENATE("Table!",ADDRESS($AJ80,MATCH(X$1,INDIRECT("Table!A" &amp; $AN80):INDIRECT("Table!" &amp; $AR$159 &amp; $AN80),0)))))</f>
        <v>60665.9</v>
      </c>
      <c r="Y80" s="35">
        <f ca="1">IF(ISERROR(MATCH(Y$1,INDIRECT("Table!A"&amp;$AN80):INDIRECT("Table!" &amp; $AR$159 &amp; $AN80),0)),"",INDIRECT(CONCATENATE("Table!",ADDRESS($AJ80,MATCH(Y$1,INDIRECT("Table!A" &amp; $AN80):INDIRECT("Table!" &amp; $AR$159 &amp; $AN80),0)))))</f>
        <v>176482.7</v>
      </c>
      <c r="Z80" s="35">
        <f ca="1">IF(ISERROR(MATCH(Z$1,INDIRECT("Table!A"&amp;$AN80):INDIRECT("Table!" &amp; $AR$159 &amp; $AN80),0)),"",INDIRECT(CONCATENATE("Table!",ADDRESS($AJ80,MATCH(Z$1,INDIRECT("Table!A" &amp; $AN80):INDIRECT("Table!" &amp; $AR$159 &amp; $AN80),0)))))</f>
        <v>54921</v>
      </c>
      <c r="AA80" s="12"/>
      <c r="AB80" s="12">
        <f>MATCH($A80,Table!$A:$A,0)+$AD$2-1</f>
        <v>1222</v>
      </c>
      <c r="AF80" s="31">
        <f>MATCH($A80,Table!$A:$A,0)+$AH$2-1</f>
        <v>1220</v>
      </c>
      <c r="AJ80" s="12">
        <f>MATCH($A80,Table!$A:$A,0)+$AL$2-1</f>
        <v>1221</v>
      </c>
      <c r="AN80" s="31">
        <f>MATCH($A80,Table!$A:$A,0)+$AH$2-1</f>
        <v>1220</v>
      </c>
      <c r="AR80" s="198" t="s">
        <v>118</v>
      </c>
    </row>
    <row r="81" spans="1:44">
      <c r="A81" s="5">
        <v>41054</v>
      </c>
      <c r="B81" s="35">
        <f ca="1">IF(ISERROR(MATCH(B$1,INDIRECT("Table!A"&amp;$AF81):INDIRECT("Table!" &amp; $AR$159 &amp; $AF81),0)),"",INDIRECT(CONCATENATE("Table!",ADDRESS($AB81,MATCH(B$1,INDIRECT("Table!A" &amp; $AF81):INDIRECT("Table!" &amp; $AR$159 &amp; $AF81),0)))))</f>
        <v>90897.3</v>
      </c>
      <c r="C81" s="35">
        <f ca="1">IF(ISERROR(MATCH(C$1,INDIRECT("Table!A"&amp;$AF81):INDIRECT("Table!" &amp; $AR$159 &amp; $AF81),0)),"",INDIRECT(CONCATENATE("Table!",ADDRESS($AB81,MATCH(C$1,INDIRECT("Table!A" &amp; $AF81):INDIRECT("Table!" &amp; $AR$159 &amp; $AF81),0)))))</f>
        <v>68567.3</v>
      </c>
      <c r="D81" s="35">
        <f ca="1">IF(ISERROR(MATCH(D$1,INDIRECT("Table!A"&amp;$AF81):INDIRECT("Table!" &amp; $AR$159 &amp; $AF81),0)),"",INDIRECT(CONCATENATE("Table!",ADDRESS($AB81,MATCH(D$1,INDIRECT("Table!A" &amp; $AF81):INDIRECT("Table!" &amp; $AR$159 &amp; $AF81),0)))))</f>
        <v>69884.399999999994</v>
      </c>
      <c r="E81" s="35">
        <f ca="1">IF(ISERROR(MATCH(E$1,INDIRECT("Table!A"&amp;$AF81):INDIRECT("Table!" &amp; $AR$159 &amp; $AF81),0)),"",INDIRECT(CONCATENATE("Table!",ADDRESS($AB81,MATCH(E$1,INDIRECT("Table!A" &amp; $AF81):INDIRECT("Table!" &amp; $AR$159 &amp; $AF81),0)))))</f>
        <v>146310.6</v>
      </c>
      <c r="F81" s="35">
        <f ca="1">IF(ISERROR(MATCH(F$1,INDIRECT("Table!A"&amp;$AF81):INDIRECT("Table!" &amp; $AR$159 &amp; $AF81),0)),"",INDIRECT(CONCATENATE("Table!",ADDRESS($AB81,MATCH(F$1,INDIRECT("Table!A" &amp; $AF81):INDIRECT("Table!" &amp; $AR$159 &amp; $AF81),0)))))</f>
        <v>20490</v>
      </c>
      <c r="G81" s="35">
        <f ca="1">IF(ISERROR(MATCH(G$1,INDIRECT("Table!A"&amp;$AF81):INDIRECT("Table!" &amp; $AR$159 &amp; $AF81),0)),"",INDIRECT(CONCATENATE("Table!",ADDRESS($AB81,MATCH(G$1,INDIRECT("Table!A" &amp; $AF81):INDIRECT("Table!" &amp; $AR$159 &amp; $AF81),0)))))</f>
        <v>36799.300000000003</v>
      </c>
      <c r="H81" s="35">
        <f ca="1">IF(ISERROR(MATCH(H$1,INDIRECT("Table!A"&amp;$AF81):INDIRECT("Table!" &amp; $AR$159 &amp; $AF81),0)),"",INDIRECT(CONCATENATE("Table!",ADDRESS($AB81,MATCH(H$1,INDIRECT("Table!A" &amp; $AF81):INDIRECT("Table!" &amp; $AR$159 &amp; $AF81),0)))))</f>
        <v>20653.7</v>
      </c>
      <c r="I81" s="35">
        <f ca="1">IF(ISERROR(MATCH(I$1,INDIRECT("Table!A"&amp;$AF81):INDIRECT("Table!" &amp; $AR$159 &amp; $AF81),0)),"",INDIRECT(CONCATENATE("Table!",ADDRESS($AB81,MATCH(I$1,INDIRECT("Table!A" &amp; $AF81):INDIRECT("Table!" &amp; $AR$159 &amp; $AF81),0)))))</f>
        <v>131347.79999999999</v>
      </c>
      <c r="J81" s="35">
        <f ca="1">IF(ISERROR(MATCH(J$1,INDIRECT("Table!A"&amp;$AF81):INDIRECT("Table!" &amp; $AR$159 &amp; $AF81),0)),"",INDIRECT(CONCATENATE("Table!",ADDRESS($AB81,MATCH(J$1,INDIRECT("Table!A" &amp; $AF81):INDIRECT("Table!" &amp; $AR$159 &amp; $AF81),0)))))</f>
        <v>45275.5</v>
      </c>
      <c r="K81" s="35">
        <f ca="1">IF(ISERROR(MATCH(K$1,INDIRECT("Table!A"&amp;$AF81):INDIRECT("Table!" &amp; $AR$159 &amp; $AF81),0)),"",INDIRECT(CONCATENATE("Table!",ADDRESS($AB81,MATCH(K$1,INDIRECT("Table!A" &amp; $AF81):INDIRECT("Table!" &amp; $AR$159 &amp; $AF81),0)))))</f>
        <v>13928.6</v>
      </c>
      <c r="L81" s="35">
        <f ca="1">IF(ISERROR(MATCH(L$1,INDIRECT("Table!A"&amp;$AF81):INDIRECT("Table!" &amp; $AR$159 &amp; $AF81),0)),"",INDIRECT(CONCATENATE("Table!",ADDRESS($AB81,MATCH(L$1,INDIRECT("Table!A" &amp; $AF81):INDIRECT("Table!" &amp; $AR$159 &amp; $AF81),0)))))</f>
        <v>80129.8</v>
      </c>
      <c r="M81" s="35">
        <f ca="1">IF(ISERROR(MATCH(M$1,INDIRECT("Table!A"&amp;$AF81):INDIRECT("Table!" &amp; $AR$159 &amp; $AF81),0)),"",INDIRECT(CONCATENATE("Table!",ADDRESS($AB81,MATCH(M$1,INDIRECT("Table!A" &amp; $AF81):INDIRECT("Table!" &amp; $AR$159 &amp; $AF81),0)))))</f>
        <v>23948.9</v>
      </c>
      <c r="N81" s="35" t="str">
        <f ca="1">IF(ISERROR(MATCH(N$1,INDIRECT("Table!A"&amp;$AF81):INDIRECT("Table!" &amp; $AR$188 &amp; $AF81),0)),"",INDIRECT(CONCATENATE("Table!",ADDRESS($AB81,MATCH(N$1,INDIRECT("Table!A" &amp; $AF81):INDIRECT("Table!" &amp; $AR$188 &amp; $AF81),0)))))</f>
        <v/>
      </c>
      <c r="O81" s="35">
        <f ca="1">IF(ISERROR(MATCH(O$1,INDIRECT("Table!A"&amp;$AN81):INDIRECT("Table!" &amp; $AR$159 &amp; $AN81),0)),"",INDIRECT(CONCATENATE("Table!",ADDRESS($AJ81,MATCH(O$1,INDIRECT("Table!A" &amp; $AN81):INDIRECT("Table!" &amp; $AR$159 &amp; $AN81),0)))))</f>
        <v>115816.8</v>
      </c>
      <c r="P81" s="35">
        <f ca="1">IF(ISERROR(MATCH(P$1,INDIRECT("Table!A"&amp;$AN81):INDIRECT("Table!" &amp; $AR$159 &amp; $AN81),0)),"",INDIRECT(CONCATENATE("Table!",ADDRESS($AJ81,MATCH(P$1,INDIRECT("Table!A" &amp; $AN81):INDIRECT("Table!" &amp; $AR$159 &amp; $AN81),0)))))</f>
        <v>99041.7</v>
      </c>
      <c r="Q81" s="35">
        <f ca="1">IF(ISERROR(MATCH(Q$1,INDIRECT("Table!A"&amp;$AN81):INDIRECT("Table!" &amp; $AR$159 &amp; $AN81),0)),"",INDIRECT(CONCATENATE("Table!",ADDRESS($AJ81,MATCH(Q$1,INDIRECT("Table!A" &amp; $AN81):INDIRECT("Table!" &amp; $AR$159 &amp; $AN81),0)))))</f>
        <v>99041.7</v>
      </c>
      <c r="R81" s="35">
        <f ca="1">IF(ISERROR(MATCH(R$1,INDIRECT("Table!A"&amp;$AN81):INDIRECT("Table!" &amp; $AR$159 &amp; $AN81),0)),"",INDIRECT(CONCATENATE("Table!",ADDRESS($AJ81,MATCH(R$1,INDIRECT("Table!A" &amp; $AN81):INDIRECT("Table!" &amp; $AR$159 &amp; $AN81),0)))))</f>
        <v>181997.8</v>
      </c>
      <c r="S81" s="35">
        <f ca="1">IF(ISERROR(MATCH(S$1,INDIRECT("Table!A"&amp;$AN81):INDIRECT("Table!" &amp; $AR$159 &amp; $AN81),0)),"",INDIRECT(CONCATENATE("Table!",ADDRESS($AJ81,MATCH(S$1,INDIRECT("Table!A" &amp; $AN81):INDIRECT("Table!" &amp; $AR$159 &amp; $AN81),0)))))</f>
        <v>121331.8</v>
      </c>
      <c r="T81" s="35">
        <f ca="1">IF(ISERROR(MATCH(T$1,INDIRECT("Table!A"&amp;$AN81):INDIRECT("Table!" &amp; $AR$159 &amp; $AN81),0)),"",INDIRECT(CONCATENATE("Table!",ADDRESS($AJ81,MATCH(T$1,INDIRECT("Table!A" &amp; $AN81):INDIRECT("Table!" &amp; $AR$159 &amp; $AN81),0)))))</f>
        <v>110071.9</v>
      </c>
      <c r="U81" s="35">
        <f ca="1">IF(ISERROR(MATCH(U$1,INDIRECT("Table!A"&amp;$AN81):INDIRECT("Table!" &amp; $AR$159 &amp; $AN81),0)),"",INDIRECT(CONCATENATE("Table!",ADDRESS($AJ81,MATCH(U$1,INDIRECT("Table!A" &amp; $AN81):INDIRECT("Table!" &amp; $AR$159 &amp; $AN81),0)))))</f>
        <v>121331.8</v>
      </c>
      <c r="V81" s="35">
        <f ca="1">IF(ISERROR(MATCH(V$1,INDIRECT("Table!A"&amp;$AN81):INDIRECT("Table!" &amp; $AR$159 &amp; $AN81),0)),"",INDIRECT(CONCATENATE("Table!",ADDRESS($AJ81,MATCH(V$1,INDIRECT("Table!A" &amp; $AN81):INDIRECT("Table!" &amp; $AR$159 &amp; $AN81),0)))))</f>
        <v>170967.6</v>
      </c>
      <c r="W81" s="35">
        <f ca="1">IF(ISERROR(MATCH(W$1,INDIRECT("Table!A"&amp;$AN81):INDIRECT("Table!" &amp; $AR$159 &amp; $AN81),0)),"",INDIRECT(CONCATENATE("Table!",ADDRESS($AJ81,MATCH(W$1,INDIRECT("Table!A" &amp; $AN81):INDIRECT("Table!" &amp; $AR$159 &amp; $AN81),0)))))</f>
        <v>132132.20000000001</v>
      </c>
      <c r="X81" s="35">
        <f ca="1">IF(ISERROR(MATCH(X$1,INDIRECT("Table!A"&amp;$AN81):INDIRECT("Table!" &amp; $AR$159 &amp; $AN81),0)),"",INDIRECT(CONCATENATE("Table!",ADDRESS($AJ81,MATCH(X$1,INDIRECT("Table!A" &amp; $AN81):INDIRECT("Table!" &amp; $AR$159 &amp; $AN81),0)))))</f>
        <v>60665.9</v>
      </c>
      <c r="Y81" s="35">
        <f ca="1">IF(ISERROR(MATCH(Y$1,INDIRECT("Table!A"&amp;$AN81):INDIRECT("Table!" &amp; $AR$159 &amp; $AN81),0)),"",INDIRECT(CONCATENATE("Table!",ADDRESS($AJ81,MATCH(Y$1,INDIRECT("Table!A" &amp; $AN81):INDIRECT("Table!" &amp; $AR$159 &amp; $AN81),0)))))</f>
        <v>176482.7</v>
      </c>
      <c r="Z81" s="35">
        <f ca="1">IF(ISERROR(MATCH(Z$1,INDIRECT("Table!A"&amp;$AN81):INDIRECT("Table!" &amp; $AR$159 &amp; $AN81),0)),"",INDIRECT(CONCATENATE("Table!",ADDRESS($AJ81,MATCH(Z$1,INDIRECT("Table!A" &amp; $AN81):INDIRECT("Table!" &amp; $AR$159 &amp; $AN81),0)))))</f>
        <v>54921</v>
      </c>
      <c r="AA81" s="12"/>
      <c r="AB81" s="12">
        <f>MATCH($A81,Table!$A:$A,0)+$AD$2-1</f>
        <v>1235</v>
      </c>
      <c r="AF81" s="31">
        <f>MATCH($A81,Table!$A:$A,0)+$AH$2-1</f>
        <v>1233</v>
      </c>
      <c r="AJ81" s="12">
        <f>MATCH($A81,Table!$A:$A,0)+$AL$2-1</f>
        <v>1234</v>
      </c>
      <c r="AN81" s="31">
        <f>MATCH($A81,Table!$A:$A,0)+$AH$2-1</f>
        <v>1233</v>
      </c>
      <c r="AR81" s="197" t="s">
        <v>118</v>
      </c>
    </row>
    <row r="82" spans="1:44">
      <c r="A82" s="5">
        <v>41053</v>
      </c>
      <c r="B82" s="35">
        <f ca="1">IF(ISERROR(MATCH(B$1,INDIRECT("Table!A"&amp;$AF82):INDIRECT("Table!" &amp; $AR$159 &amp; $AF82),0)),"",INDIRECT(CONCATENATE("Table!",ADDRESS($AB82,MATCH(B$1,INDIRECT("Table!A" &amp; $AF82):INDIRECT("Table!" &amp; $AR$159 &amp; $AF82),0)))))</f>
        <v>90847.6</v>
      </c>
      <c r="C82" s="35">
        <f ca="1">IF(ISERROR(MATCH(C$1,INDIRECT("Table!A"&amp;$AF82):INDIRECT("Table!" &amp; $AR$159 &amp; $AF82),0)),"",INDIRECT(CONCATENATE("Table!",ADDRESS($AB82,MATCH(C$1,INDIRECT("Table!A" &amp; $AF82):INDIRECT("Table!" &amp; $AR$159 &amp; $AF82),0)))))</f>
        <v>68538.899999999994</v>
      </c>
      <c r="D82" s="35">
        <f ca="1">IF(ISERROR(MATCH(D$1,INDIRECT("Table!A"&amp;$AF82):INDIRECT("Table!" &amp; $AR$159 &amp; $AF82),0)),"",INDIRECT(CONCATENATE("Table!",ADDRESS($AB82,MATCH(D$1,INDIRECT("Table!A" &amp; $AF82):INDIRECT("Table!" &amp; $AR$159 &amp; $AF82),0)))))</f>
        <v>69856</v>
      </c>
      <c r="E82" s="35">
        <f ca="1">IF(ISERROR(MATCH(E$1,INDIRECT("Table!A"&amp;$AF82):INDIRECT("Table!" &amp; $AR$159 &amp; $AF82),0)),"",INDIRECT(CONCATENATE("Table!",ADDRESS($AB82,MATCH(E$1,INDIRECT("Table!A" &amp; $AF82):INDIRECT("Table!" &amp; $AR$159 &amp; $AF82),0)))))</f>
        <v>146204.5</v>
      </c>
      <c r="F82" s="35">
        <f ca="1">IF(ISERROR(MATCH(F$1,INDIRECT("Table!A"&amp;$AF82):INDIRECT("Table!" &amp; $AR$159 &amp; $AF82),0)),"",INDIRECT(CONCATENATE("Table!",ADDRESS($AB82,MATCH(F$1,INDIRECT("Table!A" &amp; $AF82):INDIRECT("Table!" &amp; $AR$159 &amp; $AF82),0)))))</f>
        <v>20486.2</v>
      </c>
      <c r="G82" s="35">
        <f ca="1">IF(ISERROR(MATCH(G$1,INDIRECT("Table!A"&amp;$AF82):INDIRECT("Table!" &amp; $AR$159 &amp; $AF82),0)),"",INDIRECT(CONCATENATE("Table!",ADDRESS($AB82,MATCH(G$1,INDIRECT("Table!A" &amp; $AF82):INDIRECT("Table!" &amp; $AR$159 &amp; $AF82),0)))))</f>
        <v>36481.9</v>
      </c>
      <c r="H82" s="35">
        <f ca="1">IF(ISERROR(MATCH(H$1,INDIRECT("Table!A"&amp;$AF82):INDIRECT("Table!" &amp; $AR$159 &amp; $AF82),0)),"",INDIRECT(CONCATENATE("Table!",ADDRESS($AB82,MATCH(H$1,INDIRECT("Table!A" &amp; $AF82):INDIRECT("Table!" &amp; $AR$159 &amp; $AF82),0)))))</f>
        <v>20648.8</v>
      </c>
      <c r="I82" s="35">
        <f ca="1">IF(ISERROR(MATCH(I$1,INDIRECT("Table!A"&amp;$AF82):INDIRECT("Table!" &amp; $AR$159 &amp; $AF82),0)),"",INDIRECT(CONCATENATE("Table!",ADDRESS($AB82,MATCH(I$1,INDIRECT("Table!A" &amp; $AF82):INDIRECT("Table!" &amp; $AR$159 &amp; $AF82),0)))))</f>
        <v>131218.9</v>
      </c>
      <c r="J82" s="35">
        <f ca="1">IF(ISERROR(MATCH(J$1,INDIRECT("Table!A"&amp;$AF82):INDIRECT("Table!" &amp; $AR$159 &amp; $AF82),0)),"",INDIRECT(CONCATENATE("Table!",ADDRESS($AB82,MATCH(J$1,INDIRECT("Table!A" &amp; $AF82):INDIRECT("Table!" &amp; $AR$159 &amp; $AF82),0)))))</f>
        <v>45240.2</v>
      </c>
      <c r="K82" s="35">
        <f ca="1">IF(ISERROR(MATCH(K$1,INDIRECT("Table!A"&amp;$AF82):INDIRECT("Table!" &amp; $AR$159 &amp; $AF82),0)),"",INDIRECT(CONCATENATE("Table!",ADDRESS($AB82,MATCH(K$1,INDIRECT("Table!A" &amp; $AF82):INDIRECT("Table!" &amp; $AR$159 &amp; $AF82),0)))))</f>
        <v>13926.6</v>
      </c>
      <c r="L82" s="35">
        <f ca="1">IF(ISERROR(MATCH(L$1,INDIRECT("Table!A"&amp;$AF82):INDIRECT("Table!" &amp; $AR$159 &amp; $AF82),0)),"",INDIRECT(CONCATENATE("Table!",ADDRESS($AB82,MATCH(L$1,INDIRECT("Table!A" &amp; $AF82):INDIRECT("Table!" &amp; $AR$159 &amp; $AF82),0)))))</f>
        <v>80120.800000000003</v>
      </c>
      <c r="M82" s="35">
        <f ca="1">IF(ISERROR(MATCH(M$1,INDIRECT("Table!A"&amp;$AF82):INDIRECT("Table!" &amp; $AR$159 &amp; $AF82),0)),"",INDIRECT(CONCATENATE("Table!",ADDRESS($AB82,MATCH(M$1,INDIRECT("Table!A" &amp; $AF82):INDIRECT("Table!" &amp; $AR$159 &amp; $AF82),0)))))</f>
        <v>23948.9</v>
      </c>
      <c r="N82" s="35" t="str">
        <f ca="1">IF(ISERROR(MATCH(N$1,INDIRECT("Table!A"&amp;$AF82):INDIRECT("Table!" &amp; $AR$188 &amp; $AF82),0)),"",INDIRECT(CONCATENATE("Table!",ADDRESS($AB82,MATCH(N$1,INDIRECT("Table!A" &amp; $AF82):INDIRECT("Table!" &amp; $AR$188 &amp; $AF82),0)))))</f>
        <v/>
      </c>
      <c r="O82" s="35">
        <f ca="1">IF(ISERROR(MATCH(O$1,INDIRECT("Table!A"&amp;$AN82):INDIRECT("Table!" &amp; $AR$159 &amp; $AN82),0)),"",INDIRECT(CONCATENATE("Table!",ADDRESS($AJ82,MATCH(O$1,INDIRECT("Table!A" &amp; $AN82):INDIRECT("Table!" &amp; $AR$159 &amp; $AN82),0)))))</f>
        <v>115816.8</v>
      </c>
      <c r="P82" s="35">
        <f ca="1">IF(ISERROR(MATCH(P$1,INDIRECT("Table!A"&amp;$AN82):INDIRECT("Table!" &amp; $AR$159 &amp; $AN82),0)),"",INDIRECT(CONCATENATE("Table!",ADDRESS($AJ82,MATCH(P$1,INDIRECT("Table!A" &amp; $AN82):INDIRECT("Table!" &amp; $AR$159 &amp; $AN82),0)))))</f>
        <v>99041.7</v>
      </c>
      <c r="Q82" s="35">
        <f ca="1">IF(ISERROR(MATCH(Q$1,INDIRECT("Table!A"&amp;$AN82):INDIRECT("Table!" &amp; $AR$159 &amp; $AN82),0)),"",INDIRECT(CONCATENATE("Table!",ADDRESS($AJ82,MATCH(Q$1,INDIRECT("Table!A" &amp; $AN82):INDIRECT("Table!" &amp; $AR$159 &amp; $AN82),0)))))</f>
        <v>99041.7</v>
      </c>
      <c r="R82" s="35">
        <f ca="1">IF(ISERROR(MATCH(R$1,INDIRECT("Table!A"&amp;$AN82):INDIRECT("Table!" &amp; $AR$159 &amp; $AN82),0)),"",INDIRECT(CONCATENATE("Table!",ADDRESS($AJ82,MATCH(R$1,INDIRECT("Table!A" &amp; $AN82):INDIRECT("Table!" &amp; $AR$159 &amp; $AN82),0)))))</f>
        <v>181997.8</v>
      </c>
      <c r="S82" s="35">
        <f ca="1">IF(ISERROR(MATCH(S$1,INDIRECT("Table!A"&amp;$AN82):INDIRECT("Table!" &amp; $AR$159 &amp; $AN82),0)),"",INDIRECT(CONCATENATE("Table!",ADDRESS($AJ82,MATCH(S$1,INDIRECT("Table!A" &amp; $AN82):INDIRECT("Table!" &amp; $AR$159 &amp; $AN82),0)))))</f>
        <v>121331.8</v>
      </c>
      <c r="T82" s="35">
        <f ca="1">IF(ISERROR(MATCH(T$1,INDIRECT("Table!A"&amp;$AN82):INDIRECT("Table!" &amp; $AR$159 &amp; $AN82),0)),"",INDIRECT(CONCATENATE("Table!",ADDRESS($AJ82,MATCH(T$1,INDIRECT("Table!A" &amp; $AN82):INDIRECT("Table!" &amp; $AR$159 &amp; $AN82),0)))))</f>
        <v>110071.9</v>
      </c>
      <c r="U82" s="35">
        <f ca="1">IF(ISERROR(MATCH(U$1,INDIRECT("Table!A"&amp;$AN82):INDIRECT("Table!" &amp; $AR$159 &amp; $AN82),0)),"",INDIRECT(CONCATENATE("Table!",ADDRESS($AJ82,MATCH(U$1,INDIRECT("Table!A" &amp; $AN82):INDIRECT("Table!" &amp; $AR$159 &amp; $AN82),0)))))</f>
        <v>121331.8</v>
      </c>
      <c r="V82" s="35">
        <f ca="1">IF(ISERROR(MATCH(V$1,INDIRECT("Table!A"&amp;$AN82):INDIRECT("Table!" &amp; $AR$159 &amp; $AN82),0)),"",INDIRECT(CONCATENATE("Table!",ADDRESS($AJ82,MATCH(V$1,INDIRECT("Table!A" &amp; $AN82):INDIRECT("Table!" &amp; $AR$159 &amp; $AN82),0)))))</f>
        <v>170967.6</v>
      </c>
      <c r="W82" s="35">
        <f ca="1">IF(ISERROR(MATCH(W$1,INDIRECT("Table!A"&amp;$AN82):INDIRECT("Table!" &amp; $AR$159 &amp; $AN82),0)),"",INDIRECT(CONCATENATE("Table!",ADDRESS($AJ82,MATCH(W$1,INDIRECT("Table!A" &amp; $AN82):INDIRECT("Table!" &amp; $AR$159 &amp; $AN82),0)))))</f>
        <v>132132.20000000001</v>
      </c>
      <c r="X82" s="35">
        <f ca="1">IF(ISERROR(MATCH(X$1,INDIRECT("Table!A"&amp;$AN82):INDIRECT("Table!" &amp; $AR$159 &amp; $AN82),0)),"",INDIRECT(CONCATENATE("Table!",ADDRESS($AJ82,MATCH(X$1,INDIRECT("Table!A" &amp; $AN82):INDIRECT("Table!" &amp; $AR$159 &amp; $AN82),0)))))</f>
        <v>60665.9</v>
      </c>
      <c r="Y82" s="35">
        <f ca="1">IF(ISERROR(MATCH(Y$1,INDIRECT("Table!A"&amp;$AN82):INDIRECT("Table!" &amp; $AR$159 &amp; $AN82),0)),"",INDIRECT(CONCATENATE("Table!",ADDRESS($AJ82,MATCH(Y$1,INDIRECT("Table!A" &amp; $AN82):INDIRECT("Table!" &amp; $AR$159 &amp; $AN82),0)))))</f>
        <v>176482.7</v>
      </c>
      <c r="Z82" s="35">
        <f ca="1">IF(ISERROR(MATCH(Z$1,INDIRECT("Table!A"&amp;$AN82):INDIRECT("Table!" &amp; $AR$159 &amp; $AN82),0)),"",INDIRECT(CONCATENATE("Table!",ADDRESS($AJ82,MATCH(Z$1,INDIRECT("Table!A" &amp; $AN82):INDIRECT("Table!" &amp; $AR$159 &amp; $AN82),0)))))</f>
        <v>54921</v>
      </c>
      <c r="AA82" s="12"/>
      <c r="AB82" s="12">
        <f>MATCH($A82,Table!$A:$A,0)+$AD$2-1</f>
        <v>1248</v>
      </c>
      <c r="AF82" s="31">
        <f>MATCH($A82,Table!$A:$A,0)+$AH$2-1</f>
        <v>1246</v>
      </c>
      <c r="AJ82" s="12">
        <f>MATCH($A82,Table!$A:$A,0)+$AL$2-1</f>
        <v>1247</v>
      </c>
      <c r="AN82" s="31">
        <f>MATCH($A82,Table!$A:$A,0)+$AH$2-1</f>
        <v>1246</v>
      </c>
      <c r="AR82" s="196" t="s">
        <v>118</v>
      </c>
    </row>
    <row r="83" spans="1:44">
      <c r="A83" s="5">
        <v>41051</v>
      </c>
      <c r="B83" s="35">
        <f ca="1">IF(ISERROR(MATCH(B$1,INDIRECT("Table!A"&amp;$AF83):INDIRECT("Table!" &amp; $AR$159 &amp; $AF83),0)),"",INDIRECT(CONCATENATE("Table!",ADDRESS($AB83,MATCH(B$1,INDIRECT("Table!A" &amp; $AF83):INDIRECT("Table!" &amp; $AR$159 &amp; $AF83),0)))))</f>
        <v>90716.7</v>
      </c>
      <c r="C83" s="35">
        <f ca="1">IF(ISERROR(MATCH(C$1,INDIRECT("Table!A"&amp;$AF83):INDIRECT("Table!" &amp; $AR$159 &amp; $AF83),0)),"",INDIRECT(CONCATENATE("Table!",ADDRESS($AB83,MATCH(C$1,INDIRECT("Table!A" &amp; $AF83):INDIRECT("Table!" &amp; $AR$159 &amp; $AF83),0)))))</f>
        <v>68493.7</v>
      </c>
      <c r="D83" s="35">
        <f ca="1">IF(ISERROR(MATCH(D$1,INDIRECT("Table!A"&amp;$AF83):INDIRECT("Table!" &amp; $AR$159 &amp; $AF83),0)),"",INDIRECT(CONCATENATE("Table!",ADDRESS($AB83,MATCH(D$1,INDIRECT("Table!A" &amp; $AF83):INDIRECT("Table!" &amp; $AR$159 &amp; $AF83),0)))))</f>
        <v>69810.899999999994</v>
      </c>
      <c r="E83" s="35">
        <f ca="1">IF(ISERROR(MATCH(E$1,INDIRECT("Table!A"&amp;$AF83):INDIRECT("Table!" &amp; $AR$159 &amp; $AF83),0)),"",INDIRECT(CONCATENATE("Table!",ADDRESS($AB83,MATCH(E$1,INDIRECT("Table!A" &amp; $AF83):INDIRECT("Table!" &amp; $AR$159 &amp; $AF83),0)))))</f>
        <v>145928.6</v>
      </c>
      <c r="F83" s="35">
        <f ca="1">IF(ISERROR(MATCH(F$1,INDIRECT("Table!A"&amp;$AF83):INDIRECT("Table!" &amp; $AR$159 &amp; $AF83),0)),"",INDIRECT(CONCATENATE("Table!",ADDRESS($AB83,MATCH(F$1,INDIRECT("Table!A" &amp; $AF83):INDIRECT("Table!" &amp; $AR$159 &amp; $AF83),0)))))</f>
        <v>20454.400000000001</v>
      </c>
      <c r="G83" s="35">
        <f ca="1">IF(ISERROR(MATCH(G$1,INDIRECT("Table!A"&amp;$AF83):INDIRECT("Table!" &amp; $AR$159 &amp; $AF83),0)),"",INDIRECT(CONCATENATE("Table!",ADDRESS($AB83,MATCH(G$1,INDIRECT("Table!A" &amp; $AF83):INDIRECT("Table!" &amp; $AR$159 &amp; $AF83),0)))))</f>
        <v>35220.6</v>
      </c>
      <c r="H83" s="35">
        <f ca="1">IF(ISERROR(MATCH(H$1,INDIRECT("Table!A"&amp;$AF83):INDIRECT("Table!" &amp; $AR$159 &amp; $AF83),0)),"",INDIRECT(CONCATENATE("Table!",ADDRESS($AB83,MATCH(H$1,INDIRECT("Table!A" &amp; $AF83):INDIRECT("Table!" &amp; $AR$159 &amp; $AF83),0)))))</f>
        <v>20636.7</v>
      </c>
      <c r="I83" s="35">
        <f ca="1">IF(ISERROR(MATCH(I$1,INDIRECT("Table!A"&amp;$AF83):INDIRECT("Table!" &amp; $AR$159 &amp; $AF83),0)),"",INDIRECT(CONCATENATE("Table!",ADDRESS($AB83,MATCH(I$1,INDIRECT("Table!A" &amp; $AF83):INDIRECT("Table!" &amp; $AR$159 &amp; $AF83),0)))))</f>
        <v>130904.6</v>
      </c>
      <c r="J83" s="35">
        <f ca="1">IF(ISERROR(MATCH(J$1,INDIRECT("Table!A"&amp;$AF83):INDIRECT("Table!" &amp; $AR$159 &amp; $AF83),0)),"",INDIRECT(CONCATENATE("Table!",ADDRESS($AB83,MATCH(J$1,INDIRECT("Table!A" &amp; $AF83):INDIRECT("Table!" &amp; $AR$159 &amp; $AF83),0)))))</f>
        <v>45263.5</v>
      </c>
      <c r="K83" s="35">
        <f ca="1">IF(ISERROR(MATCH(K$1,INDIRECT("Table!A"&amp;$AF83):INDIRECT("Table!" &amp; $AR$159 &amp; $AF83),0)),"",INDIRECT(CONCATENATE("Table!",ADDRESS($AB83,MATCH(K$1,INDIRECT("Table!A" &amp; $AF83):INDIRECT("Table!" &amp; $AR$159 &amp; $AF83),0)))))</f>
        <v>13909.1</v>
      </c>
      <c r="L83" s="35">
        <f ca="1">IF(ISERROR(MATCH(L$1,INDIRECT("Table!A"&amp;$AF83):INDIRECT("Table!" &amp; $AR$159 &amp; $AF83),0)),"",INDIRECT(CONCATENATE("Table!",ADDRESS($AB83,MATCH(L$1,INDIRECT("Table!A" &amp; $AF83):INDIRECT("Table!" &amp; $AR$159 &amp; $AF83),0)))))</f>
        <v>80096.5</v>
      </c>
      <c r="M83" s="35">
        <f ca="1">IF(ISERROR(MATCH(M$1,INDIRECT("Table!A"&amp;$AF83):INDIRECT("Table!" &amp; $AR$159 &amp; $AF83),0)),"",INDIRECT(CONCATENATE("Table!",ADDRESS($AB83,MATCH(M$1,INDIRECT("Table!A" &amp; $AF83):INDIRECT("Table!" &amp; $AR$159 &amp; $AF83),0)))))</f>
        <v>23948.3</v>
      </c>
      <c r="N83" s="35" t="str">
        <f ca="1">IF(ISERROR(MATCH(N$1,INDIRECT("Table!A"&amp;$AF83):INDIRECT("Table!" &amp; $AR$188 &amp; $AF83),0)),"",INDIRECT(CONCATENATE("Table!",ADDRESS($AB83,MATCH(N$1,INDIRECT("Table!A" &amp; $AF83):INDIRECT("Table!" &amp; $AR$188 &amp; $AF83),0)))))</f>
        <v/>
      </c>
      <c r="O83" s="35">
        <f ca="1">IF(ISERROR(MATCH(O$1,INDIRECT("Table!A"&amp;$AN83):INDIRECT("Table!" &amp; $AR$159 &amp; $AN83),0)),"",INDIRECT(CONCATENATE("Table!",ADDRESS($AJ83,MATCH(O$1,INDIRECT("Table!A" &amp; $AN83):INDIRECT("Table!" &amp; $AR$159 &amp; $AN83),0)))))</f>
        <v>115816.8</v>
      </c>
      <c r="P83" s="35">
        <f ca="1">IF(ISERROR(MATCH(P$1,INDIRECT("Table!A"&amp;$AN83):INDIRECT("Table!" &amp; $AR$159 &amp; $AN83),0)),"",INDIRECT(CONCATENATE("Table!",ADDRESS($AJ83,MATCH(P$1,INDIRECT("Table!A" &amp; $AN83):INDIRECT("Table!" &amp; $AR$159 &amp; $AN83),0)))))</f>
        <v>99041.7</v>
      </c>
      <c r="Q83" s="35">
        <f ca="1">IF(ISERROR(MATCH(Q$1,INDIRECT("Table!A"&amp;$AN83):INDIRECT("Table!" &amp; $AR$159 &amp; $AN83),0)),"",INDIRECT(CONCATENATE("Table!",ADDRESS($AJ83,MATCH(Q$1,INDIRECT("Table!A" &amp; $AN83):INDIRECT("Table!" &amp; $AR$159 &amp; $AN83),0)))))</f>
        <v>99041.7</v>
      </c>
      <c r="R83" s="35">
        <f ca="1">IF(ISERROR(MATCH(R$1,INDIRECT("Table!A"&amp;$AN83):INDIRECT("Table!" &amp; $AR$159 &amp; $AN83),0)),"",INDIRECT(CONCATENATE("Table!",ADDRESS($AJ83,MATCH(R$1,INDIRECT("Table!A" &amp; $AN83):INDIRECT("Table!" &amp; $AR$159 &amp; $AN83),0)))))</f>
        <v>181997.8</v>
      </c>
      <c r="S83" s="35">
        <f ca="1">IF(ISERROR(MATCH(S$1,INDIRECT("Table!A"&amp;$AN83):INDIRECT("Table!" &amp; $AR$159 &amp; $AN83),0)),"",INDIRECT(CONCATENATE("Table!",ADDRESS($AJ83,MATCH(S$1,INDIRECT("Table!A" &amp; $AN83):INDIRECT("Table!" &amp; $AR$159 &amp; $AN83),0)))))</f>
        <v>121331.8</v>
      </c>
      <c r="T83" s="35">
        <f ca="1">IF(ISERROR(MATCH(T$1,INDIRECT("Table!A"&amp;$AN83):INDIRECT("Table!" &amp; $AR$159 &amp; $AN83),0)),"",INDIRECT(CONCATENATE("Table!",ADDRESS($AJ83,MATCH(T$1,INDIRECT("Table!A" &amp; $AN83):INDIRECT("Table!" &amp; $AR$159 &amp; $AN83),0)))))</f>
        <v>110071.9</v>
      </c>
      <c r="U83" s="35">
        <f ca="1">IF(ISERROR(MATCH(U$1,INDIRECT("Table!A"&amp;$AN83):INDIRECT("Table!" &amp; $AR$159 &amp; $AN83),0)),"",INDIRECT(CONCATENATE("Table!",ADDRESS($AJ83,MATCH(U$1,INDIRECT("Table!A" &amp; $AN83):INDIRECT("Table!" &amp; $AR$159 &amp; $AN83),0)))))</f>
        <v>121331.8</v>
      </c>
      <c r="V83" s="35">
        <f ca="1">IF(ISERROR(MATCH(V$1,INDIRECT("Table!A"&amp;$AN83):INDIRECT("Table!" &amp; $AR$159 &amp; $AN83),0)),"",INDIRECT(CONCATENATE("Table!",ADDRESS($AJ83,MATCH(V$1,INDIRECT("Table!A" &amp; $AN83):INDIRECT("Table!" &amp; $AR$159 &amp; $AN83),0)))))</f>
        <v>170967.6</v>
      </c>
      <c r="W83" s="35">
        <f ca="1">IF(ISERROR(MATCH(W$1,INDIRECT("Table!A"&amp;$AN83):INDIRECT("Table!" &amp; $AR$159 &amp; $AN83),0)),"",INDIRECT(CONCATENATE("Table!",ADDRESS($AJ83,MATCH(W$1,INDIRECT("Table!A" &amp; $AN83):INDIRECT("Table!" &amp; $AR$159 &amp; $AN83),0)))))</f>
        <v>132132.20000000001</v>
      </c>
      <c r="X83" s="35">
        <f ca="1">IF(ISERROR(MATCH(X$1,INDIRECT("Table!A"&amp;$AN83):INDIRECT("Table!" &amp; $AR$159 &amp; $AN83),0)),"",INDIRECT(CONCATENATE("Table!",ADDRESS($AJ83,MATCH(X$1,INDIRECT("Table!A" &amp; $AN83):INDIRECT("Table!" &amp; $AR$159 &amp; $AN83),0)))))</f>
        <v>60665.9</v>
      </c>
      <c r="Y83" s="35">
        <f ca="1">IF(ISERROR(MATCH(Y$1,INDIRECT("Table!A"&amp;$AN83):INDIRECT("Table!" &amp; $AR$159 &amp; $AN83),0)),"",INDIRECT(CONCATENATE("Table!",ADDRESS($AJ83,MATCH(Y$1,INDIRECT("Table!A" &amp; $AN83):INDIRECT("Table!" &amp; $AR$159 &amp; $AN83),0)))))</f>
        <v>176482.7</v>
      </c>
      <c r="Z83" s="35">
        <f ca="1">IF(ISERROR(MATCH(Z$1,INDIRECT("Table!A"&amp;$AN83):INDIRECT("Table!" &amp; $AR$159 &amp; $AN83),0)),"",INDIRECT(CONCATENATE("Table!",ADDRESS($AJ83,MATCH(Z$1,INDIRECT("Table!A" &amp; $AN83):INDIRECT("Table!" &amp; $AR$159 &amp; $AN83),0)))))</f>
        <v>54921</v>
      </c>
      <c r="AA83" s="12"/>
      <c r="AB83" s="12">
        <f>MATCH($A83,Table!$A:$A,0)+$AD$2-1</f>
        <v>1261</v>
      </c>
      <c r="AF83" s="31">
        <f>MATCH($A83,Table!$A:$A,0)+$AH$2-1</f>
        <v>1259</v>
      </c>
      <c r="AJ83" s="12">
        <f>MATCH($A83,Table!$A:$A,0)+$AL$2-1</f>
        <v>1260</v>
      </c>
      <c r="AN83" s="31">
        <f>MATCH($A83,Table!$A:$A,0)+$AH$2-1</f>
        <v>1259</v>
      </c>
      <c r="AR83" s="195" t="s">
        <v>118</v>
      </c>
    </row>
    <row r="84" spans="1:44">
      <c r="A84" s="5">
        <v>41050</v>
      </c>
      <c r="B84" s="35">
        <f ca="1">IF(ISERROR(MATCH(B$1,INDIRECT("Table!A"&amp;$AF84):INDIRECT("Table!" &amp; $AR$159 &amp; $AF84),0)),"",INDIRECT(CONCATENATE("Table!",ADDRESS($AB84,MATCH(B$1,INDIRECT("Table!A" &amp; $AF84):INDIRECT("Table!" &amp; $AR$159 &amp; $AF84),0)))))</f>
        <v>90601.2</v>
      </c>
      <c r="C84" s="35">
        <f ca="1">IF(ISERROR(MATCH(C$1,INDIRECT("Table!A"&amp;$AF84):INDIRECT("Table!" &amp; $AR$159 &amp; $AF84),0)),"",INDIRECT(CONCATENATE("Table!",ADDRESS($AB84,MATCH(C$1,INDIRECT("Table!A" &amp; $AF84):INDIRECT("Table!" &amp; $AR$159 &amp; $AF84),0)))))</f>
        <v>68425.8</v>
      </c>
      <c r="D84" s="35">
        <f ca="1">IF(ISERROR(MATCH(D$1,INDIRECT("Table!A"&amp;$AF84):INDIRECT("Table!" &amp; $AR$159 &amp; $AF84),0)),"",INDIRECT(CONCATENATE("Table!",ADDRESS($AB84,MATCH(D$1,INDIRECT("Table!A" &amp; $AF84):INDIRECT("Table!" &amp; $AR$159 &amp; $AF84),0)))))</f>
        <v>69743</v>
      </c>
      <c r="E84" s="35">
        <f ca="1">IF(ISERROR(MATCH(E$1,INDIRECT("Table!A"&amp;$AF84):INDIRECT("Table!" &amp; $AR$159 &amp; $AF84),0)),"",INDIRECT(CONCATENATE("Table!",ADDRESS($AB84,MATCH(E$1,INDIRECT("Table!A" &amp; $AF84):INDIRECT("Table!" &amp; $AR$159 &amp; $AF84),0)))))</f>
        <v>145819.5</v>
      </c>
      <c r="F84" s="35">
        <f ca="1">IF(ISERROR(MATCH(F$1,INDIRECT("Table!A"&amp;$AF84):INDIRECT("Table!" &amp; $AR$159 &amp; $AF84),0)),"",INDIRECT(CONCATENATE("Table!",ADDRESS($AB84,MATCH(F$1,INDIRECT("Table!A" &amp; $AF84):INDIRECT("Table!" &amp; $AR$159 &amp; $AF84),0)))))</f>
        <v>20452.900000000001</v>
      </c>
      <c r="G84" s="35">
        <f ca="1">IF(ISERROR(MATCH(G$1,INDIRECT("Table!A"&amp;$AF84):INDIRECT("Table!" &amp; $AR$159 &amp; $AF84),0)),"",INDIRECT(CONCATENATE("Table!",ADDRESS($AB84,MATCH(G$1,INDIRECT("Table!A" &amp; $AF84):INDIRECT("Table!" &amp; $AR$159 &amp; $AF84),0)))))</f>
        <v>35067</v>
      </c>
      <c r="H84" s="35">
        <f ca="1">IF(ISERROR(MATCH(H$1,INDIRECT("Table!A"&amp;$AF84):INDIRECT("Table!" &amp; $AR$159 &amp; $AF84),0)),"",INDIRECT(CONCATENATE("Table!",ADDRESS($AB84,MATCH(H$1,INDIRECT("Table!A" &amp; $AF84):INDIRECT("Table!" &amp; $AR$159 &amp; $AF84),0)))))</f>
        <v>20631.8</v>
      </c>
      <c r="I84" s="35">
        <f ca="1">IF(ISERROR(MATCH(I$1,INDIRECT("Table!A"&amp;$AF84):INDIRECT("Table!" &amp; $AR$159 &amp; $AF84),0)),"",INDIRECT(CONCATENATE("Table!",ADDRESS($AB84,MATCH(I$1,INDIRECT("Table!A" &amp; $AF84):INDIRECT("Table!" &amp; $AR$159 &amp; $AF84),0)))))</f>
        <v>130838.3</v>
      </c>
      <c r="J84" s="35">
        <f ca="1">IF(ISERROR(MATCH(J$1,INDIRECT("Table!A"&amp;$AF84):INDIRECT("Table!" &amp; $AR$159 &amp; $AF84),0)),"",INDIRECT(CONCATENATE("Table!",ADDRESS($AB84,MATCH(J$1,INDIRECT("Table!A" &amp; $AF84):INDIRECT("Table!" &amp; $AR$159 &amp; $AF84),0)))))</f>
        <v>45175.3</v>
      </c>
      <c r="K84" s="35">
        <f ca="1">IF(ISERROR(MATCH(K$1,INDIRECT("Table!A"&amp;$AF84):INDIRECT("Table!" &amp; $AR$159 &amp; $AF84),0)),"",INDIRECT(CONCATENATE("Table!",ADDRESS($AB84,MATCH(K$1,INDIRECT("Table!A" &amp; $AF84):INDIRECT("Table!" &amp; $AR$159 &amp; $AF84),0)))))</f>
        <v>13908</v>
      </c>
      <c r="L84" s="35">
        <f ca="1">IF(ISERROR(MATCH(L$1,INDIRECT("Table!A"&amp;$AF84):INDIRECT("Table!" &amp; $AR$159 &amp; $AF84),0)),"",INDIRECT(CONCATENATE("Table!",ADDRESS($AB84,MATCH(L$1,INDIRECT("Table!A" &amp; $AF84):INDIRECT("Table!" &amp; $AR$159 &amp; $AF84),0)))))</f>
        <v>80086.399999999994</v>
      </c>
      <c r="M84" s="35">
        <f ca="1">IF(ISERROR(MATCH(M$1,INDIRECT("Table!A"&amp;$AF84):INDIRECT("Table!" &amp; $AR$159 &amp; $AF84),0)),"",INDIRECT(CONCATENATE("Table!",ADDRESS($AB84,MATCH(M$1,INDIRECT("Table!A" &amp; $AF84):INDIRECT("Table!" &amp; $AR$159 &amp; $AF84),0)))))</f>
        <v>23948.1</v>
      </c>
      <c r="N84" s="35" t="str">
        <f ca="1">IF(ISERROR(MATCH(N$1,INDIRECT("Table!A"&amp;$AF84):INDIRECT("Table!" &amp; $AR$188 &amp; $AF84),0)),"",INDIRECT(CONCATENATE("Table!",ADDRESS($AB84,MATCH(N$1,INDIRECT("Table!A" &amp; $AF84):INDIRECT("Table!" &amp; $AR$188 &amp; $AF84),0)))))</f>
        <v/>
      </c>
      <c r="O84" s="35">
        <f ca="1">IF(ISERROR(MATCH(O$1,INDIRECT("Table!A"&amp;$AN84):INDIRECT("Table!" &amp; $AR$159 &amp; $AN84),0)),"",INDIRECT(CONCATENATE("Table!",ADDRESS($AJ84,MATCH(O$1,INDIRECT("Table!A" &amp; $AN84):INDIRECT("Table!" &amp; $AR$159 &amp; $AN84),0)))))</f>
        <v>115816.8</v>
      </c>
      <c r="P84" s="35">
        <f ca="1">IF(ISERROR(MATCH(P$1,INDIRECT("Table!A"&amp;$AN84):INDIRECT("Table!" &amp; $AR$159 &amp; $AN84),0)),"",INDIRECT(CONCATENATE("Table!",ADDRESS($AJ84,MATCH(P$1,INDIRECT("Table!A" &amp; $AN84):INDIRECT("Table!" &amp; $AR$159 &amp; $AN84),0)))))</f>
        <v>99041.7</v>
      </c>
      <c r="Q84" s="35">
        <f ca="1">IF(ISERROR(MATCH(Q$1,INDIRECT("Table!A"&amp;$AN84):INDIRECT("Table!" &amp; $AR$159 &amp; $AN84),0)),"",INDIRECT(CONCATENATE("Table!",ADDRESS($AJ84,MATCH(Q$1,INDIRECT("Table!A" &amp; $AN84):INDIRECT("Table!" &amp; $AR$159 &amp; $AN84),0)))))</f>
        <v>99041.7</v>
      </c>
      <c r="R84" s="35">
        <f ca="1">IF(ISERROR(MATCH(R$1,INDIRECT("Table!A"&amp;$AN84):INDIRECT("Table!" &amp; $AR$159 &amp; $AN84),0)),"",INDIRECT(CONCATENATE("Table!",ADDRESS($AJ84,MATCH(R$1,INDIRECT("Table!A" &amp; $AN84):INDIRECT("Table!" &amp; $AR$159 &amp; $AN84),0)))))</f>
        <v>181997.8</v>
      </c>
      <c r="S84" s="35">
        <f ca="1">IF(ISERROR(MATCH(S$1,INDIRECT("Table!A"&amp;$AN84):INDIRECT("Table!" &amp; $AR$159 &amp; $AN84),0)),"",INDIRECT(CONCATENATE("Table!",ADDRESS($AJ84,MATCH(S$1,INDIRECT("Table!A" &amp; $AN84):INDIRECT("Table!" &amp; $AR$159 &amp; $AN84),0)))))</f>
        <v>121331.8</v>
      </c>
      <c r="T84" s="35">
        <f ca="1">IF(ISERROR(MATCH(T$1,INDIRECT("Table!A"&amp;$AN84):INDIRECT("Table!" &amp; $AR$159 &amp; $AN84),0)),"",INDIRECT(CONCATENATE("Table!",ADDRESS($AJ84,MATCH(T$1,INDIRECT("Table!A" &amp; $AN84):INDIRECT("Table!" &amp; $AR$159 &amp; $AN84),0)))))</f>
        <v>110071.9</v>
      </c>
      <c r="U84" s="35">
        <f ca="1">IF(ISERROR(MATCH(U$1,INDIRECT("Table!A"&amp;$AN84):INDIRECT("Table!" &amp; $AR$159 &amp; $AN84),0)),"",INDIRECT(CONCATENATE("Table!",ADDRESS($AJ84,MATCH(U$1,INDIRECT("Table!A" &amp; $AN84):INDIRECT("Table!" &amp; $AR$159 &amp; $AN84),0)))))</f>
        <v>121331.8</v>
      </c>
      <c r="V84" s="35">
        <f ca="1">IF(ISERROR(MATCH(V$1,INDIRECT("Table!A"&amp;$AN84):INDIRECT("Table!" &amp; $AR$159 &amp; $AN84),0)),"",INDIRECT(CONCATENATE("Table!",ADDRESS($AJ84,MATCH(V$1,INDIRECT("Table!A" &amp; $AN84):INDIRECT("Table!" &amp; $AR$159 &amp; $AN84),0)))))</f>
        <v>170967.6</v>
      </c>
      <c r="W84" s="35">
        <f ca="1">IF(ISERROR(MATCH(W$1,INDIRECT("Table!A"&amp;$AN84):INDIRECT("Table!" &amp; $AR$159 &amp; $AN84),0)),"",INDIRECT(CONCATENATE("Table!",ADDRESS($AJ84,MATCH(W$1,INDIRECT("Table!A" &amp; $AN84):INDIRECT("Table!" &amp; $AR$159 &amp; $AN84),0)))))</f>
        <v>132132.20000000001</v>
      </c>
      <c r="X84" s="35">
        <f ca="1">IF(ISERROR(MATCH(X$1,INDIRECT("Table!A"&amp;$AN84):INDIRECT("Table!" &amp; $AR$159 &amp; $AN84),0)),"",INDIRECT(CONCATENATE("Table!",ADDRESS($AJ84,MATCH(X$1,INDIRECT("Table!A" &amp; $AN84):INDIRECT("Table!" &amp; $AR$159 &amp; $AN84),0)))))</f>
        <v>60665.9</v>
      </c>
      <c r="Y84" s="35">
        <f ca="1">IF(ISERROR(MATCH(Y$1,INDIRECT("Table!A"&amp;$AN84):INDIRECT("Table!" &amp; $AR$159 &amp; $AN84),0)),"",INDIRECT(CONCATENATE("Table!",ADDRESS($AJ84,MATCH(Y$1,INDIRECT("Table!A" &amp; $AN84):INDIRECT("Table!" &amp; $AR$159 &amp; $AN84),0)))))</f>
        <v>176482.7</v>
      </c>
      <c r="Z84" s="35">
        <f ca="1">IF(ISERROR(MATCH(Z$1,INDIRECT("Table!A"&amp;$AN84):INDIRECT("Table!" &amp; $AR$159 &amp; $AN84),0)),"",INDIRECT(CONCATENATE("Table!",ADDRESS($AJ84,MATCH(Z$1,INDIRECT("Table!A" &amp; $AN84):INDIRECT("Table!" &amp; $AR$159 &amp; $AN84),0)))))</f>
        <v>54921</v>
      </c>
      <c r="AA84" s="12"/>
      <c r="AB84" s="12">
        <f>MATCH($A84,Table!$A:$A,0)+$AD$2-1</f>
        <v>1274</v>
      </c>
      <c r="AF84" s="31">
        <f>MATCH($A84,Table!$A:$A,0)+$AH$2-1</f>
        <v>1272</v>
      </c>
      <c r="AJ84" s="12">
        <f>MATCH($A84,Table!$A:$A,0)+$AL$2-1</f>
        <v>1273</v>
      </c>
      <c r="AN84" s="31">
        <f>MATCH($A84,Table!$A:$A,0)+$AH$2-1</f>
        <v>1272</v>
      </c>
      <c r="AR84" s="194" t="s">
        <v>118</v>
      </c>
    </row>
    <row r="85" spans="1:44">
      <c r="A85" s="5">
        <v>41047</v>
      </c>
      <c r="B85" s="35">
        <f ca="1">IF(ISERROR(MATCH(B$1,INDIRECT("Table!A"&amp;$AF85):INDIRECT("Table!" &amp; $AR$159 &amp; $AF85),0)),"",INDIRECT(CONCATENATE("Table!",ADDRESS($AB85,MATCH(B$1,INDIRECT("Table!A" &amp; $AF85):INDIRECT("Table!" &amp; $AR$159 &amp; $AF85),0)))))</f>
        <v>90245.6</v>
      </c>
      <c r="C85" s="35">
        <f ca="1">IF(ISERROR(MATCH(C$1,INDIRECT("Table!A"&amp;$AF85):INDIRECT("Table!" &amp; $AR$159 &amp; $AF85),0)),"",INDIRECT(CONCATENATE("Table!",ADDRESS($AB85,MATCH(C$1,INDIRECT("Table!A" &amp; $AF85):INDIRECT("Table!" &amp; $AR$159 &amp; $AF85),0)))))</f>
        <v>66966</v>
      </c>
      <c r="D85" s="35">
        <f ca="1">IF(ISERROR(MATCH(D$1,INDIRECT("Table!A"&amp;$AF85):INDIRECT("Table!" &amp; $AR$159 &amp; $AF85),0)),"",INDIRECT(CONCATENATE("Table!",ADDRESS($AB85,MATCH(D$1,INDIRECT("Table!A" &amp; $AF85):INDIRECT("Table!" &amp; $AR$159 &amp; $AF85),0)))))</f>
        <v>68290.399999999994</v>
      </c>
      <c r="E85" s="35">
        <f ca="1">IF(ISERROR(MATCH(E$1,INDIRECT("Table!A"&amp;$AF85):INDIRECT("Table!" &amp; $AR$159 &amp; $AF85),0)),"",INDIRECT(CONCATENATE("Table!",ADDRESS($AB85,MATCH(E$1,INDIRECT("Table!A" &amp; $AF85):INDIRECT("Table!" &amp; $AR$159 &amp; $AF85),0)))))</f>
        <v>145588.29999999999</v>
      </c>
      <c r="F85" s="35">
        <f ca="1">IF(ISERROR(MATCH(F$1,INDIRECT("Table!A"&amp;$AF85):INDIRECT("Table!" &amp; $AR$159 &amp; $AF85),0)),"",INDIRECT(CONCATENATE("Table!",ADDRESS($AB85,MATCH(F$1,INDIRECT("Table!A" &amp; $AF85):INDIRECT("Table!" &amp; $AR$159 &amp; $AF85),0)))))</f>
        <v>16345.6</v>
      </c>
      <c r="G85" s="35">
        <f ca="1">IF(ISERROR(MATCH(G$1,INDIRECT("Table!A"&amp;$AF85):INDIRECT("Table!" &amp; $AR$159 &amp; $AF85),0)),"",INDIRECT(CONCATENATE("Table!",ADDRESS($AB85,MATCH(G$1,INDIRECT("Table!A" &amp; $AF85):INDIRECT("Table!" &amp; $AR$159 &amp; $AF85),0)))))</f>
        <v>34359</v>
      </c>
      <c r="H85" s="35">
        <f ca="1">IF(ISERROR(MATCH(H$1,INDIRECT("Table!A"&amp;$AF85):INDIRECT("Table!" &amp; $AR$159 &amp; $AF85),0)),"",INDIRECT(CONCATENATE("Table!",ADDRESS($AB85,MATCH(H$1,INDIRECT("Table!A" &amp; $AF85):INDIRECT("Table!" &amp; $AR$159 &amp; $AF85),0)))))</f>
        <v>20576.599999999999</v>
      </c>
      <c r="I85" s="35">
        <f ca="1">IF(ISERROR(MATCH(I$1,INDIRECT("Table!A"&amp;$AF85):INDIRECT("Table!" &amp; $AR$159 &amp; $AF85),0)),"",INDIRECT(CONCATENATE("Table!",ADDRESS($AB85,MATCH(I$1,INDIRECT("Table!A" &amp; $AF85):INDIRECT("Table!" &amp; $AR$159 &amp; $AF85),0)))))</f>
        <v>130078.9</v>
      </c>
      <c r="J85" s="35">
        <f ca="1">IF(ISERROR(MATCH(J$1,INDIRECT("Table!A"&amp;$AF85):INDIRECT("Table!" &amp; $AR$159 &amp; $AF85),0)),"",INDIRECT(CONCATENATE("Table!",ADDRESS($AB85,MATCH(J$1,INDIRECT("Table!A" &amp; $AF85):INDIRECT("Table!" &amp; $AR$159 &amp; $AF85),0)))))</f>
        <v>44735.199999999997</v>
      </c>
      <c r="K85" s="35">
        <f ca="1">IF(ISERROR(MATCH(K$1,INDIRECT("Table!A"&amp;$AF85):INDIRECT("Table!" &amp; $AR$159 &amp; $AF85),0)),"",INDIRECT(CONCATENATE("Table!",ADDRESS($AB85,MATCH(K$1,INDIRECT("Table!A" &amp; $AF85):INDIRECT("Table!" &amp; $AR$159 &amp; $AF85),0)))))</f>
        <v>11786.3</v>
      </c>
      <c r="L85" s="35">
        <f ca="1">IF(ISERROR(MATCH(L$1,INDIRECT("Table!A"&amp;$AF85):INDIRECT("Table!" &amp; $AR$159 &amp; $AF85),0)),"",INDIRECT(CONCATENATE("Table!",ADDRESS($AB85,MATCH(L$1,INDIRECT("Table!A" &amp; $AF85):INDIRECT("Table!" &amp; $AR$159 &amp; $AF85),0)))))</f>
        <v>79973.899999999994</v>
      </c>
      <c r="M85" s="35">
        <f ca="1">IF(ISERROR(MATCH(M$1,INDIRECT("Table!A"&amp;$AF85):INDIRECT("Table!" &amp; $AR$159 &amp; $AF85),0)),"",INDIRECT(CONCATENATE("Table!",ADDRESS($AB85,MATCH(M$1,INDIRECT("Table!A" &amp; $AF85):INDIRECT("Table!" &amp; $AR$159 &amp; $AF85),0)))))</f>
        <v>23947</v>
      </c>
      <c r="N85" s="35" t="str">
        <f ca="1">IF(ISERROR(MATCH(N$1,INDIRECT("Table!A"&amp;$AF85):INDIRECT("Table!" &amp; $AR$188 &amp; $AF85),0)),"",INDIRECT(CONCATENATE("Table!",ADDRESS($AB85,MATCH(N$1,INDIRECT("Table!A" &amp; $AF85):INDIRECT("Table!" &amp; $AR$188 &amp; $AF85),0)))))</f>
        <v/>
      </c>
      <c r="O85" s="35">
        <f ca="1">IF(ISERROR(MATCH(O$1,INDIRECT("Table!A"&amp;$AN85):INDIRECT("Table!" &amp; $AR$159 &amp; $AN85),0)),"",INDIRECT(CONCATENATE("Table!",ADDRESS($AJ85,MATCH(O$1,INDIRECT("Table!A" &amp; $AN85):INDIRECT("Table!" &amp; $AR$159 &amp; $AN85),0)))))</f>
        <v>115816.8</v>
      </c>
      <c r="P85" s="35">
        <f ca="1">IF(ISERROR(MATCH(P$1,INDIRECT("Table!A"&amp;$AN85):INDIRECT("Table!" &amp; $AR$159 &amp; $AN85),0)),"",INDIRECT(CONCATENATE("Table!",ADDRESS($AJ85,MATCH(P$1,INDIRECT("Table!A" &amp; $AN85):INDIRECT("Table!" &amp; $AR$159 &amp; $AN85),0)))))</f>
        <v>99041.7</v>
      </c>
      <c r="Q85" s="35">
        <f ca="1">IF(ISERROR(MATCH(Q$1,INDIRECT("Table!A"&amp;$AN85):INDIRECT("Table!" &amp; $AR$159 &amp; $AN85),0)),"",INDIRECT(CONCATENATE("Table!",ADDRESS($AJ85,MATCH(Q$1,INDIRECT("Table!A" &amp; $AN85):INDIRECT("Table!" &amp; $AR$159 &amp; $AN85),0)))))</f>
        <v>99041.7</v>
      </c>
      <c r="R85" s="35">
        <f ca="1">IF(ISERROR(MATCH(R$1,INDIRECT("Table!A"&amp;$AN85):INDIRECT("Table!" &amp; $AR$159 &amp; $AN85),0)),"",INDIRECT(CONCATENATE("Table!",ADDRESS($AJ85,MATCH(R$1,INDIRECT("Table!A" &amp; $AN85):INDIRECT("Table!" &amp; $AR$159 &amp; $AN85),0)))))</f>
        <v>181997.8</v>
      </c>
      <c r="S85" s="35">
        <f ca="1">IF(ISERROR(MATCH(S$1,INDIRECT("Table!A"&amp;$AN85):INDIRECT("Table!" &amp; $AR$159 &amp; $AN85),0)),"",INDIRECT(CONCATENATE("Table!",ADDRESS($AJ85,MATCH(S$1,INDIRECT("Table!A" &amp; $AN85):INDIRECT("Table!" &amp; $AR$159 &amp; $AN85),0)))))</f>
        <v>121331.8</v>
      </c>
      <c r="T85" s="35">
        <f ca="1">IF(ISERROR(MATCH(T$1,INDIRECT("Table!A"&amp;$AN85):INDIRECT("Table!" &amp; $AR$159 &amp; $AN85),0)),"",INDIRECT(CONCATENATE("Table!",ADDRESS($AJ85,MATCH(T$1,INDIRECT("Table!A" &amp; $AN85):INDIRECT("Table!" &amp; $AR$159 &amp; $AN85),0)))))</f>
        <v>110071.9</v>
      </c>
      <c r="U85" s="35">
        <f ca="1">IF(ISERROR(MATCH(U$1,INDIRECT("Table!A"&amp;$AN85):INDIRECT("Table!" &amp; $AR$159 &amp; $AN85),0)),"",INDIRECT(CONCATENATE("Table!",ADDRESS($AJ85,MATCH(U$1,INDIRECT("Table!A" &amp; $AN85):INDIRECT("Table!" &amp; $AR$159 &amp; $AN85),0)))))</f>
        <v>121331.8</v>
      </c>
      <c r="V85" s="35">
        <f ca="1">IF(ISERROR(MATCH(V$1,INDIRECT("Table!A"&amp;$AN85):INDIRECT("Table!" &amp; $AR$159 &amp; $AN85),0)),"",INDIRECT(CONCATENATE("Table!",ADDRESS($AJ85,MATCH(V$1,INDIRECT("Table!A" &amp; $AN85):INDIRECT("Table!" &amp; $AR$159 &amp; $AN85),0)))))</f>
        <v>170967.6</v>
      </c>
      <c r="W85" s="35">
        <f ca="1">IF(ISERROR(MATCH(W$1,INDIRECT("Table!A"&amp;$AN85):INDIRECT("Table!" &amp; $AR$159 &amp; $AN85),0)),"",INDIRECT(CONCATENATE("Table!",ADDRESS($AJ85,MATCH(W$1,INDIRECT("Table!A" &amp; $AN85):INDIRECT("Table!" &amp; $AR$159 &amp; $AN85),0)))))</f>
        <v>132132.20000000001</v>
      </c>
      <c r="X85" s="35">
        <f ca="1">IF(ISERROR(MATCH(X$1,INDIRECT("Table!A"&amp;$AN85):INDIRECT("Table!" &amp; $AR$159 &amp; $AN85),0)),"",INDIRECT(CONCATENATE("Table!",ADDRESS($AJ85,MATCH(X$1,INDIRECT("Table!A" &amp; $AN85):INDIRECT("Table!" &amp; $AR$159 &amp; $AN85),0)))))</f>
        <v>60665.9</v>
      </c>
      <c r="Y85" s="35">
        <f ca="1">IF(ISERROR(MATCH(Y$1,INDIRECT("Table!A"&amp;$AN85):INDIRECT("Table!" &amp; $AR$159 &amp; $AN85),0)),"",INDIRECT(CONCATENATE("Table!",ADDRESS($AJ85,MATCH(Y$1,INDIRECT("Table!A" &amp; $AN85):INDIRECT("Table!" &amp; $AR$159 &amp; $AN85),0)))))</f>
        <v>176482.7</v>
      </c>
      <c r="Z85" s="35">
        <f ca="1">IF(ISERROR(MATCH(Z$1,INDIRECT("Table!A"&amp;$AN85):INDIRECT("Table!" &amp; $AR$159 &amp; $AN85),0)),"",INDIRECT(CONCATENATE("Table!",ADDRESS($AJ85,MATCH(Z$1,INDIRECT("Table!A" &amp; $AN85):INDIRECT("Table!" &amp; $AR$159 &amp; $AN85),0)))))</f>
        <v>54921</v>
      </c>
      <c r="AA85" s="12"/>
      <c r="AB85" s="12">
        <f>MATCH($A85,Table!$A:$A,0)+$AD$2-1</f>
        <v>1287</v>
      </c>
      <c r="AF85" s="31">
        <f>MATCH($A85,Table!$A:$A,0)+$AH$2-1</f>
        <v>1285</v>
      </c>
      <c r="AJ85" s="12">
        <f>MATCH($A85,Table!$A:$A,0)+$AL$2-1</f>
        <v>1286</v>
      </c>
      <c r="AN85" s="31">
        <f>MATCH($A85,Table!$A:$A,0)+$AH$2-1</f>
        <v>1285</v>
      </c>
      <c r="AR85" s="193" t="s">
        <v>118</v>
      </c>
    </row>
    <row r="86" spans="1:44">
      <c r="A86" s="5">
        <v>41046</v>
      </c>
      <c r="B86" s="35">
        <f ca="1">IF(ISERROR(MATCH(B$1,INDIRECT("Table!A"&amp;$AF86):INDIRECT("Table!" &amp; $AR$159 &amp; $AF86),0)),"",INDIRECT(CONCATENATE("Table!",ADDRESS($AB86,MATCH(B$1,INDIRECT("Table!A" &amp; $AF86):INDIRECT("Table!" &amp; $AR$159 &amp; $AF86),0)))))</f>
        <v>90237.5</v>
      </c>
      <c r="C86" s="35">
        <f ca="1">IF(ISERROR(MATCH(C$1,INDIRECT("Table!A"&amp;$AF86):INDIRECT("Table!" &amp; $AR$159 &amp; $AF86),0)),"",INDIRECT(CONCATENATE("Table!",ADDRESS($AB86,MATCH(C$1,INDIRECT("Table!A" &amp; $AF86):INDIRECT("Table!" &amp; $AR$159 &amp; $AF86),0)))))</f>
        <v>66951</v>
      </c>
      <c r="D86" s="35">
        <f ca="1">IF(ISERROR(MATCH(D$1,INDIRECT("Table!A"&amp;$AF86):INDIRECT("Table!" &amp; $AR$159 &amp; $AF86),0)),"",INDIRECT(CONCATENATE("Table!",ADDRESS($AB86,MATCH(D$1,INDIRECT("Table!A" &amp; $AF86):INDIRECT("Table!" &amp; $AR$159 &amp; $AF86),0)))))</f>
        <v>68275.399999999994</v>
      </c>
      <c r="E86" s="35">
        <f ca="1">IF(ISERROR(MATCH(E$1,INDIRECT("Table!A"&amp;$AF86):INDIRECT("Table!" &amp; $AR$159 &amp; $AF86),0)),"",INDIRECT(CONCATENATE("Table!",ADDRESS($AB86,MATCH(E$1,INDIRECT("Table!A" &amp; $AF86):INDIRECT("Table!" &amp; $AR$159 &amp; $AF86),0)))))</f>
        <v>145516.20000000001</v>
      </c>
      <c r="F86" s="35">
        <f ca="1">IF(ISERROR(MATCH(F$1,INDIRECT("Table!A"&amp;$AF86):INDIRECT("Table!" &amp; $AR$159 &amp; $AF86),0)),"",INDIRECT(CONCATENATE("Table!",ADDRESS($AB86,MATCH(F$1,INDIRECT("Table!A" &amp; $AF86):INDIRECT("Table!" &amp; $AR$159 &amp; $AF86),0)))))</f>
        <v>16308.1</v>
      </c>
      <c r="G86" s="35">
        <f ca="1">IF(ISERROR(MATCH(G$1,INDIRECT("Table!A"&amp;$AF86):INDIRECT("Table!" &amp; $AR$159 &amp; $AF86),0)),"",INDIRECT(CONCATENATE("Table!",ADDRESS($AB86,MATCH(G$1,INDIRECT("Table!A" &amp; $AF86):INDIRECT("Table!" &amp; $AR$159 &amp; $AF86),0)))))</f>
        <v>34191</v>
      </c>
      <c r="H86" s="35">
        <f ca="1">IF(ISERROR(MATCH(H$1,INDIRECT("Table!A"&amp;$AF86):INDIRECT("Table!" &amp; $AR$159 &amp; $AF86),0)),"",INDIRECT(CONCATENATE("Table!",ADDRESS($AB86,MATCH(H$1,INDIRECT("Table!A" &amp; $AF86):INDIRECT("Table!" &amp; $AR$159 &amp; $AF86),0)))))</f>
        <v>20568.5</v>
      </c>
      <c r="I86" s="35">
        <f ca="1">IF(ISERROR(MATCH(I$1,INDIRECT("Table!A"&amp;$AF86):INDIRECT("Table!" &amp; $AR$159 &amp; $AF86),0)),"",INDIRECT(CONCATENATE("Table!",ADDRESS($AB86,MATCH(I$1,INDIRECT("Table!A" &amp; $AF86):INDIRECT("Table!" &amp; $AR$159 &amp; $AF86),0)))))</f>
        <v>129229.5</v>
      </c>
      <c r="J86" s="35">
        <f ca="1">IF(ISERROR(MATCH(J$1,INDIRECT("Table!A"&amp;$AF86):INDIRECT("Table!" &amp; $AR$159 &amp; $AF86),0)),"",INDIRECT(CONCATENATE("Table!",ADDRESS($AB86,MATCH(J$1,INDIRECT("Table!A" &amp; $AF86):INDIRECT("Table!" &amp; $AR$159 &amp; $AF86),0)))))</f>
        <v>44680.3</v>
      </c>
      <c r="K86" s="35">
        <f ca="1">IF(ISERROR(MATCH(K$1,INDIRECT("Table!A"&amp;$AF86):INDIRECT("Table!" &amp; $AR$159 &amp; $AF86),0)),"",INDIRECT(CONCATENATE("Table!",ADDRESS($AB86,MATCH(K$1,INDIRECT("Table!A" &amp; $AF86):INDIRECT("Table!" &amp; $AR$159 &amp; $AF86),0)))))</f>
        <v>11711</v>
      </c>
      <c r="L86" s="35">
        <f ca="1">IF(ISERROR(MATCH(L$1,INDIRECT("Table!A"&amp;$AF86):INDIRECT("Table!" &amp; $AR$159 &amp; $AF86),0)),"",INDIRECT(CONCATENATE("Table!",ADDRESS($AB86,MATCH(L$1,INDIRECT("Table!A" &amp; $AF86):INDIRECT("Table!" &amp; $AR$159 &amp; $AF86),0)))))</f>
        <v>79955.199999999997</v>
      </c>
      <c r="M86" s="35">
        <f ca="1">IF(ISERROR(MATCH(M$1,INDIRECT("Table!A"&amp;$AF86):INDIRECT("Table!" &amp; $AR$159 &amp; $AF86),0)),"",INDIRECT(CONCATENATE("Table!",ADDRESS($AB86,MATCH(M$1,INDIRECT("Table!A" &amp; $AF86):INDIRECT("Table!" &amp; $AR$159 &amp; $AF86),0)))))</f>
        <v>23946.3</v>
      </c>
      <c r="N86" s="35" t="str">
        <f ca="1">IF(ISERROR(MATCH(N$1,INDIRECT("Table!A"&amp;$AF86):INDIRECT("Table!" &amp; $AR$188 &amp; $AF86),0)),"",INDIRECT(CONCATENATE("Table!",ADDRESS($AB86,MATCH(N$1,INDIRECT("Table!A" &amp; $AF86):INDIRECT("Table!" &amp; $AR$188 &amp; $AF86),0)))))</f>
        <v/>
      </c>
      <c r="O86" s="35">
        <f ca="1">IF(ISERROR(MATCH(O$1,INDIRECT("Table!A"&amp;$AN86):INDIRECT("Table!" &amp; $AR$159 &amp; $AN86),0)),"",INDIRECT(CONCATENATE("Table!",ADDRESS($AJ86,MATCH(O$1,INDIRECT("Table!A" &amp; $AN86):INDIRECT("Table!" &amp; $AR$159 &amp; $AN86),0)))))</f>
        <v>115816.8</v>
      </c>
      <c r="P86" s="35">
        <f ca="1">IF(ISERROR(MATCH(P$1,INDIRECT("Table!A"&amp;$AN86):INDIRECT("Table!" &amp; $AR$159 &amp; $AN86),0)),"",INDIRECT(CONCATENATE("Table!",ADDRESS($AJ86,MATCH(P$1,INDIRECT("Table!A" &amp; $AN86):INDIRECT("Table!" &amp; $AR$159 &amp; $AN86),0)))))</f>
        <v>99041.7</v>
      </c>
      <c r="Q86" s="35">
        <f ca="1">IF(ISERROR(MATCH(Q$1,INDIRECT("Table!A"&amp;$AN86):INDIRECT("Table!" &amp; $AR$159 &amp; $AN86),0)),"",INDIRECT(CONCATENATE("Table!",ADDRESS($AJ86,MATCH(Q$1,INDIRECT("Table!A" &amp; $AN86):INDIRECT("Table!" &amp; $AR$159 &amp; $AN86),0)))))</f>
        <v>99041.7</v>
      </c>
      <c r="R86" s="35">
        <f ca="1">IF(ISERROR(MATCH(R$1,INDIRECT("Table!A"&amp;$AN86):INDIRECT("Table!" &amp; $AR$159 &amp; $AN86),0)),"",INDIRECT(CONCATENATE("Table!",ADDRESS($AJ86,MATCH(R$1,INDIRECT("Table!A" &amp; $AN86):INDIRECT("Table!" &amp; $AR$159 &amp; $AN86),0)))))</f>
        <v>181997.8</v>
      </c>
      <c r="S86" s="35">
        <f ca="1">IF(ISERROR(MATCH(S$1,INDIRECT("Table!A"&amp;$AN86):INDIRECT("Table!" &amp; $AR$159 &amp; $AN86),0)),"",INDIRECT(CONCATENATE("Table!",ADDRESS($AJ86,MATCH(S$1,INDIRECT("Table!A" &amp; $AN86):INDIRECT("Table!" &amp; $AR$159 &amp; $AN86),0)))))</f>
        <v>121331.8</v>
      </c>
      <c r="T86" s="35">
        <f ca="1">IF(ISERROR(MATCH(T$1,INDIRECT("Table!A"&amp;$AN86):INDIRECT("Table!" &amp; $AR$159 &amp; $AN86),0)),"",INDIRECT(CONCATENATE("Table!",ADDRESS($AJ86,MATCH(T$1,INDIRECT("Table!A" &amp; $AN86):INDIRECT("Table!" &amp; $AR$159 &amp; $AN86),0)))))</f>
        <v>110071.9</v>
      </c>
      <c r="U86" s="35">
        <f ca="1">IF(ISERROR(MATCH(U$1,INDIRECT("Table!A"&amp;$AN86):INDIRECT("Table!" &amp; $AR$159 &amp; $AN86),0)),"",INDIRECT(CONCATENATE("Table!",ADDRESS($AJ86,MATCH(U$1,INDIRECT("Table!A" &amp; $AN86):INDIRECT("Table!" &amp; $AR$159 &amp; $AN86),0)))))</f>
        <v>121331.8</v>
      </c>
      <c r="V86" s="35">
        <f ca="1">IF(ISERROR(MATCH(V$1,INDIRECT("Table!A"&amp;$AN86):INDIRECT("Table!" &amp; $AR$159 &amp; $AN86),0)),"",INDIRECT(CONCATENATE("Table!",ADDRESS($AJ86,MATCH(V$1,INDIRECT("Table!A" &amp; $AN86):INDIRECT("Table!" &amp; $AR$159 &amp; $AN86),0)))))</f>
        <v>170967.6</v>
      </c>
      <c r="W86" s="35">
        <f ca="1">IF(ISERROR(MATCH(W$1,INDIRECT("Table!A"&amp;$AN86):INDIRECT("Table!" &amp; $AR$159 &amp; $AN86),0)),"",INDIRECT(CONCATENATE("Table!",ADDRESS($AJ86,MATCH(W$1,INDIRECT("Table!A" &amp; $AN86):INDIRECT("Table!" &amp; $AR$159 &amp; $AN86),0)))))</f>
        <v>132132.20000000001</v>
      </c>
      <c r="X86" s="35">
        <f ca="1">IF(ISERROR(MATCH(X$1,INDIRECT("Table!A"&amp;$AN86):INDIRECT("Table!" &amp; $AR$159 &amp; $AN86),0)),"",INDIRECT(CONCATENATE("Table!",ADDRESS($AJ86,MATCH(X$1,INDIRECT("Table!A" &amp; $AN86):INDIRECT("Table!" &amp; $AR$159 &amp; $AN86),0)))))</f>
        <v>60665.9</v>
      </c>
      <c r="Y86" s="35">
        <f ca="1">IF(ISERROR(MATCH(Y$1,INDIRECT("Table!A"&amp;$AN86):INDIRECT("Table!" &amp; $AR$159 &amp; $AN86),0)),"",INDIRECT(CONCATENATE("Table!",ADDRESS($AJ86,MATCH(Y$1,INDIRECT("Table!A" &amp; $AN86):INDIRECT("Table!" &amp; $AR$159 &amp; $AN86),0)))))</f>
        <v>176482.7</v>
      </c>
      <c r="Z86" s="35">
        <f ca="1">IF(ISERROR(MATCH(Z$1,INDIRECT("Table!A"&amp;$AN86):INDIRECT("Table!" &amp; $AR$159 &amp; $AN86),0)),"",INDIRECT(CONCATENATE("Table!",ADDRESS($AJ86,MATCH(Z$1,INDIRECT("Table!A" &amp; $AN86):INDIRECT("Table!" &amp; $AR$159 &amp; $AN86),0)))))</f>
        <v>54921</v>
      </c>
      <c r="AA86" s="12"/>
      <c r="AB86" s="12">
        <f>MATCH($A86,Table!$A:$A,0)+$AD$2-1</f>
        <v>1300</v>
      </c>
      <c r="AF86" s="31">
        <f>MATCH($A86,Table!$A:$A,0)+$AH$2-1</f>
        <v>1298</v>
      </c>
      <c r="AJ86" s="12">
        <f>MATCH($A86,Table!$A:$A,0)+$AL$2-1</f>
        <v>1299</v>
      </c>
      <c r="AN86" s="31">
        <f>MATCH($A86,Table!$A:$A,0)+$AH$2-1</f>
        <v>1298</v>
      </c>
      <c r="AR86" s="192" t="s">
        <v>118</v>
      </c>
    </row>
    <row r="87" spans="1:44">
      <c r="A87" s="5">
        <v>41045</v>
      </c>
      <c r="B87" s="35">
        <f ca="1">IF(ISERROR(MATCH(B$1,INDIRECT("Table!A"&amp;$AF87):INDIRECT("Table!" &amp; $AR$159 &amp; $AF87),0)),"",INDIRECT(CONCATENATE("Table!",ADDRESS($AB87,MATCH(B$1,INDIRECT("Table!A" &amp; $AF87):INDIRECT("Table!" &amp; $AR$159 &amp; $AF87),0)))))</f>
        <v>90144.5</v>
      </c>
      <c r="C87" s="35">
        <f ca="1">IF(ISERROR(MATCH(C$1,INDIRECT("Table!A"&amp;$AF87):INDIRECT("Table!" &amp; $AR$159 &amp; $AF87),0)),"",INDIRECT(CONCATENATE("Table!",ADDRESS($AB87,MATCH(C$1,INDIRECT("Table!A" &amp; $AF87):INDIRECT("Table!" &amp; $AR$159 &amp; $AF87),0)))))</f>
        <v>66945.399999999994</v>
      </c>
      <c r="D87" s="35">
        <f ca="1">IF(ISERROR(MATCH(D$1,INDIRECT("Table!A"&amp;$AF87):INDIRECT("Table!" &amp; $AR$159 &amp; $AF87),0)),"",INDIRECT(CONCATENATE("Table!",ADDRESS($AB87,MATCH(D$1,INDIRECT("Table!A" &amp; $AF87):INDIRECT("Table!" &amp; $AR$159 &amp; $AF87),0)))))</f>
        <v>68269.899999999994</v>
      </c>
      <c r="E87" s="35">
        <f ca="1">IF(ISERROR(MATCH(E$1,INDIRECT("Table!A"&amp;$AF87):INDIRECT("Table!" &amp; $AR$159 &amp; $AF87),0)),"",INDIRECT(CONCATENATE("Table!",ADDRESS($AB87,MATCH(E$1,INDIRECT("Table!A" &amp; $AF87):INDIRECT("Table!" &amp; $AR$159 &amp; $AF87),0)))))</f>
        <v>145160.1</v>
      </c>
      <c r="F87" s="35">
        <f ca="1">IF(ISERROR(MATCH(F$1,INDIRECT("Table!A"&amp;$AF87):INDIRECT("Table!" &amp; $AR$159 &amp; $AF87),0)),"",INDIRECT(CONCATENATE("Table!",ADDRESS($AB87,MATCH(F$1,INDIRECT("Table!A" &amp; $AF87):INDIRECT("Table!" &amp; $AR$159 &amp; $AF87),0)))))</f>
        <v>16307.3</v>
      </c>
      <c r="G87" s="35">
        <f ca="1">IF(ISERROR(MATCH(G$1,INDIRECT("Table!A"&amp;$AF87):INDIRECT("Table!" &amp; $AR$159 &amp; $AF87),0)),"",INDIRECT(CONCATENATE("Table!",ADDRESS($AB87,MATCH(G$1,INDIRECT("Table!A" &amp; $AF87):INDIRECT("Table!" &amp; $AR$159 &amp; $AF87),0)))))</f>
        <v>34089.300000000003</v>
      </c>
      <c r="H87" s="35">
        <f ca="1">IF(ISERROR(MATCH(H$1,INDIRECT("Table!A"&amp;$AF87):INDIRECT("Table!" &amp; $AR$159 &amp; $AF87),0)),"",INDIRECT(CONCATENATE("Table!",ADDRESS($AB87,MATCH(H$1,INDIRECT("Table!A" &amp; $AF87):INDIRECT("Table!" &amp; $AR$159 &amp; $AF87),0)))))</f>
        <v>20562.599999999999</v>
      </c>
      <c r="I87" s="35">
        <f ca="1">IF(ISERROR(MATCH(I$1,INDIRECT("Table!A"&amp;$AF87):INDIRECT("Table!" &amp; $AR$159 &amp; $AF87),0)),"",INDIRECT(CONCATENATE("Table!",ADDRESS($AB87,MATCH(I$1,INDIRECT("Table!A" &amp; $AF87):INDIRECT("Table!" &amp; $AR$159 &amp; $AF87),0)))))</f>
        <v>128538.5</v>
      </c>
      <c r="J87" s="35">
        <f ca="1">IF(ISERROR(MATCH(J$1,INDIRECT("Table!A"&amp;$AF87):INDIRECT("Table!" &amp; $AR$159 &amp; $AF87),0)),"",INDIRECT(CONCATENATE("Table!",ADDRESS($AB87,MATCH(J$1,INDIRECT("Table!A" &amp; $AF87):INDIRECT("Table!" &amp; $AR$159 &amp; $AF87),0)))))</f>
        <v>44065.5</v>
      </c>
      <c r="K87" s="35">
        <f ca="1">IF(ISERROR(MATCH(K$1,INDIRECT("Table!A"&amp;$AF87):INDIRECT("Table!" &amp; $AR$159 &amp; $AF87),0)),"",INDIRECT(CONCATENATE("Table!",ADDRESS($AB87,MATCH(K$1,INDIRECT("Table!A" &amp; $AF87):INDIRECT("Table!" &amp; $AR$159 &amp; $AF87),0)))))</f>
        <v>11665.6</v>
      </c>
      <c r="L87" s="35">
        <f ca="1">IF(ISERROR(MATCH(L$1,INDIRECT("Table!A"&amp;$AF87):INDIRECT("Table!" &amp; $AR$159 &amp; $AF87),0)),"",INDIRECT(CONCATENATE("Table!",ADDRESS($AB87,MATCH(L$1,INDIRECT("Table!A" &amp; $AF87):INDIRECT("Table!" &amp; $AR$159 &amp; $AF87),0)))))</f>
        <v>79943.600000000006</v>
      </c>
      <c r="M87" s="35">
        <f ca="1">IF(ISERROR(MATCH(M$1,INDIRECT("Table!A"&amp;$AF87):INDIRECT("Table!" &amp; $AR$159 &amp; $AF87),0)),"",INDIRECT(CONCATENATE("Table!",ADDRESS($AB87,MATCH(M$1,INDIRECT("Table!A" &amp; $AF87):INDIRECT("Table!" &amp; $AR$159 &amp; $AF87),0)))))</f>
        <v>23946.2</v>
      </c>
      <c r="N87" s="35" t="str">
        <f ca="1">IF(ISERROR(MATCH(N$1,INDIRECT("Table!A"&amp;$AF87):INDIRECT("Table!" &amp; $AR$188 &amp; $AF87),0)),"",INDIRECT(CONCATENATE("Table!",ADDRESS($AB87,MATCH(N$1,INDIRECT("Table!A" &amp; $AF87):INDIRECT("Table!" &amp; $AR$188 &amp; $AF87),0)))))</f>
        <v/>
      </c>
      <c r="O87" s="35">
        <f ca="1">IF(ISERROR(MATCH(O$1,INDIRECT("Table!A"&amp;$AN87):INDIRECT("Table!" &amp; $AR$159 &amp; $AN87),0)),"",INDIRECT(CONCATENATE("Table!",ADDRESS($AJ87,MATCH(O$1,INDIRECT("Table!A" &amp; $AN87):INDIRECT("Table!" &amp; $AR$159 &amp; $AN87),0)))))</f>
        <v>115816.8</v>
      </c>
      <c r="P87" s="35">
        <f ca="1">IF(ISERROR(MATCH(P$1,INDIRECT("Table!A"&amp;$AN87):INDIRECT("Table!" &amp; $AR$159 &amp; $AN87),0)),"",INDIRECT(CONCATENATE("Table!",ADDRESS($AJ87,MATCH(P$1,INDIRECT("Table!A" &amp; $AN87):INDIRECT("Table!" &amp; $AR$159 &amp; $AN87),0)))))</f>
        <v>99041.7</v>
      </c>
      <c r="Q87" s="35">
        <f ca="1">IF(ISERROR(MATCH(Q$1,INDIRECT("Table!A"&amp;$AN87):INDIRECT("Table!" &amp; $AR$159 &amp; $AN87),0)),"",INDIRECT(CONCATENATE("Table!",ADDRESS($AJ87,MATCH(Q$1,INDIRECT("Table!A" &amp; $AN87):INDIRECT("Table!" &amp; $AR$159 &amp; $AN87),0)))))</f>
        <v>99041.7</v>
      </c>
      <c r="R87" s="35">
        <f ca="1">IF(ISERROR(MATCH(R$1,INDIRECT("Table!A"&amp;$AN87):INDIRECT("Table!" &amp; $AR$159 &amp; $AN87),0)),"",INDIRECT(CONCATENATE("Table!",ADDRESS($AJ87,MATCH(R$1,INDIRECT("Table!A" &amp; $AN87):INDIRECT("Table!" &amp; $AR$159 &amp; $AN87),0)))))</f>
        <v>181997.8</v>
      </c>
      <c r="S87" s="35">
        <f ca="1">IF(ISERROR(MATCH(S$1,INDIRECT("Table!A"&amp;$AN87):INDIRECT("Table!" &amp; $AR$159 &amp; $AN87),0)),"",INDIRECT(CONCATENATE("Table!",ADDRESS($AJ87,MATCH(S$1,INDIRECT("Table!A" &amp; $AN87):INDIRECT("Table!" &amp; $AR$159 &amp; $AN87),0)))))</f>
        <v>121331.8</v>
      </c>
      <c r="T87" s="35">
        <f ca="1">IF(ISERROR(MATCH(T$1,INDIRECT("Table!A"&amp;$AN87):INDIRECT("Table!" &amp; $AR$159 &amp; $AN87),0)),"",INDIRECT(CONCATENATE("Table!",ADDRESS($AJ87,MATCH(T$1,INDIRECT("Table!A" &amp; $AN87):INDIRECT("Table!" &amp; $AR$159 &amp; $AN87),0)))))</f>
        <v>110071.9</v>
      </c>
      <c r="U87" s="35">
        <f ca="1">IF(ISERROR(MATCH(U$1,INDIRECT("Table!A"&amp;$AN87):INDIRECT("Table!" &amp; $AR$159 &amp; $AN87),0)),"",INDIRECT(CONCATENATE("Table!",ADDRESS($AJ87,MATCH(U$1,INDIRECT("Table!A" &amp; $AN87):INDIRECT("Table!" &amp; $AR$159 &amp; $AN87),0)))))</f>
        <v>121331.8</v>
      </c>
      <c r="V87" s="35">
        <f ca="1">IF(ISERROR(MATCH(V$1,INDIRECT("Table!A"&amp;$AN87):INDIRECT("Table!" &amp; $AR$159 &amp; $AN87),0)),"",INDIRECT(CONCATENATE("Table!",ADDRESS($AJ87,MATCH(V$1,INDIRECT("Table!A" &amp; $AN87):INDIRECT("Table!" &amp; $AR$159 &amp; $AN87),0)))))</f>
        <v>170967.6</v>
      </c>
      <c r="W87" s="35">
        <f ca="1">IF(ISERROR(MATCH(W$1,INDIRECT("Table!A"&amp;$AN87):INDIRECT("Table!" &amp; $AR$159 &amp; $AN87),0)),"",INDIRECT(CONCATENATE("Table!",ADDRESS($AJ87,MATCH(W$1,INDIRECT("Table!A" &amp; $AN87):INDIRECT("Table!" &amp; $AR$159 &amp; $AN87),0)))))</f>
        <v>132132.20000000001</v>
      </c>
      <c r="X87" s="35">
        <f ca="1">IF(ISERROR(MATCH(X$1,INDIRECT("Table!A"&amp;$AN87):INDIRECT("Table!" &amp; $AR$159 &amp; $AN87),0)),"",INDIRECT(CONCATENATE("Table!",ADDRESS($AJ87,MATCH(X$1,INDIRECT("Table!A" &amp; $AN87):INDIRECT("Table!" &amp; $AR$159 &amp; $AN87),0)))))</f>
        <v>60665.9</v>
      </c>
      <c r="Y87" s="35">
        <f ca="1">IF(ISERROR(MATCH(Y$1,INDIRECT("Table!A"&amp;$AN87):INDIRECT("Table!" &amp; $AR$159 &amp; $AN87),0)),"",INDIRECT(CONCATENATE("Table!",ADDRESS($AJ87,MATCH(Y$1,INDIRECT("Table!A" &amp; $AN87):INDIRECT("Table!" &amp; $AR$159 &amp; $AN87),0)))))</f>
        <v>176482.7</v>
      </c>
      <c r="Z87" s="35">
        <f ca="1">IF(ISERROR(MATCH(Z$1,INDIRECT("Table!A"&amp;$AN87):INDIRECT("Table!" &amp; $AR$159 &amp; $AN87),0)),"",INDIRECT(CONCATENATE("Table!",ADDRESS($AJ87,MATCH(Z$1,INDIRECT("Table!A" &amp; $AN87):INDIRECT("Table!" &amp; $AR$159 &amp; $AN87),0)))))</f>
        <v>54921</v>
      </c>
      <c r="AA87" s="12"/>
      <c r="AB87" s="12">
        <f>MATCH($A87,Table!$A:$A,0)+$AD$2-1</f>
        <v>1313</v>
      </c>
      <c r="AF87" s="31">
        <f>MATCH($A87,Table!$A:$A,0)+$AH$2-1</f>
        <v>1311</v>
      </c>
      <c r="AJ87" s="12">
        <f>MATCH($A87,Table!$A:$A,0)+$AL$2-1</f>
        <v>1312</v>
      </c>
      <c r="AN87" s="31">
        <f>MATCH($A87,Table!$A:$A,0)+$AH$2-1</f>
        <v>1311</v>
      </c>
      <c r="AR87" s="191" t="s">
        <v>118</v>
      </c>
    </row>
    <row r="88" spans="1:44">
      <c r="A88" s="5">
        <v>41044</v>
      </c>
      <c r="B88" s="35">
        <f ca="1">IF(ISERROR(MATCH(B$1,INDIRECT("Table!A"&amp;$AF88):INDIRECT("Table!" &amp; $AR$159 &amp; $AF88),0)),"",INDIRECT(CONCATENATE("Table!",ADDRESS($AB88,MATCH(B$1,INDIRECT("Table!A" &amp; $AF88):INDIRECT("Table!" &amp; $AR$159 &amp; $AF88),0)))))</f>
        <v>90127.5</v>
      </c>
      <c r="C88" s="35">
        <f ca="1">IF(ISERROR(MATCH(C$1,INDIRECT("Table!A"&amp;$AF88):INDIRECT("Table!" &amp; $AR$159 &amp; $AF88),0)),"",INDIRECT(CONCATENATE("Table!",ADDRESS($AB88,MATCH(C$1,INDIRECT("Table!A" &amp; $AF88):INDIRECT("Table!" &amp; $AR$159 &amp; $AF88),0)))))</f>
        <v>66939</v>
      </c>
      <c r="D88" s="35">
        <f ca="1">IF(ISERROR(MATCH(D$1,INDIRECT("Table!A"&amp;$AF88):INDIRECT("Table!" &amp; $AR$159 &amp; $AF88),0)),"",INDIRECT(CONCATENATE("Table!",ADDRESS($AB88,MATCH(D$1,INDIRECT("Table!A" &amp; $AF88):INDIRECT("Table!" &amp; $AR$159 &amp; $AF88),0)))))</f>
        <v>68254.899999999994</v>
      </c>
      <c r="E88" s="35">
        <f ca="1">IF(ISERROR(MATCH(E$1,INDIRECT("Table!A"&amp;$AF88):INDIRECT("Table!" &amp; $AR$159 &amp; $AF88),0)),"",INDIRECT(CONCATENATE("Table!",ADDRESS($AB88,MATCH(E$1,INDIRECT("Table!A" &amp; $AF88):INDIRECT("Table!" &amp; $AR$159 &amp; $AF88),0)))))</f>
        <v>145035</v>
      </c>
      <c r="F88" s="35">
        <f ca="1">IF(ISERROR(MATCH(F$1,INDIRECT("Table!A"&amp;$AF88):INDIRECT("Table!" &amp; $AR$159 &amp; $AF88),0)),"",INDIRECT(CONCATENATE("Table!",ADDRESS($AB88,MATCH(F$1,INDIRECT("Table!A" &amp; $AF88):INDIRECT("Table!" &amp; $AR$159 &amp; $AF88),0)))))</f>
        <v>16305.5</v>
      </c>
      <c r="G88" s="35">
        <f ca="1">IF(ISERROR(MATCH(G$1,INDIRECT("Table!A"&amp;$AF88):INDIRECT("Table!" &amp; $AR$159 &amp; $AF88),0)),"",INDIRECT(CONCATENATE("Table!",ADDRESS($AB88,MATCH(G$1,INDIRECT("Table!A" &amp; $AF88):INDIRECT("Table!" &amp; $AR$159 &amp; $AF88),0)))))</f>
        <v>33673</v>
      </c>
      <c r="H88" s="35">
        <f ca="1">IF(ISERROR(MATCH(H$1,INDIRECT("Table!A"&amp;$AF88):INDIRECT("Table!" &amp; $AR$159 &amp; $AF88),0)),"",INDIRECT(CONCATENATE("Table!",ADDRESS($AB88,MATCH(H$1,INDIRECT("Table!A" &amp; $AF88):INDIRECT("Table!" &amp; $AR$159 &amp; $AF88),0)))))</f>
        <v>20557.2</v>
      </c>
      <c r="I88" s="35">
        <f ca="1">IF(ISERROR(MATCH(I$1,INDIRECT("Table!A"&amp;$AF88):INDIRECT("Table!" &amp; $AR$159 &amp; $AF88),0)),"",INDIRECT(CONCATENATE("Table!",ADDRESS($AB88,MATCH(I$1,INDIRECT("Table!A" &amp; $AF88):INDIRECT("Table!" &amp; $AR$159 &amp; $AF88),0)))))</f>
        <v>128434.5</v>
      </c>
      <c r="J88" s="35">
        <f ca="1">IF(ISERROR(MATCH(J$1,INDIRECT("Table!A"&amp;$AF88):INDIRECT("Table!" &amp; $AR$159 &amp; $AF88),0)),"",INDIRECT(CONCATENATE("Table!",ADDRESS($AB88,MATCH(J$1,INDIRECT("Table!A" &amp; $AF88):INDIRECT("Table!" &amp; $AR$159 &amp; $AF88),0)))))</f>
        <v>44062.5</v>
      </c>
      <c r="K88" s="35">
        <f ca="1">IF(ISERROR(MATCH(K$1,INDIRECT("Table!A"&amp;$AF88):INDIRECT("Table!" &amp; $AR$159 &amp; $AF88),0)),"",INDIRECT(CONCATENATE("Table!",ADDRESS($AB88,MATCH(K$1,INDIRECT("Table!A" &amp; $AF88):INDIRECT("Table!" &amp; $AR$159 &amp; $AF88),0)))))</f>
        <v>11643.4</v>
      </c>
      <c r="L88" s="35">
        <f ca="1">IF(ISERROR(MATCH(L$1,INDIRECT("Table!A"&amp;$AF88):INDIRECT("Table!" &amp; $AR$159 &amp; $AF88),0)),"",INDIRECT(CONCATENATE("Table!",ADDRESS($AB88,MATCH(L$1,INDIRECT("Table!A" &amp; $AF88):INDIRECT("Table!" &amp; $AR$159 &amp; $AF88),0)))))</f>
        <v>79933.399999999994</v>
      </c>
      <c r="M88" s="35">
        <f ca="1">IF(ISERROR(MATCH(M$1,INDIRECT("Table!A"&amp;$AF88):INDIRECT("Table!" &amp; $AR$159 &amp; $AF88),0)),"",INDIRECT(CONCATENATE("Table!",ADDRESS($AB88,MATCH(M$1,INDIRECT("Table!A" &amp; $AF88):INDIRECT("Table!" &amp; $AR$159 &amp; $AF88),0)))))</f>
        <v>23945.8</v>
      </c>
      <c r="N88" s="35" t="str">
        <f ca="1">IF(ISERROR(MATCH(N$1,INDIRECT("Table!A"&amp;$AF88):INDIRECT("Table!" &amp; $AR$188 &amp; $AF88),0)),"",INDIRECT(CONCATENATE("Table!",ADDRESS($AB88,MATCH(N$1,INDIRECT("Table!A" &amp; $AF88):INDIRECT("Table!" &amp; $AR$188 &amp; $AF88),0)))))</f>
        <v/>
      </c>
      <c r="O88" s="35">
        <f ca="1">IF(ISERROR(MATCH(O$1,INDIRECT("Table!A"&amp;$AN88):INDIRECT("Table!" &amp; $AR$159 &amp; $AN88),0)),"",INDIRECT(CONCATENATE("Table!",ADDRESS($AJ88,MATCH(O$1,INDIRECT("Table!A" &amp; $AN88):INDIRECT("Table!" &amp; $AR$159 &amp; $AN88),0)))))</f>
        <v>115816.8</v>
      </c>
      <c r="P88" s="35">
        <f ca="1">IF(ISERROR(MATCH(P$1,INDIRECT("Table!A"&amp;$AN88):INDIRECT("Table!" &amp; $AR$159 &amp; $AN88),0)),"",INDIRECT(CONCATENATE("Table!",ADDRESS($AJ88,MATCH(P$1,INDIRECT("Table!A" &amp; $AN88):INDIRECT("Table!" &amp; $AR$159 &amp; $AN88),0)))))</f>
        <v>99041.7</v>
      </c>
      <c r="Q88" s="35">
        <f ca="1">IF(ISERROR(MATCH(Q$1,INDIRECT("Table!A"&amp;$AN88):INDIRECT("Table!" &amp; $AR$159 &amp; $AN88),0)),"",INDIRECT(CONCATENATE("Table!",ADDRESS($AJ88,MATCH(Q$1,INDIRECT("Table!A" &amp; $AN88):INDIRECT("Table!" &amp; $AR$159 &amp; $AN88),0)))))</f>
        <v>99041.7</v>
      </c>
      <c r="R88" s="35">
        <f ca="1">IF(ISERROR(MATCH(R$1,INDIRECT("Table!A"&amp;$AN88):INDIRECT("Table!" &amp; $AR$159 &amp; $AN88),0)),"",INDIRECT(CONCATENATE("Table!",ADDRESS($AJ88,MATCH(R$1,INDIRECT("Table!A" &amp; $AN88):INDIRECT("Table!" &amp; $AR$159 &amp; $AN88),0)))))</f>
        <v>181997.8</v>
      </c>
      <c r="S88" s="35">
        <f ca="1">IF(ISERROR(MATCH(S$1,INDIRECT("Table!A"&amp;$AN88):INDIRECT("Table!" &amp; $AR$159 &amp; $AN88),0)),"",INDIRECT(CONCATENATE("Table!",ADDRESS($AJ88,MATCH(S$1,INDIRECT("Table!A" &amp; $AN88):INDIRECT("Table!" &amp; $AR$159 &amp; $AN88),0)))))</f>
        <v>121331.8</v>
      </c>
      <c r="T88" s="35">
        <f ca="1">IF(ISERROR(MATCH(T$1,INDIRECT("Table!A"&amp;$AN88):INDIRECT("Table!" &amp; $AR$159 &amp; $AN88),0)),"",INDIRECT(CONCATENATE("Table!",ADDRESS($AJ88,MATCH(T$1,INDIRECT("Table!A" &amp; $AN88):INDIRECT("Table!" &amp; $AR$159 &amp; $AN88),0)))))</f>
        <v>110071.9</v>
      </c>
      <c r="U88" s="35">
        <f ca="1">IF(ISERROR(MATCH(U$1,INDIRECT("Table!A"&amp;$AN88):INDIRECT("Table!" &amp; $AR$159 &amp; $AN88),0)),"",INDIRECT(CONCATENATE("Table!",ADDRESS($AJ88,MATCH(U$1,INDIRECT("Table!A" &amp; $AN88):INDIRECT("Table!" &amp; $AR$159 &amp; $AN88),0)))))</f>
        <v>121331.8</v>
      </c>
      <c r="V88" s="35">
        <f ca="1">IF(ISERROR(MATCH(V$1,INDIRECT("Table!A"&amp;$AN88):INDIRECT("Table!" &amp; $AR$159 &amp; $AN88),0)),"",INDIRECT(CONCATENATE("Table!",ADDRESS($AJ88,MATCH(V$1,INDIRECT("Table!A" &amp; $AN88):INDIRECT("Table!" &amp; $AR$159 &amp; $AN88),0)))))</f>
        <v>170967.6</v>
      </c>
      <c r="W88" s="35">
        <f ca="1">IF(ISERROR(MATCH(W$1,INDIRECT("Table!A"&amp;$AN88):INDIRECT("Table!" &amp; $AR$159 &amp; $AN88),0)),"",INDIRECT(CONCATENATE("Table!",ADDRESS($AJ88,MATCH(W$1,INDIRECT("Table!A" &amp; $AN88):INDIRECT("Table!" &amp; $AR$159 &amp; $AN88),0)))))</f>
        <v>132132.20000000001</v>
      </c>
      <c r="X88" s="35">
        <f ca="1">IF(ISERROR(MATCH(X$1,INDIRECT("Table!A"&amp;$AN88):INDIRECT("Table!" &amp; $AR$159 &amp; $AN88),0)),"",INDIRECT(CONCATENATE("Table!",ADDRESS($AJ88,MATCH(X$1,INDIRECT("Table!A" &amp; $AN88):INDIRECT("Table!" &amp; $AR$159 &amp; $AN88),0)))))</f>
        <v>60665.9</v>
      </c>
      <c r="Y88" s="35">
        <f ca="1">IF(ISERROR(MATCH(Y$1,INDIRECT("Table!A"&amp;$AN88):INDIRECT("Table!" &amp; $AR$159 &amp; $AN88),0)),"",INDIRECT(CONCATENATE("Table!",ADDRESS($AJ88,MATCH(Y$1,INDIRECT("Table!A" &amp; $AN88):INDIRECT("Table!" &amp; $AR$159 &amp; $AN88),0)))))</f>
        <v>176482.7</v>
      </c>
      <c r="Z88" s="35">
        <f ca="1">IF(ISERROR(MATCH(Z$1,INDIRECT("Table!A"&amp;$AN88):INDIRECT("Table!" &amp; $AR$159 &amp; $AN88),0)),"",INDIRECT(CONCATENATE("Table!",ADDRESS($AJ88,MATCH(Z$1,INDIRECT("Table!A" &amp; $AN88):INDIRECT("Table!" &amp; $AR$159 &amp; $AN88),0)))))</f>
        <v>54921</v>
      </c>
      <c r="AA88" s="12"/>
      <c r="AB88" s="12">
        <f>MATCH($A88,Table!$A:$A,0)+$AD$2-1</f>
        <v>1326</v>
      </c>
      <c r="AF88" s="31">
        <f>MATCH($A88,Table!$A:$A,0)+$AH$2-1</f>
        <v>1324</v>
      </c>
      <c r="AJ88" s="12">
        <f>MATCH($A88,Table!$A:$A,0)+$AL$2-1</f>
        <v>1325</v>
      </c>
      <c r="AN88" s="31">
        <f>MATCH($A88,Table!$A:$A,0)+$AH$2-1</f>
        <v>1324</v>
      </c>
      <c r="AR88" s="190" t="s">
        <v>118</v>
      </c>
    </row>
    <row r="89" spans="1:44">
      <c r="A89" s="5">
        <v>41043</v>
      </c>
      <c r="B89" s="35">
        <f ca="1">IF(ISERROR(MATCH(B$1,INDIRECT("Table!A"&amp;$AF89):INDIRECT("Table!" &amp; $AR$159 &amp; $AF89),0)),"",INDIRECT(CONCATENATE("Table!",ADDRESS($AB89,MATCH(B$1,INDIRECT("Table!A" &amp; $AF89):INDIRECT("Table!" &amp; $AR$159 &amp; $AF89),0)))))</f>
        <v>89852.2</v>
      </c>
      <c r="C89" s="35">
        <f ca="1">IF(ISERROR(MATCH(C$1,INDIRECT("Table!A"&amp;$AF89):INDIRECT("Table!" &amp; $AR$159 &amp; $AF89),0)),"",INDIRECT(CONCATENATE("Table!",ADDRESS($AB89,MATCH(C$1,INDIRECT("Table!A" &amp; $AF89):INDIRECT("Table!" &amp; $AR$159 &amp; $AF89),0)))))</f>
        <v>66927.5</v>
      </c>
      <c r="D89" s="35">
        <f ca="1">IF(ISERROR(MATCH(D$1,INDIRECT("Table!A"&amp;$AF89):INDIRECT("Table!" &amp; $AR$159 &amp; $AF89),0)),"",INDIRECT(CONCATENATE("Table!",ADDRESS($AB89,MATCH(D$1,INDIRECT("Table!A" &amp; $AF89):INDIRECT("Table!" &amp; $AR$159 &amp; $AF89),0)))))</f>
        <v>68243.399999999994</v>
      </c>
      <c r="E89" s="35">
        <f ca="1">IF(ISERROR(MATCH(E$1,INDIRECT("Table!A"&amp;$AF89):INDIRECT("Table!" &amp; $AR$159 &amp; $AF89),0)),"",INDIRECT(CONCATENATE("Table!",ADDRESS($AB89,MATCH(E$1,INDIRECT("Table!A" &amp; $AF89):INDIRECT("Table!" &amp; $AR$159 &amp; $AF89),0)))))</f>
        <v>144720.29999999999</v>
      </c>
      <c r="F89" s="35">
        <f ca="1">IF(ISERROR(MATCH(F$1,INDIRECT("Table!A"&amp;$AF89):INDIRECT("Table!" &amp; $AR$159 &amp; $AF89),0)),"",INDIRECT(CONCATENATE("Table!",ADDRESS($AB89,MATCH(F$1,INDIRECT("Table!A" &amp; $AF89):INDIRECT("Table!" &amp; $AR$159 &amp; $AF89),0)))))</f>
        <v>16294.7</v>
      </c>
      <c r="G89" s="35">
        <f ca="1">IF(ISERROR(MATCH(G$1,INDIRECT("Table!A"&amp;$AF89):INDIRECT("Table!" &amp; $AR$159 &amp; $AF89),0)),"",INDIRECT(CONCATENATE("Table!",ADDRESS($AB89,MATCH(G$1,INDIRECT("Table!A" &amp; $AF89):INDIRECT("Table!" &amp; $AR$159 &amp; $AF89),0)))))</f>
        <v>33630</v>
      </c>
      <c r="H89" s="35">
        <f ca="1">IF(ISERROR(MATCH(H$1,INDIRECT("Table!A"&amp;$AF89):INDIRECT("Table!" &amp; $AR$159 &amp; $AF89),0)),"",INDIRECT(CONCATENATE("Table!",ADDRESS($AB89,MATCH(H$1,INDIRECT("Table!A" &amp; $AF89):INDIRECT("Table!" &amp; $AR$159 &amp; $AF89),0)))))</f>
        <v>20549.5</v>
      </c>
      <c r="I89" s="35">
        <f ca="1">IF(ISERROR(MATCH(I$1,INDIRECT("Table!A"&amp;$AF89):INDIRECT("Table!" &amp; $AR$159 &amp; $AF89),0)),"",INDIRECT(CONCATENATE("Table!",ADDRESS($AB89,MATCH(I$1,INDIRECT("Table!A" &amp; $AF89):INDIRECT("Table!" &amp; $AR$159 &amp; $AF89),0)))))</f>
        <v>127965.2</v>
      </c>
      <c r="J89" s="35">
        <f ca="1">IF(ISERROR(MATCH(J$1,INDIRECT("Table!A"&amp;$AF89):INDIRECT("Table!" &amp; $AR$159 &amp; $AF89),0)),"",INDIRECT(CONCATENATE("Table!",ADDRESS($AB89,MATCH(J$1,INDIRECT("Table!A" &amp; $AF89):INDIRECT("Table!" &amp; $AR$159 &amp; $AF89),0)))))</f>
        <v>44140.7</v>
      </c>
      <c r="K89" s="35">
        <f ca="1">IF(ISERROR(MATCH(K$1,INDIRECT("Table!A"&amp;$AF89):INDIRECT("Table!" &amp; $AR$159 &amp; $AF89),0)),"",INDIRECT(CONCATENATE("Table!",ADDRESS($AB89,MATCH(K$1,INDIRECT("Table!A" &amp; $AF89):INDIRECT("Table!" &amp; $AR$159 &amp; $AF89),0)))))</f>
        <v>11617.5</v>
      </c>
      <c r="L89" s="35">
        <f ca="1">IF(ISERROR(MATCH(L$1,INDIRECT("Table!A"&amp;$AF89):INDIRECT("Table!" &amp; $AR$159 &amp; $AF89),0)),"",INDIRECT(CONCATENATE("Table!",ADDRESS($AB89,MATCH(L$1,INDIRECT("Table!A" &amp; $AF89):INDIRECT("Table!" &amp; $AR$159 &amp; $AF89),0)))))</f>
        <v>79912.600000000006</v>
      </c>
      <c r="M89" s="35">
        <f ca="1">IF(ISERROR(MATCH(M$1,INDIRECT("Table!A"&amp;$AF89):INDIRECT("Table!" &amp; $AR$159 &amp; $AF89),0)),"",INDIRECT(CONCATENATE("Table!",ADDRESS($AB89,MATCH(M$1,INDIRECT("Table!A" &amp; $AF89):INDIRECT("Table!" &amp; $AR$159 &amp; $AF89),0)))))</f>
        <v>23945.5</v>
      </c>
      <c r="N89" s="35" t="str">
        <f ca="1">IF(ISERROR(MATCH(N$1,INDIRECT("Table!A"&amp;$AF89):INDIRECT("Table!" &amp; $AR$188 &amp; $AF89),0)),"",INDIRECT(CONCATENATE("Table!",ADDRESS($AB89,MATCH(N$1,INDIRECT("Table!A" &amp; $AF89):INDIRECT("Table!" &amp; $AR$188 &amp; $AF89),0)))))</f>
        <v/>
      </c>
      <c r="O89" s="35">
        <f ca="1">IF(ISERROR(MATCH(O$1,INDIRECT("Table!A"&amp;$AN89):INDIRECT("Table!" &amp; $AR$159 &amp; $AN89),0)),"",INDIRECT(CONCATENATE("Table!",ADDRESS($AJ89,MATCH(O$1,INDIRECT("Table!A" &amp; $AN89):INDIRECT("Table!" &amp; $AR$159 &amp; $AN89),0)))))</f>
        <v>115816.8</v>
      </c>
      <c r="P89" s="35">
        <f ca="1">IF(ISERROR(MATCH(P$1,INDIRECT("Table!A"&amp;$AN89):INDIRECT("Table!" &amp; $AR$159 &amp; $AN89),0)),"",INDIRECT(CONCATENATE("Table!",ADDRESS($AJ89,MATCH(P$1,INDIRECT("Table!A" &amp; $AN89):INDIRECT("Table!" &amp; $AR$159 &amp; $AN89),0)))))</f>
        <v>99041.7</v>
      </c>
      <c r="Q89" s="35">
        <f ca="1">IF(ISERROR(MATCH(Q$1,INDIRECT("Table!A"&amp;$AN89):INDIRECT("Table!" &amp; $AR$159 &amp; $AN89),0)),"",INDIRECT(CONCATENATE("Table!",ADDRESS($AJ89,MATCH(Q$1,INDIRECT("Table!A" &amp; $AN89):INDIRECT("Table!" &amp; $AR$159 &amp; $AN89),0)))))</f>
        <v>99041.7</v>
      </c>
      <c r="R89" s="35">
        <f ca="1">IF(ISERROR(MATCH(R$1,INDIRECT("Table!A"&amp;$AN89):INDIRECT("Table!" &amp; $AR$159 &amp; $AN89),0)),"",INDIRECT(CONCATENATE("Table!",ADDRESS($AJ89,MATCH(R$1,INDIRECT("Table!A" &amp; $AN89):INDIRECT("Table!" &amp; $AR$159 &amp; $AN89),0)))))</f>
        <v>181997.8</v>
      </c>
      <c r="S89" s="35">
        <f ca="1">IF(ISERROR(MATCH(S$1,INDIRECT("Table!A"&amp;$AN89):INDIRECT("Table!" &amp; $AR$159 &amp; $AN89),0)),"",INDIRECT(CONCATENATE("Table!",ADDRESS($AJ89,MATCH(S$1,INDIRECT("Table!A" &amp; $AN89):INDIRECT("Table!" &amp; $AR$159 &amp; $AN89),0)))))</f>
        <v>121331.8</v>
      </c>
      <c r="T89" s="35">
        <f ca="1">IF(ISERROR(MATCH(T$1,INDIRECT("Table!A"&amp;$AN89):INDIRECT("Table!" &amp; $AR$159 &amp; $AN89),0)),"",INDIRECT(CONCATENATE("Table!",ADDRESS($AJ89,MATCH(T$1,INDIRECT("Table!A" &amp; $AN89):INDIRECT("Table!" &amp; $AR$159 &amp; $AN89),0)))))</f>
        <v>110071.9</v>
      </c>
      <c r="U89" s="35">
        <f ca="1">IF(ISERROR(MATCH(U$1,INDIRECT("Table!A"&amp;$AN89):INDIRECT("Table!" &amp; $AR$159 &amp; $AN89),0)),"",INDIRECT(CONCATENATE("Table!",ADDRESS($AJ89,MATCH(U$1,INDIRECT("Table!A" &amp; $AN89):INDIRECT("Table!" &amp; $AR$159 &amp; $AN89),0)))))</f>
        <v>121331.8</v>
      </c>
      <c r="V89" s="35">
        <f ca="1">IF(ISERROR(MATCH(V$1,INDIRECT("Table!A"&amp;$AN89):INDIRECT("Table!" &amp; $AR$159 &amp; $AN89),0)),"",INDIRECT(CONCATENATE("Table!",ADDRESS($AJ89,MATCH(V$1,INDIRECT("Table!A" &amp; $AN89):INDIRECT("Table!" &amp; $AR$159 &amp; $AN89),0)))))</f>
        <v>170967.6</v>
      </c>
      <c r="W89" s="35">
        <f ca="1">IF(ISERROR(MATCH(W$1,INDIRECT("Table!A"&amp;$AN89):INDIRECT("Table!" &amp; $AR$159 &amp; $AN89),0)),"",INDIRECT(CONCATENATE("Table!",ADDRESS($AJ89,MATCH(W$1,INDIRECT("Table!A" &amp; $AN89):INDIRECT("Table!" &amp; $AR$159 &amp; $AN89),0)))))</f>
        <v>132132.20000000001</v>
      </c>
      <c r="X89" s="35">
        <f ca="1">IF(ISERROR(MATCH(X$1,INDIRECT("Table!A"&amp;$AN89):INDIRECT("Table!" &amp; $AR$159 &amp; $AN89),0)),"",INDIRECT(CONCATENATE("Table!",ADDRESS($AJ89,MATCH(X$1,INDIRECT("Table!A" &amp; $AN89):INDIRECT("Table!" &amp; $AR$159 &amp; $AN89),0)))))</f>
        <v>60665.9</v>
      </c>
      <c r="Y89" s="35">
        <f ca="1">IF(ISERROR(MATCH(Y$1,INDIRECT("Table!A"&amp;$AN89):INDIRECT("Table!" &amp; $AR$159 &amp; $AN89),0)),"",INDIRECT(CONCATENATE("Table!",ADDRESS($AJ89,MATCH(Y$1,INDIRECT("Table!A" &amp; $AN89):INDIRECT("Table!" &amp; $AR$159 &amp; $AN89),0)))))</f>
        <v>176482.7</v>
      </c>
      <c r="Z89" s="35">
        <f ca="1">IF(ISERROR(MATCH(Z$1,INDIRECT("Table!A"&amp;$AN89):INDIRECT("Table!" &amp; $AR$159 &amp; $AN89),0)),"",INDIRECT(CONCATENATE("Table!",ADDRESS($AJ89,MATCH(Z$1,INDIRECT("Table!A" &amp; $AN89):INDIRECT("Table!" &amp; $AR$159 &amp; $AN89),0)))))</f>
        <v>54921</v>
      </c>
      <c r="AA89" s="12"/>
      <c r="AB89" s="12">
        <f>MATCH($A89,Table!$A:$A,0)+$AD$2-1</f>
        <v>1339</v>
      </c>
      <c r="AF89" s="31">
        <f>MATCH($A89,Table!$A:$A,0)+$AH$2-1</f>
        <v>1337</v>
      </c>
      <c r="AJ89" s="12">
        <f>MATCH($A89,Table!$A:$A,0)+$AL$2-1</f>
        <v>1338</v>
      </c>
      <c r="AN89" s="31">
        <f>MATCH($A89,Table!$A:$A,0)+$AH$2-1</f>
        <v>1337</v>
      </c>
      <c r="AR89" s="189" t="s">
        <v>118</v>
      </c>
    </row>
    <row r="90" spans="1:44">
      <c r="A90" s="5">
        <v>41040</v>
      </c>
      <c r="B90" s="35">
        <f ca="1">IF(ISERROR(MATCH(B$1,INDIRECT("Table!A"&amp;$AF90):INDIRECT("Table!" &amp; $AR$159 &amp; $AF90),0)),"",INDIRECT(CONCATENATE("Table!",ADDRESS($AB90,MATCH(B$1,INDIRECT("Table!A" &amp; $AF90):INDIRECT("Table!" &amp; $AR$159 &amp; $AF90),0)))))</f>
        <v>88642</v>
      </c>
      <c r="C90" s="35">
        <f ca="1">IF(ISERROR(MATCH(C$1,INDIRECT("Table!A"&amp;$AF90):INDIRECT("Table!" &amp; $AR$159 &amp; $AF90),0)),"",INDIRECT(CONCATENATE("Table!",ADDRESS($AB90,MATCH(C$1,INDIRECT("Table!A" &amp; $AF90):INDIRECT("Table!" &amp; $AR$159 &amp; $AF90),0)))))</f>
        <v>66850.7</v>
      </c>
      <c r="D90" s="35">
        <f ca="1">IF(ISERROR(MATCH(D$1,INDIRECT("Table!A"&amp;$AF90):INDIRECT("Table!" &amp; $AR$159 &amp; $AF90),0)),"",INDIRECT(CONCATENATE("Table!",ADDRESS($AB90,MATCH(D$1,INDIRECT("Table!A" &amp; $AF90):INDIRECT("Table!" &amp; $AR$159 &amp; $AF90),0)))))</f>
        <v>68225.8</v>
      </c>
      <c r="E90" s="35">
        <f ca="1">IF(ISERROR(MATCH(E$1,INDIRECT("Table!A"&amp;$AF90):INDIRECT("Table!" &amp; $AR$159 &amp; $AF90),0)),"",INDIRECT(CONCATENATE("Table!",ADDRESS($AB90,MATCH(E$1,INDIRECT("Table!A" &amp; $AF90):INDIRECT("Table!" &amp; $AR$159 &amp; $AF90),0)))))</f>
        <v>143688.70000000001</v>
      </c>
      <c r="F90" s="35">
        <f ca="1">IF(ISERROR(MATCH(F$1,INDIRECT("Table!A"&amp;$AF90):INDIRECT("Table!" &amp; $AR$159 &amp; $AF90),0)),"",INDIRECT(CONCATENATE("Table!",ADDRESS($AB90,MATCH(F$1,INDIRECT("Table!A" &amp; $AF90):INDIRECT("Table!" &amp; $AR$159 &amp; $AF90),0)))))</f>
        <v>9459.7999999999993</v>
      </c>
      <c r="G90" s="35">
        <f ca="1">IF(ISERROR(MATCH(G$1,INDIRECT("Table!A"&amp;$AF90):INDIRECT("Table!" &amp; $AR$159 &amp; $AF90),0)),"",INDIRECT(CONCATENATE("Table!",ADDRESS($AB90,MATCH(G$1,INDIRECT("Table!A" &amp; $AF90):INDIRECT("Table!" &amp; $AR$159 &amp; $AF90),0)))))</f>
        <v>33316.400000000001</v>
      </c>
      <c r="H90" s="35">
        <f ca="1">IF(ISERROR(MATCH(H$1,INDIRECT("Table!A"&amp;$AF90):INDIRECT("Table!" &amp; $AR$159 &amp; $AF90),0)),"",INDIRECT(CONCATENATE("Table!",ADDRESS($AB90,MATCH(H$1,INDIRECT("Table!A" &amp; $AF90):INDIRECT("Table!" &amp; $AR$159 &amp; $AF90),0)))))</f>
        <v>20534.400000000001</v>
      </c>
      <c r="I90" s="35">
        <f ca="1">IF(ISERROR(MATCH(I$1,INDIRECT("Table!A"&amp;$AF90):INDIRECT("Table!" &amp; $AR$159 &amp; $AF90),0)),"",INDIRECT(CONCATENATE("Table!",ADDRESS($AB90,MATCH(I$1,INDIRECT("Table!A" &amp; $AF90):INDIRECT("Table!" &amp; $AR$159 &amp; $AF90),0)))))</f>
        <v>127689.60000000001</v>
      </c>
      <c r="J90" s="35">
        <f ca="1">IF(ISERROR(MATCH(J$1,INDIRECT("Table!A"&amp;$AF90):INDIRECT("Table!" &amp; $AR$159 &amp; $AF90),0)),"",INDIRECT(CONCATENATE("Table!",ADDRESS($AB90,MATCH(J$1,INDIRECT("Table!A" &amp; $AF90):INDIRECT("Table!" &amp; $AR$159 &amp; $AF90),0)))))</f>
        <v>44040.2</v>
      </c>
      <c r="K90" s="35">
        <f ca="1">IF(ISERROR(MATCH(K$1,INDIRECT("Table!A"&amp;$AF90):INDIRECT("Table!" &amp; $AR$159 &amp; $AF90),0)),"",INDIRECT(CONCATENATE("Table!",ADDRESS($AB90,MATCH(K$1,INDIRECT("Table!A" &amp; $AF90):INDIRECT("Table!" &amp; $AR$159 &amp; $AF90),0)))))</f>
        <v>6235.7</v>
      </c>
      <c r="L90" s="35">
        <f ca="1">IF(ISERROR(MATCH(L$1,INDIRECT("Table!A"&amp;$AF90):INDIRECT("Table!" &amp; $AR$159 &amp; $AF90),0)),"",INDIRECT(CONCATENATE("Table!",ADDRESS($AB90,MATCH(L$1,INDIRECT("Table!A" &amp; $AF90):INDIRECT("Table!" &amp; $AR$159 &amp; $AF90),0)))))</f>
        <v>79878.2</v>
      </c>
      <c r="M90" s="35">
        <f ca="1">IF(ISERROR(MATCH(M$1,INDIRECT("Table!A"&amp;$AF90):INDIRECT("Table!" &amp; $AR$159 &amp; $AF90),0)),"",INDIRECT(CONCATENATE("Table!",ADDRESS($AB90,MATCH(M$1,INDIRECT("Table!A" &amp; $AF90):INDIRECT("Table!" &amp; $AR$159 &amp; $AF90),0)))))</f>
        <v>23944.1</v>
      </c>
      <c r="N90" s="35" t="str">
        <f ca="1">IF(ISERROR(MATCH(N$1,INDIRECT("Table!A"&amp;$AF90):INDIRECT("Table!" &amp; $AR$188 &amp; $AF90),0)),"",INDIRECT(CONCATENATE("Table!",ADDRESS($AB90,MATCH(N$1,INDIRECT("Table!A" &amp; $AF90):INDIRECT("Table!" &amp; $AR$188 &amp; $AF90),0)))))</f>
        <v/>
      </c>
      <c r="O90" s="35">
        <f ca="1">IF(ISERROR(MATCH(O$1,INDIRECT("Table!A"&amp;$AN90):INDIRECT("Table!" &amp; $AR$159 &amp; $AN90),0)),"",INDIRECT(CONCATENATE("Table!",ADDRESS($AJ90,MATCH(O$1,INDIRECT("Table!A" &amp; $AN90):INDIRECT("Table!" &amp; $AR$159 &amp; $AN90),0)))))</f>
        <v>115816.8</v>
      </c>
      <c r="P90" s="35">
        <f ca="1">IF(ISERROR(MATCH(P$1,INDIRECT("Table!A"&amp;$AN90):INDIRECT("Table!" &amp; $AR$159 &amp; $AN90),0)),"",INDIRECT(CONCATENATE("Table!",ADDRESS($AJ90,MATCH(P$1,INDIRECT("Table!A" &amp; $AN90):INDIRECT("Table!" &amp; $AR$159 &amp; $AN90),0)))))</f>
        <v>99041.7</v>
      </c>
      <c r="Q90" s="35">
        <f ca="1">IF(ISERROR(MATCH(Q$1,INDIRECT("Table!A"&amp;$AN90):INDIRECT("Table!" &amp; $AR$159 &amp; $AN90),0)),"",INDIRECT(CONCATENATE("Table!",ADDRESS($AJ90,MATCH(Q$1,INDIRECT("Table!A" &amp; $AN90):INDIRECT("Table!" &amp; $AR$159 &amp; $AN90),0)))))</f>
        <v>99041.7</v>
      </c>
      <c r="R90" s="35">
        <f ca="1">IF(ISERROR(MATCH(R$1,INDIRECT("Table!A"&amp;$AN90):INDIRECT("Table!" &amp; $AR$159 &amp; $AN90),0)),"",INDIRECT(CONCATENATE("Table!",ADDRESS($AJ90,MATCH(R$1,INDIRECT("Table!A" &amp; $AN90):INDIRECT("Table!" &amp; $AR$159 &amp; $AN90),0)))))</f>
        <v>181997.8</v>
      </c>
      <c r="S90" s="35">
        <f ca="1">IF(ISERROR(MATCH(S$1,INDIRECT("Table!A"&amp;$AN90):INDIRECT("Table!" &amp; $AR$159 &amp; $AN90),0)),"",INDIRECT(CONCATENATE("Table!",ADDRESS($AJ90,MATCH(S$1,INDIRECT("Table!A" &amp; $AN90):INDIRECT("Table!" &amp; $AR$159 &amp; $AN90),0)))))</f>
        <v>121331.8</v>
      </c>
      <c r="T90" s="35">
        <f ca="1">IF(ISERROR(MATCH(T$1,INDIRECT("Table!A"&amp;$AN90):INDIRECT("Table!" &amp; $AR$159 &amp; $AN90),0)),"",INDIRECT(CONCATENATE("Table!",ADDRESS($AJ90,MATCH(T$1,INDIRECT("Table!A" &amp; $AN90):INDIRECT("Table!" &amp; $AR$159 &amp; $AN90),0)))))</f>
        <v>110071.9</v>
      </c>
      <c r="U90" s="35">
        <f ca="1">IF(ISERROR(MATCH(U$1,INDIRECT("Table!A"&amp;$AN90):INDIRECT("Table!" &amp; $AR$159 &amp; $AN90),0)),"",INDIRECT(CONCATENATE("Table!",ADDRESS($AJ90,MATCH(U$1,INDIRECT("Table!A" &amp; $AN90):INDIRECT("Table!" &amp; $AR$159 &amp; $AN90),0)))))</f>
        <v>121331.8</v>
      </c>
      <c r="V90" s="35">
        <f ca="1">IF(ISERROR(MATCH(V$1,INDIRECT("Table!A"&amp;$AN90):INDIRECT("Table!" &amp; $AR$159 &amp; $AN90),0)),"",INDIRECT(CONCATENATE("Table!",ADDRESS($AJ90,MATCH(V$1,INDIRECT("Table!A" &amp; $AN90):INDIRECT("Table!" &amp; $AR$159 &amp; $AN90),0)))))</f>
        <v>170967.6</v>
      </c>
      <c r="W90" s="35">
        <f ca="1">IF(ISERROR(MATCH(W$1,INDIRECT("Table!A"&amp;$AN90):INDIRECT("Table!" &amp; $AR$159 &amp; $AN90),0)),"",INDIRECT(CONCATENATE("Table!",ADDRESS($AJ90,MATCH(W$1,INDIRECT("Table!A" &amp; $AN90):INDIRECT("Table!" &amp; $AR$159 &amp; $AN90),0)))))</f>
        <v>132132.20000000001</v>
      </c>
      <c r="X90" s="35">
        <f ca="1">IF(ISERROR(MATCH(X$1,INDIRECT("Table!A"&amp;$AN90):INDIRECT("Table!" &amp; $AR$159 &amp; $AN90),0)),"",INDIRECT(CONCATENATE("Table!",ADDRESS($AJ90,MATCH(X$1,INDIRECT("Table!A" &amp; $AN90):INDIRECT("Table!" &amp; $AR$159 &amp; $AN90),0)))))</f>
        <v>60665.9</v>
      </c>
      <c r="Y90" s="35">
        <f ca="1">IF(ISERROR(MATCH(Y$1,INDIRECT("Table!A"&amp;$AN90):INDIRECT("Table!" &amp; $AR$159 &amp; $AN90),0)),"",INDIRECT(CONCATENATE("Table!",ADDRESS($AJ90,MATCH(Y$1,INDIRECT("Table!A" &amp; $AN90):INDIRECT("Table!" &amp; $AR$159 &amp; $AN90),0)))))</f>
        <v>176482.7</v>
      </c>
      <c r="Z90" s="35">
        <f ca="1">IF(ISERROR(MATCH(Z$1,INDIRECT("Table!A"&amp;$AN90):INDIRECT("Table!" &amp; $AR$159 &amp; $AN90),0)),"",INDIRECT(CONCATENATE("Table!",ADDRESS($AJ90,MATCH(Z$1,INDIRECT("Table!A" &amp; $AN90):INDIRECT("Table!" &amp; $AR$159 &amp; $AN90),0)))))</f>
        <v>54921</v>
      </c>
      <c r="AA90" s="12"/>
      <c r="AB90" s="12">
        <f>MATCH($A90,Table!$A:$A,0)+$AD$2-1</f>
        <v>1352</v>
      </c>
      <c r="AF90" s="31">
        <f>MATCH($A90,Table!$A:$A,0)+$AH$2-1</f>
        <v>1350</v>
      </c>
      <c r="AJ90" s="12">
        <f>MATCH($A90,Table!$A:$A,0)+$AL$2-1</f>
        <v>1351</v>
      </c>
      <c r="AN90" s="31">
        <f>MATCH($A90,Table!$A:$A,0)+$AH$2-1</f>
        <v>1350</v>
      </c>
      <c r="AR90" s="188" t="s">
        <v>118</v>
      </c>
    </row>
    <row r="91" spans="1:44">
      <c r="A91" s="5">
        <v>41039</v>
      </c>
      <c r="B91" s="35">
        <f ca="1">IF(ISERROR(MATCH(B$1,INDIRECT("Table!A"&amp;$AF91):INDIRECT("Table!" &amp; $AR$159 &amp; $AF91),0)),"",INDIRECT(CONCATENATE("Table!",ADDRESS($AB91,MATCH(B$1,INDIRECT("Table!A" &amp; $AF91):INDIRECT("Table!" &amp; $AR$159 &amp; $AF91),0)))))</f>
        <v>88503.2</v>
      </c>
      <c r="C91" s="35">
        <f ca="1">IF(ISERROR(MATCH(C$1,INDIRECT("Table!A"&amp;$AF91):INDIRECT("Table!" &amp; $AR$159 &amp; $AF91),0)),"",INDIRECT(CONCATENATE("Table!",ADDRESS($AB91,MATCH(C$1,INDIRECT("Table!A" &amp; $AF91):INDIRECT("Table!" &amp; $AR$159 &amp; $AF91),0)))))</f>
        <v>66845</v>
      </c>
      <c r="D91" s="35">
        <f ca="1">IF(ISERROR(MATCH(D$1,INDIRECT("Table!A"&amp;$AF91):INDIRECT("Table!" &amp; $AR$159 &amp; $AF91),0)),"",INDIRECT(CONCATENATE("Table!",ADDRESS($AB91,MATCH(D$1,INDIRECT("Table!A" &amp; $AF91):INDIRECT("Table!" &amp; $AR$159 &amp; $AF91),0)))))</f>
        <v>68220.2</v>
      </c>
      <c r="E91" s="35">
        <f ca="1">IF(ISERROR(MATCH(E$1,INDIRECT("Table!A"&amp;$AF91):INDIRECT("Table!" &amp; $AR$159 &amp; $AF91),0)),"",INDIRECT(CONCATENATE("Table!",ADDRESS($AB91,MATCH(E$1,INDIRECT("Table!A" &amp; $AF91):INDIRECT("Table!" &amp; $AR$159 &amp; $AF91),0)))))</f>
        <v>142674.6</v>
      </c>
      <c r="F91" s="35">
        <f ca="1">IF(ISERROR(MATCH(F$1,INDIRECT("Table!A"&amp;$AF91):INDIRECT("Table!" &amp; $AR$159 &amp; $AF91),0)),"",INDIRECT(CONCATENATE("Table!",ADDRESS($AB91,MATCH(F$1,INDIRECT("Table!A" &amp; $AF91):INDIRECT("Table!" &amp; $AR$159 &amp; $AF91),0)))))</f>
        <v>9396.1</v>
      </c>
      <c r="G91" s="35">
        <f ca="1">IF(ISERROR(MATCH(G$1,INDIRECT("Table!A"&amp;$AF91):INDIRECT("Table!" &amp; $AR$159 &amp; $AF91),0)),"",INDIRECT(CONCATENATE("Table!",ADDRESS($AB91,MATCH(G$1,INDIRECT("Table!A" &amp; $AF91):INDIRECT("Table!" &amp; $AR$159 &amp; $AF91),0)))))</f>
        <v>33247</v>
      </c>
      <c r="H91" s="35">
        <f ca="1">IF(ISERROR(MATCH(H$1,INDIRECT("Table!A"&amp;$AF91):INDIRECT("Table!" &amp; $AR$159 &amp; $AF91),0)),"",INDIRECT(CONCATENATE("Table!",ADDRESS($AB91,MATCH(H$1,INDIRECT("Table!A" &amp; $AF91):INDIRECT("Table!" &amp; $AR$159 &amp; $AF91),0)))))</f>
        <v>20521.099999999999</v>
      </c>
      <c r="I91" s="35">
        <f ca="1">IF(ISERROR(MATCH(I$1,INDIRECT("Table!A"&amp;$AF91):INDIRECT("Table!" &amp; $AR$159 &amp; $AF91),0)),"",INDIRECT(CONCATENATE("Table!",ADDRESS($AB91,MATCH(I$1,INDIRECT("Table!A" &amp; $AF91):INDIRECT("Table!" &amp; $AR$159 &amp; $AF91),0)))))</f>
        <v>127597.6</v>
      </c>
      <c r="J91" s="35">
        <f ca="1">IF(ISERROR(MATCH(J$1,INDIRECT("Table!A"&amp;$AF91):INDIRECT("Table!" &amp; $AR$159 &amp; $AF91),0)),"",INDIRECT(CONCATENATE("Table!",ADDRESS($AB91,MATCH(J$1,INDIRECT("Table!A" &amp; $AF91):INDIRECT("Table!" &amp; $AR$159 &amp; $AF91),0)))))</f>
        <v>44169</v>
      </c>
      <c r="K91" s="35">
        <f ca="1">IF(ISERROR(MATCH(K$1,INDIRECT("Table!A"&amp;$AF91):INDIRECT("Table!" &amp; $AR$159 &amp; $AF91),0)),"",INDIRECT(CONCATENATE("Table!",ADDRESS($AB91,MATCH(K$1,INDIRECT("Table!A" &amp; $AF91):INDIRECT("Table!" &amp; $AR$159 &amp; $AF91),0)))))</f>
        <v>6185.6</v>
      </c>
      <c r="L91" s="35">
        <f ca="1">IF(ISERROR(MATCH(L$1,INDIRECT("Table!A"&amp;$AF91):INDIRECT("Table!" &amp; $AR$159 &amp; $AF91),0)),"",INDIRECT(CONCATENATE("Table!",ADDRESS($AB91,MATCH(L$1,INDIRECT("Table!A" &amp; $AF91):INDIRECT("Table!" &amp; $AR$159 &amp; $AF91),0)))))</f>
        <v>79856.5</v>
      </c>
      <c r="M91" s="35">
        <f ca="1">IF(ISERROR(MATCH(M$1,INDIRECT("Table!A"&amp;$AF91):INDIRECT("Table!" &amp; $AR$159 &amp; $AF91),0)),"",INDIRECT(CONCATENATE("Table!",ADDRESS($AB91,MATCH(M$1,INDIRECT("Table!A" &amp; $AF91):INDIRECT("Table!" &amp; $AR$159 &amp; $AF91),0)))))</f>
        <v>23944.1</v>
      </c>
      <c r="N91" s="35" t="str">
        <f ca="1">IF(ISERROR(MATCH(N$1,INDIRECT("Table!A"&amp;$AF91):INDIRECT("Table!" &amp; $AR$188 &amp; $AF91),0)),"",INDIRECT(CONCATENATE("Table!",ADDRESS($AB91,MATCH(N$1,INDIRECT("Table!A" &amp; $AF91):INDIRECT("Table!" &amp; $AR$188 &amp; $AF91),0)))))</f>
        <v/>
      </c>
      <c r="O91" s="35">
        <f ca="1">IF(ISERROR(MATCH(O$1,INDIRECT("Table!A"&amp;$AN91):INDIRECT("Table!" &amp; $AR$159 &amp; $AN91),0)),"",INDIRECT(CONCATENATE("Table!",ADDRESS($AJ91,MATCH(O$1,INDIRECT("Table!A" &amp; $AN91):INDIRECT("Table!" &amp; $AR$159 &amp; $AN91),0)))))</f>
        <v>115816.8</v>
      </c>
      <c r="P91" s="35">
        <f ca="1">IF(ISERROR(MATCH(P$1,INDIRECT("Table!A"&amp;$AN91):INDIRECT("Table!" &amp; $AR$159 &amp; $AN91),0)),"",INDIRECT(CONCATENATE("Table!",ADDRESS($AJ91,MATCH(P$1,INDIRECT("Table!A" &amp; $AN91):INDIRECT("Table!" &amp; $AR$159 &amp; $AN91),0)))))</f>
        <v>99041.7</v>
      </c>
      <c r="Q91" s="35">
        <f ca="1">IF(ISERROR(MATCH(Q$1,INDIRECT("Table!A"&amp;$AN91):INDIRECT("Table!" &amp; $AR$159 &amp; $AN91),0)),"",INDIRECT(CONCATENATE("Table!",ADDRESS($AJ91,MATCH(Q$1,INDIRECT("Table!A" &amp; $AN91):INDIRECT("Table!" &amp; $AR$159 &amp; $AN91),0)))))</f>
        <v>99041.7</v>
      </c>
      <c r="R91" s="35">
        <f ca="1">IF(ISERROR(MATCH(R$1,INDIRECT("Table!A"&amp;$AN91):INDIRECT("Table!" &amp; $AR$159 &amp; $AN91),0)),"",INDIRECT(CONCATENATE("Table!",ADDRESS($AJ91,MATCH(R$1,INDIRECT("Table!A" &amp; $AN91):INDIRECT("Table!" &amp; $AR$159 &amp; $AN91),0)))))</f>
        <v>181997.8</v>
      </c>
      <c r="S91" s="35">
        <f ca="1">IF(ISERROR(MATCH(S$1,INDIRECT("Table!A"&amp;$AN91):INDIRECT("Table!" &amp; $AR$159 &amp; $AN91),0)),"",INDIRECT(CONCATENATE("Table!",ADDRESS($AJ91,MATCH(S$1,INDIRECT("Table!A" &amp; $AN91):INDIRECT("Table!" &amp; $AR$159 &amp; $AN91),0)))))</f>
        <v>121331.8</v>
      </c>
      <c r="T91" s="35">
        <f ca="1">IF(ISERROR(MATCH(T$1,INDIRECT("Table!A"&amp;$AN91):INDIRECT("Table!" &amp; $AR$159 &amp; $AN91),0)),"",INDIRECT(CONCATENATE("Table!",ADDRESS($AJ91,MATCH(T$1,INDIRECT("Table!A" &amp; $AN91):INDIRECT("Table!" &amp; $AR$159 &amp; $AN91),0)))))</f>
        <v>110071.9</v>
      </c>
      <c r="U91" s="35">
        <f ca="1">IF(ISERROR(MATCH(U$1,INDIRECT("Table!A"&amp;$AN91):INDIRECT("Table!" &amp; $AR$159 &amp; $AN91),0)),"",INDIRECT(CONCATENATE("Table!",ADDRESS($AJ91,MATCH(U$1,INDIRECT("Table!A" &amp; $AN91):INDIRECT("Table!" &amp; $AR$159 &amp; $AN91),0)))))</f>
        <v>121331.8</v>
      </c>
      <c r="V91" s="35">
        <f ca="1">IF(ISERROR(MATCH(V$1,INDIRECT("Table!A"&amp;$AN91):INDIRECT("Table!" &amp; $AR$159 &amp; $AN91),0)),"",INDIRECT(CONCATENATE("Table!",ADDRESS($AJ91,MATCH(V$1,INDIRECT("Table!A" &amp; $AN91):INDIRECT("Table!" &amp; $AR$159 &amp; $AN91),0)))))</f>
        <v>170967.6</v>
      </c>
      <c r="W91" s="35">
        <f ca="1">IF(ISERROR(MATCH(W$1,INDIRECT("Table!A"&amp;$AN91):INDIRECT("Table!" &amp; $AR$159 &amp; $AN91),0)),"",INDIRECT(CONCATENATE("Table!",ADDRESS($AJ91,MATCH(W$1,INDIRECT("Table!A" &amp; $AN91):INDIRECT("Table!" &amp; $AR$159 &amp; $AN91),0)))))</f>
        <v>132132.20000000001</v>
      </c>
      <c r="X91" s="35">
        <f ca="1">IF(ISERROR(MATCH(X$1,INDIRECT("Table!A"&amp;$AN91):INDIRECT("Table!" &amp; $AR$159 &amp; $AN91),0)),"",INDIRECT(CONCATENATE("Table!",ADDRESS($AJ91,MATCH(X$1,INDIRECT("Table!A" &amp; $AN91):INDIRECT("Table!" &amp; $AR$159 &amp; $AN91),0)))))</f>
        <v>60665.9</v>
      </c>
      <c r="Y91" s="35">
        <f ca="1">IF(ISERROR(MATCH(Y$1,INDIRECT("Table!A"&amp;$AN91):INDIRECT("Table!" &amp; $AR$159 &amp; $AN91),0)),"",INDIRECT(CONCATENATE("Table!",ADDRESS($AJ91,MATCH(Y$1,INDIRECT("Table!A" &amp; $AN91):INDIRECT("Table!" &amp; $AR$159 &amp; $AN91),0)))))</f>
        <v>176482.7</v>
      </c>
      <c r="Z91" s="35">
        <f ca="1">IF(ISERROR(MATCH(Z$1,INDIRECT("Table!A"&amp;$AN91):INDIRECT("Table!" &amp; $AR$159 &amp; $AN91),0)),"",INDIRECT(CONCATENATE("Table!",ADDRESS($AJ91,MATCH(Z$1,INDIRECT("Table!A" &amp; $AN91):INDIRECT("Table!" &amp; $AR$159 &amp; $AN91),0)))))</f>
        <v>54921</v>
      </c>
      <c r="AA91" s="12"/>
      <c r="AB91" s="12">
        <f>MATCH($A91,Table!$A:$A,0)+$AD$2-1</f>
        <v>1365</v>
      </c>
      <c r="AF91" s="31">
        <f>MATCH($A91,Table!$A:$A,0)+$AH$2-1</f>
        <v>1363</v>
      </c>
      <c r="AJ91" s="12">
        <f>MATCH($A91,Table!$A:$A,0)+$AL$2-1</f>
        <v>1364</v>
      </c>
      <c r="AN91" s="31">
        <f>MATCH($A91,Table!$A:$A,0)+$AH$2-1</f>
        <v>1363</v>
      </c>
      <c r="AR91" s="187" t="s">
        <v>118</v>
      </c>
    </row>
    <row r="92" spans="1:44">
      <c r="A92" s="5">
        <v>41038</v>
      </c>
      <c r="B92" s="35">
        <f ca="1">IF(ISERROR(MATCH(B$1,INDIRECT("Table!A"&amp;$AF92):INDIRECT("Table!" &amp; $AR$159 &amp; $AF92),0)),"",INDIRECT(CONCATENATE("Table!",ADDRESS($AB92,MATCH(B$1,INDIRECT("Table!A" &amp; $AF92):INDIRECT("Table!" &amp; $AR$159 &amp; $AF92),0)))))</f>
        <v>88314.3</v>
      </c>
      <c r="C92" s="35">
        <f ca="1">IF(ISERROR(MATCH(C$1,INDIRECT("Table!A"&amp;$AF92):INDIRECT("Table!" &amp; $AR$159 &amp; $AF92),0)),"",INDIRECT(CONCATENATE("Table!",ADDRESS($AB92,MATCH(C$1,INDIRECT("Table!A" &amp; $AF92):INDIRECT("Table!" &amp; $AR$159 &amp; $AF92),0)))))</f>
        <v>66795.5</v>
      </c>
      <c r="D92" s="35">
        <f ca="1">IF(ISERROR(MATCH(D$1,INDIRECT("Table!A"&amp;$AF92):INDIRECT("Table!" &amp; $AR$159 &amp; $AF92),0)),"",INDIRECT(CONCATENATE("Table!",ADDRESS($AB92,MATCH(D$1,INDIRECT("Table!A" &amp; $AF92):INDIRECT("Table!" &amp; $AR$159 &amp; $AF92),0)))))</f>
        <v>68170.7</v>
      </c>
      <c r="E92" s="35">
        <f ca="1">IF(ISERROR(MATCH(E$1,INDIRECT("Table!A"&amp;$AF92):INDIRECT("Table!" &amp; $AR$159 &amp; $AF92),0)),"",INDIRECT(CONCATENATE("Table!",ADDRESS($AB92,MATCH(E$1,INDIRECT("Table!A" &amp; $AF92):INDIRECT("Table!" &amp; $AR$159 &amp; $AF92),0)))))</f>
        <v>141676.29999999999</v>
      </c>
      <c r="F92" s="35">
        <f ca="1">IF(ISERROR(MATCH(F$1,INDIRECT("Table!A"&amp;$AF92):INDIRECT("Table!" &amp; $AR$159 &amp; $AF92),0)),"",INDIRECT(CONCATENATE("Table!",ADDRESS($AB92,MATCH(F$1,INDIRECT("Table!A" &amp; $AF92):INDIRECT("Table!" &amp; $AR$159 &amp; $AF92),0)))))</f>
        <v>9372.1</v>
      </c>
      <c r="G92" s="35">
        <f ca="1">IF(ISERROR(MATCH(G$1,INDIRECT("Table!A"&amp;$AF92):INDIRECT("Table!" &amp; $AR$159 &amp; $AF92),0)),"",INDIRECT(CONCATENATE("Table!",ADDRESS($AB92,MATCH(G$1,INDIRECT("Table!A" &amp; $AF92):INDIRECT("Table!" &amp; $AR$159 &amp; $AF92),0)))))</f>
        <v>33231.5</v>
      </c>
      <c r="H92" s="35">
        <f ca="1">IF(ISERROR(MATCH(H$1,INDIRECT("Table!A"&amp;$AF92):INDIRECT("Table!" &amp; $AR$159 &amp; $AF92),0)),"",INDIRECT(CONCATENATE("Table!",ADDRESS($AB92,MATCH(H$1,INDIRECT("Table!A" &amp; $AF92):INDIRECT("Table!" &amp; $AR$159 &amp; $AF92),0)))))</f>
        <v>20515.3</v>
      </c>
      <c r="I92" s="35">
        <f ca="1">IF(ISERROR(MATCH(I$1,INDIRECT("Table!A"&amp;$AF92):INDIRECT("Table!" &amp; $AR$159 &amp; $AF92),0)),"",INDIRECT(CONCATENATE("Table!",ADDRESS($AB92,MATCH(I$1,INDIRECT("Table!A" &amp; $AF92):INDIRECT("Table!" &amp; $AR$159 &amp; $AF92),0)))))</f>
        <v>127531.6</v>
      </c>
      <c r="J92" s="35">
        <f ca="1">IF(ISERROR(MATCH(J$1,INDIRECT("Table!A"&amp;$AF92):INDIRECT("Table!" &amp; $AR$159 &amp; $AF92),0)),"",INDIRECT(CONCATENATE("Table!",ADDRESS($AB92,MATCH(J$1,INDIRECT("Table!A" &amp; $AF92):INDIRECT("Table!" &amp; $AR$159 &amp; $AF92),0)))))</f>
        <v>42885.8</v>
      </c>
      <c r="K92" s="35">
        <f ca="1">IF(ISERROR(MATCH(K$1,INDIRECT("Table!A"&amp;$AF92):INDIRECT("Table!" &amp; $AR$159 &amp; $AF92),0)),"",INDIRECT(CONCATENATE("Table!",ADDRESS($AB92,MATCH(K$1,INDIRECT("Table!A" &amp; $AF92):INDIRECT("Table!" &amp; $AR$159 &amp; $AF92),0)))))</f>
        <v>6153.1</v>
      </c>
      <c r="L92" s="35">
        <f ca="1">IF(ISERROR(MATCH(L$1,INDIRECT("Table!A"&amp;$AF92):INDIRECT("Table!" &amp; $AR$159 &amp; $AF92),0)),"",INDIRECT(CONCATENATE("Table!",ADDRESS($AB92,MATCH(L$1,INDIRECT("Table!A" &amp; $AF92):INDIRECT("Table!" &amp; $AR$159 &amp; $AF92),0)))))</f>
        <v>79845.100000000006</v>
      </c>
      <c r="M92" s="35">
        <f ca="1">IF(ISERROR(MATCH(M$1,INDIRECT("Table!A"&amp;$AF92):INDIRECT("Table!" &amp; $AR$159 &amp; $AF92),0)),"",INDIRECT(CONCATENATE("Table!",ADDRESS($AB92,MATCH(M$1,INDIRECT("Table!A" &amp; $AF92):INDIRECT("Table!" &amp; $AR$159 &amp; $AF92),0)))))</f>
        <v>23943.599999999999</v>
      </c>
      <c r="N92" s="35" t="str">
        <f ca="1">IF(ISERROR(MATCH(N$1,INDIRECT("Table!A"&amp;$AF92):INDIRECT("Table!" &amp; $AR$188 &amp; $AF92),0)),"",INDIRECT(CONCATENATE("Table!",ADDRESS($AB92,MATCH(N$1,INDIRECT("Table!A" &amp; $AF92):INDIRECT("Table!" &amp; $AR$188 &amp; $AF92),0)))))</f>
        <v/>
      </c>
      <c r="O92" s="35">
        <f ca="1">IF(ISERROR(MATCH(O$1,INDIRECT("Table!A"&amp;$AN92):INDIRECT("Table!" &amp; $AR$159 &amp; $AN92),0)),"",INDIRECT(CONCATENATE("Table!",ADDRESS($AJ92,MATCH(O$1,INDIRECT("Table!A" &amp; $AN92):INDIRECT("Table!" &amp; $AR$159 &amp; $AN92),0)))))</f>
        <v>115816.8</v>
      </c>
      <c r="P92" s="35">
        <f ca="1">IF(ISERROR(MATCH(P$1,INDIRECT("Table!A"&amp;$AN92):INDIRECT("Table!" &amp; $AR$159 &amp; $AN92),0)),"",INDIRECT(CONCATENATE("Table!",ADDRESS($AJ92,MATCH(P$1,INDIRECT("Table!A" &amp; $AN92):INDIRECT("Table!" &amp; $AR$159 &amp; $AN92),0)))))</f>
        <v>99041.7</v>
      </c>
      <c r="Q92" s="35">
        <f ca="1">IF(ISERROR(MATCH(Q$1,INDIRECT("Table!A"&amp;$AN92):INDIRECT("Table!" &amp; $AR$159 &amp; $AN92),0)),"",INDIRECT(CONCATENATE("Table!",ADDRESS($AJ92,MATCH(Q$1,INDIRECT("Table!A" &amp; $AN92):INDIRECT("Table!" &amp; $AR$159 &amp; $AN92),0)))))</f>
        <v>99041.7</v>
      </c>
      <c r="R92" s="35">
        <f ca="1">IF(ISERROR(MATCH(R$1,INDIRECT("Table!A"&amp;$AN92):INDIRECT("Table!" &amp; $AR$159 &amp; $AN92),0)),"",INDIRECT(CONCATENATE("Table!",ADDRESS($AJ92,MATCH(R$1,INDIRECT("Table!A" &amp; $AN92):INDIRECT("Table!" &amp; $AR$159 &amp; $AN92),0)))))</f>
        <v>181997.8</v>
      </c>
      <c r="S92" s="35">
        <f ca="1">IF(ISERROR(MATCH(S$1,INDIRECT("Table!A"&amp;$AN92):INDIRECT("Table!" &amp; $AR$159 &amp; $AN92),0)),"",INDIRECT(CONCATENATE("Table!",ADDRESS($AJ92,MATCH(S$1,INDIRECT("Table!A" &amp; $AN92):INDIRECT("Table!" &amp; $AR$159 &amp; $AN92),0)))))</f>
        <v>121331.8</v>
      </c>
      <c r="T92" s="35">
        <f ca="1">IF(ISERROR(MATCH(T$1,INDIRECT("Table!A"&amp;$AN92):INDIRECT("Table!" &amp; $AR$159 &amp; $AN92),0)),"",INDIRECT(CONCATENATE("Table!",ADDRESS($AJ92,MATCH(T$1,INDIRECT("Table!A" &amp; $AN92):INDIRECT("Table!" &amp; $AR$159 &amp; $AN92),0)))))</f>
        <v>110071.9</v>
      </c>
      <c r="U92" s="35">
        <f ca="1">IF(ISERROR(MATCH(U$1,INDIRECT("Table!A"&amp;$AN92):INDIRECT("Table!" &amp; $AR$159 &amp; $AN92),0)),"",INDIRECT(CONCATENATE("Table!",ADDRESS($AJ92,MATCH(U$1,INDIRECT("Table!A" &amp; $AN92):INDIRECT("Table!" &amp; $AR$159 &amp; $AN92),0)))))</f>
        <v>121331.8</v>
      </c>
      <c r="V92" s="35">
        <f ca="1">IF(ISERROR(MATCH(V$1,INDIRECT("Table!A"&amp;$AN92):INDIRECT("Table!" &amp; $AR$159 &amp; $AN92),0)),"",INDIRECT(CONCATENATE("Table!",ADDRESS($AJ92,MATCH(V$1,INDIRECT("Table!A" &amp; $AN92):INDIRECT("Table!" &amp; $AR$159 &amp; $AN92),0)))))</f>
        <v>170967.6</v>
      </c>
      <c r="W92" s="35">
        <f ca="1">IF(ISERROR(MATCH(W$1,INDIRECT("Table!A"&amp;$AN92):INDIRECT("Table!" &amp; $AR$159 &amp; $AN92),0)),"",INDIRECT(CONCATENATE("Table!",ADDRESS($AJ92,MATCH(W$1,INDIRECT("Table!A" &amp; $AN92):INDIRECT("Table!" &amp; $AR$159 &amp; $AN92),0)))))</f>
        <v>132132.20000000001</v>
      </c>
      <c r="X92" s="35">
        <f ca="1">IF(ISERROR(MATCH(X$1,INDIRECT("Table!A"&amp;$AN92):INDIRECT("Table!" &amp; $AR$159 &amp; $AN92),0)),"",INDIRECT(CONCATENATE("Table!",ADDRESS($AJ92,MATCH(X$1,INDIRECT("Table!A" &amp; $AN92):INDIRECT("Table!" &amp; $AR$159 &amp; $AN92),0)))))</f>
        <v>60665.9</v>
      </c>
      <c r="Y92" s="35">
        <f ca="1">IF(ISERROR(MATCH(Y$1,INDIRECT("Table!A"&amp;$AN92):INDIRECT("Table!" &amp; $AR$159 &amp; $AN92),0)),"",INDIRECT(CONCATENATE("Table!",ADDRESS($AJ92,MATCH(Y$1,INDIRECT("Table!A" &amp; $AN92):INDIRECT("Table!" &amp; $AR$159 &amp; $AN92),0)))))</f>
        <v>176482.7</v>
      </c>
      <c r="Z92" s="35">
        <f ca="1">IF(ISERROR(MATCH(Z$1,INDIRECT("Table!A"&amp;$AN92):INDIRECT("Table!" &amp; $AR$159 &amp; $AN92),0)),"",INDIRECT(CONCATENATE("Table!",ADDRESS($AJ92,MATCH(Z$1,INDIRECT("Table!A" &amp; $AN92):INDIRECT("Table!" &amp; $AR$159 &amp; $AN92),0)))))</f>
        <v>54921</v>
      </c>
      <c r="AA92" s="12"/>
      <c r="AB92" s="12">
        <f>MATCH($A92,Table!$A:$A,0)+$AD$2-1</f>
        <v>1378</v>
      </c>
      <c r="AF92" s="31">
        <f>MATCH($A92,Table!$A:$A,0)+$AH$2-1</f>
        <v>1376</v>
      </c>
      <c r="AJ92" s="12">
        <f>MATCH($A92,Table!$A:$A,0)+$AL$2-1</f>
        <v>1377</v>
      </c>
      <c r="AN92" s="31">
        <f>MATCH($A92,Table!$A:$A,0)+$AH$2-1</f>
        <v>1376</v>
      </c>
      <c r="AR92" s="186" t="s">
        <v>118</v>
      </c>
    </row>
    <row r="93" spans="1:44">
      <c r="A93" s="5">
        <v>41037</v>
      </c>
      <c r="B93" s="35">
        <f ca="1">IF(ISERROR(MATCH(B$1,INDIRECT("Table!A"&amp;$AF93):INDIRECT("Table!" &amp; $AR$159 &amp; $AF93),0)),"",INDIRECT(CONCATENATE("Table!",ADDRESS($AB93,MATCH(B$1,INDIRECT("Table!A" &amp; $AF93):INDIRECT("Table!" &amp; $AR$159 &amp; $AF93),0)))))</f>
        <v>88265.9</v>
      </c>
      <c r="C93" s="35">
        <f ca="1">IF(ISERROR(MATCH(C$1,INDIRECT("Table!A"&amp;$AF93):INDIRECT("Table!" &amp; $AR$159 &amp; $AF93),0)),"",INDIRECT(CONCATENATE("Table!",ADDRESS($AB93,MATCH(C$1,INDIRECT("Table!A" &amp; $AF93):INDIRECT("Table!" &amp; $AR$159 &amp; $AF93),0)))))</f>
        <v>66772.800000000003</v>
      </c>
      <c r="D93" s="35">
        <f ca="1">IF(ISERROR(MATCH(D$1,INDIRECT("Table!A"&amp;$AF93):INDIRECT("Table!" &amp; $AR$159 &amp; $AF93),0)),"",INDIRECT(CONCATENATE("Table!",ADDRESS($AB93,MATCH(D$1,INDIRECT("Table!A" &amp; $AF93):INDIRECT("Table!" &amp; $AR$159 &amp; $AF93),0)))))</f>
        <v>68148.100000000006</v>
      </c>
      <c r="E93" s="35">
        <f ca="1">IF(ISERROR(MATCH(E$1,INDIRECT("Table!A"&amp;$AF93):INDIRECT("Table!" &amp; $AR$159 &amp; $AF93),0)),"",INDIRECT(CONCATENATE("Table!",ADDRESS($AB93,MATCH(E$1,INDIRECT("Table!A" &amp; $AF93):INDIRECT("Table!" &amp; $AR$159 &amp; $AF93),0)))))</f>
        <v>140997</v>
      </c>
      <c r="F93" s="35">
        <f ca="1">IF(ISERROR(MATCH(F$1,INDIRECT("Table!A"&amp;$AF93):INDIRECT("Table!" &amp; $AR$159 &amp; $AF93),0)),"",INDIRECT(CONCATENATE("Table!",ADDRESS($AB93,MATCH(F$1,INDIRECT("Table!A" &amp; $AF93):INDIRECT("Table!" &amp; $AR$159 &amp; $AF93),0)))))</f>
        <v>9362.5</v>
      </c>
      <c r="G93" s="35">
        <f ca="1">IF(ISERROR(MATCH(G$1,INDIRECT("Table!A"&amp;$AF93):INDIRECT("Table!" &amp; $AR$159 &amp; $AF93),0)),"",INDIRECT(CONCATENATE("Table!",ADDRESS($AB93,MATCH(G$1,INDIRECT("Table!A" &amp; $AF93):INDIRECT("Table!" &amp; $AR$159 &amp; $AF93),0)))))</f>
        <v>33023.9</v>
      </c>
      <c r="H93" s="35">
        <f ca="1">IF(ISERROR(MATCH(H$1,INDIRECT("Table!A"&amp;$AF93):INDIRECT("Table!" &amp; $AR$159 &amp; $AF93),0)),"",INDIRECT(CONCATENATE("Table!",ADDRESS($AB93,MATCH(H$1,INDIRECT("Table!A" &amp; $AF93):INDIRECT("Table!" &amp; $AR$159 &amp; $AF93),0)))))</f>
        <v>20487.3</v>
      </c>
      <c r="I93" s="35">
        <f ca="1">IF(ISERROR(MATCH(I$1,INDIRECT("Table!A"&amp;$AF93):INDIRECT("Table!" &amp; $AR$159 &amp; $AF93),0)),"",INDIRECT(CONCATENATE("Table!",ADDRESS($AB93,MATCH(I$1,INDIRECT("Table!A" &amp; $AF93):INDIRECT("Table!" &amp; $AR$159 &amp; $AF93),0)))))</f>
        <v>127461.5</v>
      </c>
      <c r="J93" s="35">
        <f ca="1">IF(ISERROR(MATCH(J$1,INDIRECT("Table!A"&amp;$AF93):INDIRECT("Table!" &amp; $AR$159 &amp; $AF93),0)),"",INDIRECT(CONCATENATE("Table!",ADDRESS($AB93,MATCH(J$1,INDIRECT("Table!A" &amp; $AF93):INDIRECT("Table!" &amp; $AR$159 &amp; $AF93),0)))))</f>
        <v>42789.7</v>
      </c>
      <c r="K93" s="35">
        <f ca="1">IF(ISERROR(MATCH(K$1,INDIRECT("Table!A"&amp;$AF93):INDIRECT("Table!" &amp; $AR$159 &amp; $AF93),0)),"",INDIRECT(CONCATENATE("Table!",ADDRESS($AB93,MATCH(K$1,INDIRECT("Table!A" &amp; $AF93):INDIRECT("Table!" &amp; $AR$159 &amp; $AF93),0)))))</f>
        <v>6128</v>
      </c>
      <c r="L93" s="35">
        <f ca="1">IF(ISERROR(MATCH(L$1,INDIRECT("Table!A"&amp;$AF93):INDIRECT("Table!" &amp; $AR$159 &amp; $AF93),0)),"",INDIRECT(CONCATENATE("Table!",ADDRESS($AB93,MATCH(L$1,INDIRECT("Table!A" &amp; $AF93):INDIRECT("Table!" &amp; $AR$159 &amp; $AF93),0)))))</f>
        <v>79789.399999999994</v>
      </c>
      <c r="M93" s="35">
        <f ca="1">IF(ISERROR(MATCH(M$1,INDIRECT("Table!A"&amp;$AF93):INDIRECT("Table!" &amp; $AR$159 &amp; $AF93),0)),"",INDIRECT(CONCATENATE("Table!",ADDRESS($AB93,MATCH(M$1,INDIRECT("Table!A" &amp; $AF93):INDIRECT("Table!" &amp; $AR$159 &amp; $AF93),0)))))</f>
        <v>23943.599999999999</v>
      </c>
      <c r="N93" s="35" t="str">
        <f ca="1">IF(ISERROR(MATCH(N$1,INDIRECT("Table!A"&amp;$AF93):INDIRECT("Table!" &amp; $AR$188 &amp; $AF93),0)),"",INDIRECT(CONCATENATE("Table!",ADDRESS($AB93,MATCH(N$1,INDIRECT("Table!A" &amp; $AF93):INDIRECT("Table!" &amp; $AR$188 &amp; $AF93),0)))))</f>
        <v/>
      </c>
      <c r="O93" s="35">
        <f ca="1">IF(ISERROR(MATCH(O$1,INDIRECT("Table!A"&amp;$AN93):INDIRECT("Table!" &amp; $AR$159 &amp; $AN93),0)),"",INDIRECT(CONCATENATE("Table!",ADDRESS($AJ93,MATCH(O$1,INDIRECT("Table!A" &amp; $AN93):INDIRECT("Table!" &amp; $AR$159 &amp; $AN93),0)))))</f>
        <v>115816.8</v>
      </c>
      <c r="P93" s="35">
        <f ca="1">IF(ISERROR(MATCH(P$1,INDIRECT("Table!A"&amp;$AN93):INDIRECT("Table!" &amp; $AR$159 &amp; $AN93),0)),"",INDIRECT(CONCATENATE("Table!",ADDRESS($AJ93,MATCH(P$1,INDIRECT("Table!A" &amp; $AN93):INDIRECT("Table!" &amp; $AR$159 &amp; $AN93),0)))))</f>
        <v>99041.7</v>
      </c>
      <c r="Q93" s="35">
        <f ca="1">IF(ISERROR(MATCH(Q$1,INDIRECT("Table!A"&amp;$AN93):INDIRECT("Table!" &amp; $AR$159 &amp; $AN93),0)),"",INDIRECT(CONCATENATE("Table!",ADDRESS($AJ93,MATCH(Q$1,INDIRECT("Table!A" &amp; $AN93):INDIRECT("Table!" &amp; $AR$159 &amp; $AN93),0)))))</f>
        <v>99041.7</v>
      </c>
      <c r="R93" s="35">
        <f ca="1">IF(ISERROR(MATCH(R$1,INDIRECT("Table!A"&amp;$AN93):INDIRECT("Table!" &amp; $AR$159 &amp; $AN93),0)),"",INDIRECT(CONCATENATE("Table!",ADDRESS($AJ93,MATCH(R$1,INDIRECT("Table!A" &amp; $AN93):INDIRECT("Table!" &amp; $AR$159 &amp; $AN93),0)))))</f>
        <v>181997.8</v>
      </c>
      <c r="S93" s="35">
        <f ca="1">IF(ISERROR(MATCH(S$1,INDIRECT("Table!A"&amp;$AN93):INDIRECT("Table!" &amp; $AR$159 &amp; $AN93),0)),"",INDIRECT(CONCATENATE("Table!",ADDRESS($AJ93,MATCH(S$1,INDIRECT("Table!A" &amp; $AN93):INDIRECT("Table!" &amp; $AR$159 &amp; $AN93),0)))))</f>
        <v>121331.8</v>
      </c>
      <c r="T93" s="35">
        <f ca="1">IF(ISERROR(MATCH(T$1,INDIRECT("Table!A"&amp;$AN93):INDIRECT("Table!" &amp; $AR$159 &amp; $AN93),0)),"",INDIRECT(CONCATENATE("Table!",ADDRESS($AJ93,MATCH(T$1,INDIRECT("Table!A" &amp; $AN93):INDIRECT("Table!" &amp; $AR$159 &amp; $AN93),0)))))</f>
        <v>110071.9</v>
      </c>
      <c r="U93" s="35">
        <f ca="1">IF(ISERROR(MATCH(U$1,INDIRECT("Table!A"&amp;$AN93):INDIRECT("Table!" &amp; $AR$159 &amp; $AN93),0)),"",INDIRECT(CONCATENATE("Table!",ADDRESS($AJ93,MATCH(U$1,INDIRECT("Table!A" &amp; $AN93):INDIRECT("Table!" &amp; $AR$159 &amp; $AN93),0)))))</f>
        <v>121331.8</v>
      </c>
      <c r="V93" s="35">
        <f ca="1">IF(ISERROR(MATCH(V$1,INDIRECT("Table!A"&amp;$AN93):INDIRECT("Table!" &amp; $AR$159 &amp; $AN93),0)),"",INDIRECT(CONCATENATE("Table!",ADDRESS($AJ93,MATCH(V$1,INDIRECT("Table!A" &amp; $AN93):INDIRECT("Table!" &amp; $AR$159 &amp; $AN93),0)))))</f>
        <v>170967.6</v>
      </c>
      <c r="W93" s="35">
        <f ca="1">IF(ISERROR(MATCH(W$1,INDIRECT("Table!A"&amp;$AN93):INDIRECT("Table!" &amp; $AR$159 &amp; $AN93),0)),"",INDIRECT(CONCATENATE("Table!",ADDRESS($AJ93,MATCH(W$1,INDIRECT("Table!A" &amp; $AN93):INDIRECT("Table!" &amp; $AR$159 &amp; $AN93),0)))))</f>
        <v>132132.20000000001</v>
      </c>
      <c r="X93" s="35">
        <f ca="1">IF(ISERROR(MATCH(X$1,INDIRECT("Table!A"&amp;$AN93):INDIRECT("Table!" &amp; $AR$159 &amp; $AN93),0)),"",INDIRECT(CONCATENATE("Table!",ADDRESS($AJ93,MATCH(X$1,INDIRECT("Table!A" &amp; $AN93):INDIRECT("Table!" &amp; $AR$159 &amp; $AN93),0)))))</f>
        <v>60665.9</v>
      </c>
      <c r="Y93" s="35">
        <f ca="1">IF(ISERROR(MATCH(Y$1,INDIRECT("Table!A"&amp;$AN93):INDIRECT("Table!" &amp; $AR$159 &amp; $AN93),0)),"",INDIRECT(CONCATENATE("Table!",ADDRESS($AJ93,MATCH(Y$1,INDIRECT("Table!A" &amp; $AN93):INDIRECT("Table!" &amp; $AR$159 &amp; $AN93),0)))))</f>
        <v>176482.7</v>
      </c>
      <c r="Z93" s="35">
        <f ca="1">IF(ISERROR(MATCH(Z$1,INDIRECT("Table!A"&amp;$AN93):INDIRECT("Table!" &amp; $AR$159 &amp; $AN93),0)),"",INDIRECT(CONCATENATE("Table!",ADDRESS($AJ93,MATCH(Z$1,INDIRECT("Table!A" &amp; $AN93):INDIRECT("Table!" &amp; $AR$159 &amp; $AN93),0)))))</f>
        <v>54921</v>
      </c>
      <c r="AA93" s="12"/>
      <c r="AB93" s="12">
        <f>MATCH($A93,Table!$A:$A,0)+$AD$2-1</f>
        <v>1391</v>
      </c>
      <c r="AF93" s="31">
        <f>MATCH($A93,Table!$A:$A,0)+$AH$2-1</f>
        <v>1389</v>
      </c>
      <c r="AJ93" s="12">
        <f>MATCH($A93,Table!$A:$A,0)+$AL$2-1</f>
        <v>1390</v>
      </c>
      <c r="AN93" s="31">
        <f>MATCH($A93,Table!$A:$A,0)+$AH$2-1</f>
        <v>1389</v>
      </c>
      <c r="AR93" s="185" t="s">
        <v>118</v>
      </c>
    </row>
    <row r="94" spans="1:44">
      <c r="A94" s="5">
        <v>41033</v>
      </c>
      <c r="B94" s="35">
        <f ca="1">IF(ISERROR(MATCH(B$1,INDIRECT("Table!A"&amp;$AF94):INDIRECT("Table!" &amp; $AR$159 &amp; $AF94),0)),"",INDIRECT(CONCATENATE("Table!",ADDRESS($AB94,MATCH(B$1,INDIRECT("Table!A" &amp; $AF94):INDIRECT("Table!" &amp; $AR$159 &amp; $AF94),0)))))</f>
        <v>88147</v>
      </c>
      <c r="C94" s="35">
        <f ca="1">IF(ISERROR(MATCH(C$1,INDIRECT("Table!A"&amp;$AF94):INDIRECT("Table!" &amp; $AR$159 &amp; $AF94),0)),"",INDIRECT(CONCATENATE("Table!",ADDRESS($AB94,MATCH(C$1,INDIRECT("Table!A" &amp; $AF94):INDIRECT("Table!" &amp; $AR$159 &amp; $AF94),0)))))</f>
        <v>66748.2</v>
      </c>
      <c r="D94" s="35">
        <f ca="1">IF(ISERROR(MATCH(D$1,INDIRECT("Table!A"&amp;$AF94):INDIRECT("Table!" &amp; $AR$159 &amp; $AF94),0)),"",INDIRECT(CONCATENATE("Table!",ADDRESS($AB94,MATCH(D$1,INDIRECT("Table!A" &amp; $AF94):INDIRECT("Table!" &amp; $AR$159 &amp; $AF94),0)))))</f>
        <v>68123.600000000006</v>
      </c>
      <c r="E94" s="35">
        <f ca="1">IF(ISERROR(MATCH(E$1,INDIRECT("Table!A"&amp;$AF94):INDIRECT("Table!" &amp; $AR$159 &amp; $AF94),0)),"",INDIRECT(CONCATENATE("Table!",ADDRESS($AB94,MATCH(E$1,INDIRECT("Table!A" &amp; $AF94):INDIRECT("Table!" &amp; $AR$159 &amp; $AF94),0)))))</f>
        <v>138767.1</v>
      </c>
      <c r="F94" s="35">
        <f ca="1">IF(ISERROR(MATCH(F$1,INDIRECT("Table!A"&amp;$AF94):INDIRECT("Table!" &amp; $AR$159 &amp; $AF94),0)),"",INDIRECT(CONCATENATE("Table!",ADDRESS($AB94,MATCH(F$1,INDIRECT("Table!A" &amp; $AF94):INDIRECT("Table!" &amp; $AR$159 &amp; $AF94),0)))))</f>
        <v>9123.4</v>
      </c>
      <c r="G94" s="35">
        <f ca="1">IF(ISERROR(MATCH(G$1,INDIRECT("Table!A"&amp;$AF94):INDIRECT("Table!" &amp; $AR$159 &amp; $AF94),0)),"",INDIRECT(CONCATENATE("Table!",ADDRESS($AB94,MATCH(G$1,INDIRECT("Table!A" &amp; $AF94):INDIRECT("Table!" &amp; $AR$159 &amp; $AF94),0)))))</f>
        <v>33133.1</v>
      </c>
      <c r="H94" s="35">
        <f ca="1">IF(ISERROR(MATCH(H$1,INDIRECT("Table!A"&amp;$AF94):INDIRECT("Table!" &amp; $AR$159 &amp; $AF94),0)),"",INDIRECT(CONCATENATE("Table!",ADDRESS($AB94,MATCH(H$1,INDIRECT("Table!A" &amp; $AF94):INDIRECT("Table!" &amp; $AR$159 &amp; $AF94),0)))))</f>
        <v>20468</v>
      </c>
      <c r="I94" s="35">
        <f ca="1">IF(ISERROR(MATCH(I$1,INDIRECT("Table!A"&amp;$AF94):INDIRECT("Table!" &amp; $AR$159 &amp; $AF94),0)),"",INDIRECT(CONCATENATE("Table!",ADDRESS($AB94,MATCH(I$1,INDIRECT("Table!A" &amp; $AF94):INDIRECT("Table!" &amp; $AR$159 &amp; $AF94),0)))))</f>
        <v>126723.5</v>
      </c>
      <c r="J94" s="35">
        <f ca="1">IF(ISERROR(MATCH(J$1,INDIRECT("Table!A"&amp;$AF94):INDIRECT("Table!" &amp; $AR$159 &amp; $AF94),0)),"",INDIRECT(CONCATENATE("Table!",ADDRESS($AB94,MATCH(J$1,INDIRECT("Table!A" &amp; $AF94):INDIRECT("Table!" &amp; $AR$159 &amp; $AF94),0)))))</f>
        <v>42482.6</v>
      </c>
      <c r="K94" s="35">
        <f ca="1">IF(ISERROR(MATCH(K$1,INDIRECT("Table!A"&amp;$AF94):INDIRECT("Table!" &amp; $AR$159 &amp; $AF94),0)),"",INDIRECT(CONCATENATE("Table!",ADDRESS($AB94,MATCH(K$1,INDIRECT("Table!A" &amp; $AF94):INDIRECT("Table!" &amp; $AR$159 &amp; $AF94),0)))))</f>
        <v>4851.6000000000004</v>
      </c>
      <c r="L94" s="35">
        <f ca="1">IF(ISERROR(MATCH(L$1,INDIRECT("Table!A"&amp;$AF94):INDIRECT("Table!" &amp; $AR$159 &amp; $AF94),0)),"",INDIRECT(CONCATENATE("Table!",ADDRESS($AB94,MATCH(L$1,INDIRECT("Table!A" &amp; $AF94):INDIRECT("Table!" &amp; $AR$159 &amp; $AF94),0)))))</f>
        <v>79741.8</v>
      </c>
      <c r="M94" s="35">
        <f ca="1">IF(ISERROR(MATCH(M$1,INDIRECT("Table!A"&amp;$AF94):INDIRECT("Table!" &amp; $AR$159 &amp; $AF94),0)),"",INDIRECT(CONCATENATE("Table!",ADDRESS($AB94,MATCH(M$1,INDIRECT("Table!A" &amp; $AF94):INDIRECT("Table!" &amp; $AR$159 &amp; $AF94),0)))))</f>
        <v>23937.599999999999</v>
      </c>
      <c r="N94" s="35" t="str">
        <f ca="1">IF(ISERROR(MATCH(N$1,INDIRECT("Table!A"&amp;$AF94):INDIRECT("Table!" &amp; $AR$188 &amp; $AF94),0)),"",INDIRECT(CONCATENATE("Table!",ADDRESS($AB94,MATCH(N$1,INDIRECT("Table!A" &amp; $AF94):INDIRECT("Table!" &amp; $AR$188 &amp; $AF94),0)))))</f>
        <v/>
      </c>
      <c r="O94" s="35">
        <f ca="1">IF(ISERROR(MATCH(O$1,INDIRECT("Table!A"&amp;$AN94):INDIRECT("Table!" &amp; $AR$159 &amp; $AN94),0)),"",INDIRECT(CONCATENATE("Table!",ADDRESS($AJ94,MATCH(O$1,INDIRECT("Table!A" &amp; $AN94):INDIRECT("Table!" &amp; $AR$159 &amp; $AN94),0)))))</f>
        <v>115816.8</v>
      </c>
      <c r="P94" s="35">
        <f ca="1">IF(ISERROR(MATCH(P$1,INDIRECT("Table!A"&amp;$AN94):INDIRECT("Table!" &amp; $AR$159 &amp; $AN94),0)),"",INDIRECT(CONCATENATE("Table!",ADDRESS($AJ94,MATCH(P$1,INDIRECT("Table!A" &amp; $AN94):INDIRECT("Table!" &amp; $AR$159 &amp; $AN94),0)))))</f>
        <v>99041.7</v>
      </c>
      <c r="Q94" s="35">
        <f ca="1">IF(ISERROR(MATCH(Q$1,INDIRECT("Table!A"&amp;$AN94):INDIRECT("Table!" &amp; $AR$159 &amp; $AN94),0)),"",INDIRECT(CONCATENATE("Table!",ADDRESS($AJ94,MATCH(Q$1,INDIRECT("Table!A" &amp; $AN94):INDIRECT("Table!" &amp; $AR$159 &amp; $AN94),0)))))</f>
        <v>99041.7</v>
      </c>
      <c r="R94" s="35">
        <f ca="1">IF(ISERROR(MATCH(R$1,INDIRECT("Table!A"&amp;$AN94):INDIRECT("Table!" &amp; $AR$159 &amp; $AN94),0)),"",INDIRECT(CONCATENATE("Table!",ADDRESS($AJ94,MATCH(R$1,INDIRECT("Table!A" &amp; $AN94):INDIRECT("Table!" &amp; $AR$159 &amp; $AN94),0)))))</f>
        <v>181997.8</v>
      </c>
      <c r="S94" s="35">
        <f ca="1">IF(ISERROR(MATCH(S$1,INDIRECT("Table!A"&amp;$AN94):INDIRECT("Table!" &amp; $AR$159 &amp; $AN94),0)),"",INDIRECT(CONCATENATE("Table!",ADDRESS($AJ94,MATCH(S$1,INDIRECT("Table!A" &amp; $AN94):INDIRECT("Table!" &amp; $AR$159 &amp; $AN94),0)))))</f>
        <v>121331.8</v>
      </c>
      <c r="T94" s="35">
        <f ca="1">IF(ISERROR(MATCH(T$1,INDIRECT("Table!A"&amp;$AN94):INDIRECT("Table!" &amp; $AR$159 &amp; $AN94),0)),"",INDIRECT(CONCATENATE("Table!",ADDRESS($AJ94,MATCH(T$1,INDIRECT("Table!A" &amp; $AN94):INDIRECT("Table!" &amp; $AR$159 &amp; $AN94),0)))))</f>
        <v>110071.9</v>
      </c>
      <c r="U94" s="35">
        <f ca="1">IF(ISERROR(MATCH(U$1,INDIRECT("Table!A"&amp;$AN94):INDIRECT("Table!" &amp; $AR$159 &amp; $AN94),0)),"",INDIRECT(CONCATENATE("Table!",ADDRESS($AJ94,MATCH(U$1,INDIRECT("Table!A" &amp; $AN94):INDIRECT("Table!" &amp; $AR$159 &amp; $AN94),0)))))</f>
        <v>121331.8</v>
      </c>
      <c r="V94" s="35">
        <f ca="1">IF(ISERROR(MATCH(V$1,INDIRECT("Table!A"&amp;$AN94):INDIRECT("Table!" &amp; $AR$159 &amp; $AN94),0)),"",INDIRECT(CONCATENATE("Table!",ADDRESS($AJ94,MATCH(V$1,INDIRECT("Table!A" &amp; $AN94):INDIRECT("Table!" &amp; $AR$159 &amp; $AN94),0)))))</f>
        <v>170967.6</v>
      </c>
      <c r="W94" s="35">
        <f ca="1">IF(ISERROR(MATCH(W$1,INDIRECT("Table!A"&amp;$AN94):INDIRECT("Table!" &amp; $AR$159 &amp; $AN94),0)),"",INDIRECT(CONCATENATE("Table!",ADDRESS($AJ94,MATCH(W$1,INDIRECT("Table!A" &amp; $AN94):INDIRECT("Table!" &amp; $AR$159 &amp; $AN94),0)))))</f>
        <v>132132.20000000001</v>
      </c>
      <c r="X94" s="35">
        <f ca="1">IF(ISERROR(MATCH(X$1,INDIRECT("Table!A"&amp;$AN94):INDIRECT("Table!" &amp; $AR$159 &amp; $AN94),0)),"",INDIRECT(CONCATENATE("Table!",ADDRESS($AJ94,MATCH(X$1,INDIRECT("Table!A" &amp; $AN94):INDIRECT("Table!" &amp; $AR$159 &amp; $AN94),0)))))</f>
        <v>60665.9</v>
      </c>
      <c r="Y94" s="35">
        <f ca="1">IF(ISERROR(MATCH(Y$1,INDIRECT("Table!A"&amp;$AN94):INDIRECT("Table!" &amp; $AR$159 &amp; $AN94),0)),"",INDIRECT(CONCATENATE("Table!",ADDRESS($AJ94,MATCH(Y$1,INDIRECT("Table!A" &amp; $AN94):INDIRECT("Table!" &amp; $AR$159 &amp; $AN94),0)))))</f>
        <v>176482.7</v>
      </c>
      <c r="Z94" s="35">
        <f ca="1">IF(ISERROR(MATCH(Z$1,INDIRECT("Table!A"&amp;$AN94):INDIRECT("Table!" &amp; $AR$159 &amp; $AN94),0)),"",INDIRECT(CONCATENATE("Table!",ADDRESS($AJ94,MATCH(Z$1,INDIRECT("Table!A" &amp; $AN94):INDIRECT("Table!" &amp; $AR$159 &amp; $AN94),0)))))</f>
        <v>54921</v>
      </c>
      <c r="AA94" s="12"/>
      <c r="AB94" s="12">
        <f>MATCH($A94,Table!$A:$A,0)+$AD$2-1</f>
        <v>1404</v>
      </c>
      <c r="AF94" s="31">
        <f>MATCH($A94,Table!$A:$A,0)+$AH$2-1</f>
        <v>1402</v>
      </c>
      <c r="AJ94" s="12">
        <f>MATCH($A94,Table!$A:$A,0)+$AL$2-1</f>
        <v>1403</v>
      </c>
      <c r="AN94" s="31">
        <f>MATCH($A94,Table!$A:$A,0)+$AH$2-1</f>
        <v>1402</v>
      </c>
      <c r="AR94" s="184" t="s">
        <v>118</v>
      </c>
    </row>
    <row r="95" spans="1:44">
      <c r="A95" s="5">
        <v>41031</v>
      </c>
      <c r="B95" s="35">
        <f ca="1">IF(ISERROR(MATCH(B$1,INDIRECT("Table!A"&amp;$AF95):INDIRECT("Table!" &amp; $AR$159 &amp; $AF95),0)),"",INDIRECT(CONCATENATE("Table!",ADDRESS($AB95,MATCH(B$1,INDIRECT("Table!A" &amp; $AF95):INDIRECT("Table!" &amp; $AR$159 &amp; $AF95),0)))))</f>
        <v>88105.4</v>
      </c>
      <c r="C95" s="35">
        <f ca="1">IF(ISERROR(MATCH(C$1,INDIRECT("Table!A"&amp;$AF95):INDIRECT("Table!" &amp; $AR$159 &amp; $AF95),0)),"",INDIRECT(CONCATENATE("Table!",ADDRESS($AB95,MATCH(C$1,INDIRECT("Table!A" &amp; $AF95):INDIRECT("Table!" &amp; $AR$159 &amp; $AF95),0)))))</f>
        <v>66733.899999999994</v>
      </c>
      <c r="D95" s="35">
        <f ca="1">IF(ISERROR(MATCH(D$1,INDIRECT("Table!A"&amp;$AF95):INDIRECT("Table!" &amp; $AR$159 &amp; $AF95),0)),"",INDIRECT(CONCATENATE("Table!",ADDRESS($AB95,MATCH(D$1,INDIRECT("Table!A" &amp; $AF95):INDIRECT("Table!" &amp; $AR$159 &amp; $AF95),0)))))</f>
        <v>68109.399999999994</v>
      </c>
      <c r="E95" s="35">
        <f ca="1">IF(ISERROR(MATCH(E$1,INDIRECT("Table!A"&amp;$AF95):INDIRECT("Table!" &amp; $AR$159 &amp; $AF95),0)),"",INDIRECT(CONCATENATE("Table!",ADDRESS($AB95,MATCH(E$1,INDIRECT("Table!A" &amp; $AF95):INDIRECT("Table!" &amp; $AR$159 &amp; $AF95),0)))))</f>
        <v>137414.1</v>
      </c>
      <c r="F95" s="35">
        <f ca="1">IF(ISERROR(MATCH(F$1,INDIRECT("Table!A"&amp;$AF95):INDIRECT("Table!" &amp; $AR$159 &amp; $AF95),0)),"",INDIRECT(CONCATENATE("Table!",ADDRESS($AB95,MATCH(F$1,INDIRECT("Table!A" &amp; $AF95):INDIRECT("Table!" &amp; $AR$159 &amp; $AF95),0)))))</f>
        <v>8919.7000000000007</v>
      </c>
      <c r="G95" s="35">
        <f ca="1">IF(ISERROR(MATCH(G$1,INDIRECT("Table!A"&amp;$AF95):INDIRECT("Table!" &amp; $AR$159 &amp; $AF95),0)),"",INDIRECT(CONCATENATE("Table!",ADDRESS($AB95,MATCH(G$1,INDIRECT("Table!A" &amp; $AF95):INDIRECT("Table!" &amp; $AR$159 &amp; $AF95),0)))))</f>
        <v>33031.699999999997</v>
      </c>
      <c r="H95" s="35">
        <f ca="1">IF(ISERROR(MATCH(H$1,INDIRECT("Table!A"&amp;$AF95):INDIRECT("Table!" &amp; $AR$159 &amp; $AF95),0)),"",INDIRECT(CONCATENATE("Table!",ADDRESS($AB95,MATCH(H$1,INDIRECT("Table!A" &amp; $AF95):INDIRECT("Table!" &amp; $AR$159 &amp; $AF95),0)))))</f>
        <v>20457.099999999999</v>
      </c>
      <c r="I95" s="35">
        <f ca="1">IF(ISERROR(MATCH(I$1,INDIRECT("Table!A"&amp;$AF95):INDIRECT("Table!" &amp; $AR$159 &amp; $AF95),0)),"",INDIRECT(CONCATENATE("Table!",ADDRESS($AB95,MATCH(I$1,INDIRECT("Table!A" &amp; $AF95):INDIRECT("Table!" &amp; $AR$159 &amp; $AF95),0)))))</f>
        <v>125856.3</v>
      </c>
      <c r="J95" s="35">
        <f ca="1">IF(ISERROR(MATCH(J$1,INDIRECT("Table!A"&amp;$AF95):INDIRECT("Table!" &amp; $AR$159 &amp; $AF95),0)),"",INDIRECT(CONCATENATE("Table!",ADDRESS($AB95,MATCH(J$1,INDIRECT("Table!A" &amp; $AF95):INDIRECT("Table!" &amp; $AR$159 &amp; $AF95),0)))))</f>
        <v>42326.6</v>
      </c>
      <c r="K95" s="35">
        <f ca="1">IF(ISERROR(MATCH(K$1,INDIRECT("Table!A"&amp;$AF95):INDIRECT("Table!" &amp; $AR$159 &amp; $AF95),0)),"",INDIRECT(CONCATENATE("Table!",ADDRESS($AB95,MATCH(K$1,INDIRECT("Table!A" &amp; $AF95):INDIRECT("Table!" &amp; $AR$159 &amp; $AF95),0)))))</f>
        <v>4736.1000000000004</v>
      </c>
      <c r="L95" s="35">
        <f ca="1">IF(ISERROR(MATCH(L$1,INDIRECT("Table!A"&amp;$AF95):INDIRECT("Table!" &amp; $AR$159 &amp; $AF95),0)),"",INDIRECT(CONCATENATE("Table!",ADDRESS($AB95,MATCH(L$1,INDIRECT("Table!A" &amp; $AF95):INDIRECT("Table!" &amp; $AR$159 &amp; $AF95),0)))))</f>
        <v>79622</v>
      </c>
      <c r="M95" s="35">
        <f ca="1">IF(ISERROR(MATCH(M$1,INDIRECT("Table!A"&amp;$AF95):INDIRECT("Table!" &amp; $AR$159 &amp; $AF95),0)),"",INDIRECT(CONCATENATE("Table!",ADDRESS($AB95,MATCH(M$1,INDIRECT("Table!A" &amp; $AF95):INDIRECT("Table!" &amp; $AR$159 &amp; $AF95),0)))))</f>
        <v>23923.4</v>
      </c>
      <c r="N95" s="35" t="str">
        <f ca="1">IF(ISERROR(MATCH(N$1,INDIRECT("Table!A"&amp;$AF95):INDIRECT("Table!" &amp; $AR$188 &amp; $AF95),0)),"",INDIRECT(CONCATENATE("Table!",ADDRESS($AB95,MATCH(N$1,INDIRECT("Table!A" &amp; $AF95):INDIRECT("Table!" &amp; $AR$188 &amp; $AF95),0)))))</f>
        <v/>
      </c>
      <c r="O95" s="35">
        <f ca="1">IF(ISERROR(MATCH(O$1,INDIRECT("Table!A"&amp;$AN95):INDIRECT("Table!" &amp; $AR$159 &amp; $AN95),0)),"",INDIRECT(CONCATENATE("Table!",ADDRESS($AJ95,MATCH(O$1,INDIRECT("Table!A" &amp; $AN95):INDIRECT("Table!" &amp; $AR$159 &amp; $AN95),0)))))</f>
        <v>115816.8</v>
      </c>
      <c r="P95" s="35">
        <f ca="1">IF(ISERROR(MATCH(P$1,INDIRECT("Table!A"&amp;$AN95):INDIRECT("Table!" &amp; $AR$159 &amp; $AN95),0)),"",INDIRECT(CONCATENATE("Table!",ADDRESS($AJ95,MATCH(P$1,INDIRECT("Table!A" &amp; $AN95):INDIRECT("Table!" &amp; $AR$159 &amp; $AN95),0)))))</f>
        <v>99041.7</v>
      </c>
      <c r="Q95" s="35">
        <f ca="1">IF(ISERROR(MATCH(Q$1,INDIRECT("Table!A"&amp;$AN95):INDIRECT("Table!" &amp; $AR$159 &amp; $AN95),0)),"",INDIRECT(CONCATENATE("Table!",ADDRESS($AJ95,MATCH(Q$1,INDIRECT("Table!A" &amp; $AN95):INDIRECT("Table!" &amp; $AR$159 &amp; $AN95),0)))))</f>
        <v>99041.7</v>
      </c>
      <c r="R95" s="35">
        <f ca="1">IF(ISERROR(MATCH(R$1,INDIRECT("Table!A"&amp;$AN95):INDIRECT("Table!" &amp; $AR$159 &amp; $AN95),0)),"",INDIRECT(CONCATENATE("Table!",ADDRESS($AJ95,MATCH(R$1,INDIRECT("Table!A" &amp; $AN95):INDIRECT("Table!" &amp; $AR$159 &amp; $AN95),0)))))</f>
        <v>181997.8</v>
      </c>
      <c r="S95" s="35">
        <f ca="1">IF(ISERROR(MATCH(S$1,INDIRECT("Table!A"&amp;$AN95):INDIRECT("Table!" &amp; $AR$159 &amp; $AN95),0)),"",INDIRECT(CONCATENATE("Table!",ADDRESS($AJ95,MATCH(S$1,INDIRECT("Table!A" &amp; $AN95):INDIRECT("Table!" &amp; $AR$159 &amp; $AN95),0)))))</f>
        <v>121331.8</v>
      </c>
      <c r="T95" s="35">
        <f ca="1">IF(ISERROR(MATCH(T$1,INDIRECT("Table!A"&amp;$AN95):INDIRECT("Table!" &amp; $AR$159 &amp; $AN95),0)),"",INDIRECT(CONCATENATE("Table!",ADDRESS($AJ95,MATCH(T$1,INDIRECT("Table!A" &amp; $AN95):INDIRECT("Table!" &amp; $AR$159 &amp; $AN95),0)))))</f>
        <v>110071.9</v>
      </c>
      <c r="U95" s="35">
        <f ca="1">IF(ISERROR(MATCH(U$1,INDIRECT("Table!A"&amp;$AN95):INDIRECT("Table!" &amp; $AR$159 &amp; $AN95),0)),"",INDIRECT(CONCATENATE("Table!",ADDRESS($AJ95,MATCH(U$1,INDIRECT("Table!A" &amp; $AN95):INDIRECT("Table!" &amp; $AR$159 &amp; $AN95),0)))))</f>
        <v>121331.8</v>
      </c>
      <c r="V95" s="35">
        <f ca="1">IF(ISERROR(MATCH(V$1,INDIRECT("Table!A"&amp;$AN95):INDIRECT("Table!" &amp; $AR$159 &amp; $AN95),0)),"",INDIRECT(CONCATENATE("Table!",ADDRESS($AJ95,MATCH(V$1,INDIRECT("Table!A" &amp; $AN95):INDIRECT("Table!" &amp; $AR$159 &amp; $AN95),0)))))</f>
        <v>170967.6</v>
      </c>
      <c r="W95" s="35">
        <f ca="1">IF(ISERROR(MATCH(W$1,INDIRECT("Table!A"&amp;$AN95):INDIRECT("Table!" &amp; $AR$159 &amp; $AN95),0)),"",INDIRECT(CONCATENATE("Table!",ADDRESS($AJ95,MATCH(W$1,INDIRECT("Table!A" &amp; $AN95):INDIRECT("Table!" &amp; $AR$159 &amp; $AN95),0)))))</f>
        <v>132132.20000000001</v>
      </c>
      <c r="X95" s="35">
        <f ca="1">IF(ISERROR(MATCH(X$1,INDIRECT("Table!A"&amp;$AN95):INDIRECT("Table!" &amp; $AR$159 &amp; $AN95),0)),"",INDIRECT(CONCATENATE("Table!",ADDRESS($AJ95,MATCH(X$1,INDIRECT("Table!A" &amp; $AN95):INDIRECT("Table!" &amp; $AR$159 &amp; $AN95),0)))))</f>
        <v>60665.9</v>
      </c>
      <c r="Y95" s="35">
        <f ca="1">IF(ISERROR(MATCH(Y$1,INDIRECT("Table!A"&amp;$AN95):INDIRECT("Table!" &amp; $AR$159 &amp; $AN95),0)),"",INDIRECT(CONCATENATE("Table!",ADDRESS($AJ95,MATCH(Y$1,INDIRECT("Table!A" &amp; $AN95):INDIRECT("Table!" &amp; $AR$159 &amp; $AN95),0)))))</f>
        <v>176482.7</v>
      </c>
      <c r="Z95" s="35">
        <f ca="1">IF(ISERROR(MATCH(Z$1,INDIRECT("Table!A"&amp;$AN95):INDIRECT("Table!" &amp; $AR$159 &amp; $AN95),0)),"",INDIRECT(CONCATENATE("Table!",ADDRESS($AJ95,MATCH(Z$1,INDIRECT("Table!A" &amp; $AN95):INDIRECT("Table!" &amp; $AR$159 &amp; $AN95),0)))))</f>
        <v>54921</v>
      </c>
      <c r="AA95" s="12"/>
      <c r="AB95" s="12">
        <f>MATCH($A95,Table!$A:$A,0)+$AD$2-1</f>
        <v>1417</v>
      </c>
      <c r="AF95" s="31">
        <f>MATCH($A95,Table!$A:$A,0)+$AH$2-1</f>
        <v>1415</v>
      </c>
      <c r="AJ95" s="12">
        <f>MATCH($A95,Table!$A:$A,0)+$AL$2-1</f>
        <v>1416</v>
      </c>
      <c r="AN95" s="31">
        <f>MATCH($A95,Table!$A:$A,0)+$AH$2-1</f>
        <v>1415</v>
      </c>
      <c r="AR95" s="183" t="s">
        <v>118</v>
      </c>
    </row>
    <row r="96" spans="1:44">
      <c r="A96" s="5">
        <v>41030</v>
      </c>
      <c r="B96" s="35">
        <f ca="1">IF(ISERROR(MATCH(B$1,INDIRECT("Table!A"&amp;$AF96):INDIRECT("Table!" &amp; $AR$159 &amp; $AF96),0)),"",INDIRECT(CONCATENATE("Table!",ADDRESS($AB96,MATCH(B$1,INDIRECT("Table!A" &amp; $AF96):INDIRECT("Table!" &amp; $AR$159 &amp; $AF96),0)))))</f>
        <v>88098.3</v>
      </c>
      <c r="C96" s="35">
        <f ca="1">IF(ISERROR(MATCH(C$1,INDIRECT("Table!A"&amp;$AF96):INDIRECT("Table!" &amp; $AR$159 &amp; $AF96),0)),"",INDIRECT(CONCATENATE("Table!",ADDRESS($AB96,MATCH(C$1,INDIRECT("Table!A" &amp; $AF96):INDIRECT("Table!" &amp; $AR$159 &amp; $AF96),0)))))</f>
        <v>66719.7</v>
      </c>
      <c r="D96" s="35">
        <f ca="1">IF(ISERROR(MATCH(D$1,INDIRECT("Table!A"&amp;$AF96):INDIRECT("Table!" &amp; $AR$159 &amp; $AF96),0)),"",INDIRECT(CONCATENATE("Table!",ADDRESS($AB96,MATCH(D$1,INDIRECT("Table!A" &amp; $AF96):INDIRECT("Table!" &amp; $AR$159 &amp; $AF96),0)))))</f>
        <v>68095.100000000006</v>
      </c>
      <c r="E96" s="35">
        <f ca="1">IF(ISERROR(MATCH(E$1,INDIRECT("Table!A"&amp;$AF96):INDIRECT("Table!" &amp; $AR$159 &amp; $AF96),0)),"",INDIRECT(CONCATENATE("Table!",ADDRESS($AB96,MATCH(E$1,INDIRECT("Table!A" &amp; $AF96):INDIRECT("Table!" &amp; $AR$159 &amp; $AF96),0)))))</f>
        <v>136747.5</v>
      </c>
      <c r="F96" s="35">
        <f ca="1">IF(ISERROR(MATCH(F$1,INDIRECT("Table!A"&amp;$AF96):INDIRECT("Table!" &amp; $AR$159 &amp; $AF96),0)),"",INDIRECT(CONCATENATE("Table!",ADDRESS($AB96,MATCH(F$1,INDIRECT("Table!A" &amp; $AF96):INDIRECT("Table!" &amp; $AR$159 &amp; $AF96),0)))))</f>
        <v>8864.9</v>
      </c>
      <c r="G96" s="35">
        <f ca="1">IF(ISERROR(MATCH(G$1,INDIRECT("Table!A"&amp;$AF96):INDIRECT("Table!" &amp; $AR$159 &amp; $AF96),0)),"",INDIRECT(CONCATENATE("Table!",ADDRESS($AB96,MATCH(G$1,INDIRECT("Table!A" &amp; $AF96):INDIRECT("Table!" &amp; $AR$159 &amp; $AF96),0)))))</f>
        <v>32973</v>
      </c>
      <c r="H96" s="35">
        <f ca="1">IF(ISERROR(MATCH(H$1,INDIRECT("Table!A"&amp;$AF96):INDIRECT("Table!" &amp; $AR$159 &amp; $AF96),0)),"",INDIRECT(CONCATENATE("Table!",ADDRESS($AB96,MATCH(H$1,INDIRECT("Table!A" &amp; $AF96):INDIRECT("Table!" &amp; $AR$159 &amp; $AF96),0)))))</f>
        <v>20450.5</v>
      </c>
      <c r="I96" s="35">
        <f ca="1">IF(ISERROR(MATCH(I$1,INDIRECT("Table!A"&amp;$AF96):INDIRECT("Table!" &amp; $AR$159 &amp; $AF96),0)),"",INDIRECT(CONCATENATE("Table!",ADDRESS($AB96,MATCH(I$1,INDIRECT("Table!A" &amp; $AF96):INDIRECT("Table!" &amp; $AR$159 &amp; $AF96),0)))))</f>
        <v>125656.5</v>
      </c>
      <c r="J96" s="35">
        <f ca="1">IF(ISERROR(MATCH(J$1,INDIRECT("Table!A"&amp;$AF96):INDIRECT("Table!" &amp; $AR$159 &amp; $AF96),0)),"",INDIRECT(CONCATENATE("Table!",ADDRESS($AB96,MATCH(J$1,INDIRECT("Table!A" &amp; $AF96):INDIRECT("Table!" &amp; $AR$159 &amp; $AF96),0)))))</f>
        <v>42302.7</v>
      </c>
      <c r="K96" s="35">
        <f ca="1">IF(ISERROR(MATCH(K$1,INDIRECT("Table!A"&amp;$AF96):INDIRECT("Table!" &amp; $AR$159 &amp; $AF96),0)),"",INDIRECT(CONCATENATE("Table!",ADDRESS($AB96,MATCH(K$1,INDIRECT("Table!A" &amp; $AF96):INDIRECT("Table!" &amp; $AR$159 &amp; $AF96),0)))))</f>
        <v>4694.1000000000004</v>
      </c>
      <c r="L96" s="35">
        <f ca="1">IF(ISERROR(MATCH(L$1,INDIRECT("Table!A"&amp;$AF96):INDIRECT("Table!" &amp; $AR$159 &amp; $AF96),0)),"",INDIRECT(CONCATENATE("Table!",ADDRESS($AB96,MATCH(L$1,INDIRECT("Table!A" &amp; $AF96):INDIRECT("Table!" &amp; $AR$159 &amp; $AF96),0)))))</f>
        <v>79554.600000000006</v>
      </c>
      <c r="M96" s="35">
        <f ca="1">IF(ISERROR(MATCH(M$1,INDIRECT("Table!A"&amp;$AF96):INDIRECT("Table!" &amp; $AR$159 &amp; $AF96),0)),"",INDIRECT(CONCATENATE("Table!",ADDRESS($AB96,MATCH(M$1,INDIRECT("Table!A" &amp; $AF96):INDIRECT("Table!" &amp; $AR$159 &amp; $AF96),0)))))</f>
        <v>23923.1</v>
      </c>
      <c r="N96" s="35" t="str">
        <f ca="1">IF(ISERROR(MATCH(N$1,INDIRECT("Table!A"&amp;$AF96):INDIRECT("Table!" &amp; $AR$188 &amp; $AF96),0)),"",INDIRECT(CONCATENATE("Table!",ADDRESS($AB96,MATCH(N$1,INDIRECT("Table!A" &amp; $AF96):INDIRECT("Table!" &amp; $AR$188 &amp; $AF96),0)))))</f>
        <v/>
      </c>
      <c r="O96" s="35">
        <f ca="1">IF(ISERROR(MATCH(O$1,INDIRECT("Table!A"&amp;$AN96):INDIRECT("Table!" &amp; $AR$159 &amp; $AN96),0)),"",INDIRECT(CONCATENATE("Table!",ADDRESS($AJ96,MATCH(O$1,INDIRECT("Table!A" &amp; $AN96):INDIRECT("Table!" &amp; $AR$159 &amp; $AN96),0)))))</f>
        <v>115816.8</v>
      </c>
      <c r="P96" s="35">
        <f ca="1">IF(ISERROR(MATCH(P$1,INDIRECT("Table!A"&amp;$AN96):INDIRECT("Table!" &amp; $AR$159 &amp; $AN96),0)),"",INDIRECT(CONCATENATE("Table!",ADDRESS($AJ96,MATCH(P$1,INDIRECT("Table!A" &amp; $AN96):INDIRECT("Table!" &amp; $AR$159 &amp; $AN96),0)))))</f>
        <v>99041.7</v>
      </c>
      <c r="Q96" s="35">
        <f ca="1">IF(ISERROR(MATCH(Q$1,INDIRECT("Table!A"&amp;$AN96):INDIRECT("Table!" &amp; $AR$159 &amp; $AN96),0)),"",INDIRECT(CONCATENATE("Table!",ADDRESS($AJ96,MATCH(Q$1,INDIRECT("Table!A" &amp; $AN96):INDIRECT("Table!" &amp; $AR$159 &amp; $AN96),0)))))</f>
        <v>99041.7</v>
      </c>
      <c r="R96" s="35">
        <f ca="1">IF(ISERROR(MATCH(R$1,INDIRECT("Table!A"&amp;$AN96):INDIRECT("Table!" &amp; $AR$159 &amp; $AN96),0)),"",INDIRECT(CONCATENATE("Table!",ADDRESS($AJ96,MATCH(R$1,INDIRECT("Table!A" &amp; $AN96):INDIRECT("Table!" &amp; $AR$159 &amp; $AN96),0)))))</f>
        <v>181997.8</v>
      </c>
      <c r="S96" s="35">
        <f ca="1">IF(ISERROR(MATCH(S$1,INDIRECT("Table!A"&amp;$AN96):INDIRECT("Table!" &amp; $AR$159 &amp; $AN96),0)),"",INDIRECT(CONCATENATE("Table!",ADDRESS($AJ96,MATCH(S$1,INDIRECT("Table!A" &amp; $AN96):INDIRECT("Table!" &amp; $AR$159 &amp; $AN96),0)))))</f>
        <v>121331.8</v>
      </c>
      <c r="T96" s="35">
        <f ca="1">IF(ISERROR(MATCH(T$1,INDIRECT("Table!A"&amp;$AN96):INDIRECT("Table!" &amp; $AR$159 &amp; $AN96),0)),"",INDIRECT(CONCATENATE("Table!",ADDRESS($AJ96,MATCH(T$1,INDIRECT("Table!A" &amp; $AN96):INDIRECT("Table!" &amp; $AR$159 &amp; $AN96),0)))))</f>
        <v>110071.9</v>
      </c>
      <c r="U96" s="35">
        <f ca="1">IF(ISERROR(MATCH(U$1,INDIRECT("Table!A"&amp;$AN96):INDIRECT("Table!" &amp; $AR$159 &amp; $AN96),0)),"",INDIRECT(CONCATENATE("Table!",ADDRESS($AJ96,MATCH(U$1,INDIRECT("Table!A" &amp; $AN96):INDIRECT("Table!" &amp; $AR$159 &amp; $AN96),0)))))</f>
        <v>121331.8</v>
      </c>
      <c r="V96" s="35">
        <f ca="1">IF(ISERROR(MATCH(V$1,INDIRECT("Table!A"&amp;$AN96):INDIRECT("Table!" &amp; $AR$159 &amp; $AN96),0)),"",INDIRECT(CONCATENATE("Table!",ADDRESS($AJ96,MATCH(V$1,INDIRECT("Table!A" &amp; $AN96):INDIRECT("Table!" &amp; $AR$159 &amp; $AN96),0)))))</f>
        <v>170967.6</v>
      </c>
      <c r="W96" s="35">
        <f ca="1">IF(ISERROR(MATCH(W$1,INDIRECT("Table!A"&amp;$AN96):INDIRECT("Table!" &amp; $AR$159 &amp; $AN96),0)),"",INDIRECT(CONCATENATE("Table!",ADDRESS($AJ96,MATCH(W$1,INDIRECT("Table!A" &amp; $AN96):INDIRECT("Table!" &amp; $AR$159 &amp; $AN96),0)))))</f>
        <v>132132.20000000001</v>
      </c>
      <c r="X96" s="35">
        <f ca="1">IF(ISERROR(MATCH(X$1,INDIRECT("Table!A"&amp;$AN96):INDIRECT("Table!" &amp; $AR$159 &amp; $AN96),0)),"",INDIRECT(CONCATENATE("Table!",ADDRESS($AJ96,MATCH(X$1,INDIRECT("Table!A" &amp; $AN96):INDIRECT("Table!" &amp; $AR$159 &amp; $AN96),0)))))</f>
        <v>60665.9</v>
      </c>
      <c r="Y96" s="35">
        <f ca="1">IF(ISERROR(MATCH(Y$1,INDIRECT("Table!A"&amp;$AN96):INDIRECT("Table!" &amp; $AR$159 &amp; $AN96),0)),"",INDIRECT(CONCATENATE("Table!",ADDRESS($AJ96,MATCH(Y$1,INDIRECT("Table!A" &amp; $AN96):INDIRECT("Table!" &amp; $AR$159 &amp; $AN96),0)))))</f>
        <v>176482.7</v>
      </c>
      <c r="Z96" s="35">
        <f ca="1">IF(ISERROR(MATCH(Z$1,INDIRECT("Table!A"&amp;$AN96):INDIRECT("Table!" &amp; $AR$159 &amp; $AN96),0)),"",INDIRECT(CONCATENATE("Table!",ADDRESS($AJ96,MATCH(Z$1,INDIRECT("Table!A" &amp; $AN96):INDIRECT("Table!" &amp; $AR$159 &amp; $AN96),0)))))</f>
        <v>54921</v>
      </c>
      <c r="AA96" s="12"/>
      <c r="AB96" s="12">
        <f>MATCH($A96,Table!$A:$A,0)+$AD$2-1</f>
        <v>1430</v>
      </c>
      <c r="AF96" s="31">
        <f>MATCH($A96,Table!$A:$A,0)+$AH$2-1</f>
        <v>1428</v>
      </c>
      <c r="AJ96" s="12">
        <f>MATCH($A96,Table!$A:$A,0)+$AL$2-1</f>
        <v>1429</v>
      </c>
      <c r="AN96" s="31">
        <f>MATCH($A96,Table!$A:$A,0)+$AH$2-1</f>
        <v>1428</v>
      </c>
      <c r="AR96" s="182" t="s">
        <v>118</v>
      </c>
    </row>
    <row r="97" spans="1:44">
      <c r="A97" s="5">
        <v>41026</v>
      </c>
      <c r="B97" s="35">
        <f ca="1">IF(ISERROR(MATCH(B$1,INDIRECT("Table!A"&amp;$AF97):INDIRECT("Table!" &amp; $AR$159 &amp; $AF97),0)),"",INDIRECT(CONCATENATE("Table!",ADDRESS($AB97,MATCH(B$1,INDIRECT("Table!A" &amp; $AF97):INDIRECT("Table!" &amp; $AR$159 &amp; $AF97),0)))))</f>
        <v>87931.1</v>
      </c>
      <c r="C97" s="35">
        <f ca="1">IF(ISERROR(MATCH(C$1,INDIRECT("Table!A"&amp;$AF97):INDIRECT("Table!" &amp; $AR$159 &amp; $AF97),0)),"",INDIRECT(CONCATENATE("Table!",ADDRESS($AB97,MATCH(C$1,INDIRECT("Table!A" &amp; $AF97):INDIRECT("Table!" &amp; $AR$159 &amp; $AF97),0)))))</f>
        <v>66691.899999999994</v>
      </c>
      <c r="D97" s="35">
        <f ca="1">IF(ISERROR(MATCH(D$1,INDIRECT("Table!A"&amp;$AF97):INDIRECT("Table!" &amp; $AR$159 &amp; $AF97),0)),"",INDIRECT(CONCATENATE("Table!",ADDRESS($AB97,MATCH(D$1,INDIRECT("Table!A" &amp; $AF97):INDIRECT("Table!" &amp; $AR$159 &amp; $AF97),0)))))</f>
        <v>68069.7</v>
      </c>
      <c r="E97" s="35">
        <f ca="1">IF(ISERROR(MATCH(E$1,INDIRECT("Table!A"&amp;$AF97):INDIRECT("Table!" &amp; $AR$159 &amp; $AF97),0)),"",INDIRECT(CONCATENATE("Table!",ADDRESS($AB97,MATCH(E$1,INDIRECT("Table!A" &amp; $AF97):INDIRECT("Table!" &amp; $AR$159 &amp; $AF97),0)))))</f>
        <v>136399.5</v>
      </c>
      <c r="F97" s="35">
        <f ca="1">IF(ISERROR(MATCH(F$1,INDIRECT("Table!A"&amp;$AF97):INDIRECT("Table!" &amp; $AR$159 &amp; $AF97),0)),"",INDIRECT(CONCATENATE("Table!",ADDRESS($AB97,MATCH(F$1,INDIRECT("Table!A" &amp; $AF97):INDIRECT("Table!" &amp; $AR$159 &amp; $AF97),0)))))</f>
        <v>7800.6</v>
      </c>
      <c r="G97" s="35">
        <f ca="1">IF(ISERROR(MATCH(G$1,INDIRECT("Table!A"&amp;$AF97):INDIRECT("Table!" &amp; $AR$159 &amp; $AF97),0)),"",INDIRECT(CONCATENATE("Table!",ADDRESS($AB97,MATCH(G$1,INDIRECT("Table!A" &amp; $AF97):INDIRECT("Table!" &amp; $AR$159 &amp; $AF97),0)))))</f>
        <v>33623.699999999997</v>
      </c>
      <c r="H97" s="35">
        <f ca="1">IF(ISERROR(MATCH(H$1,INDIRECT("Table!A"&amp;$AF97):INDIRECT("Table!" &amp; $AR$159 &amp; $AF97),0)),"",INDIRECT(CONCATENATE("Table!",ADDRESS($AB97,MATCH(H$1,INDIRECT("Table!A" &amp; $AF97):INDIRECT("Table!" &amp; $AR$159 &amp; $AF97),0)))))</f>
        <v>20427</v>
      </c>
      <c r="I97" s="35">
        <f ca="1">IF(ISERROR(MATCH(I$1,INDIRECT("Table!A"&amp;$AF97):INDIRECT("Table!" &amp; $AR$159 &amp; $AF97),0)),"",INDIRECT(CONCATENATE("Table!",ADDRESS($AB97,MATCH(I$1,INDIRECT("Table!A" &amp; $AF97):INDIRECT("Table!" &amp; $AR$159 &amp; $AF97),0)))))</f>
        <v>125424.4</v>
      </c>
      <c r="J97" s="35">
        <f ca="1">IF(ISERROR(MATCH(J$1,INDIRECT("Table!A"&amp;$AF97):INDIRECT("Table!" &amp; $AR$159 &amp; $AF97),0)),"",INDIRECT(CONCATENATE("Table!",ADDRESS($AB97,MATCH(J$1,INDIRECT("Table!A" &amp; $AF97):INDIRECT("Table!" &amp; $AR$159 &amp; $AF97),0)))))</f>
        <v>41777.599999999999</v>
      </c>
      <c r="K97" s="35">
        <f ca="1">IF(ISERROR(MATCH(K$1,INDIRECT("Table!A"&amp;$AF97):INDIRECT("Table!" &amp; $AR$159 &amp; $AF97),0)),"",INDIRECT(CONCATENATE("Table!",ADDRESS($AB97,MATCH(K$1,INDIRECT("Table!A" &amp; $AF97):INDIRECT("Table!" &amp; $AR$159 &amp; $AF97),0)))))</f>
        <v>4094.4</v>
      </c>
      <c r="L97" s="35">
        <f ca="1">IF(ISERROR(MATCH(L$1,INDIRECT("Table!A"&amp;$AF97):INDIRECT("Table!" &amp; $AR$159 &amp; $AF97),0)),"",INDIRECT(CONCATENATE("Table!",ADDRESS($AB97,MATCH(L$1,INDIRECT("Table!A" &amp; $AF97):INDIRECT("Table!" &amp; $AR$159 &amp; $AF97),0)))))</f>
        <v>79469.100000000006</v>
      </c>
      <c r="M97" s="35">
        <f ca="1">IF(ISERROR(MATCH(M$1,INDIRECT("Table!A"&amp;$AF97):INDIRECT("Table!" &amp; $AR$159 &amp; $AF97),0)),"",INDIRECT(CONCATENATE("Table!",ADDRESS($AB97,MATCH(M$1,INDIRECT("Table!A" &amp; $AF97):INDIRECT("Table!" &amp; $AR$159 &amp; $AF97),0)))))</f>
        <v>23922.9</v>
      </c>
      <c r="N97" s="35" t="str">
        <f ca="1">IF(ISERROR(MATCH(N$1,INDIRECT("Table!A"&amp;$AF97):INDIRECT("Table!" &amp; $AR$188 &amp; $AF97),0)),"",INDIRECT(CONCATENATE("Table!",ADDRESS($AB97,MATCH(N$1,INDIRECT("Table!A" &amp; $AF97):INDIRECT("Table!" &amp; $AR$188 &amp; $AF97),0)))))</f>
        <v/>
      </c>
      <c r="O97" s="35">
        <f ca="1">IF(ISERROR(MATCH(O$1,INDIRECT("Table!A"&amp;$AN97):INDIRECT("Table!" &amp; $AR$159 &amp; $AN97),0)),"",INDIRECT(CONCATENATE("Table!",ADDRESS($AJ97,MATCH(O$1,INDIRECT("Table!A" &amp; $AN97):INDIRECT("Table!" &amp; $AR$159 &amp; $AN97),0)))))</f>
        <v>115816.8</v>
      </c>
      <c r="P97" s="35">
        <f ca="1">IF(ISERROR(MATCH(P$1,INDIRECT("Table!A"&amp;$AN97):INDIRECT("Table!" &amp; $AR$159 &amp; $AN97),0)),"",INDIRECT(CONCATENATE("Table!",ADDRESS($AJ97,MATCH(P$1,INDIRECT("Table!A" &amp; $AN97):INDIRECT("Table!" &amp; $AR$159 &amp; $AN97),0)))))</f>
        <v>99041.7</v>
      </c>
      <c r="Q97" s="35">
        <f ca="1">IF(ISERROR(MATCH(Q$1,INDIRECT("Table!A"&amp;$AN97):INDIRECT("Table!" &amp; $AR$159 &amp; $AN97),0)),"",INDIRECT(CONCATENATE("Table!",ADDRESS($AJ97,MATCH(Q$1,INDIRECT("Table!A" &amp; $AN97):INDIRECT("Table!" &amp; $AR$159 &amp; $AN97),0)))))</f>
        <v>99041.7</v>
      </c>
      <c r="R97" s="35">
        <f ca="1">IF(ISERROR(MATCH(R$1,INDIRECT("Table!A"&amp;$AN97):INDIRECT("Table!" &amp; $AR$159 &amp; $AN97),0)),"",INDIRECT(CONCATENATE("Table!",ADDRESS($AJ97,MATCH(R$1,INDIRECT("Table!A" &amp; $AN97):INDIRECT("Table!" &amp; $AR$159 &amp; $AN97),0)))))</f>
        <v>181997.8</v>
      </c>
      <c r="S97" s="35">
        <f ca="1">IF(ISERROR(MATCH(S$1,INDIRECT("Table!A"&amp;$AN97):INDIRECT("Table!" &amp; $AR$159 &amp; $AN97),0)),"",INDIRECT(CONCATENATE("Table!",ADDRESS($AJ97,MATCH(S$1,INDIRECT("Table!A" &amp; $AN97):INDIRECT("Table!" &amp; $AR$159 &amp; $AN97),0)))))</f>
        <v>121331.8</v>
      </c>
      <c r="T97" s="35">
        <f ca="1">IF(ISERROR(MATCH(T$1,INDIRECT("Table!A"&amp;$AN97):INDIRECT("Table!" &amp; $AR$159 &amp; $AN97),0)),"",INDIRECT(CONCATENATE("Table!",ADDRESS($AJ97,MATCH(T$1,INDIRECT("Table!A" &amp; $AN97):INDIRECT("Table!" &amp; $AR$159 &amp; $AN97),0)))))</f>
        <v>110071.9</v>
      </c>
      <c r="U97" s="35">
        <f ca="1">IF(ISERROR(MATCH(U$1,INDIRECT("Table!A"&amp;$AN97):INDIRECT("Table!" &amp; $AR$159 &amp; $AN97),0)),"",INDIRECT(CONCATENATE("Table!",ADDRESS($AJ97,MATCH(U$1,INDIRECT("Table!A" &amp; $AN97):INDIRECT("Table!" &amp; $AR$159 &amp; $AN97),0)))))</f>
        <v>121331.8</v>
      </c>
      <c r="V97" s="35">
        <f ca="1">IF(ISERROR(MATCH(V$1,INDIRECT("Table!A"&amp;$AN97):INDIRECT("Table!" &amp; $AR$159 &amp; $AN97),0)),"",INDIRECT(CONCATENATE("Table!",ADDRESS($AJ97,MATCH(V$1,INDIRECT("Table!A" &amp; $AN97):INDIRECT("Table!" &amp; $AR$159 &amp; $AN97),0)))))</f>
        <v>170967.6</v>
      </c>
      <c r="W97" s="35">
        <f ca="1">IF(ISERROR(MATCH(W$1,INDIRECT("Table!A"&amp;$AN97):INDIRECT("Table!" &amp; $AR$159 &amp; $AN97),0)),"",INDIRECT(CONCATENATE("Table!",ADDRESS($AJ97,MATCH(W$1,INDIRECT("Table!A" &amp; $AN97):INDIRECT("Table!" &amp; $AR$159 &amp; $AN97),0)))))</f>
        <v>132132.20000000001</v>
      </c>
      <c r="X97" s="35">
        <f ca="1">IF(ISERROR(MATCH(X$1,INDIRECT("Table!A"&amp;$AN97):INDIRECT("Table!" &amp; $AR$159 &amp; $AN97),0)),"",INDIRECT(CONCATENATE("Table!",ADDRESS($AJ97,MATCH(X$1,INDIRECT("Table!A" &amp; $AN97):INDIRECT("Table!" &amp; $AR$159 &amp; $AN97),0)))))</f>
        <v>60665.9</v>
      </c>
      <c r="Y97" s="35">
        <f ca="1">IF(ISERROR(MATCH(Y$1,INDIRECT("Table!A"&amp;$AN97):INDIRECT("Table!" &amp; $AR$159 &amp; $AN97),0)),"",INDIRECT(CONCATENATE("Table!",ADDRESS($AJ97,MATCH(Y$1,INDIRECT("Table!A" &amp; $AN97):INDIRECT("Table!" &amp; $AR$159 &amp; $AN97),0)))))</f>
        <v>176482.7</v>
      </c>
      <c r="Z97" s="35">
        <f ca="1">IF(ISERROR(MATCH(Z$1,INDIRECT("Table!A"&amp;$AN97):INDIRECT("Table!" &amp; $AR$159 &amp; $AN97),0)),"",INDIRECT(CONCATENATE("Table!",ADDRESS($AJ97,MATCH(Z$1,INDIRECT("Table!A" &amp; $AN97):INDIRECT("Table!" &amp; $AR$159 &amp; $AN97),0)))))</f>
        <v>54921</v>
      </c>
      <c r="AA97" s="12"/>
      <c r="AB97" s="12">
        <f>MATCH($A97,Table!$A:$A,0)+$AD$2-1</f>
        <v>1443</v>
      </c>
      <c r="AF97" s="31">
        <f>MATCH($A97,Table!$A:$A,0)+$AH$2-1</f>
        <v>1441</v>
      </c>
      <c r="AJ97" s="12">
        <f>MATCH($A97,Table!$A:$A,0)+$AL$2-1</f>
        <v>1442</v>
      </c>
      <c r="AN97" s="31">
        <f>MATCH($A97,Table!$A:$A,0)+$AH$2-1</f>
        <v>1441</v>
      </c>
      <c r="AR97" s="181" t="s">
        <v>118</v>
      </c>
    </row>
    <row r="98" spans="1:44">
      <c r="A98" s="5">
        <v>41024</v>
      </c>
      <c r="B98" s="35">
        <f ca="1">IF(ISERROR(MATCH(B$1,INDIRECT("Table!A"&amp;$AF98):INDIRECT("Table!" &amp; $AR$159 &amp; $AF98),0)),"",INDIRECT(CONCATENATE("Table!",ADDRESS($AB98,MATCH(B$1,INDIRECT("Table!A" &amp; $AF98):INDIRECT("Table!" &amp; $AR$159 &amp; $AF98),0)))))</f>
        <v>87375.9</v>
      </c>
      <c r="C98" s="35">
        <f ca="1">IF(ISERROR(MATCH(C$1,INDIRECT("Table!A"&amp;$AF98):INDIRECT("Table!" &amp; $AR$159 &amp; $AF98),0)),"",INDIRECT(CONCATENATE("Table!",ADDRESS($AB98,MATCH(C$1,INDIRECT("Table!A" &amp; $AF98):INDIRECT("Table!" &amp; $AR$159 &amp; $AF98),0)))))</f>
        <v>66597</v>
      </c>
      <c r="D98" s="35">
        <f ca="1">IF(ISERROR(MATCH(D$1,INDIRECT("Table!A"&amp;$AF98):INDIRECT("Table!" &amp; $AR$159 &amp; $AF98),0)),"",INDIRECT(CONCATENATE("Table!",ADDRESS($AB98,MATCH(D$1,INDIRECT("Table!A" &amp; $AF98):INDIRECT("Table!" &amp; $AR$159 &amp; $AF98),0)))))</f>
        <v>67974.7</v>
      </c>
      <c r="E98" s="35">
        <f ca="1">IF(ISERROR(MATCH(E$1,INDIRECT("Table!A"&amp;$AF98):INDIRECT("Table!" &amp; $AR$159 &amp; $AF98),0)),"",INDIRECT(CONCATENATE("Table!",ADDRESS($AB98,MATCH(E$1,INDIRECT("Table!A" &amp; $AF98):INDIRECT("Table!" &amp; $AR$159 &amp; $AF98),0)))))</f>
        <v>135846.29999999999</v>
      </c>
      <c r="F98" s="35">
        <f ca="1">IF(ISERROR(MATCH(F$1,INDIRECT("Table!A"&amp;$AF98):INDIRECT("Table!" &amp; $AR$159 &amp; $AF98),0)),"",INDIRECT(CONCATENATE("Table!",ADDRESS($AB98,MATCH(F$1,INDIRECT("Table!A" &amp; $AF98):INDIRECT("Table!" &amp; $AR$159 &amp; $AF98),0)))))</f>
        <v>7776.3</v>
      </c>
      <c r="G98" s="35">
        <f ca="1">IF(ISERROR(MATCH(G$1,INDIRECT("Table!A"&amp;$AF98):INDIRECT("Table!" &amp; $AR$159 &amp; $AF98),0)),"",INDIRECT(CONCATENATE("Table!",ADDRESS($AB98,MATCH(G$1,INDIRECT("Table!A" &amp; $AF98):INDIRECT("Table!" &amp; $AR$159 &amp; $AF98),0)))))</f>
        <v>33058.800000000003</v>
      </c>
      <c r="H98" s="35">
        <f ca="1">IF(ISERROR(MATCH(H$1,INDIRECT("Table!A"&amp;$AF98):INDIRECT("Table!" &amp; $AR$159 &amp; $AF98),0)),"",INDIRECT(CONCATENATE("Table!",ADDRESS($AB98,MATCH(H$1,INDIRECT("Table!A" &amp; $AF98):INDIRECT("Table!" &amp; $AR$159 &amp; $AF98),0)))))</f>
        <v>20407.900000000001</v>
      </c>
      <c r="I98" s="35">
        <f ca="1">IF(ISERROR(MATCH(I$1,INDIRECT("Table!A"&amp;$AF98):INDIRECT("Table!" &amp; $AR$159 &amp; $AF98),0)),"",INDIRECT(CONCATENATE("Table!",ADDRESS($AB98,MATCH(I$1,INDIRECT("Table!A" &amp; $AF98):INDIRECT("Table!" &amp; $AR$159 &amp; $AF98),0)))))</f>
        <v>125065.5</v>
      </c>
      <c r="J98" s="35">
        <f ca="1">IF(ISERROR(MATCH(J$1,INDIRECT("Table!A"&amp;$AF98):INDIRECT("Table!" &amp; $AR$159 &amp; $AF98),0)),"",INDIRECT(CONCATENATE("Table!",ADDRESS($AB98,MATCH(J$1,INDIRECT("Table!A" &amp; $AF98):INDIRECT("Table!" &amp; $AR$159 &amp; $AF98),0)))))</f>
        <v>41729.1</v>
      </c>
      <c r="K98" s="35">
        <f ca="1">IF(ISERROR(MATCH(K$1,INDIRECT("Table!A"&amp;$AF98):INDIRECT("Table!" &amp; $AR$159 &amp; $AF98),0)),"",INDIRECT(CONCATENATE("Table!",ADDRESS($AB98,MATCH(K$1,INDIRECT("Table!A" &amp; $AF98):INDIRECT("Table!" &amp; $AR$159 &amp; $AF98),0)))))</f>
        <v>4068</v>
      </c>
      <c r="L98" s="35">
        <f ca="1">IF(ISERROR(MATCH(L$1,INDIRECT("Table!A"&amp;$AF98):INDIRECT("Table!" &amp; $AR$159 &amp; $AF98),0)),"",INDIRECT(CONCATENATE("Table!",ADDRESS($AB98,MATCH(L$1,INDIRECT("Table!A" &amp; $AF98):INDIRECT("Table!" &amp; $AR$159 &amp; $AF98),0)))))</f>
        <v>79442.600000000006</v>
      </c>
      <c r="M98" s="35">
        <f ca="1">IF(ISERROR(MATCH(M$1,INDIRECT("Table!A"&amp;$AF98):INDIRECT("Table!" &amp; $AR$159 &amp; $AF98),0)),"",INDIRECT(CONCATENATE("Table!",ADDRESS($AB98,MATCH(M$1,INDIRECT("Table!A" &amp; $AF98):INDIRECT("Table!" &amp; $AR$159 &amp; $AF98),0)))))</f>
        <v>23644.2</v>
      </c>
      <c r="N98" s="35" t="str">
        <f ca="1">IF(ISERROR(MATCH(N$1,INDIRECT("Table!A"&amp;$AF98):INDIRECT("Table!" &amp; $AR$188 &amp; $AF98),0)),"",INDIRECT(CONCATENATE("Table!",ADDRESS($AB98,MATCH(N$1,INDIRECT("Table!A" &amp; $AF98):INDIRECT("Table!" &amp; $AR$188 &amp; $AF98),0)))))</f>
        <v/>
      </c>
      <c r="O98" s="35">
        <f ca="1">IF(ISERROR(MATCH(O$1,INDIRECT("Table!A"&amp;$AN98):INDIRECT("Table!" &amp; $AR$159 &amp; $AN98),0)),"",INDIRECT(CONCATENATE("Table!",ADDRESS($AJ98,MATCH(O$1,INDIRECT("Table!A" &amp; $AN98):INDIRECT("Table!" &amp; $AR$159 &amp; $AN98),0)))))</f>
        <v>115816.8</v>
      </c>
      <c r="P98" s="35">
        <f ca="1">IF(ISERROR(MATCH(P$1,INDIRECT("Table!A"&amp;$AN98):INDIRECT("Table!" &amp; $AR$159 &amp; $AN98),0)),"",INDIRECT(CONCATENATE("Table!",ADDRESS($AJ98,MATCH(P$1,INDIRECT("Table!A" &amp; $AN98):INDIRECT("Table!" &amp; $AR$159 &amp; $AN98),0)))))</f>
        <v>99041.7</v>
      </c>
      <c r="Q98" s="35">
        <f ca="1">IF(ISERROR(MATCH(Q$1,INDIRECT("Table!A"&amp;$AN98):INDIRECT("Table!" &amp; $AR$159 &amp; $AN98),0)),"",INDIRECT(CONCATENATE("Table!",ADDRESS($AJ98,MATCH(Q$1,INDIRECT("Table!A" &amp; $AN98):INDIRECT("Table!" &amp; $AR$159 &amp; $AN98),0)))))</f>
        <v>99041.7</v>
      </c>
      <c r="R98" s="35">
        <f ca="1">IF(ISERROR(MATCH(R$1,INDIRECT("Table!A"&amp;$AN98):INDIRECT("Table!" &amp; $AR$159 &amp; $AN98),0)),"",INDIRECT(CONCATENATE("Table!",ADDRESS($AJ98,MATCH(R$1,INDIRECT("Table!A" &amp; $AN98):INDIRECT("Table!" &amp; $AR$159 &amp; $AN98),0)))))</f>
        <v>181997.8</v>
      </c>
      <c r="S98" s="35">
        <f ca="1">IF(ISERROR(MATCH(S$1,INDIRECT("Table!A"&amp;$AN98):INDIRECT("Table!" &amp; $AR$159 &amp; $AN98),0)),"",INDIRECT(CONCATENATE("Table!",ADDRESS($AJ98,MATCH(S$1,INDIRECT("Table!A" &amp; $AN98):INDIRECT("Table!" &amp; $AR$159 &amp; $AN98),0)))))</f>
        <v>121331.8</v>
      </c>
      <c r="T98" s="35">
        <f ca="1">IF(ISERROR(MATCH(T$1,INDIRECT("Table!A"&amp;$AN98):INDIRECT("Table!" &amp; $AR$159 &amp; $AN98),0)),"",INDIRECT(CONCATENATE("Table!",ADDRESS($AJ98,MATCH(T$1,INDIRECT("Table!A" &amp; $AN98):INDIRECT("Table!" &amp; $AR$159 &amp; $AN98),0)))))</f>
        <v>110071.9</v>
      </c>
      <c r="U98" s="35">
        <f ca="1">IF(ISERROR(MATCH(U$1,INDIRECT("Table!A"&amp;$AN98):INDIRECT("Table!" &amp; $AR$159 &amp; $AN98),0)),"",INDIRECT(CONCATENATE("Table!",ADDRESS($AJ98,MATCH(U$1,INDIRECT("Table!A" &amp; $AN98):INDIRECT("Table!" &amp; $AR$159 &amp; $AN98),0)))))</f>
        <v>121331.8</v>
      </c>
      <c r="V98" s="35">
        <f ca="1">IF(ISERROR(MATCH(V$1,INDIRECT("Table!A"&amp;$AN98):INDIRECT("Table!" &amp; $AR$159 &amp; $AN98),0)),"",INDIRECT(CONCATENATE("Table!",ADDRESS($AJ98,MATCH(V$1,INDIRECT("Table!A" &amp; $AN98):INDIRECT("Table!" &amp; $AR$159 &amp; $AN98),0)))))</f>
        <v>170967.6</v>
      </c>
      <c r="W98" s="35">
        <f ca="1">IF(ISERROR(MATCH(W$1,INDIRECT("Table!A"&amp;$AN98):INDIRECT("Table!" &amp; $AR$159 &amp; $AN98),0)),"",INDIRECT(CONCATENATE("Table!",ADDRESS($AJ98,MATCH(W$1,INDIRECT("Table!A" &amp; $AN98):INDIRECT("Table!" &amp; $AR$159 &amp; $AN98),0)))))</f>
        <v>132132.20000000001</v>
      </c>
      <c r="X98" s="35">
        <f ca="1">IF(ISERROR(MATCH(X$1,INDIRECT("Table!A"&amp;$AN98):INDIRECT("Table!" &amp; $AR$159 &amp; $AN98),0)),"",INDIRECT(CONCATENATE("Table!",ADDRESS($AJ98,MATCH(X$1,INDIRECT("Table!A" &amp; $AN98):INDIRECT("Table!" &amp; $AR$159 &amp; $AN98),0)))))</f>
        <v>60665.9</v>
      </c>
      <c r="Y98" s="35">
        <f ca="1">IF(ISERROR(MATCH(Y$1,INDIRECT("Table!A"&amp;$AN98):INDIRECT("Table!" &amp; $AR$159 &amp; $AN98),0)),"",INDIRECT(CONCATENATE("Table!",ADDRESS($AJ98,MATCH(Y$1,INDIRECT("Table!A" &amp; $AN98):INDIRECT("Table!" &amp; $AR$159 &amp; $AN98),0)))))</f>
        <v>176482.7</v>
      </c>
      <c r="Z98" s="35">
        <f ca="1">IF(ISERROR(MATCH(Z$1,INDIRECT("Table!A"&amp;$AN98):INDIRECT("Table!" &amp; $AR$159 &amp; $AN98),0)),"",INDIRECT(CONCATENATE("Table!",ADDRESS($AJ98,MATCH(Z$1,INDIRECT("Table!A" &amp; $AN98):INDIRECT("Table!" &amp; $AR$159 &amp; $AN98),0)))))</f>
        <v>54921</v>
      </c>
      <c r="AA98" s="12"/>
      <c r="AB98" s="12">
        <f>MATCH($A98,Table!$A:$A,0)+$AD$2-1</f>
        <v>1456</v>
      </c>
      <c r="AF98" s="31">
        <f>MATCH($A98,Table!$A:$A,0)+$AH$2-1</f>
        <v>1454</v>
      </c>
      <c r="AJ98" s="12">
        <f>MATCH($A98,Table!$A:$A,0)+$AL$2-1</f>
        <v>1455</v>
      </c>
      <c r="AN98" s="31">
        <f>MATCH($A98,Table!$A:$A,0)+$AH$2-1</f>
        <v>1454</v>
      </c>
      <c r="AR98" s="180" t="s">
        <v>118</v>
      </c>
    </row>
    <row r="99" spans="1:44">
      <c r="A99" s="5">
        <v>41023</v>
      </c>
      <c r="B99" s="35">
        <f ca="1">IF(ISERROR(MATCH(B$1,INDIRECT("Table!A"&amp;$AF99):INDIRECT("Table!" &amp; $AR$159 &amp; $AF99),0)),"",INDIRECT(CONCATENATE("Table!",ADDRESS($AB99,MATCH(B$1,INDIRECT("Table!A" &amp; $AF99):INDIRECT("Table!" &amp; $AR$159 &amp; $AF99),0)))))</f>
        <v>87354.5</v>
      </c>
      <c r="C99" s="35">
        <f ca="1">IF(ISERROR(MATCH(C$1,INDIRECT("Table!A"&amp;$AF99):INDIRECT("Table!" &amp; $AR$159 &amp; $AF99),0)),"",INDIRECT(CONCATENATE("Table!",ADDRESS($AB99,MATCH(C$1,INDIRECT("Table!A" &amp; $AF99):INDIRECT("Table!" &amp; $AR$159 &amp; $AF99),0)))))</f>
        <v>66590.3</v>
      </c>
      <c r="D99" s="35">
        <f ca="1">IF(ISERROR(MATCH(D$1,INDIRECT("Table!A"&amp;$AF99):INDIRECT("Table!" &amp; $AR$159 &amp; $AF99),0)),"",INDIRECT(CONCATENATE("Table!",ADDRESS($AB99,MATCH(D$1,INDIRECT("Table!A" &amp; $AF99):INDIRECT("Table!" &amp; $AR$159 &amp; $AF99),0)))))</f>
        <v>67968</v>
      </c>
      <c r="E99" s="35">
        <f ca="1">IF(ISERROR(MATCH(E$1,INDIRECT("Table!A"&amp;$AF99):INDIRECT("Table!" &amp; $AR$159 &amp; $AF99),0)),"",INDIRECT(CONCATENATE("Table!",ADDRESS($AB99,MATCH(E$1,INDIRECT("Table!A" &amp; $AF99):INDIRECT("Table!" &amp; $AR$159 &amp; $AF99),0)))))</f>
        <v>135651.20000000001</v>
      </c>
      <c r="F99" s="35">
        <f ca="1">IF(ISERROR(MATCH(F$1,INDIRECT("Table!A"&amp;$AF99):INDIRECT("Table!" &amp; $AR$159 &amp; $AF99),0)),"",INDIRECT(CONCATENATE("Table!",ADDRESS($AB99,MATCH(F$1,INDIRECT("Table!A" &amp; $AF99):INDIRECT("Table!" &amp; $AR$159 &amp; $AF99),0)))))</f>
        <v>7745.4</v>
      </c>
      <c r="G99" s="35">
        <f ca="1">IF(ISERROR(MATCH(G$1,INDIRECT("Table!A"&amp;$AF99):INDIRECT("Table!" &amp; $AR$159 &amp; $AF99),0)),"",INDIRECT(CONCATENATE("Table!",ADDRESS($AB99,MATCH(G$1,INDIRECT("Table!A" &amp; $AF99):INDIRECT("Table!" &amp; $AR$159 &amp; $AF99),0)))))</f>
        <v>32517.3</v>
      </c>
      <c r="H99" s="35">
        <f ca="1">IF(ISERROR(MATCH(H$1,INDIRECT("Table!A"&amp;$AF99):INDIRECT("Table!" &amp; $AR$159 &amp; $AF99),0)),"",INDIRECT(CONCATENATE("Table!",ADDRESS($AB99,MATCH(H$1,INDIRECT("Table!A" &amp; $AF99):INDIRECT("Table!" &amp; $AR$159 &amp; $AF99),0)))))</f>
        <v>20346.900000000001</v>
      </c>
      <c r="I99" s="35">
        <f ca="1">IF(ISERROR(MATCH(I$1,INDIRECT("Table!A"&amp;$AF99):INDIRECT("Table!" &amp; $AR$159 &amp; $AF99),0)),"",INDIRECT(CONCATENATE("Table!",ADDRESS($AB99,MATCH(I$1,INDIRECT("Table!A" &amp; $AF99):INDIRECT("Table!" &amp; $AR$159 &amp; $AF99),0)))))</f>
        <v>124978.9</v>
      </c>
      <c r="J99" s="35">
        <f ca="1">IF(ISERROR(MATCH(J$1,INDIRECT("Table!A"&amp;$AF99):INDIRECT("Table!" &amp; $AR$159 &amp; $AF99),0)),"",INDIRECT(CONCATENATE("Table!",ADDRESS($AB99,MATCH(J$1,INDIRECT("Table!A" &amp; $AF99):INDIRECT("Table!" &amp; $AR$159 &amp; $AF99),0)))))</f>
        <v>41728</v>
      </c>
      <c r="K99" s="35">
        <f ca="1">IF(ISERROR(MATCH(K$1,INDIRECT("Table!A"&amp;$AF99):INDIRECT("Table!" &amp; $AR$159 &amp; $AF99),0)),"",INDIRECT(CONCATENATE("Table!",ADDRESS($AB99,MATCH(K$1,INDIRECT("Table!A" &amp; $AF99):INDIRECT("Table!" &amp; $AR$159 &amp; $AF99),0)))))</f>
        <v>4047.1</v>
      </c>
      <c r="L99" s="35">
        <f ca="1">IF(ISERROR(MATCH(L$1,INDIRECT("Table!A"&amp;$AF99):INDIRECT("Table!" &amp; $AR$159 &amp; $AF99),0)),"",INDIRECT(CONCATENATE("Table!",ADDRESS($AB99,MATCH(L$1,INDIRECT("Table!A" &amp; $AF99):INDIRECT("Table!" &amp; $AR$159 &amp; $AF99),0)))))</f>
        <v>79404.899999999994</v>
      </c>
      <c r="M99" s="35">
        <f ca="1">IF(ISERROR(MATCH(M$1,INDIRECT("Table!A"&amp;$AF99):INDIRECT("Table!" &amp; $AR$159 &amp; $AF99),0)),"",INDIRECT(CONCATENATE("Table!",ADDRESS($AB99,MATCH(M$1,INDIRECT("Table!A" &amp; $AF99):INDIRECT("Table!" &amp; $AR$159 &amp; $AF99),0)))))</f>
        <v>23644</v>
      </c>
      <c r="N99" s="35" t="str">
        <f ca="1">IF(ISERROR(MATCH(N$1,INDIRECT("Table!A"&amp;$AF99):INDIRECT("Table!" &amp; $AR$188 &amp; $AF99),0)),"",INDIRECT(CONCATENATE("Table!",ADDRESS($AB99,MATCH(N$1,INDIRECT("Table!A" &amp; $AF99):INDIRECT("Table!" &amp; $AR$188 &amp; $AF99),0)))))</f>
        <v/>
      </c>
      <c r="O99" s="35">
        <f ca="1">IF(ISERROR(MATCH(O$1,INDIRECT("Table!A"&amp;$AN99):INDIRECT("Table!" &amp; $AR$159 &amp; $AN99),0)),"",INDIRECT(CONCATENATE("Table!",ADDRESS($AJ99,MATCH(O$1,INDIRECT("Table!A" &amp; $AN99):INDIRECT("Table!" &amp; $AR$159 &amp; $AN99),0)))))</f>
        <v>115816.8</v>
      </c>
      <c r="P99" s="35">
        <f ca="1">IF(ISERROR(MATCH(P$1,INDIRECT("Table!A"&amp;$AN99):INDIRECT("Table!" &amp; $AR$159 &amp; $AN99),0)),"",INDIRECT(CONCATENATE("Table!",ADDRESS($AJ99,MATCH(P$1,INDIRECT("Table!A" &amp; $AN99):INDIRECT("Table!" &amp; $AR$159 &amp; $AN99),0)))))</f>
        <v>99041.7</v>
      </c>
      <c r="Q99" s="35">
        <f ca="1">IF(ISERROR(MATCH(Q$1,INDIRECT("Table!A"&amp;$AN99):INDIRECT("Table!" &amp; $AR$159 &amp; $AN99),0)),"",INDIRECT(CONCATENATE("Table!",ADDRESS($AJ99,MATCH(Q$1,INDIRECT("Table!A" &amp; $AN99):INDIRECT("Table!" &amp; $AR$159 &amp; $AN99),0)))))</f>
        <v>99041.7</v>
      </c>
      <c r="R99" s="35">
        <f ca="1">IF(ISERROR(MATCH(R$1,INDIRECT("Table!A"&amp;$AN99):INDIRECT("Table!" &amp; $AR$159 &amp; $AN99),0)),"",INDIRECT(CONCATENATE("Table!",ADDRESS($AJ99,MATCH(R$1,INDIRECT("Table!A" &amp; $AN99):INDIRECT("Table!" &amp; $AR$159 &amp; $AN99),0)))))</f>
        <v>181997.8</v>
      </c>
      <c r="S99" s="35">
        <f ca="1">IF(ISERROR(MATCH(S$1,INDIRECT("Table!A"&amp;$AN99):INDIRECT("Table!" &amp; $AR$159 &amp; $AN99),0)),"",INDIRECT(CONCATENATE("Table!",ADDRESS($AJ99,MATCH(S$1,INDIRECT("Table!A" &amp; $AN99):INDIRECT("Table!" &amp; $AR$159 &amp; $AN99),0)))))</f>
        <v>121331.8</v>
      </c>
      <c r="T99" s="35">
        <f ca="1">IF(ISERROR(MATCH(T$1,INDIRECT("Table!A"&amp;$AN99):INDIRECT("Table!" &amp; $AR$159 &amp; $AN99),0)),"",INDIRECT(CONCATENATE("Table!",ADDRESS($AJ99,MATCH(T$1,INDIRECT("Table!A" &amp; $AN99):INDIRECT("Table!" &amp; $AR$159 &amp; $AN99),0)))))</f>
        <v>110071.9</v>
      </c>
      <c r="U99" s="35">
        <f ca="1">IF(ISERROR(MATCH(U$1,INDIRECT("Table!A"&amp;$AN99):INDIRECT("Table!" &amp; $AR$159 &amp; $AN99),0)),"",INDIRECT(CONCATENATE("Table!",ADDRESS($AJ99,MATCH(U$1,INDIRECT("Table!A" &amp; $AN99):INDIRECT("Table!" &amp; $AR$159 &amp; $AN99),0)))))</f>
        <v>121331.8</v>
      </c>
      <c r="V99" s="35">
        <f ca="1">IF(ISERROR(MATCH(V$1,INDIRECT("Table!A"&amp;$AN99):INDIRECT("Table!" &amp; $AR$159 &amp; $AN99),0)),"",INDIRECT(CONCATENATE("Table!",ADDRESS($AJ99,MATCH(V$1,INDIRECT("Table!A" &amp; $AN99):INDIRECT("Table!" &amp; $AR$159 &amp; $AN99),0)))))</f>
        <v>170967.6</v>
      </c>
      <c r="W99" s="35">
        <f ca="1">IF(ISERROR(MATCH(W$1,INDIRECT("Table!A"&amp;$AN99):INDIRECT("Table!" &amp; $AR$159 &amp; $AN99),0)),"",INDIRECT(CONCATENATE("Table!",ADDRESS($AJ99,MATCH(W$1,INDIRECT("Table!A" &amp; $AN99):INDIRECT("Table!" &amp; $AR$159 &amp; $AN99),0)))))</f>
        <v>132132.20000000001</v>
      </c>
      <c r="X99" s="35">
        <f ca="1">IF(ISERROR(MATCH(X$1,INDIRECT("Table!A"&amp;$AN99):INDIRECT("Table!" &amp; $AR$159 &amp; $AN99),0)),"",INDIRECT(CONCATENATE("Table!",ADDRESS($AJ99,MATCH(X$1,INDIRECT("Table!A" &amp; $AN99):INDIRECT("Table!" &amp; $AR$159 &amp; $AN99),0)))))</f>
        <v>60665.9</v>
      </c>
      <c r="Y99" s="35">
        <f ca="1">IF(ISERROR(MATCH(Y$1,INDIRECT("Table!A"&amp;$AN99):INDIRECT("Table!" &amp; $AR$159 &amp; $AN99),0)),"",INDIRECT(CONCATENATE("Table!",ADDRESS($AJ99,MATCH(Y$1,INDIRECT("Table!A" &amp; $AN99):INDIRECT("Table!" &amp; $AR$159 &amp; $AN99),0)))))</f>
        <v>176482.7</v>
      </c>
      <c r="Z99" s="35">
        <f ca="1">IF(ISERROR(MATCH(Z$1,INDIRECT("Table!A"&amp;$AN99):INDIRECT("Table!" &amp; $AR$159 &amp; $AN99),0)),"",INDIRECT(CONCATENATE("Table!",ADDRESS($AJ99,MATCH(Z$1,INDIRECT("Table!A" &amp; $AN99):INDIRECT("Table!" &amp; $AR$159 &amp; $AN99),0)))))</f>
        <v>54921</v>
      </c>
      <c r="AA99" s="12"/>
      <c r="AB99" s="12">
        <f>MATCH($A99,Table!$A:$A,0)+$AD$2-1</f>
        <v>1469</v>
      </c>
      <c r="AF99" s="31">
        <f>MATCH($A99,Table!$A:$A,0)+$AH$2-1</f>
        <v>1467</v>
      </c>
      <c r="AJ99" s="12">
        <f>MATCH($A99,Table!$A:$A,0)+$AL$2-1</f>
        <v>1468</v>
      </c>
      <c r="AN99" s="31">
        <f>MATCH($A99,Table!$A:$A,0)+$AH$2-1</f>
        <v>1467</v>
      </c>
      <c r="AR99" s="179" t="s">
        <v>118</v>
      </c>
    </row>
    <row r="100" spans="1:44">
      <c r="A100" s="5">
        <v>41022</v>
      </c>
      <c r="B100" s="35">
        <f ca="1">IF(ISERROR(MATCH(B$1,INDIRECT("Table!A"&amp;$AF100):INDIRECT("Table!" &amp; $AR$159 &amp; $AF100),0)),"",INDIRECT(CONCATENATE("Table!",ADDRESS($AB100,MATCH(B$1,INDIRECT("Table!A" &amp; $AF100):INDIRECT("Table!" &amp; $AR$159 &amp; $AF100),0)))))</f>
        <v>87324.800000000003</v>
      </c>
      <c r="C100" s="35">
        <f ca="1">IF(ISERROR(MATCH(C$1,INDIRECT("Table!A"&amp;$AF100):INDIRECT("Table!" &amp; $AR$159 &amp; $AF100),0)),"",INDIRECT(CONCATENATE("Table!",ADDRESS($AB100,MATCH(C$1,INDIRECT("Table!A" &amp; $AF100):INDIRECT("Table!" &amp; $AR$159 &amp; $AF100),0)))))</f>
        <v>66569.5</v>
      </c>
      <c r="D100" s="35">
        <f ca="1">IF(ISERROR(MATCH(D$1,INDIRECT("Table!A"&amp;$AF100):INDIRECT("Table!" &amp; $AR$159 &amp; $AF100),0)),"",INDIRECT(CONCATENATE("Table!",ADDRESS($AB100,MATCH(D$1,INDIRECT("Table!A" &amp; $AF100):INDIRECT("Table!" &amp; $AR$159 &amp; $AF100),0)))))</f>
        <v>67947.199999999997</v>
      </c>
      <c r="E100" s="35">
        <f ca="1">IF(ISERROR(MATCH(E$1,INDIRECT("Table!A"&amp;$AF100):INDIRECT("Table!" &amp; $AR$159 &amp; $AF100),0)),"",INDIRECT(CONCATENATE("Table!",ADDRESS($AB100,MATCH(E$1,INDIRECT("Table!A" &amp; $AF100):INDIRECT("Table!" &amp; $AR$159 &amp; $AF100),0)))))</f>
        <v>135577.4</v>
      </c>
      <c r="F100" s="35">
        <f ca="1">IF(ISERROR(MATCH(F$1,INDIRECT("Table!A"&amp;$AF100):INDIRECT("Table!" &amp; $AR$159 &amp; $AF100),0)),"",INDIRECT(CONCATENATE("Table!",ADDRESS($AB100,MATCH(F$1,INDIRECT("Table!A" &amp; $AF100):INDIRECT("Table!" &amp; $AR$159 &amp; $AF100),0)))))</f>
        <v>7729.5</v>
      </c>
      <c r="G100" s="35">
        <f ca="1">IF(ISERROR(MATCH(G$1,INDIRECT("Table!A"&amp;$AF100):INDIRECT("Table!" &amp; $AR$159 &amp; $AF100),0)),"",INDIRECT(CONCATENATE("Table!",ADDRESS($AB100,MATCH(G$1,INDIRECT("Table!A" &amp; $AF100):INDIRECT("Table!" &amp; $AR$159 &amp; $AF100),0)))))</f>
        <v>32292.9</v>
      </c>
      <c r="H100" s="35">
        <f ca="1">IF(ISERROR(MATCH(H$1,INDIRECT("Table!A"&amp;$AF100):INDIRECT("Table!" &amp; $AR$159 &amp; $AF100),0)),"",INDIRECT(CONCATENATE("Table!",ADDRESS($AB100,MATCH(H$1,INDIRECT("Table!A" &amp; $AF100):INDIRECT("Table!" &amp; $AR$159 &amp; $AF100),0)))))</f>
        <v>20343.900000000001</v>
      </c>
      <c r="I100" s="35">
        <f ca="1">IF(ISERROR(MATCH(I$1,INDIRECT("Table!A"&amp;$AF100):INDIRECT("Table!" &amp; $AR$159 &amp; $AF100),0)),"",INDIRECT(CONCATENATE("Table!",ADDRESS($AB100,MATCH(I$1,INDIRECT("Table!A" &amp; $AF100):INDIRECT("Table!" &amp; $AR$159 &amp; $AF100),0)))))</f>
        <v>124828.8</v>
      </c>
      <c r="J100" s="35">
        <f ca="1">IF(ISERROR(MATCH(J$1,INDIRECT("Table!A"&amp;$AF100):INDIRECT("Table!" &amp; $AR$159 &amp; $AF100),0)),"",INDIRECT(CONCATENATE("Table!",ADDRESS($AB100,MATCH(J$1,INDIRECT("Table!A" &amp; $AF100):INDIRECT("Table!" &amp; $AR$159 &amp; $AF100),0)))))</f>
        <v>41725.199999999997</v>
      </c>
      <c r="K100" s="35">
        <f ca="1">IF(ISERROR(MATCH(K$1,INDIRECT("Table!A"&amp;$AF100):INDIRECT("Table!" &amp; $AR$159 &amp; $AF100),0)),"",INDIRECT(CONCATENATE("Table!",ADDRESS($AB100,MATCH(K$1,INDIRECT("Table!A" &amp; $AF100):INDIRECT("Table!" &amp; $AR$159 &amp; $AF100),0)))))</f>
        <v>4036.4</v>
      </c>
      <c r="L100" s="35">
        <f ca="1">IF(ISERROR(MATCH(L$1,INDIRECT("Table!A"&amp;$AF100):INDIRECT("Table!" &amp; $AR$159 &amp; $AF100),0)),"",INDIRECT(CONCATENATE("Table!",ADDRESS($AB100,MATCH(L$1,INDIRECT("Table!A" &amp; $AF100):INDIRECT("Table!" &amp; $AR$159 &amp; $AF100),0)))))</f>
        <v>79400.399999999994</v>
      </c>
      <c r="M100" s="35">
        <f ca="1">IF(ISERROR(MATCH(M$1,INDIRECT("Table!A"&amp;$AF100):INDIRECT("Table!" &amp; $AR$159 &amp; $AF100),0)),"",INDIRECT(CONCATENATE("Table!",ADDRESS($AB100,MATCH(M$1,INDIRECT("Table!A" &amp; $AF100):INDIRECT("Table!" &amp; $AR$159 &amp; $AF100),0)))))</f>
        <v>23644</v>
      </c>
      <c r="N100" s="35" t="str">
        <f ca="1">IF(ISERROR(MATCH(N$1,INDIRECT("Table!A"&amp;$AF100):INDIRECT("Table!" &amp; $AR$188 &amp; $AF100),0)),"",INDIRECT(CONCATENATE("Table!",ADDRESS($AB100,MATCH(N$1,INDIRECT("Table!A" &amp; $AF100):INDIRECT("Table!" &amp; $AR$188 &amp; $AF100),0)))))</f>
        <v/>
      </c>
      <c r="O100" s="35">
        <f ca="1">IF(ISERROR(MATCH(O$1,INDIRECT("Table!A"&amp;$AN100):INDIRECT("Table!" &amp; $AR$159 &amp; $AN100),0)),"",INDIRECT(CONCATENATE("Table!",ADDRESS($AJ100,MATCH(O$1,INDIRECT("Table!A" &amp; $AN100):INDIRECT("Table!" &amp; $AR$159 &amp; $AN100),0)))))</f>
        <v>115816.8</v>
      </c>
      <c r="P100" s="35">
        <f ca="1">IF(ISERROR(MATCH(P$1,INDIRECT("Table!A"&amp;$AN100):INDIRECT("Table!" &amp; $AR$159 &amp; $AN100),0)),"",INDIRECT(CONCATENATE("Table!",ADDRESS($AJ100,MATCH(P$1,INDIRECT("Table!A" &amp; $AN100):INDIRECT("Table!" &amp; $AR$159 &amp; $AN100),0)))))</f>
        <v>99041.7</v>
      </c>
      <c r="Q100" s="35">
        <f ca="1">IF(ISERROR(MATCH(Q$1,INDIRECT("Table!A"&amp;$AN100):INDIRECT("Table!" &amp; $AR$159 &amp; $AN100),0)),"",INDIRECT(CONCATENATE("Table!",ADDRESS($AJ100,MATCH(Q$1,INDIRECT("Table!A" &amp; $AN100):INDIRECT("Table!" &amp; $AR$159 &amp; $AN100),0)))))</f>
        <v>99041.7</v>
      </c>
      <c r="R100" s="35">
        <f ca="1">IF(ISERROR(MATCH(R$1,INDIRECT("Table!A"&amp;$AN100):INDIRECT("Table!" &amp; $AR$159 &amp; $AN100),0)),"",INDIRECT(CONCATENATE("Table!",ADDRESS($AJ100,MATCH(R$1,INDIRECT("Table!A" &amp; $AN100):INDIRECT("Table!" &amp; $AR$159 &amp; $AN100),0)))))</f>
        <v>181997.8</v>
      </c>
      <c r="S100" s="35">
        <f ca="1">IF(ISERROR(MATCH(S$1,INDIRECT("Table!A"&amp;$AN100):INDIRECT("Table!" &amp; $AR$159 &amp; $AN100),0)),"",INDIRECT(CONCATENATE("Table!",ADDRESS($AJ100,MATCH(S$1,INDIRECT("Table!A" &amp; $AN100):INDIRECT("Table!" &amp; $AR$159 &amp; $AN100),0)))))</f>
        <v>121331.8</v>
      </c>
      <c r="T100" s="35">
        <f ca="1">IF(ISERROR(MATCH(T$1,INDIRECT("Table!A"&amp;$AN100):INDIRECT("Table!" &amp; $AR$159 &amp; $AN100),0)),"",INDIRECT(CONCATENATE("Table!",ADDRESS($AJ100,MATCH(T$1,INDIRECT("Table!A" &amp; $AN100):INDIRECT("Table!" &amp; $AR$159 &amp; $AN100),0)))))</f>
        <v>110071.9</v>
      </c>
      <c r="U100" s="35">
        <f ca="1">IF(ISERROR(MATCH(U$1,INDIRECT("Table!A"&amp;$AN100):INDIRECT("Table!" &amp; $AR$159 &amp; $AN100),0)),"",INDIRECT(CONCATENATE("Table!",ADDRESS($AJ100,MATCH(U$1,INDIRECT("Table!A" &amp; $AN100):INDIRECT("Table!" &amp; $AR$159 &amp; $AN100),0)))))</f>
        <v>121331.8</v>
      </c>
      <c r="V100" s="35">
        <f ca="1">IF(ISERROR(MATCH(V$1,INDIRECT("Table!A"&amp;$AN100):INDIRECT("Table!" &amp; $AR$159 &amp; $AN100),0)),"",INDIRECT(CONCATENATE("Table!",ADDRESS($AJ100,MATCH(V$1,INDIRECT("Table!A" &amp; $AN100):INDIRECT("Table!" &amp; $AR$159 &amp; $AN100),0)))))</f>
        <v>170967.6</v>
      </c>
      <c r="W100" s="35">
        <f ca="1">IF(ISERROR(MATCH(W$1,INDIRECT("Table!A"&amp;$AN100):INDIRECT("Table!" &amp; $AR$159 &amp; $AN100),0)),"",INDIRECT(CONCATENATE("Table!",ADDRESS($AJ100,MATCH(W$1,INDIRECT("Table!A" &amp; $AN100):INDIRECT("Table!" &amp; $AR$159 &amp; $AN100),0)))))</f>
        <v>132132.20000000001</v>
      </c>
      <c r="X100" s="35">
        <f ca="1">IF(ISERROR(MATCH(X$1,INDIRECT("Table!A"&amp;$AN100):INDIRECT("Table!" &amp; $AR$159 &amp; $AN100),0)),"",INDIRECT(CONCATENATE("Table!",ADDRESS($AJ100,MATCH(X$1,INDIRECT("Table!A" &amp; $AN100):INDIRECT("Table!" &amp; $AR$159 &amp; $AN100),0)))))</f>
        <v>60665.9</v>
      </c>
      <c r="Y100" s="35">
        <f ca="1">IF(ISERROR(MATCH(Y$1,INDIRECT("Table!A"&amp;$AN100):INDIRECT("Table!" &amp; $AR$159 &amp; $AN100),0)),"",INDIRECT(CONCATENATE("Table!",ADDRESS($AJ100,MATCH(Y$1,INDIRECT("Table!A" &amp; $AN100):INDIRECT("Table!" &amp; $AR$159 &amp; $AN100),0)))))</f>
        <v>176482.7</v>
      </c>
      <c r="Z100" s="35">
        <f ca="1">IF(ISERROR(MATCH(Z$1,INDIRECT("Table!A"&amp;$AN100):INDIRECT("Table!" &amp; $AR$159 &amp; $AN100),0)),"",INDIRECT(CONCATENATE("Table!",ADDRESS($AJ100,MATCH(Z$1,INDIRECT("Table!A" &amp; $AN100):INDIRECT("Table!" &amp; $AR$159 &amp; $AN100),0)))))</f>
        <v>54921</v>
      </c>
      <c r="AA100" s="12"/>
      <c r="AB100" s="12">
        <f>MATCH($A100,Table!$A:$A,0)+$AD$2-1</f>
        <v>1482</v>
      </c>
      <c r="AF100" s="31">
        <f>MATCH($A100,Table!$A:$A,0)+$AH$2-1</f>
        <v>1480</v>
      </c>
      <c r="AJ100" s="12">
        <f>MATCH($A100,Table!$A:$A,0)+$AL$2-1</f>
        <v>1481</v>
      </c>
      <c r="AN100" s="31">
        <f>MATCH($A100,Table!$A:$A,0)+$AH$2-1</f>
        <v>1480</v>
      </c>
      <c r="AR100" s="178" t="s">
        <v>118</v>
      </c>
    </row>
    <row r="101" spans="1:44">
      <c r="A101" s="5">
        <v>41019</v>
      </c>
      <c r="B101" s="35">
        <f ca="1">IF(ISERROR(MATCH(B$1,INDIRECT("Table!A"&amp;$AF101):INDIRECT("Table!" &amp; $AR$159 &amp; $AF101),0)),"",INDIRECT(CONCATENATE("Table!",ADDRESS($AB101,MATCH(B$1,INDIRECT("Table!A" &amp; $AF101):INDIRECT("Table!" &amp; $AR$159 &amp; $AF101),0)))))</f>
        <v>87010.8</v>
      </c>
      <c r="C101" s="35">
        <f ca="1">IF(ISERROR(MATCH(C$1,INDIRECT("Table!A"&amp;$AF101):INDIRECT("Table!" &amp; $AR$159 &amp; $AF101),0)),"",INDIRECT(CONCATENATE("Table!",ADDRESS($AB101,MATCH(C$1,INDIRECT("Table!A" &amp; $AF101):INDIRECT("Table!" &amp; $AR$159 &amp; $AF101),0)))))</f>
        <v>66387.7</v>
      </c>
      <c r="D101" s="35">
        <f ca="1">IF(ISERROR(MATCH(D$1,INDIRECT("Table!A"&amp;$AF101):INDIRECT("Table!" &amp; $AR$159 &amp; $AF101),0)),"",INDIRECT(CONCATENATE("Table!",ADDRESS($AB101,MATCH(D$1,INDIRECT("Table!A" &amp; $AF101):INDIRECT("Table!" &amp; $AR$159 &amp; $AF101),0)))))</f>
        <v>67765.399999999994</v>
      </c>
      <c r="E101" s="35">
        <f ca="1">IF(ISERROR(MATCH(E$1,INDIRECT("Table!A"&amp;$AF101):INDIRECT("Table!" &amp; $AR$159 &amp; $AF101),0)),"",INDIRECT(CONCATENATE("Table!",ADDRESS($AB101,MATCH(E$1,INDIRECT("Table!A" &amp; $AF101):INDIRECT("Table!" &amp; $AR$159 &amp; $AF101),0)))))</f>
        <v>134614.6</v>
      </c>
      <c r="F101" s="35">
        <f ca="1">IF(ISERROR(MATCH(F$1,INDIRECT("Table!A"&amp;$AF101):INDIRECT("Table!" &amp; $AR$159 &amp; $AF101),0)),"",INDIRECT(CONCATENATE("Table!",ADDRESS($AB101,MATCH(F$1,INDIRECT("Table!A" &amp; $AF101):INDIRECT("Table!" &amp; $AR$159 &amp; $AF101),0)))))</f>
        <v>7677.5</v>
      </c>
      <c r="G101" s="35">
        <f ca="1">IF(ISERROR(MATCH(G$1,INDIRECT("Table!A"&amp;$AF101):INDIRECT("Table!" &amp; $AR$159 &amp; $AF101),0)),"",INDIRECT(CONCATENATE("Table!",ADDRESS($AB101,MATCH(G$1,INDIRECT("Table!A" &amp; $AF101):INDIRECT("Table!" &amp; $AR$159 &amp; $AF101),0)))))</f>
        <v>32352.400000000001</v>
      </c>
      <c r="H101" s="35">
        <f ca="1">IF(ISERROR(MATCH(H$1,INDIRECT("Table!A"&amp;$AF101):INDIRECT("Table!" &amp; $AR$159 &amp; $AF101),0)),"",INDIRECT(CONCATENATE("Table!",ADDRESS($AB101,MATCH(H$1,INDIRECT("Table!A" &amp; $AF101):INDIRECT("Table!" &amp; $AR$159 &amp; $AF101),0)))))</f>
        <v>20339.2</v>
      </c>
      <c r="I101" s="35">
        <f ca="1">IF(ISERROR(MATCH(I$1,INDIRECT("Table!A"&amp;$AF101):INDIRECT("Table!" &amp; $AR$159 &amp; $AF101),0)),"",INDIRECT(CONCATENATE("Table!",ADDRESS($AB101,MATCH(I$1,INDIRECT("Table!A" &amp; $AF101):INDIRECT("Table!" &amp; $AR$159 &amp; $AF101),0)))))</f>
        <v>124568.2</v>
      </c>
      <c r="J101" s="35">
        <f ca="1">IF(ISERROR(MATCH(J$1,INDIRECT("Table!A"&amp;$AF101):INDIRECT("Table!" &amp; $AR$159 &amp; $AF101),0)),"",INDIRECT(CONCATENATE("Table!",ADDRESS($AB101,MATCH(J$1,INDIRECT("Table!A" &amp; $AF101):INDIRECT("Table!" &amp; $AR$159 &amp; $AF101),0)))))</f>
        <v>41597.800000000003</v>
      </c>
      <c r="K101" s="35">
        <f ca="1">IF(ISERROR(MATCH(K$1,INDIRECT("Table!A"&amp;$AF101):INDIRECT("Table!" &amp; $AR$159 &amp; $AF101),0)),"",INDIRECT(CONCATENATE("Table!",ADDRESS($AB101,MATCH(K$1,INDIRECT("Table!A" &amp; $AF101):INDIRECT("Table!" &amp; $AR$159 &amp; $AF101),0)))))</f>
        <v>4002.9</v>
      </c>
      <c r="L101" s="35">
        <f ca="1">IF(ISERROR(MATCH(L$1,INDIRECT("Table!A"&amp;$AF101):INDIRECT("Table!" &amp; $AR$159 &amp; $AF101),0)),"",INDIRECT(CONCATENATE("Table!",ADDRESS($AB101,MATCH(L$1,INDIRECT("Table!A" &amp; $AF101):INDIRECT("Table!" &amp; $AR$159 &amp; $AF101),0)))))</f>
        <v>79391.600000000006</v>
      </c>
      <c r="M101" s="35">
        <f ca="1">IF(ISERROR(MATCH(M$1,INDIRECT("Table!A"&amp;$AF101):INDIRECT("Table!" &amp; $AR$159 &amp; $AF101),0)),"",INDIRECT(CONCATENATE("Table!",ADDRESS($AB101,MATCH(M$1,INDIRECT("Table!A" &amp; $AF101):INDIRECT("Table!" &amp; $AR$159 &amp; $AF101),0)))))</f>
        <v>23387.5</v>
      </c>
      <c r="N101" s="35" t="str">
        <f ca="1">IF(ISERROR(MATCH(N$1,INDIRECT("Table!A"&amp;$AF101):INDIRECT("Table!" &amp; $AR$188 &amp; $AF101),0)),"",INDIRECT(CONCATENATE("Table!",ADDRESS($AB101,MATCH(N$1,INDIRECT("Table!A" &amp; $AF101):INDIRECT("Table!" &amp; $AR$188 &amp; $AF101),0)))))</f>
        <v/>
      </c>
      <c r="O101" s="35">
        <f ca="1">IF(ISERROR(MATCH(O$1,INDIRECT("Table!A"&amp;$AN101):INDIRECT("Table!" &amp; $AR$159 &amp; $AN101),0)),"",INDIRECT(CONCATENATE("Table!",ADDRESS($AJ101,MATCH(O$1,INDIRECT("Table!A" &amp; $AN101):INDIRECT("Table!" &amp; $AR$159 &amp; $AN101),0)))))</f>
        <v>115816.8</v>
      </c>
      <c r="P101" s="35">
        <f ca="1">IF(ISERROR(MATCH(P$1,INDIRECT("Table!A"&amp;$AN101):INDIRECT("Table!" &amp; $AR$159 &amp; $AN101),0)),"",INDIRECT(CONCATENATE("Table!",ADDRESS($AJ101,MATCH(P$1,INDIRECT("Table!A" &amp; $AN101):INDIRECT("Table!" &amp; $AR$159 &amp; $AN101),0)))))</f>
        <v>99041.7</v>
      </c>
      <c r="Q101" s="35">
        <f ca="1">IF(ISERROR(MATCH(Q$1,INDIRECT("Table!A"&amp;$AN101):INDIRECT("Table!" &amp; $AR$159 &amp; $AN101),0)),"",INDIRECT(CONCATENATE("Table!",ADDRESS($AJ101,MATCH(Q$1,INDIRECT("Table!A" &amp; $AN101):INDIRECT("Table!" &amp; $AR$159 &amp; $AN101),0)))))</f>
        <v>99041.7</v>
      </c>
      <c r="R101" s="35">
        <f ca="1">IF(ISERROR(MATCH(R$1,INDIRECT("Table!A"&amp;$AN101):INDIRECT("Table!" &amp; $AR$159 &amp; $AN101),0)),"",INDIRECT(CONCATENATE("Table!",ADDRESS($AJ101,MATCH(R$1,INDIRECT("Table!A" &amp; $AN101):INDIRECT("Table!" &amp; $AR$159 &amp; $AN101),0)))))</f>
        <v>181997.8</v>
      </c>
      <c r="S101" s="35">
        <f ca="1">IF(ISERROR(MATCH(S$1,INDIRECT("Table!A"&amp;$AN101):INDIRECT("Table!" &amp; $AR$159 &amp; $AN101),0)),"",INDIRECT(CONCATENATE("Table!",ADDRESS($AJ101,MATCH(S$1,INDIRECT("Table!A" &amp; $AN101):INDIRECT("Table!" &amp; $AR$159 &amp; $AN101),0)))))</f>
        <v>121331.8</v>
      </c>
      <c r="T101" s="35">
        <f ca="1">IF(ISERROR(MATCH(T$1,INDIRECT("Table!A"&amp;$AN101):INDIRECT("Table!" &amp; $AR$159 &amp; $AN101),0)),"",INDIRECT(CONCATENATE("Table!",ADDRESS($AJ101,MATCH(T$1,INDIRECT("Table!A" &amp; $AN101):INDIRECT("Table!" &amp; $AR$159 &amp; $AN101),0)))))</f>
        <v>110071.9</v>
      </c>
      <c r="U101" s="35">
        <f ca="1">IF(ISERROR(MATCH(U$1,INDIRECT("Table!A"&amp;$AN101):INDIRECT("Table!" &amp; $AR$159 &amp; $AN101),0)),"",INDIRECT(CONCATENATE("Table!",ADDRESS($AJ101,MATCH(U$1,INDIRECT("Table!A" &amp; $AN101):INDIRECT("Table!" &amp; $AR$159 &amp; $AN101),0)))))</f>
        <v>121331.8</v>
      </c>
      <c r="V101" s="35">
        <f ca="1">IF(ISERROR(MATCH(V$1,INDIRECT("Table!A"&amp;$AN101):INDIRECT("Table!" &amp; $AR$159 &amp; $AN101),0)),"",INDIRECT(CONCATENATE("Table!",ADDRESS($AJ101,MATCH(V$1,INDIRECT("Table!A" &amp; $AN101):INDIRECT("Table!" &amp; $AR$159 &amp; $AN101),0)))))</f>
        <v>170967.6</v>
      </c>
      <c r="W101" s="35">
        <f ca="1">IF(ISERROR(MATCH(W$1,INDIRECT("Table!A"&amp;$AN101):INDIRECT("Table!" &amp; $AR$159 &amp; $AN101),0)),"",INDIRECT(CONCATENATE("Table!",ADDRESS($AJ101,MATCH(W$1,INDIRECT("Table!A" &amp; $AN101):INDIRECT("Table!" &amp; $AR$159 &amp; $AN101),0)))))</f>
        <v>132132.20000000001</v>
      </c>
      <c r="X101" s="35">
        <f ca="1">IF(ISERROR(MATCH(X$1,INDIRECT("Table!A"&amp;$AN101):INDIRECT("Table!" &amp; $AR$159 &amp; $AN101),0)),"",INDIRECT(CONCATENATE("Table!",ADDRESS($AJ101,MATCH(X$1,INDIRECT("Table!A" &amp; $AN101):INDIRECT("Table!" &amp; $AR$159 &amp; $AN101),0)))))</f>
        <v>60665.9</v>
      </c>
      <c r="Y101" s="35">
        <f ca="1">IF(ISERROR(MATCH(Y$1,INDIRECT("Table!A"&amp;$AN101):INDIRECT("Table!" &amp; $AR$159 &amp; $AN101),0)),"",INDIRECT(CONCATENATE("Table!",ADDRESS($AJ101,MATCH(Y$1,INDIRECT("Table!A" &amp; $AN101):INDIRECT("Table!" &amp; $AR$159 &amp; $AN101),0)))))</f>
        <v>176482.7</v>
      </c>
      <c r="Z101" s="35">
        <f ca="1">IF(ISERROR(MATCH(Z$1,INDIRECT("Table!A"&amp;$AN101):INDIRECT("Table!" &amp; $AR$159 &amp; $AN101),0)),"",INDIRECT(CONCATENATE("Table!",ADDRESS($AJ101,MATCH(Z$1,INDIRECT("Table!A" &amp; $AN101):INDIRECT("Table!" &amp; $AR$159 &amp; $AN101),0)))))</f>
        <v>54921</v>
      </c>
      <c r="AA101" s="12"/>
      <c r="AB101" s="12">
        <f>MATCH($A101,Table!$A:$A,0)+$AD$2-1</f>
        <v>1495</v>
      </c>
      <c r="AF101" s="31">
        <f>MATCH($A101,Table!$A:$A,0)+$AH$2-1</f>
        <v>1493</v>
      </c>
      <c r="AJ101" s="12">
        <f>MATCH($A101,Table!$A:$A,0)+$AL$2-1</f>
        <v>1494</v>
      </c>
      <c r="AN101" s="31">
        <f>MATCH($A101,Table!$A:$A,0)+$AH$2-1</f>
        <v>1493</v>
      </c>
      <c r="AR101" s="177" t="s">
        <v>118</v>
      </c>
    </row>
    <row r="102" spans="1:44">
      <c r="A102" s="5">
        <v>41018</v>
      </c>
      <c r="B102" s="35">
        <f ca="1">IF(ISERROR(MATCH(B$1,INDIRECT("Table!A"&amp;$AF102):INDIRECT("Table!" &amp; $AR$159 &amp; $AF102),0)),"",INDIRECT(CONCATENATE("Table!",ADDRESS($AB102,MATCH(B$1,INDIRECT("Table!A" &amp; $AF102):INDIRECT("Table!" &amp; $AR$159 &amp; $AF102),0)))))</f>
        <v>86885.2</v>
      </c>
      <c r="C102" s="35">
        <f ca="1">IF(ISERROR(MATCH(C$1,INDIRECT("Table!A"&amp;$AF102):INDIRECT("Table!" &amp; $AR$159 &amp; $AF102),0)),"",INDIRECT(CONCATENATE("Table!",ADDRESS($AB102,MATCH(C$1,INDIRECT("Table!A" &amp; $AF102):INDIRECT("Table!" &amp; $AR$159 &amp; $AF102),0)))))</f>
        <v>66383.199999999997</v>
      </c>
      <c r="D102" s="35">
        <f ca="1">IF(ISERROR(MATCH(D$1,INDIRECT("Table!A"&amp;$AF102):INDIRECT("Table!" &amp; $AR$159 &amp; $AF102),0)),"",INDIRECT(CONCATENATE("Table!",ADDRESS($AB102,MATCH(D$1,INDIRECT("Table!A" &amp; $AF102):INDIRECT("Table!" &amp; $AR$159 &amp; $AF102),0)))))</f>
        <v>67761</v>
      </c>
      <c r="E102" s="35">
        <f ca="1">IF(ISERROR(MATCH(E$1,INDIRECT("Table!A"&amp;$AF102):INDIRECT("Table!" &amp; $AR$159 &amp; $AF102),0)),"",INDIRECT(CONCATENATE("Table!",ADDRESS($AB102,MATCH(E$1,INDIRECT("Table!A" &amp; $AF102):INDIRECT("Table!" &amp; $AR$159 &amp; $AF102),0)))))</f>
        <v>134160.20000000001</v>
      </c>
      <c r="F102" s="35">
        <f ca="1">IF(ISERROR(MATCH(F$1,INDIRECT("Table!A"&amp;$AF102):INDIRECT("Table!" &amp; $AR$159 &amp; $AF102),0)),"",INDIRECT(CONCATENATE("Table!",ADDRESS($AB102,MATCH(F$1,INDIRECT("Table!A" &amp; $AF102):INDIRECT("Table!" &amp; $AR$159 &amp; $AF102),0)))))</f>
        <v>7677.5</v>
      </c>
      <c r="G102" s="35">
        <f ca="1">IF(ISERROR(MATCH(G$1,INDIRECT("Table!A"&amp;$AF102):INDIRECT("Table!" &amp; $AR$159 &amp; $AF102),0)),"",INDIRECT(CONCATENATE("Table!",ADDRESS($AB102,MATCH(G$1,INDIRECT("Table!A" &amp; $AF102):INDIRECT("Table!" &amp; $AR$159 &amp; $AF102),0)))))</f>
        <v>31569.7</v>
      </c>
      <c r="H102" s="35">
        <f ca="1">IF(ISERROR(MATCH(H$1,INDIRECT("Table!A"&amp;$AF102):INDIRECT("Table!" &amp; $AR$159 &amp; $AF102),0)),"",INDIRECT(CONCATENATE("Table!",ADDRESS($AB102,MATCH(H$1,INDIRECT("Table!A" &amp; $AF102):INDIRECT("Table!" &amp; $AR$159 &amp; $AF102),0)))))</f>
        <v>20335.400000000001</v>
      </c>
      <c r="I102" s="35">
        <f ca="1">IF(ISERROR(MATCH(I$1,INDIRECT("Table!A"&amp;$AF102):INDIRECT("Table!" &amp; $AR$159 &amp; $AF102),0)),"",INDIRECT(CONCATENATE("Table!",ADDRESS($AB102,MATCH(I$1,INDIRECT("Table!A" &amp; $AF102):INDIRECT("Table!" &amp; $AR$159 &amp; $AF102),0)))))</f>
        <v>124394.9</v>
      </c>
      <c r="J102" s="35">
        <f ca="1">IF(ISERROR(MATCH(J$1,INDIRECT("Table!A"&amp;$AF102):INDIRECT("Table!" &amp; $AR$159 &amp; $AF102),0)),"",INDIRECT(CONCATENATE("Table!",ADDRESS($AB102,MATCH(J$1,INDIRECT("Table!A" &amp; $AF102):INDIRECT("Table!" &amp; $AR$159 &amp; $AF102),0)))))</f>
        <v>41593.599999999999</v>
      </c>
      <c r="K102" s="35">
        <f ca="1">IF(ISERROR(MATCH(K$1,INDIRECT("Table!A"&amp;$AF102):INDIRECT("Table!" &amp; $AR$159 &amp; $AF102),0)),"",INDIRECT(CONCATENATE("Table!",ADDRESS($AB102,MATCH(K$1,INDIRECT("Table!A" &amp; $AF102):INDIRECT("Table!" &amp; $AR$159 &amp; $AF102),0)))))</f>
        <v>3996.9</v>
      </c>
      <c r="L102" s="35">
        <f ca="1">IF(ISERROR(MATCH(L$1,INDIRECT("Table!A"&amp;$AF102):INDIRECT("Table!" &amp; $AR$159 &amp; $AF102),0)),"",INDIRECT(CONCATENATE("Table!",ADDRESS($AB102,MATCH(L$1,INDIRECT("Table!A" &amp; $AF102):INDIRECT("Table!" &amp; $AR$159 &amp; $AF102),0)))))</f>
        <v>79384.899999999994</v>
      </c>
      <c r="M102" s="35">
        <f ca="1">IF(ISERROR(MATCH(M$1,INDIRECT("Table!A"&amp;$AF102):INDIRECT("Table!" &amp; $AR$159 &amp; $AF102),0)),"",INDIRECT(CONCATENATE("Table!",ADDRESS($AB102,MATCH(M$1,INDIRECT("Table!A" &amp; $AF102):INDIRECT("Table!" &amp; $AR$159 &amp; $AF102),0)))))</f>
        <v>23338.6</v>
      </c>
      <c r="N102" s="35" t="str">
        <f ca="1">IF(ISERROR(MATCH(N$1,INDIRECT("Table!A"&amp;$AF102):INDIRECT("Table!" &amp; $AR$188 &amp; $AF102),0)),"",INDIRECT(CONCATENATE("Table!",ADDRESS($AB102,MATCH(N$1,INDIRECT("Table!A" &amp; $AF102):INDIRECT("Table!" &amp; $AR$188 &amp; $AF102),0)))))</f>
        <v/>
      </c>
      <c r="O102" s="35">
        <f ca="1">IF(ISERROR(MATCH(O$1,INDIRECT("Table!A"&amp;$AN102):INDIRECT("Table!" &amp; $AR$159 &amp; $AN102),0)),"",INDIRECT(CONCATENATE("Table!",ADDRESS($AJ102,MATCH(O$1,INDIRECT("Table!A" &amp; $AN102):INDIRECT("Table!" &amp; $AR$159 &amp; $AN102),0)))))</f>
        <v>115816.8</v>
      </c>
      <c r="P102" s="35">
        <f ca="1">IF(ISERROR(MATCH(P$1,INDIRECT("Table!A"&amp;$AN102):INDIRECT("Table!" &amp; $AR$159 &amp; $AN102),0)),"",INDIRECT(CONCATENATE("Table!",ADDRESS($AJ102,MATCH(P$1,INDIRECT("Table!A" &amp; $AN102):INDIRECT("Table!" &amp; $AR$159 &amp; $AN102),0)))))</f>
        <v>99041.7</v>
      </c>
      <c r="Q102" s="35">
        <f ca="1">IF(ISERROR(MATCH(Q$1,INDIRECT("Table!A"&amp;$AN102):INDIRECT("Table!" &amp; $AR$159 &amp; $AN102),0)),"",INDIRECT(CONCATENATE("Table!",ADDRESS($AJ102,MATCH(Q$1,INDIRECT("Table!A" &amp; $AN102):INDIRECT("Table!" &amp; $AR$159 &amp; $AN102),0)))))</f>
        <v>99041.7</v>
      </c>
      <c r="R102" s="35">
        <f ca="1">IF(ISERROR(MATCH(R$1,INDIRECT("Table!A"&amp;$AN102):INDIRECT("Table!" &amp; $AR$159 &amp; $AN102),0)),"",INDIRECT(CONCATENATE("Table!",ADDRESS($AJ102,MATCH(R$1,INDIRECT("Table!A" &amp; $AN102):INDIRECT("Table!" &amp; $AR$159 &amp; $AN102),0)))))</f>
        <v>181997.8</v>
      </c>
      <c r="S102" s="35">
        <f ca="1">IF(ISERROR(MATCH(S$1,INDIRECT("Table!A"&amp;$AN102):INDIRECT("Table!" &amp; $AR$159 &amp; $AN102),0)),"",INDIRECT(CONCATENATE("Table!",ADDRESS($AJ102,MATCH(S$1,INDIRECT("Table!A" &amp; $AN102):INDIRECT("Table!" &amp; $AR$159 &amp; $AN102),0)))))</f>
        <v>121331.8</v>
      </c>
      <c r="T102" s="35">
        <f ca="1">IF(ISERROR(MATCH(T$1,INDIRECT("Table!A"&amp;$AN102):INDIRECT("Table!" &amp; $AR$159 &amp; $AN102),0)),"",INDIRECT(CONCATENATE("Table!",ADDRESS($AJ102,MATCH(T$1,INDIRECT("Table!A" &amp; $AN102):INDIRECT("Table!" &amp; $AR$159 &amp; $AN102),0)))))</f>
        <v>110071.9</v>
      </c>
      <c r="U102" s="35">
        <f ca="1">IF(ISERROR(MATCH(U$1,INDIRECT("Table!A"&amp;$AN102):INDIRECT("Table!" &amp; $AR$159 &amp; $AN102),0)),"",INDIRECT(CONCATENATE("Table!",ADDRESS($AJ102,MATCH(U$1,INDIRECT("Table!A" &amp; $AN102):INDIRECT("Table!" &amp; $AR$159 &amp; $AN102),0)))))</f>
        <v>121331.8</v>
      </c>
      <c r="V102" s="35">
        <f ca="1">IF(ISERROR(MATCH(V$1,INDIRECT("Table!A"&amp;$AN102):INDIRECT("Table!" &amp; $AR$159 &amp; $AN102),0)),"",INDIRECT(CONCATENATE("Table!",ADDRESS($AJ102,MATCH(V$1,INDIRECT("Table!A" &amp; $AN102):INDIRECT("Table!" &amp; $AR$159 &amp; $AN102),0)))))</f>
        <v>170967.6</v>
      </c>
      <c r="W102" s="35">
        <f ca="1">IF(ISERROR(MATCH(W$1,INDIRECT("Table!A"&amp;$AN102):INDIRECT("Table!" &amp; $AR$159 &amp; $AN102),0)),"",INDIRECT(CONCATENATE("Table!",ADDRESS($AJ102,MATCH(W$1,INDIRECT("Table!A" &amp; $AN102):INDIRECT("Table!" &amp; $AR$159 &amp; $AN102),0)))))</f>
        <v>132132.20000000001</v>
      </c>
      <c r="X102" s="35">
        <f ca="1">IF(ISERROR(MATCH(X$1,INDIRECT("Table!A"&amp;$AN102):INDIRECT("Table!" &amp; $AR$159 &amp; $AN102),0)),"",INDIRECT(CONCATENATE("Table!",ADDRESS($AJ102,MATCH(X$1,INDIRECT("Table!A" &amp; $AN102):INDIRECT("Table!" &amp; $AR$159 &amp; $AN102),0)))))</f>
        <v>60665.9</v>
      </c>
      <c r="Y102" s="35">
        <f ca="1">IF(ISERROR(MATCH(Y$1,INDIRECT("Table!A"&amp;$AN102):INDIRECT("Table!" &amp; $AR$159 &amp; $AN102),0)),"",INDIRECT(CONCATENATE("Table!",ADDRESS($AJ102,MATCH(Y$1,INDIRECT("Table!A" &amp; $AN102):INDIRECT("Table!" &amp; $AR$159 &amp; $AN102),0)))))</f>
        <v>176482.7</v>
      </c>
      <c r="Z102" s="35">
        <f ca="1">IF(ISERROR(MATCH(Z$1,INDIRECT("Table!A"&amp;$AN102):INDIRECT("Table!" &amp; $AR$159 &amp; $AN102),0)),"",INDIRECT(CONCATENATE("Table!",ADDRESS($AJ102,MATCH(Z$1,INDIRECT("Table!A" &amp; $AN102):INDIRECT("Table!" &amp; $AR$159 &amp; $AN102),0)))))</f>
        <v>54921</v>
      </c>
      <c r="AA102" s="12"/>
      <c r="AB102" s="12">
        <f>MATCH($A102,Table!$A:$A,0)+$AD$2-1</f>
        <v>1508</v>
      </c>
      <c r="AF102" s="31">
        <f>MATCH($A102,Table!$A:$A,0)+$AH$2-1</f>
        <v>1506</v>
      </c>
      <c r="AJ102" s="12">
        <f>MATCH($A102,Table!$A:$A,0)+$AL$2-1</f>
        <v>1507</v>
      </c>
      <c r="AN102" s="31">
        <f>MATCH($A102,Table!$A:$A,0)+$AH$2-1</f>
        <v>1506</v>
      </c>
      <c r="AR102" s="177" t="s">
        <v>118</v>
      </c>
    </row>
    <row r="103" spans="1:44">
      <c r="A103" s="5">
        <v>41017</v>
      </c>
      <c r="B103" s="35">
        <f ca="1">IF(ISERROR(MATCH(B$1,INDIRECT("Table!A"&amp;$AF103):INDIRECT("Table!" &amp; $AR$159 &amp; $AF103),0)),"",INDIRECT(CONCATENATE("Table!",ADDRESS($AB103,MATCH(B$1,INDIRECT("Table!A" &amp; $AF103):INDIRECT("Table!" &amp; $AR$159 &amp; $AF103),0)))))</f>
        <v>86865.7</v>
      </c>
      <c r="C103" s="35">
        <f ca="1">IF(ISERROR(MATCH(C$1,INDIRECT("Table!A"&amp;$AF103):INDIRECT("Table!" &amp; $AR$159 &amp; $AF103),0)),"",INDIRECT(CONCATENATE("Table!",ADDRESS($AB103,MATCH(C$1,INDIRECT("Table!A" &amp; $AF103):INDIRECT("Table!" &amp; $AR$159 &amp; $AF103),0)))))</f>
        <v>66374.5</v>
      </c>
      <c r="D103" s="35">
        <f ca="1">IF(ISERROR(MATCH(D$1,INDIRECT("Table!A"&amp;$AF103):INDIRECT("Table!" &amp; $AR$159 &amp; $AF103),0)),"",INDIRECT(CONCATENATE("Table!",ADDRESS($AB103,MATCH(D$1,INDIRECT("Table!A" &amp; $AF103):INDIRECT("Table!" &amp; $AR$159 &amp; $AF103),0)))))</f>
        <v>67752.2</v>
      </c>
      <c r="E103" s="35">
        <f ca="1">IF(ISERROR(MATCH(E$1,INDIRECT("Table!A"&amp;$AF103):INDIRECT("Table!" &amp; $AR$159 &amp; $AF103),0)),"",INDIRECT(CONCATENATE("Table!",ADDRESS($AB103,MATCH(E$1,INDIRECT("Table!A" &amp; $AF103):INDIRECT("Table!" &amp; $AR$159 &amp; $AF103),0)))))</f>
        <v>133817.20000000001</v>
      </c>
      <c r="F103" s="35">
        <f ca="1">IF(ISERROR(MATCH(F$1,INDIRECT("Table!A"&amp;$AF103):INDIRECT("Table!" &amp; $AR$159 &amp; $AF103),0)),"",INDIRECT(CONCATENATE("Table!",ADDRESS($AB103,MATCH(F$1,INDIRECT("Table!A" &amp; $AF103):INDIRECT("Table!" &amp; $AR$159 &amp; $AF103),0)))))</f>
        <v>7621.4</v>
      </c>
      <c r="G103" s="35">
        <f ca="1">IF(ISERROR(MATCH(G$1,INDIRECT("Table!A"&amp;$AF103):INDIRECT("Table!" &amp; $AR$159 &amp; $AF103),0)),"",INDIRECT(CONCATENATE("Table!",ADDRESS($AB103,MATCH(G$1,INDIRECT("Table!A" &amp; $AF103):INDIRECT("Table!" &amp; $AR$159 &amp; $AF103),0)))))</f>
        <v>31452</v>
      </c>
      <c r="H103" s="35">
        <f ca="1">IF(ISERROR(MATCH(H$1,INDIRECT("Table!A"&amp;$AF103):INDIRECT("Table!" &amp; $AR$159 &amp; $AF103),0)),"",INDIRECT(CONCATENATE("Table!",ADDRESS($AB103,MATCH(H$1,INDIRECT("Table!A" &amp; $AF103):INDIRECT("Table!" &amp; $AR$159 &amp; $AF103),0)))))</f>
        <v>20300.3</v>
      </c>
      <c r="I103" s="35">
        <f ca="1">IF(ISERROR(MATCH(I$1,INDIRECT("Table!A"&amp;$AF103):INDIRECT("Table!" &amp; $AR$159 &amp; $AF103),0)),"",INDIRECT(CONCATENATE("Table!",ADDRESS($AB103,MATCH(I$1,INDIRECT("Table!A" &amp; $AF103):INDIRECT("Table!" &amp; $AR$159 &amp; $AF103),0)))))</f>
        <v>124280.9</v>
      </c>
      <c r="J103" s="35">
        <f ca="1">IF(ISERROR(MATCH(J$1,INDIRECT("Table!A"&amp;$AF103):INDIRECT("Table!" &amp; $AR$159 &amp; $AF103),0)),"",INDIRECT(CONCATENATE("Table!",ADDRESS($AB103,MATCH(J$1,INDIRECT("Table!A" &amp; $AF103):INDIRECT("Table!" &amp; $AR$159 &amp; $AF103),0)))))</f>
        <v>41574.199999999997</v>
      </c>
      <c r="K103" s="35">
        <f ca="1">IF(ISERROR(MATCH(K$1,INDIRECT("Table!A"&amp;$AF103):INDIRECT("Table!" &amp; $AR$159 &amp; $AF103),0)),"",INDIRECT(CONCATENATE("Table!",ADDRESS($AB103,MATCH(K$1,INDIRECT("Table!A" &amp; $AF103):INDIRECT("Table!" &amp; $AR$159 &amp; $AF103),0)))))</f>
        <v>3988.9</v>
      </c>
      <c r="L103" s="35">
        <f ca="1">IF(ISERROR(MATCH(L$1,INDIRECT("Table!A"&amp;$AF103):INDIRECT("Table!" &amp; $AR$159 &amp; $AF103),0)),"",INDIRECT(CONCATENATE("Table!",ADDRESS($AB103,MATCH(L$1,INDIRECT("Table!A" &amp; $AF103):INDIRECT("Table!" &amp; $AR$159 &amp; $AF103),0)))))</f>
        <v>79367.199999999997</v>
      </c>
      <c r="M103" s="35">
        <f ca="1">IF(ISERROR(MATCH(M$1,INDIRECT("Table!A"&amp;$AF103):INDIRECT("Table!" &amp; $AR$159 &amp; $AF103),0)),"",INDIRECT(CONCATENATE("Table!",ADDRESS($AB103,MATCH(M$1,INDIRECT("Table!A" &amp; $AF103):INDIRECT("Table!" &amp; $AR$159 &amp; $AF103),0)))))</f>
        <v>23222</v>
      </c>
      <c r="N103" s="35" t="str">
        <f ca="1">IF(ISERROR(MATCH(N$1,INDIRECT("Table!A"&amp;$AF103):INDIRECT("Table!" &amp; $AR$188 &amp; $AF103),0)),"",INDIRECT(CONCATENATE("Table!",ADDRESS($AB103,MATCH(N$1,INDIRECT("Table!A" &amp; $AF103):INDIRECT("Table!" &amp; $AR$188 &amp; $AF103),0)))))</f>
        <v/>
      </c>
      <c r="O103" s="35">
        <f ca="1">IF(ISERROR(MATCH(O$1,INDIRECT("Table!A"&amp;$AN103):INDIRECT("Table!" &amp; $AR$159 &amp; $AN103),0)),"",INDIRECT(CONCATENATE("Table!",ADDRESS($AJ103,MATCH(O$1,INDIRECT("Table!A" &amp; $AN103):INDIRECT("Table!" &amp; $AR$159 &amp; $AN103),0)))))</f>
        <v>115816.8</v>
      </c>
      <c r="P103" s="35">
        <f ca="1">IF(ISERROR(MATCH(P$1,INDIRECT("Table!A"&amp;$AN103):INDIRECT("Table!" &amp; $AR$159 &amp; $AN103),0)),"",INDIRECT(CONCATENATE("Table!",ADDRESS($AJ103,MATCH(P$1,INDIRECT("Table!A" &amp; $AN103):INDIRECT("Table!" &amp; $AR$159 &amp; $AN103),0)))))</f>
        <v>99041.7</v>
      </c>
      <c r="Q103" s="35">
        <f ca="1">IF(ISERROR(MATCH(Q$1,INDIRECT("Table!A"&amp;$AN103):INDIRECT("Table!" &amp; $AR$159 &amp; $AN103),0)),"",INDIRECT(CONCATENATE("Table!",ADDRESS($AJ103,MATCH(Q$1,INDIRECT("Table!A" &amp; $AN103):INDIRECT("Table!" &amp; $AR$159 &amp; $AN103),0)))))</f>
        <v>99041.7</v>
      </c>
      <c r="R103" s="35">
        <f ca="1">IF(ISERROR(MATCH(R$1,INDIRECT("Table!A"&amp;$AN103):INDIRECT("Table!" &amp; $AR$159 &amp; $AN103),0)),"",INDIRECT(CONCATENATE("Table!",ADDRESS($AJ103,MATCH(R$1,INDIRECT("Table!A" &amp; $AN103):INDIRECT("Table!" &amp; $AR$159 &amp; $AN103),0)))))</f>
        <v>181997.8</v>
      </c>
      <c r="S103" s="35">
        <f ca="1">IF(ISERROR(MATCH(S$1,INDIRECT("Table!A"&amp;$AN103):INDIRECT("Table!" &amp; $AR$159 &amp; $AN103),0)),"",INDIRECT(CONCATENATE("Table!",ADDRESS($AJ103,MATCH(S$1,INDIRECT("Table!A" &amp; $AN103):INDIRECT("Table!" &amp; $AR$159 &amp; $AN103),0)))))</f>
        <v>121331.8</v>
      </c>
      <c r="T103" s="35">
        <f ca="1">IF(ISERROR(MATCH(T$1,INDIRECT("Table!A"&amp;$AN103):INDIRECT("Table!" &amp; $AR$159 &amp; $AN103),0)),"",INDIRECT(CONCATENATE("Table!",ADDRESS($AJ103,MATCH(T$1,INDIRECT("Table!A" &amp; $AN103):INDIRECT("Table!" &amp; $AR$159 &amp; $AN103),0)))))</f>
        <v>110071.9</v>
      </c>
      <c r="U103" s="35">
        <f ca="1">IF(ISERROR(MATCH(U$1,INDIRECT("Table!A"&amp;$AN103):INDIRECT("Table!" &amp; $AR$159 &amp; $AN103),0)),"",INDIRECT(CONCATENATE("Table!",ADDRESS($AJ103,MATCH(U$1,INDIRECT("Table!A" &amp; $AN103):INDIRECT("Table!" &amp; $AR$159 &amp; $AN103),0)))))</f>
        <v>121331.8</v>
      </c>
      <c r="V103" s="35">
        <f ca="1">IF(ISERROR(MATCH(V$1,INDIRECT("Table!A"&amp;$AN103):INDIRECT("Table!" &amp; $AR$159 &amp; $AN103),0)),"",INDIRECT(CONCATENATE("Table!",ADDRESS($AJ103,MATCH(V$1,INDIRECT("Table!A" &amp; $AN103):INDIRECT("Table!" &amp; $AR$159 &amp; $AN103),0)))))</f>
        <v>170967.6</v>
      </c>
      <c r="W103" s="35">
        <f ca="1">IF(ISERROR(MATCH(W$1,INDIRECT("Table!A"&amp;$AN103):INDIRECT("Table!" &amp; $AR$159 &amp; $AN103),0)),"",INDIRECT(CONCATENATE("Table!",ADDRESS($AJ103,MATCH(W$1,INDIRECT("Table!A" &amp; $AN103):INDIRECT("Table!" &amp; $AR$159 &amp; $AN103),0)))))</f>
        <v>132132.20000000001</v>
      </c>
      <c r="X103" s="35">
        <f ca="1">IF(ISERROR(MATCH(X$1,INDIRECT("Table!A"&amp;$AN103):INDIRECT("Table!" &amp; $AR$159 &amp; $AN103),0)),"",INDIRECT(CONCATENATE("Table!",ADDRESS($AJ103,MATCH(X$1,INDIRECT("Table!A" &amp; $AN103):INDIRECT("Table!" &amp; $AR$159 &amp; $AN103),0)))))</f>
        <v>60665.9</v>
      </c>
      <c r="Y103" s="35">
        <f ca="1">IF(ISERROR(MATCH(Y$1,INDIRECT("Table!A"&amp;$AN103):INDIRECT("Table!" &amp; $AR$159 &amp; $AN103),0)),"",INDIRECT(CONCATENATE("Table!",ADDRESS($AJ103,MATCH(Y$1,INDIRECT("Table!A" &amp; $AN103):INDIRECT("Table!" &amp; $AR$159 &amp; $AN103),0)))))</f>
        <v>176482.7</v>
      </c>
      <c r="Z103" s="35">
        <f ca="1">IF(ISERROR(MATCH(Z$1,INDIRECT("Table!A"&amp;$AN103):INDIRECT("Table!" &amp; $AR$159 &amp; $AN103),0)),"",INDIRECT(CONCATENATE("Table!",ADDRESS($AJ103,MATCH(Z$1,INDIRECT("Table!A" &amp; $AN103):INDIRECT("Table!" &amp; $AR$159 &amp; $AN103),0)))))</f>
        <v>54921</v>
      </c>
      <c r="AA103" s="12"/>
      <c r="AB103" s="12">
        <f>MATCH($A103,Table!$A:$A,0)+$AD$2-1</f>
        <v>1521</v>
      </c>
      <c r="AF103" s="31">
        <f>MATCH($A103,Table!$A:$A,0)+$AH$2-1</f>
        <v>1519</v>
      </c>
      <c r="AJ103" s="12">
        <f>MATCH($A103,Table!$A:$A,0)+$AL$2-1</f>
        <v>1520</v>
      </c>
      <c r="AN103" s="31">
        <f>MATCH($A103,Table!$A:$A,0)+$AH$2-1</f>
        <v>1519</v>
      </c>
      <c r="AR103" s="177" t="s">
        <v>118</v>
      </c>
    </row>
    <row r="104" spans="1:44">
      <c r="A104" s="5">
        <v>41015</v>
      </c>
      <c r="B104" s="35">
        <f ca="1">IF(ISERROR(MATCH(B$1,INDIRECT("Table!A"&amp;$AF104):INDIRECT("Table!" &amp; $AR$159 &amp; $AF104),0)),"",INDIRECT(CONCATENATE("Table!",ADDRESS($AB104,MATCH(B$1,INDIRECT("Table!A" &amp; $AF104):INDIRECT("Table!" &amp; $AR$159 &amp; $AF104),0)))))</f>
        <v>86795.5</v>
      </c>
      <c r="C104" s="35">
        <f ca="1">IF(ISERROR(MATCH(C$1,INDIRECT("Table!A"&amp;$AF104):INDIRECT("Table!" &amp; $AR$159 &amp; $AF104),0)),"",INDIRECT(CONCATENATE("Table!",ADDRESS($AB104,MATCH(C$1,INDIRECT("Table!A" &amp; $AF104):INDIRECT("Table!" &amp; $AR$159 &amp; $AF104),0)))))</f>
        <v>66143.199999999997</v>
      </c>
      <c r="D104" s="35">
        <f ca="1">IF(ISERROR(MATCH(D$1,INDIRECT("Table!A"&amp;$AF104):INDIRECT("Table!" &amp; $AR$159 &amp; $AF104),0)),"",INDIRECT(CONCATENATE("Table!",ADDRESS($AB104,MATCH(D$1,INDIRECT("Table!A" &amp; $AF104):INDIRECT("Table!" &amp; $AR$159 &amp; $AF104),0)))))</f>
        <v>67520.899999999994</v>
      </c>
      <c r="E104" s="35">
        <f ca="1">IF(ISERROR(MATCH(E$1,INDIRECT("Table!A"&amp;$AF104):INDIRECT("Table!" &amp; $AR$159 &amp; $AF104),0)),"",INDIRECT(CONCATENATE("Table!",ADDRESS($AB104,MATCH(E$1,INDIRECT("Table!A" &amp; $AF104):INDIRECT("Table!" &amp; $AR$159 &amp; $AF104),0)))))</f>
        <v>133125</v>
      </c>
      <c r="F104" s="35">
        <f ca="1">IF(ISERROR(MATCH(F$1,INDIRECT("Table!A"&amp;$AF104):INDIRECT("Table!" &amp; $AR$159 &amp; $AF104),0)),"",INDIRECT(CONCATENATE("Table!",ADDRESS($AB104,MATCH(F$1,INDIRECT("Table!A" &amp; $AF104):INDIRECT("Table!" &amp; $AR$159 &amp; $AF104),0)))))</f>
        <v>7607.6</v>
      </c>
      <c r="G104" s="35">
        <f ca="1">IF(ISERROR(MATCH(G$1,INDIRECT("Table!A"&amp;$AF104):INDIRECT("Table!" &amp; $AR$159 &amp; $AF104),0)),"",INDIRECT(CONCATENATE("Table!",ADDRESS($AB104,MATCH(G$1,INDIRECT("Table!A" &amp; $AF104):INDIRECT("Table!" &amp; $AR$159 &amp; $AF104),0)))))</f>
        <v>31367.9</v>
      </c>
      <c r="H104" s="35">
        <f ca="1">IF(ISERROR(MATCH(H$1,INDIRECT("Table!A"&amp;$AF104):INDIRECT("Table!" &amp; $AR$159 &amp; $AF104),0)),"",INDIRECT(CONCATENATE("Table!",ADDRESS($AB104,MATCH(H$1,INDIRECT("Table!A" &amp; $AF104):INDIRECT("Table!" &amp; $AR$159 &amp; $AF104),0)))))</f>
        <v>20271</v>
      </c>
      <c r="I104" s="35">
        <f ca="1">IF(ISERROR(MATCH(I$1,INDIRECT("Table!A"&amp;$AF104):INDIRECT("Table!" &amp; $AR$159 &amp; $AF104),0)),"",INDIRECT(CONCATENATE("Table!",ADDRESS($AB104,MATCH(I$1,INDIRECT("Table!A" &amp; $AF104):INDIRECT("Table!" &amp; $AR$159 &amp; $AF104),0)))))</f>
        <v>123637.2</v>
      </c>
      <c r="J104" s="35">
        <f ca="1">IF(ISERROR(MATCH(J$1,INDIRECT("Table!A"&amp;$AF104):INDIRECT("Table!" &amp; $AR$159 &amp; $AF104),0)),"",INDIRECT(CONCATENATE("Table!",ADDRESS($AB104,MATCH(J$1,INDIRECT("Table!A" &amp; $AF104):INDIRECT("Table!" &amp; $AR$159 &amp; $AF104),0)))))</f>
        <v>41304</v>
      </c>
      <c r="K104" s="35">
        <f ca="1">IF(ISERROR(MATCH(K$1,INDIRECT("Table!A"&amp;$AF104):INDIRECT("Table!" &amp; $AR$159 &amp; $AF104),0)),"",INDIRECT(CONCATENATE("Table!",ADDRESS($AB104,MATCH(K$1,INDIRECT("Table!A" &amp; $AF104):INDIRECT("Table!" &amp; $AR$159 &amp; $AF104),0)))))</f>
        <v>3975.4</v>
      </c>
      <c r="L104" s="35">
        <f ca="1">IF(ISERROR(MATCH(L$1,INDIRECT("Table!A"&amp;$AF104):INDIRECT("Table!" &amp; $AR$159 &amp; $AF104),0)),"",INDIRECT(CONCATENATE("Table!",ADDRESS($AB104,MATCH(L$1,INDIRECT("Table!A" &amp; $AF104):INDIRECT("Table!" &amp; $AR$159 &amp; $AF104),0)))))</f>
        <v>79349.8</v>
      </c>
      <c r="M104" s="35">
        <f ca="1">IF(ISERROR(MATCH(M$1,INDIRECT("Table!A"&amp;$AF104):INDIRECT("Table!" &amp; $AR$159 &amp; $AF104),0)),"",INDIRECT(CONCATENATE("Table!",ADDRESS($AB104,MATCH(M$1,INDIRECT("Table!A" &amp; $AF104):INDIRECT("Table!" &amp; $AR$159 &amp; $AF104),0)))))</f>
        <v>23195</v>
      </c>
      <c r="N104" s="35" t="str">
        <f ca="1">IF(ISERROR(MATCH(N$1,INDIRECT("Table!A"&amp;$AF104):INDIRECT("Table!" &amp; $AR$188 &amp; $AF104),0)),"",INDIRECT(CONCATENATE("Table!",ADDRESS($AB104,MATCH(N$1,INDIRECT("Table!A" &amp; $AF104):INDIRECT("Table!" &amp; $AR$188 &amp; $AF104),0)))))</f>
        <v/>
      </c>
      <c r="O104" s="35">
        <f ca="1">IF(ISERROR(MATCH(O$1,INDIRECT("Table!A"&amp;$AN104):INDIRECT("Table!" &amp; $AR$159 &amp; $AN104),0)),"",INDIRECT(CONCATENATE("Table!",ADDRESS($AJ104,MATCH(O$1,INDIRECT("Table!A" &amp; $AN104):INDIRECT("Table!" &amp; $AR$159 &amp; $AN104),0)))))</f>
        <v>115816.8</v>
      </c>
      <c r="P104" s="35">
        <f ca="1">IF(ISERROR(MATCH(P$1,INDIRECT("Table!A"&amp;$AN104):INDIRECT("Table!" &amp; $AR$159 &amp; $AN104),0)),"",INDIRECT(CONCATENATE("Table!",ADDRESS($AJ104,MATCH(P$1,INDIRECT("Table!A" &amp; $AN104):INDIRECT("Table!" &amp; $AR$159 &amp; $AN104),0)))))</f>
        <v>99041.7</v>
      </c>
      <c r="Q104" s="35">
        <f ca="1">IF(ISERROR(MATCH(Q$1,INDIRECT("Table!A"&amp;$AN104):INDIRECT("Table!" &amp; $AR$159 &amp; $AN104),0)),"",INDIRECT(CONCATENATE("Table!",ADDRESS($AJ104,MATCH(Q$1,INDIRECT("Table!A" &amp; $AN104):INDIRECT("Table!" &amp; $AR$159 &amp; $AN104),0)))))</f>
        <v>99041.7</v>
      </c>
      <c r="R104" s="35">
        <f ca="1">IF(ISERROR(MATCH(R$1,INDIRECT("Table!A"&amp;$AN104):INDIRECT("Table!" &amp; $AR$159 &amp; $AN104),0)),"",INDIRECT(CONCATENATE("Table!",ADDRESS($AJ104,MATCH(R$1,INDIRECT("Table!A" &amp; $AN104):INDIRECT("Table!" &amp; $AR$159 &amp; $AN104),0)))))</f>
        <v>181997.8</v>
      </c>
      <c r="S104" s="35">
        <f ca="1">IF(ISERROR(MATCH(S$1,INDIRECT("Table!A"&amp;$AN104):INDIRECT("Table!" &amp; $AR$159 &amp; $AN104),0)),"",INDIRECT(CONCATENATE("Table!",ADDRESS($AJ104,MATCH(S$1,INDIRECT("Table!A" &amp; $AN104):INDIRECT("Table!" &amp; $AR$159 &amp; $AN104),0)))))</f>
        <v>121331.8</v>
      </c>
      <c r="T104" s="35">
        <f ca="1">IF(ISERROR(MATCH(T$1,INDIRECT("Table!A"&amp;$AN104):INDIRECT("Table!" &amp; $AR$159 &amp; $AN104),0)),"",INDIRECT(CONCATENATE("Table!",ADDRESS($AJ104,MATCH(T$1,INDIRECT("Table!A" &amp; $AN104):INDIRECT("Table!" &amp; $AR$159 &amp; $AN104),0)))))</f>
        <v>110071.9</v>
      </c>
      <c r="U104" s="35">
        <f ca="1">IF(ISERROR(MATCH(U$1,INDIRECT("Table!A"&amp;$AN104):INDIRECT("Table!" &amp; $AR$159 &amp; $AN104),0)),"",INDIRECT(CONCATENATE("Table!",ADDRESS($AJ104,MATCH(U$1,INDIRECT("Table!A" &amp; $AN104):INDIRECT("Table!" &amp; $AR$159 &amp; $AN104),0)))))</f>
        <v>121331.8</v>
      </c>
      <c r="V104" s="35">
        <f ca="1">IF(ISERROR(MATCH(V$1,INDIRECT("Table!A"&amp;$AN104):INDIRECT("Table!" &amp; $AR$159 &amp; $AN104),0)),"",INDIRECT(CONCATENATE("Table!",ADDRESS($AJ104,MATCH(V$1,INDIRECT("Table!A" &amp; $AN104):INDIRECT("Table!" &amp; $AR$159 &amp; $AN104),0)))))</f>
        <v>170967.6</v>
      </c>
      <c r="W104" s="35">
        <f ca="1">IF(ISERROR(MATCH(W$1,INDIRECT("Table!A"&amp;$AN104):INDIRECT("Table!" &amp; $AR$159 &amp; $AN104),0)),"",INDIRECT(CONCATENATE("Table!",ADDRESS($AJ104,MATCH(W$1,INDIRECT("Table!A" &amp; $AN104):INDIRECT("Table!" &amp; $AR$159 &amp; $AN104),0)))))</f>
        <v>132132.20000000001</v>
      </c>
      <c r="X104" s="35">
        <f ca="1">IF(ISERROR(MATCH(X$1,INDIRECT("Table!A"&amp;$AN104):INDIRECT("Table!" &amp; $AR$159 &amp; $AN104),0)),"",INDIRECT(CONCATENATE("Table!",ADDRESS($AJ104,MATCH(X$1,INDIRECT("Table!A" &amp; $AN104):INDIRECT("Table!" &amp; $AR$159 &amp; $AN104),0)))))</f>
        <v>60665.9</v>
      </c>
      <c r="Y104" s="35">
        <f ca="1">IF(ISERROR(MATCH(Y$1,INDIRECT("Table!A"&amp;$AN104):INDIRECT("Table!" &amp; $AR$159 &amp; $AN104),0)),"",INDIRECT(CONCATENATE("Table!",ADDRESS($AJ104,MATCH(Y$1,INDIRECT("Table!A" &amp; $AN104):INDIRECT("Table!" &amp; $AR$159 &amp; $AN104),0)))))</f>
        <v>176482.7</v>
      </c>
      <c r="Z104" s="35">
        <f ca="1">IF(ISERROR(MATCH(Z$1,INDIRECT("Table!A"&amp;$AN104):INDIRECT("Table!" &amp; $AR$159 &amp; $AN104),0)),"",INDIRECT(CONCATENATE("Table!",ADDRESS($AJ104,MATCH(Z$1,INDIRECT("Table!A" &amp; $AN104):INDIRECT("Table!" &amp; $AR$159 &amp; $AN104),0)))))</f>
        <v>54921</v>
      </c>
      <c r="AA104" s="12"/>
      <c r="AB104" s="12">
        <f>MATCH($A104,Table!$A:$A,0)+$AD$2-1</f>
        <v>1534</v>
      </c>
      <c r="AF104" s="31">
        <f>MATCH($A104,Table!$A:$A,0)+$AH$2-1</f>
        <v>1532</v>
      </c>
      <c r="AJ104" s="12">
        <f>MATCH($A104,Table!$A:$A,0)+$AL$2-1</f>
        <v>1533</v>
      </c>
      <c r="AN104" s="31">
        <f>MATCH($A104,Table!$A:$A,0)+$AH$2-1</f>
        <v>1532</v>
      </c>
      <c r="AR104" s="177" t="s">
        <v>118</v>
      </c>
    </row>
    <row r="105" spans="1:44">
      <c r="A105" s="5">
        <v>41012</v>
      </c>
      <c r="B105" s="35">
        <f ca="1">IF(ISERROR(MATCH(B$1,INDIRECT("Table!A"&amp;$AF105):INDIRECT("Table!" &amp; $AR$159 &amp; $AF105),0)),"",INDIRECT(CONCATENATE("Table!",ADDRESS($AB105,MATCH(B$1,INDIRECT("Table!A" &amp; $AF105):INDIRECT("Table!" &amp; $AR$159 &amp; $AF105),0)))))</f>
        <v>86753.4</v>
      </c>
      <c r="C105" s="35">
        <f ca="1">IF(ISERROR(MATCH(C$1,INDIRECT("Table!A"&amp;$AF105):INDIRECT("Table!" &amp; $AR$159 &amp; $AF105),0)),"",INDIRECT(CONCATENATE("Table!",ADDRESS($AB105,MATCH(C$1,INDIRECT("Table!A" &amp; $AF105):INDIRECT("Table!" &amp; $AR$159 &amp; $AF105),0)))))</f>
        <v>65997.899999999994</v>
      </c>
      <c r="D105" s="35">
        <f ca="1">IF(ISERROR(MATCH(D$1,INDIRECT("Table!A"&amp;$AF105):INDIRECT("Table!" &amp; $AR$159 &amp; $AF105),0)),"",INDIRECT(CONCATENATE("Table!",ADDRESS($AB105,MATCH(D$1,INDIRECT("Table!A" &amp; $AF105):INDIRECT("Table!" &amp; $AR$159 &amp; $AF105),0)))))</f>
        <v>67375.600000000006</v>
      </c>
      <c r="E105" s="35">
        <f ca="1">IF(ISERROR(MATCH(E$1,INDIRECT("Table!A"&amp;$AF105):INDIRECT("Table!" &amp; $AR$159 &amp; $AF105),0)),"",INDIRECT(CONCATENATE("Table!",ADDRESS($AB105,MATCH(E$1,INDIRECT("Table!A" &amp; $AF105):INDIRECT("Table!" &amp; $AR$159 &amp; $AF105),0)))))</f>
        <v>132635.4</v>
      </c>
      <c r="F105" s="35">
        <f ca="1">IF(ISERROR(MATCH(F$1,INDIRECT("Table!A"&amp;$AF105):INDIRECT("Table!" &amp; $AR$159 &amp; $AF105),0)),"",INDIRECT(CONCATENATE("Table!",ADDRESS($AB105,MATCH(F$1,INDIRECT("Table!A" &amp; $AF105):INDIRECT("Table!" &amp; $AR$159 &amp; $AF105),0)))))</f>
        <v>6564</v>
      </c>
      <c r="G105" s="35">
        <f ca="1">IF(ISERROR(MATCH(G$1,INDIRECT("Table!A"&amp;$AF105):INDIRECT("Table!" &amp; $AR$159 &amp; $AF105),0)),"",INDIRECT(CONCATENATE("Table!",ADDRESS($AB105,MATCH(G$1,INDIRECT("Table!A" &amp; $AF105):INDIRECT("Table!" &amp; $AR$159 &amp; $AF105),0)))))</f>
        <v>31427.7</v>
      </c>
      <c r="H105" s="35">
        <f ca="1">IF(ISERROR(MATCH(H$1,INDIRECT("Table!A"&amp;$AF105):INDIRECT("Table!" &amp; $AR$159 &amp; $AF105),0)),"",INDIRECT(CONCATENATE("Table!",ADDRESS($AB105,MATCH(H$1,INDIRECT("Table!A" &amp; $AF105):INDIRECT("Table!" &amp; $AR$159 &amp; $AF105),0)))))</f>
        <v>20260.5</v>
      </c>
      <c r="I105" s="35">
        <f ca="1">IF(ISERROR(MATCH(I$1,INDIRECT("Table!A"&amp;$AF105):INDIRECT("Table!" &amp; $AR$159 &amp; $AF105),0)),"",INDIRECT(CONCATENATE("Table!",ADDRESS($AB105,MATCH(I$1,INDIRECT("Table!A" &amp; $AF105):INDIRECT("Table!" &amp; $AR$159 &amp; $AF105),0)))))</f>
        <v>123067.5</v>
      </c>
      <c r="J105" s="35">
        <f ca="1">IF(ISERROR(MATCH(J$1,INDIRECT("Table!A"&amp;$AF105):INDIRECT("Table!" &amp; $AR$159 &amp; $AF105),0)),"",INDIRECT(CONCATENATE("Table!",ADDRESS($AB105,MATCH(J$1,INDIRECT("Table!A" &amp; $AF105):INDIRECT("Table!" &amp; $AR$159 &amp; $AF105),0)))))</f>
        <v>27857.9</v>
      </c>
      <c r="K105" s="35">
        <f ca="1">IF(ISERROR(MATCH(K$1,INDIRECT("Table!A"&amp;$AF105):INDIRECT("Table!" &amp; $AR$159 &amp; $AF105),0)),"",INDIRECT(CONCATENATE("Table!",ADDRESS($AB105,MATCH(K$1,INDIRECT("Table!A" &amp; $AF105):INDIRECT("Table!" &amp; $AR$159 &amp; $AF105),0)))))</f>
        <v>3423.2</v>
      </c>
      <c r="L105" s="35">
        <f ca="1">IF(ISERROR(MATCH(L$1,INDIRECT("Table!A"&amp;$AF105):INDIRECT("Table!" &amp; $AR$159 &amp; $AF105),0)),"",INDIRECT(CONCATENATE("Table!",ADDRESS($AB105,MATCH(L$1,INDIRECT("Table!A" &amp; $AF105):INDIRECT("Table!" &amp; $AR$159 &amp; $AF105),0)))))</f>
        <v>79317.100000000006</v>
      </c>
      <c r="M105" s="35">
        <f ca="1">IF(ISERROR(MATCH(M$1,INDIRECT("Table!A"&amp;$AF105):INDIRECT("Table!" &amp; $AR$159 &amp; $AF105),0)),"",INDIRECT(CONCATENATE("Table!",ADDRESS($AB105,MATCH(M$1,INDIRECT("Table!A" &amp; $AF105):INDIRECT("Table!" &amp; $AR$159 &amp; $AF105),0)))))</f>
        <v>23186.1</v>
      </c>
      <c r="N105" s="35" t="str">
        <f ca="1">IF(ISERROR(MATCH(N$1,INDIRECT("Table!A"&amp;$AF105):INDIRECT("Table!" &amp; $AR$188 &amp; $AF105),0)),"",INDIRECT(CONCATENATE("Table!",ADDRESS($AB105,MATCH(N$1,INDIRECT("Table!A" &amp; $AF105):INDIRECT("Table!" &amp; $AR$188 &amp; $AF105),0)))))</f>
        <v/>
      </c>
      <c r="O105" s="35">
        <f ca="1">IF(ISERROR(MATCH(O$1,INDIRECT("Table!A"&amp;$AN105):INDIRECT("Table!" &amp; $AR$159 &amp; $AN105),0)),"",INDIRECT(CONCATENATE("Table!",ADDRESS($AJ105,MATCH(O$1,INDIRECT("Table!A" &amp; $AN105):INDIRECT("Table!" &amp; $AR$159 &amp; $AN105),0)))))</f>
        <v>115816.8</v>
      </c>
      <c r="P105" s="35">
        <f ca="1">IF(ISERROR(MATCH(P$1,INDIRECT("Table!A"&amp;$AN105):INDIRECT("Table!" &amp; $AR$159 &amp; $AN105),0)),"",INDIRECT(CONCATENATE("Table!",ADDRESS($AJ105,MATCH(P$1,INDIRECT("Table!A" &amp; $AN105):INDIRECT("Table!" &amp; $AR$159 &amp; $AN105),0)))))</f>
        <v>99041.7</v>
      </c>
      <c r="Q105" s="35">
        <f ca="1">IF(ISERROR(MATCH(Q$1,INDIRECT("Table!A"&amp;$AN105):INDIRECT("Table!" &amp; $AR$159 &amp; $AN105),0)),"",INDIRECT(CONCATENATE("Table!",ADDRESS($AJ105,MATCH(Q$1,INDIRECT("Table!A" &amp; $AN105):INDIRECT("Table!" &amp; $AR$159 &amp; $AN105),0)))))</f>
        <v>99041.7</v>
      </c>
      <c r="R105" s="35">
        <f ca="1">IF(ISERROR(MATCH(R$1,INDIRECT("Table!A"&amp;$AN105):INDIRECT("Table!" &amp; $AR$159 &amp; $AN105),0)),"",INDIRECT(CONCATENATE("Table!",ADDRESS($AJ105,MATCH(R$1,INDIRECT("Table!A" &amp; $AN105):INDIRECT("Table!" &amp; $AR$159 &amp; $AN105),0)))))</f>
        <v>154422.39999999999</v>
      </c>
      <c r="S105" s="35">
        <f ca="1">IF(ISERROR(MATCH(S$1,INDIRECT("Table!A"&amp;$AN105):INDIRECT("Table!" &amp; $AR$159 &amp; $AN105),0)),"",INDIRECT(CONCATENATE("Table!",ADDRESS($AJ105,MATCH(S$1,INDIRECT("Table!A" &amp; $AN105):INDIRECT("Table!" &amp; $AR$159 &amp; $AN105),0)))))</f>
        <v>121331.8</v>
      </c>
      <c r="T105" s="35">
        <f ca="1">IF(ISERROR(MATCH(T$1,INDIRECT("Table!A"&amp;$AN105):INDIRECT("Table!" &amp; $AR$159 &amp; $AN105),0)),"",INDIRECT(CONCATENATE("Table!",ADDRESS($AJ105,MATCH(T$1,INDIRECT("Table!A" &amp; $AN105):INDIRECT("Table!" &amp; $AR$159 &amp; $AN105),0)))))</f>
        <v>110071.9</v>
      </c>
      <c r="U105" s="35">
        <f ca="1">IF(ISERROR(MATCH(U$1,INDIRECT("Table!A"&amp;$AN105):INDIRECT("Table!" &amp; $AR$159 &amp; $AN105),0)),"",INDIRECT(CONCATENATE("Table!",ADDRESS($AJ105,MATCH(U$1,INDIRECT("Table!A" &amp; $AN105):INDIRECT("Table!" &amp; $AR$159 &amp; $AN105),0)))))</f>
        <v>121331.8</v>
      </c>
      <c r="V105" s="35">
        <f ca="1">IF(ISERROR(MATCH(V$1,INDIRECT("Table!A"&amp;$AN105):INDIRECT("Table!" &amp; $AR$159 &amp; $AN105),0)),"",INDIRECT(CONCATENATE("Table!",ADDRESS($AJ105,MATCH(V$1,INDIRECT("Table!A" &amp; $AN105):INDIRECT("Table!" &amp; $AR$159 &amp; $AN105),0)))))</f>
        <v>170967.6</v>
      </c>
      <c r="W105" s="35">
        <f ca="1">IF(ISERROR(MATCH(W$1,INDIRECT("Table!A"&amp;$AN105):INDIRECT("Table!" &amp; $AR$159 &amp; $AN105),0)),"",INDIRECT(CONCATENATE("Table!",ADDRESS($AJ105,MATCH(W$1,INDIRECT("Table!A" &amp; $AN105):INDIRECT("Table!" &amp; $AR$159 &amp; $AN105),0)))))</f>
        <v>54921</v>
      </c>
      <c r="X105" s="35">
        <f ca="1">IF(ISERROR(MATCH(X$1,INDIRECT("Table!A"&amp;$AN105):INDIRECT("Table!" &amp; $AR$159 &amp; $AN105),0)),"",INDIRECT(CONCATENATE("Table!",ADDRESS($AJ105,MATCH(X$1,INDIRECT("Table!A" &amp; $AN105):INDIRECT("Table!" &amp; $AR$159 &amp; $AN105),0)))))</f>
        <v>60665.9</v>
      </c>
      <c r="Y105" s="35">
        <f ca="1">IF(ISERROR(MATCH(Y$1,INDIRECT("Table!A"&amp;$AN105):INDIRECT("Table!" &amp; $AR$159 &amp; $AN105),0)),"",INDIRECT(CONCATENATE("Table!",ADDRESS($AJ105,MATCH(Y$1,INDIRECT("Table!A" &amp; $AN105):INDIRECT("Table!" &amp; $AR$159 &amp; $AN105),0)))))</f>
        <v>176482.7</v>
      </c>
      <c r="Z105" s="35">
        <f ca="1">IF(ISERROR(MATCH(Z$1,INDIRECT("Table!A"&amp;$AN105):INDIRECT("Table!" &amp; $AR$159 &amp; $AN105),0)),"",INDIRECT(CONCATENATE("Table!",ADDRESS($AJ105,MATCH(Z$1,INDIRECT("Table!A" &amp; $AN105):INDIRECT("Table!" &amp; $AR$159 &amp; $AN105),0)))))</f>
        <v>54921</v>
      </c>
      <c r="AA105" s="12"/>
      <c r="AB105" s="12">
        <f>MATCH($A105,Table!$A:$A,0)+$AD$2-1</f>
        <v>1547</v>
      </c>
      <c r="AF105" s="31">
        <f>MATCH($A105,Table!$A:$A,0)+$AH$2-1</f>
        <v>1545</v>
      </c>
      <c r="AJ105" s="12">
        <f>MATCH($A105,Table!$A:$A,0)+$AL$2-1</f>
        <v>1546</v>
      </c>
      <c r="AN105" s="31">
        <f>MATCH($A105,Table!$A:$A,0)+$AH$2-1</f>
        <v>1545</v>
      </c>
      <c r="AR105" s="124" t="s">
        <v>118</v>
      </c>
    </row>
    <row r="106" spans="1:44">
      <c r="A106" s="5">
        <v>41011</v>
      </c>
      <c r="B106" s="35">
        <f ca="1">IF(ISERROR(MATCH(B$1,INDIRECT("Table!A"&amp;$AF106):INDIRECT("Table!" &amp; $AR$159 &amp; $AF106),0)),"",INDIRECT(CONCATENATE("Table!",ADDRESS($AB106,MATCH(B$1,INDIRECT("Table!A" &amp; $AF106):INDIRECT("Table!" &amp; $AR$159 &amp; $AF106),0)))))</f>
        <v>86715.4</v>
      </c>
      <c r="C106" s="35">
        <f ca="1">IF(ISERROR(MATCH(C$1,INDIRECT("Table!A"&amp;$AF106):INDIRECT("Table!" &amp; $AR$159 &amp; $AF106),0)),"",INDIRECT(CONCATENATE("Table!",ADDRESS($AB106,MATCH(C$1,INDIRECT("Table!A" &amp; $AF106):INDIRECT("Table!" &amp; $AR$159 &amp; $AF106),0)))))</f>
        <v>65988</v>
      </c>
      <c r="D106" s="35">
        <f ca="1">IF(ISERROR(MATCH(D$1,INDIRECT("Table!A"&amp;$AF106):INDIRECT("Table!" &amp; $AR$159 &amp; $AF106),0)),"",INDIRECT(CONCATENATE("Table!",ADDRESS($AB106,MATCH(D$1,INDIRECT("Table!A" &amp; $AF106):INDIRECT("Table!" &amp; $AR$159 &amp; $AF106),0)))))</f>
        <v>67365.7</v>
      </c>
      <c r="E106" s="35">
        <f ca="1">IF(ISERROR(MATCH(E$1,INDIRECT("Table!A"&amp;$AF106):INDIRECT("Table!" &amp; $AR$159 &amp; $AF106),0)),"",INDIRECT(CONCATENATE("Table!",ADDRESS($AB106,MATCH(E$1,INDIRECT("Table!A" &amp; $AF106):INDIRECT("Table!" &amp; $AR$159 &amp; $AF106),0)))))</f>
        <v>132539.9</v>
      </c>
      <c r="F106" s="35">
        <f ca="1">IF(ISERROR(MATCH(F$1,INDIRECT("Table!A"&amp;$AF106):INDIRECT("Table!" &amp; $AR$159 &amp; $AF106),0)),"",INDIRECT(CONCATENATE("Table!",ADDRESS($AB106,MATCH(F$1,INDIRECT("Table!A" &amp; $AF106):INDIRECT("Table!" &amp; $AR$159 &amp; $AF106),0)))))</f>
        <v>4736.5</v>
      </c>
      <c r="G106" s="35">
        <f ca="1">IF(ISERROR(MATCH(G$1,INDIRECT("Table!A"&amp;$AF106):INDIRECT("Table!" &amp; $AR$159 &amp; $AF106),0)),"",INDIRECT(CONCATENATE("Table!",ADDRESS($AB106,MATCH(G$1,INDIRECT("Table!A" &amp; $AF106):INDIRECT("Table!" &amp; $AR$159 &amp; $AF106),0)))))</f>
        <v>31352.1</v>
      </c>
      <c r="H106" s="35">
        <f ca="1">IF(ISERROR(MATCH(H$1,INDIRECT("Table!A"&amp;$AF106):INDIRECT("Table!" &amp; $AR$159 &amp; $AF106),0)),"",INDIRECT(CONCATENATE("Table!",ADDRESS($AB106,MATCH(H$1,INDIRECT("Table!A" &amp; $AF106):INDIRECT("Table!" &amp; $AR$159 &amp; $AF106),0)))))</f>
        <v>20250.7</v>
      </c>
      <c r="I106" s="35">
        <f ca="1">IF(ISERROR(MATCH(I$1,INDIRECT("Table!A"&amp;$AF106):INDIRECT("Table!" &amp; $AR$159 &amp; $AF106),0)),"",INDIRECT(CONCATENATE("Table!",ADDRESS($AB106,MATCH(I$1,INDIRECT("Table!A" &amp; $AF106):INDIRECT("Table!" &amp; $AR$159 &amp; $AF106),0)))))</f>
        <v>122616.3</v>
      </c>
      <c r="J106" s="35">
        <f ca="1">IF(ISERROR(MATCH(J$1,INDIRECT("Table!A"&amp;$AF106):INDIRECT("Table!" &amp; $AR$159 &amp; $AF106),0)),"",INDIRECT(CONCATENATE("Table!",ADDRESS($AB106,MATCH(J$1,INDIRECT("Table!A" &amp; $AF106):INDIRECT("Table!" &amp; $AR$159 &amp; $AF106),0)))))</f>
        <v>27849.7</v>
      </c>
      <c r="K106" s="35">
        <f ca="1">IF(ISERROR(MATCH(K$1,INDIRECT("Table!A"&amp;$AF106):INDIRECT("Table!" &amp; $AR$159 &amp; $AF106),0)),"",INDIRECT(CONCATENATE("Table!",ADDRESS($AB106,MATCH(K$1,INDIRECT("Table!A" &amp; $AF106):INDIRECT("Table!" &amp; $AR$159 &amp; $AF106),0)))))</f>
        <v>3418.3</v>
      </c>
      <c r="L106" s="35">
        <f ca="1">IF(ISERROR(MATCH(L$1,INDIRECT("Table!A"&amp;$AF106):INDIRECT("Table!" &amp; $AR$159 &amp; $AF106),0)),"",INDIRECT(CONCATENATE("Table!",ADDRESS($AB106,MATCH(L$1,INDIRECT("Table!A" &amp; $AF106):INDIRECT("Table!" &amp; $AR$159 &amp; $AF106),0)))))</f>
        <v>79301.8</v>
      </c>
      <c r="M106" s="35">
        <f ca="1">IF(ISERROR(MATCH(M$1,INDIRECT("Table!A"&amp;$AF106):INDIRECT("Table!" &amp; $AR$159 &amp; $AF106),0)),"",INDIRECT(CONCATENATE("Table!",ADDRESS($AB106,MATCH(M$1,INDIRECT("Table!A" &amp; $AF106):INDIRECT("Table!" &amp; $AR$159 &amp; $AF106),0)))))</f>
        <v>23185.599999999999</v>
      </c>
      <c r="N106" s="35" t="str">
        <f ca="1">IF(ISERROR(MATCH(N$1,INDIRECT("Table!A"&amp;$AF106):INDIRECT("Table!" &amp; $AR$188 &amp; $AF106),0)),"",INDIRECT(CONCATENATE("Table!",ADDRESS($AB106,MATCH(N$1,INDIRECT("Table!A" &amp; $AF106):INDIRECT("Table!" &amp; $AR$188 &amp; $AF106),0)))))</f>
        <v/>
      </c>
      <c r="O106" s="35">
        <f ca="1">IF(ISERROR(MATCH(O$1,INDIRECT("Table!A"&amp;$AN106):INDIRECT("Table!" &amp; $AR$159 &amp; $AN106),0)),"",INDIRECT(CONCATENATE("Table!",ADDRESS($AJ106,MATCH(O$1,INDIRECT("Table!A" &amp; $AN106):INDIRECT("Table!" &amp; $AR$159 &amp; $AN106),0)))))</f>
        <v>115816.8</v>
      </c>
      <c r="P106" s="35">
        <f ca="1">IF(ISERROR(MATCH(P$1,INDIRECT("Table!A"&amp;$AN106):INDIRECT("Table!" &amp; $AR$159 &amp; $AN106),0)),"",INDIRECT(CONCATENATE("Table!",ADDRESS($AJ106,MATCH(P$1,INDIRECT("Table!A" &amp; $AN106):INDIRECT("Table!" &amp; $AR$159 &amp; $AN106),0)))))</f>
        <v>99041.7</v>
      </c>
      <c r="Q106" s="35">
        <f ca="1">IF(ISERROR(MATCH(Q$1,INDIRECT("Table!A"&amp;$AN106):INDIRECT("Table!" &amp; $AR$159 &amp; $AN106),0)),"",INDIRECT(CONCATENATE("Table!",ADDRESS($AJ106,MATCH(Q$1,INDIRECT("Table!A" &amp; $AN106):INDIRECT("Table!" &amp; $AR$159 &amp; $AN106),0)))))</f>
        <v>99041.7</v>
      </c>
      <c r="R106" s="35">
        <f ca="1">IF(ISERROR(MATCH(R$1,INDIRECT("Table!A"&amp;$AN106):INDIRECT("Table!" &amp; $AR$159 &amp; $AN106),0)),"",INDIRECT(CONCATENATE("Table!",ADDRESS($AJ106,MATCH(R$1,INDIRECT("Table!A" &amp; $AN106):INDIRECT("Table!" &amp; $AR$159 &amp; $AN106),0)))))</f>
        <v>154422.39999999999</v>
      </c>
      <c r="S106" s="35">
        <f ca="1">IF(ISERROR(MATCH(S$1,INDIRECT("Table!A"&amp;$AN106):INDIRECT("Table!" &amp; $AR$159 &amp; $AN106),0)),"",INDIRECT(CONCATENATE("Table!",ADDRESS($AJ106,MATCH(S$1,INDIRECT("Table!A" &amp; $AN106):INDIRECT("Table!" &amp; $AR$159 &amp; $AN106),0)))))</f>
        <v>121331.8</v>
      </c>
      <c r="T106" s="35">
        <f ca="1">IF(ISERROR(MATCH(T$1,INDIRECT("Table!A"&amp;$AN106):INDIRECT("Table!" &amp; $AR$159 &amp; $AN106),0)),"",INDIRECT(CONCATENATE("Table!",ADDRESS($AJ106,MATCH(T$1,INDIRECT("Table!A" &amp; $AN106):INDIRECT("Table!" &amp; $AR$159 &amp; $AN106),0)))))</f>
        <v>110071.9</v>
      </c>
      <c r="U106" s="35">
        <f ca="1">IF(ISERROR(MATCH(U$1,INDIRECT("Table!A"&amp;$AN106):INDIRECT("Table!" &amp; $AR$159 &amp; $AN106),0)),"",INDIRECT(CONCATENATE("Table!",ADDRESS($AJ106,MATCH(U$1,INDIRECT("Table!A" &amp; $AN106):INDIRECT("Table!" &amp; $AR$159 &amp; $AN106),0)))))</f>
        <v>121331.8</v>
      </c>
      <c r="V106" s="35">
        <f ca="1">IF(ISERROR(MATCH(V$1,INDIRECT("Table!A"&amp;$AN106):INDIRECT("Table!" &amp; $AR$159 &amp; $AN106),0)),"",INDIRECT(CONCATENATE("Table!",ADDRESS($AJ106,MATCH(V$1,INDIRECT("Table!A" &amp; $AN106):INDIRECT("Table!" &amp; $AR$159 &amp; $AN106),0)))))</f>
        <v>170967.6</v>
      </c>
      <c r="W106" s="35">
        <f ca="1">IF(ISERROR(MATCH(W$1,INDIRECT("Table!A"&amp;$AN106):INDIRECT("Table!" &amp; $AR$159 &amp; $AN106),0)),"",INDIRECT(CONCATENATE("Table!",ADDRESS($AJ106,MATCH(W$1,INDIRECT("Table!A" &amp; $AN106):INDIRECT("Table!" &amp; $AR$159 &amp; $AN106),0)))))</f>
        <v>54921</v>
      </c>
      <c r="X106" s="35">
        <f ca="1">IF(ISERROR(MATCH(X$1,INDIRECT("Table!A"&amp;$AN106):INDIRECT("Table!" &amp; $AR$159 &amp; $AN106),0)),"",INDIRECT(CONCATENATE("Table!",ADDRESS($AJ106,MATCH(X$1,INDIRECT("Table!A" &amp; $AN106):INDIRECT("Table!" &amp; $AR$159 &amp; $AN106),0)))))</f>
        <v>60665.9</v>
      </c>
      <c r="Y106" s="35">
        <f ca="1">IF(ISERROR(MATCH(Y$1,INDIRECT("Table!A"&amp;$AN106):INDIRECT("Table!" &amp; $AR$159 &amp; $AN106),0)),"",INDIRECT(CONCATENATE("Table!",ADDRESS($AJ106,MATCH(Y$1,INDIRECT("Table!A" &amp; $AN106):INDIRECT("Table!" &amp; $AR$159 &amp; $AN106),0)))))</f>
        <v>176482.7</v>
      </c>
      <c r="Z106" s="35">
        <f ca="1">IF(ISERROR(MATCH(Z$1,INDIRECT("Table!A"&amp;$AN106):INDIRECT("Table!" &amp; $AR$159 &amp; $AN106),0)),"",INDIRECT(CONCATENATE("Table!",ADDRESS($AJ106,MATCH(Z$1,INDIRECT("Table!A" &amp; $AN106):INDIRECT("Table!" &amp; $AR$159 &amp; $AN106),0)))))</f>
        <v>54921</v>
      </c>
      <c r="AA106" s="12"/>
      <c r="AB106" s="12">
        <f>MATCH($A106,Table!$A:$A,0)+$AD$2-1</f>
        <v>1560</v>
      </c>
      <c r="AF106" s="31">
        <f>MATCH($A106,Table!$A:$A,0)+$AH$2-1</f>
        <v>1558</v>
      </c>
      <c r="AJ106" s="12">
        <f>MATCH($A106,Table!$A:$A,0)+$AL$2-1</f>
        <v>1559</v>
      </c>
      <c r="AN106" s="31">
        <f>MATCH($A106,Table!$A:$A,0)+$AH$2-1</f>
        <v>1558</v>
      </c>
      <c r="AR106" s="171" t="s">
        <v>118</v>
      </c>
    </row>
    <row r="107" spans="1:44">
      <c r="A107" s="5">
        <v>41009</v>
      </c>
      <c r="B107" s="35">
        <f ca="1">IF(ISERROR(MATCH(B$1,INDIRECT("Table!A"&amp;$AF107):INDIRECT("Table!" &amp; $AR$159 &amp; $AF107),0)),"",INDIRECT(CONCATENATE("Table!",ADDRESS($AB107,MATCH(B$1,INDIRECT("Table!A" &amp; $AF107):INDIRECT("Table!" &amp; $AR$159 &amp; $AF107),0)))))</f>
        <v>86681.5</v>
      </c>
      <c r="C107" s="35">
        <f ca="1">IF(ISERROR(MATCH(C$1,INDIRECT("Table!A"&amp;$AF107):INDIRECT("Table!" &amp; $AR$159 &amp; $AF107),0)),"",INDIRECT(CONCATENATE("Table!",ADDRESS($AB107,MATCH(C$1,INDIRECT("Table!A" &amp; $AF107):INDIRECT("Table!" &amp; $AR$159 &amp; $AF107),0)))))</f>
        <v>65974.100000000006</v>
      </c>
      <c r="D107" s="35">
        <f ca="1">IF(ISERROR(MATCH(D$1,INDIRECT("Table!A"&amp;$AF107):INDIRECT("Table!" &amp; $AR$159 &amp; $AF107),0)),"",INDIRECT(CONCATENATE("Table!",ADDRESS($AB107,MATCH(D$1,INDIRECT("Table!A" &amp; $AF107):INDIRECT("Table!" &amp; $AR$159 &amp; $AF107),0)))))</f>
        <v>67351.8</v>
      </c>
      <c r="E107" s="35">
        <f ca="1">IF(ISERROR(MATCH(E$1,INDIRECT("Table!A"&amp;$AF107):INDIRECT("Table!" &amp; $AR$159 &amp; $AF107),0)),"",INDIRECT(CONCATENATE("Table!",ADDRESS($AB107,MATCH(E$1,INDIRECT("Table!A" &amp; $AF107):INDIRECT("Table!" &amp; $AR$159 &amp; $AF107),0)))))</f>
        <v>132400.29999999999</v>
      </c>
      <c r="F107" s="35">
        <f ca="1">IF(ISERROR(MATCH(F$1,INDIRECT("Table!A"&amp;$AF107):INDIRECT("Table!" &amp; $AR$159 &amp; $AF107),0)),"",INDIRECT(CONCATENATE("Table!",ADDRESS($AB107,MATCH(F$1,INDIRECT("Table!A" &amp; $AF107):INDIRECT("Table!" &amp; $AR$159 &amp; $AF107),0)))))</f>
        <v>2326.9</v>
      </c>
      <c r="G107" s="35">
        <f ca="1">IF(ISERROR(MATCH(G$1,INDIRECT("Table!A"&amp;$AF107):INDIRECT("Table!" &amp; $AR$159 &amp; $AF107),0)),"",INDIRECT(CONCATENATE("Table!",ADDRESS($AB107,MATCH(G$1,INDIRECT("Table!A" &amp; $AF107):INDIRECT("Table!" &amp; $AR$159 &amp; $AF107),0)))))</f>
        <v>31087.7</v>
      </c>
      <c r="H107" s="35">
        <f ca="1">IF(ISERROR(MATCH(H$1,INDIRECT("Table!A"&amp;$AF107):INDIRECT("Table!" &amp; $AR$159 &amp; $AF107),0)),"",INDIRECT(CONCATENATE("Table!",ADDRESS($AB107,MATCH(H$1,INDIRECT("Table!A" &amp; $AF107):INDIRECT("Table!" &amp; $AR$159 &amp; $AF107),0)))))</f>
        <v>20240.3</v>
      </c>
      <c r="I107" s="35">
        <f ca="1">IF(ISERROR(MATCH(I$1,INDIRECT("Table!A"&amp;$AF107):INDIRECT("Table!" &amp; $AR$159 &amp; $AF107),0)),"",INDIRECT(CONCATENATE("Table!",ADDRESS($AB107,MATCH(I$1,INDIRECT("Table!A" &amp; $AF107):INDIRECT("Table!" &amp; $AR$159 &amp; $AF107),0)))))</f>
        <v>122403.9</v>
      </c>
      <c r="J107" s="35">
        <f ca="1">IF(ISERROR(MATCH(J$1,INDIRECT("Table!A"&amp;$AF107):INDIRECT("Table!" &amp; $AR$159 &amp; $AF107),0)),"",INDIRECT(CONCATENATE("Table!",ADDRESS($AB107,MATCH(J$1,INDIRECT("Table!A" &amp; $AF107):INDIRECT("Table!" &amp; $AR$159 &amp; $AF107),0)))))</f>
        <v>27731.9</v>
      </c>
      <c r="K107" s="35">
        <f ca="1">IF(ISERROR(MATCH(K$1,INDIRECT("Table!A"&amp;$AF107):INDIRECT("Table!" &amp; $AR$159 &amp; $AF107),0)),"",INDIRECT(CONCATENATE("Table!",ADDRESS($AB107,MATCH(K$1,INDIRECT("Table!A" &amp; $AF107):INDIRECT("Table!" &amp; $AR$159 &amp; $AF107),0)))))</f>
        <v>3400.2</v>
      </c>
      <c r="L107" s="35">
        <f ca="1">IF(ISERROR(MATCH(L$1,INDIRECT("Table!A"&amp;$AF107):INDIRECT("Table!" &amp; $AR$159 &amp; $AF107),0)),"",INDIRECT(CONCATENATE("Table!",ADDRESS($AB107,MATCH(L$1,INDIRECT("Table!A" &amp; $AF107):INDIRECT("Table!" &amp; $AR$159 &amp; $AF107),0)))))</f>
        <v>79280.899999999994</v>
      </c>
      <c r="M107" s="35">
        <f ca="1">IF(ISERROR(MATCH(M$1,INDIRECT("Table!A"&amp;$AF107):INDIRECT("Table!" &amp; $AR$159 &amp; $AF107),0)),"",INDIRECT(CONCATENATE("Table!",ADDRESS($AB107,MATCH(M$1,INDIRECT("Table!A" &amp; $AF107):INDIRECT("Table!" &amp; $AR$159 &amp; $AF107),0)))))</f>
        <v>23084</v>
      </c>
      <c r="N107" s="35" t="str">
        <f ca="1">IF(ISERROR(MATCH(N$1,INDIRECT("Table!A"&amp;$AF107):INDIRECT("Table!" &amp; $AR$188 &amp; $AF107),0)),"",INDIRECT(CONCATENATE("Table!",ADDRESS($AB107,MATCH(N$1,INDIRECT("Table!A" &amp; $AF107):INDIRECT("Table!" &amp; $AR$188 &amp; $AF107),0)))))</f>
        <v/>
      </c>
      <c r="O107" s="35">
        <f ca="1">IF(ISERROR(MATCH(O$1,INDIRECT("Table!A"&amp;$AN107):INDIRECT("Table!" &amp; $AR$159 &amp; $AN107),0)),"",INDIRECT(CONCATENATE("Table!",ADDRESS($AJ107,MATCH(O$1,INDIRECT("Table!A" &amp; $AN107):INDIRECT("Table!" &amp; $AR$159 &amp; $AN107),0)))))</f>
        <v>115816.8</v>
      </c>
      <c r="P107" s="35">
        <f ca="1">IF(ISERROR(MATCH(P$1,INDIRECT("Table!A"&amp;$AN107):INDIRECT("Table!" &amp; $AR$159 &amp; $AN107),0)),"",INDIRECT(CONCATENATE("Table!",ADDRESS($AJ107,MATCH(P$1,INDIRECT("Table!A" &amp; $AN107):INDIRECT("Table!" &amp; $AR$159 &amp; $AN107),0)))))</f>
        <v>99041.7</v>
      </c>
      <c r="Q107" s="35">
        <f ca="1">IF(ISERROR(MATCH(Q$1,INDIRECT("Table!A"&amp;$AN107):INDIRECT("Table!" &amp; $AR$159 &amp; $AN107),0)),"",INDIRECT(CONCATENATE("Table!",ADDRESS($AJ107,MATCH(Q$1,INDIRECT("Table!A" &amp; $AN107):INDIRECT("Table!" &amp; $AR$159 &amp; $AN107),0)))))</f>
        <v>99041.7</v>
      </c>
      <c r="R107" s="35">
        <f ca="1">IF(ISERROR(MATCH(R$1,INDIRECT("Table!A"&amp;$AN107):INDIRECT("Table!" &amp; $AR$159 &amp; $AN107),0)),"",INDIRECT(CONCATENATE("Table!",ADDRESS($AJ107,MATCH(R$1,INDIRECT("Table!A" &amp; $AN107):INDIRECT("Table!" &amp; $AR$159 &amp; $AN107),0)))))</f>
        <v>154422.39999999999</v>
      </c>
      <c r="S107" s="35">
        <f ca="1">IF(ISERROR(MATCH(S$1,INDIRECT("Table!A"&amp;$AN107):INDIRECT("Table!" &amp; $AR$159 &amp; $AN107),0)),"",INDIRECT(CONCATENATE("Table!",ADDRESS($AJ107,MATCH(S$1,INDIRECT("Table!A" &amp; $AN107):INDIRECT("Table!" &amp; $AR$159 &amp; $AN107),0)))))</f>
        <v>121331.8</v>
      </c>
      <c r="T107" s="35">
        <f ca="1">IF(ISERROR(MATCH(T$1,INDIRECT("Table!A"&amp;$AN107):INDIRECT("Table!" &amp; $AR$159 &amp; $AN107),0)),"",INDIRECT(CONCATENATE("Table!",ADDRESS($AJ107,MATCH(T$1,INDIRECT("Table!A" &amp; $AN107):INDIRECT("Table!" &amp; $AR$159 &amp; $AN107),0)))))</f>
        <v>110071.9</v>
      </c>
      <c r="U107" s="35">
        <f ca="1">IF(ISERROR(MATCH(U$1,INDIRECT("Table!A"&amp;$AN107):INDIRECT("Table!" &amp; $AR$159 &amp; $AN107),0)),"",INDIRECT(CONCATENATE("Table!",ADDRESS($AJ107,MATCH(U$1,INDIRECT("Table!A" &amp; $AN107):INDIRECT("Table!" &amp; $AR$159 &amp; $AN107),0)))))</f>
        <v>121331.8</v>
      </c>
      <c r="V107" s="35">
        <f ca="1">IF(ISERROR(MATCH(V$1,INDIRECT("Table!A"&amp;$AN107):INDIRECT("Table!" &amp; $AR$159 &amp; $AN107),0)),"",INDIRECT(CONCATENATE("Table!",ADDRESS($AJ107,MATCH(V$1,INDIRECT("Table!A" &amp; $AN107):INDIRECT("Table!" &amp; $AR$159 &amp; $AN107),0)))))</f>
        <v>170967.6</v>
      </c>
      <c r="W107" s="35">
        <f ca="1">IF(ISERROR(MATCH(W$1,INDIRECT("Table!A"&amp;$AN107):INDIRECT("Table!" &amp; $AR$159 &amp; $AN107),0)),"",INDIRECT(CONCATENATE("Table!",ADDRESS($AJ107,MATCH(W$1,INDIRECT("Table!A" &amp; $AN107):INDIRECT("Table!" &amp; $AR$159 &amp; $AN107),0)))))</f>
        <v>54921</v>
      </c>
      <c r="X107" s="35">
        <f ca="1">IF(ISERROR(MATCH(X$1,INDIRECT("Table!A"&amp;$AN107):INDIRECT("Table!" &amp; $AR$159 &amp; $AN107),0)),"",INDIRECT(CONCATENATE("Table!",ADDRESS($AJ107,MATCH(X$1,INDIRECT("Table!A" &amp; $AN107):INDIRECT("Table!" &amp; $AR$159 &amp; $AN107),0)))))</f>
        <v>60665.9</v>
      </c>
      <c r="Y107" s="35">
        <f ca="1">IF(ISERROR(MATCH(Y$1,INDIRECT("Table!A"&amp;$AN107):INDIRECT("Table!" &amp; $AR$159 &amp; $AN107),0)),"",INDIRECT(CONCATENATE("Table!",ADDRESS($AJ107,MATCH(Y$1,INDIRECT("Table!A" &amp; $AN107):INDIRECT("Table!" &amp; $AR$159 &amp; $AN107),0)))))</f>
        <v>176482.7</v>
      </c>
      <c r="Z107" s="35">
        <f ca="1">IF(ISERROR(MATCH(Z$1,INDIRECT("Table!A"&amp;$AN107):INDIRECT("Table!" &amp; $AR$159 &amp; $AN107),0)),"",INDIRECT(CONCATENATE("Table!",ADDRESS($AJ107,MATCH(Z$1,INDIRECT("Table!A" &amp; $AN107):INDIRECT("Table!" &amp; $AR$159 &amp; $AN107),0)))))</f>
        <v>54921</v>
      </c>
      <c r="AA107" s="12"/>
      <c r="AB107" s="12">
        <f>MATCH($A107,Table!$A:$A,0)+$AD$2-1</f>
        <v>1573</v>
      </c>
      <c r="AF107" s="31">
        <f>MATCH($A107,Table!$A:$A,0)+$AH$2-1</f>
        <v>1571</v>
      </c>
      <c r="AJ107" s="12">
        <f>MATCH($A107,Table!$A:$A,0)+$AL$2-1</f>
        <v>1572</v>
      </c>
      <c r="AN107" s="31">
        <f>MATCH($A107,Table!$A:$A,0)+$AH$2-1</f>
        <v>1571</v>
      </c>
      <c r="AR107" s="170" t="s">
        <v>118</v>
      </c>
    </row>
    <row r="108" spans="1:44">
      <c r="A108" s="5">
        <v>41003</v>
      </c>
      <c r="B108" s="35">
        <f ca="1">IF(ISERROR(MATCH(B$1,INDIRECT("Table!A"&amp;$AF108):INDIRECT("Table!" &amp; $AR$159 &amp; $AF108),0)),"",INDIRECT(CONCATENATE("Table!",ADDRESS($AB108,MATCH(B$1,INDIRECT("Table!A" &amp; $AF108):INDIRECT("Table!" &amp; $AR$159 &amp; $AF108),0)))))</f>
        <v>86554.5</v>
      </c>
      <c r="C108" s="35">
        <f ca="1">IF(ISERROR(MATCH(C$1,INDIRECT("Table!A"&amp;$AF108):INDIRECT("Table!" &amp; $AR$159 &amp; $AF108),0)),"",INDIRECT(CONCATENATE("Table!",ADDRESS($AB108,MATCH(C$1,INDIRECT("Table!A" &amp; $AF108):INDIRECT("Table!" &amp; $AR$159 &amp; $AF108),0)))))</f>
        <v>65921.8</v>
      </c>
      <c r="D108" s="35">
        <f ca="1">IF(ISERROR(MATCH(D$1,INDIRECT("Table!A"&amp;$AF108):INDIRECT("Table!" &amp; $AR$159 &amp; $AF108),0)),"",INDIRECT(CONCATENATE("Table!",ADDRESS($AB108,MATCH(D$1,INDIRECT("Table!A" &amp; $AF108):INDIRECT("Table!" &amp; $AR$159 &amp; $AF108),0)))))</f>
        <v>67299.8</v>
      </c>
      <c r="E108" s="35">
        <f ca="1">IF(ISERROR(MATCH(E$1,INDIRECT("Table!A"&amp;$AF108):INDIRECT("Table!" &amp; $AR$159 &amp; $AF108),0)),"",INDIRECT(CONCATENATE("Table!",ADDRESS($AB108,MATCH(E$1,INDIRECT("Table!A" &amp; $AF108):INDIRECT("Table!" &amp; $AR$159 &amp; $AF108),0)))))</f>
        <v>131868.70000000001</v>
      </c>
      <c r="F108" s="35">
        <f ca="1">IF(ISERROR(MATCH(F$1,INDIRECT("Table!A"&amp;$AF108):INDIRECT("Table!" &amp; $AR$159 &amp; $AF108),0)),"",INDIRECT(CONCATENATE("Table!",ADDRESS($AB108,MATCH(F$1,INDIRECT("Table!A" &amp; $AF108):INDIRECT("Table!" &amp; $AR$159 &amp; $AF108),0)))))</f>
        <v>2323</v>
      </c>
      <c r="G108" s="35">
        <f ca="1">IF(ISERROR(MATCH(G$1,INDIRECT("Table!A"&amp;$AF108):INDIRECT("Table!" &amp; $AR$159 &amp; $AF108),0)),"",INDIRECT(CONCATENATE("Table!",ADDRESS($AB108,MATCH(G$1,INDIRECT("Table!A" &amp; $AF108):INDIRECT("Table!" &amp; $AR$159 &amp; $AF108),0)))))</f>
        <v>30465</v>
      </c>
      <c r="H108" s="35">
        <f ca="1">IF(ISERROR(MATCH(H$1,INDIRECT("Table!A"&amp;$AF108):INDIRECT("Table!" &amp; $AR$159 &amp; $AF108),0)),"",INDIRECT(CONCATENATE("Table!",ADDRESS($AB108,MATCH(H$1,INDIRECT("Table!A" &amp; $AF108):INDIRECT("Table!" &amp; $AR$159 &amp; $AF108),0)))))</f>
        <v>20077.900000000001</v>
      </c>
      <c r="I108" s="35">
        <f ca="1">IF(ISERROR(MATCH(I$1,INDIRECT("Table!A"&amp;$AF108):INDIRECT("Table!" &amp; $AR$159 &amp; $AF108),0)),"",INDIRECT(CONCATENATE("Table!",ADDRESS($AB108,MATCH(I$1,INDIRECT("Table!A" &amp; $AF108):INDIRECT("Table!" &amp; $AR$159 &amp; $AF108),0)))))</f>
        <v>121896.3</v>
      </c>
      <c r="J108" s="35">
        <f ca="1">IF(ISERROR(MATCH(J$1,INDIRECT("Table!A"&amp;$AF108):INDIRECT("Table!" &amp; $AR$159 &amp; $AF108),0)),"",INDIRECT(CONCATENATE("Table!",ADDRESS($AB108,MATCH(J$1,INDIRECT("Table!A" &amp; $AF108):INDIRECT("Table!" &amp; $AR$159 &amp; $AF108),0)))))</f>
        <v>27700.1</v>
      </c>
      <c r="K108" s="35">
        <f ca="1">IF(ISERROR(MATCH(K$1,INDIRECT("Table!A"&amp;$AF108):INDIRECT("Table!" &amp; $AR$159 &amp; $AF108),0)),"",INDIRECT(CONCATENATE("Table!",ADDRESS($AB108,MATCH(K$1,INDIRECT("Table!A" &amp; $AF108):INDIRECT("Table!" &amp; $AR$159 &amp; $AF108),0)))))</f>
        <v>1292</v>
      </c>
      <c r="L108" s="35">
        <f ca="1">IF(ISERROR(MATCH(L$1,INDIRECT("Table!A"&amp;$AF108):INDIRECT("Table!" &amp; $AR$159 &amp; $AF108),0)),"",INDIRECT(CONCATENATE("Table!",ADDRESS($AB108,MATCH(L$1,INDIRECT("Table!A" &amp; $AF108):INDIRECT("Table!" &amp; $AR$159 &amp; $AF108),0)))))</f>
        <v>78953.600000000006</v>
      </c>
      <c r="M108" s="35">
        <f ca="1">IF(ISERROR(MATCH(M$1,INDIRECT("Table!A"&amp;$AF108):INDIRECT("Table!" &amp; $AR$159 &amp; $AF108),0)),"",INDIRECT(CONCATENATE("Table!",ADDRESS($AB108,MATCH(M$1,INDIRECT("Table!A" &amp; $AF108):INDIRECT("Table!" &amp; $AR$159 &amp; $AF108),0)))))</f>
        <v>23077.4</v>
      </c>
      <c r="N108" s="35" t="str">
        <f ca="1">IF(ISERROR(MATCH(N$1,INDIRECT("Table!A"&amp;$AF108):INDIRECT("Table!" &amp; $AR$188 &amp; $AF108),0)),"",INDIRECT(CONCATENATE("Table!",ADDRESS($AB108,MATCH(N$1,INDIRECT("Table!A" &amp; $AF108):INDIRECT("Table!" &amp; $AR$188 &amp; $AF108),0)))))</f>
        <v/>
      </c>
      <c r="O108" s="35">
        <f ca="1">IF(ISERROR(MATCH(O$1,INDIRECT("Table!A"&amp;$AN108):INDIRECT("Table!" &amp; $AR$159 &amp; $AN108),0)),"",INDIRECT(CONCATENATE("Table!",ADDRESS($AJ108,MATCH(O$1,INDIRECT("Table!A" &amp; $AN108):INDIRECT("Table!" &amp; $AR$159 &amp; $AN108),0)))))</f>
        <v>115816.8</v>
      </c>
      <c r="P108" s="35">
        <f ca="1">IF(ISERROR(MATCH(P$1,INDIRECT("Table!A"&amp;$AN108):INDIRECT("Table!" &amp; $AR$159 &amp; $AN108),0)),"",INDIRECT(CONCATENATE("Table!",ADDRESS($AJ108,MATCH(P$1,INDIRECT("Table!A" &amp; $AN108):INDIRECT("Table!" &amp; $AR$159 &amp; $AN108),0)))))</f>
        <v>99042</v>
      </c>
      <c r="Q108" s="35">
        <f ca="1">IF(ISERROR(MATCH(Q$1,INDIRECT("Table!A"&amp;$AN108):INDIRECT("Table!" &amp; $AR$159 &amp; $AN108),0)),"",INDIRECT(CONCATENATE("Table!",ADDRESS($AJ108,MATCH(Q$1,INDIRECT("Table!A" &amp; $AN108):INDIRECT("Table!" &amp; $AR$159 &amp; $AN108),0)))))</f>
        <v>99042</v>
      </c>
      <c r="R108" s="35">
        <f ca="1">IF(ISERROR(MATCH(R$1,INDIRECT("Table!A"&amp;$AN108):INDIRECT("Table!" &amp; $AR$159 &amp; $AN108),0)),"",INDIRECT(CONCATENATE("Table!",ADDRESS($AJ108,MATCH(R$1,INDIRECT("Table!A" &amp; $AN108):INDIRECT("Table!" &amp; $AR$159 &amp; $AN108),0)))))</f>
        <v>154422.39999999999</v>
      </c>
      <c r="S108" s="35">
        <f ca="1">IF(ISERROR(MATCH(S$1,INDIRECT("Table!A"&amp;$AN108):INDIRECT("Table!" &amp; $AR$159 &amp; $AN108),0)),"",INDIRECT(CONCATENATE("Table!",ADDRESS($AJ108,MATCH(S$1,INDIRECT("Table!A" &amp; $AN108):INDIRECT("Table!" &amp; $AR$159 &amp; $AN108),0)))))</f>
        <v>121331.8</v>
      </c>
      <c r="T108" s="35">
        <f ca="1">IF(ISERROR(MATCH(T$1,INDIRECT("Table!A"&amp;$AN108):INDIRECT("Table!" &amp; $AR$159 &amp; $AN108),0)),"",INDIRECT(CONCATENATE("Table!",ADDRESS($AJ108,MATCH(T$1,INDIRECT("Table!A" &amp; $AN108):INDIRECT("Table!" &amp; $AR$159 &amp; $AN108),0)))))</f>
        <v>110071.9</v>
      </c>
      <c r="U108" s="35">
        <f ca="1">IF(ISERROR(MATCH(U$1,INDIRECT("Table!A"&amp;$AN108):INDIRECT("Table!" &amp; $AR$159 &amp; $AN108),0)),"",INDIRECT(CONCATENATE("Table!",ADDRESS($AJ108,MATCH(U$1,INDIRECT("Table!A" &amp; $AN108):INDIRECT("Table!" &amp; $AR$159 &amp; $AN108),0)))))</f>
        <v>121331.8</v>
      </c>
      <c r="V108" s="35">
        <f ca="1">IF(ISERROR(MATCH(V$1,INDIRECT("Table!A"&amp;$AN108):INDIRECT("Table!" &amp; $AR$159 &amp; $AN108),0)),"",INDIRECT(CONCATENATE("Table!",ADDRESS($AJ108,MATCH(V$1,INDIRECT("Table!A" &amp; $AN108):INDIRECT("Table!" &amp; $AR$159 &amp; $AN108),0)))))</f>
        <v>170967.6</v>
      </c>
      <c r="W108" s="35">
        <f ca="1">IF(ISERROR(MATCH(W$1,INDIRECT("Table!A"&amp;$AN108):INDIRECT("Table!" &amp; $AR$159 &amp; $AN108),0)),"",INDIRECT(CONCATENATE("Table!",ADDRESS($AJ108,MATCH(W$1,INDIRECT("Table!A" &amp; $AN108):INDIRECT("Table!" &amp; $AR$159 &amp; $AN108),0)))))</f>
        <v>54921</v>
      </c>
      <c r="X108" s="35">
        <f ca="1">IF(ISERROR(MATCH(X$1,INDIRECT("Table!A"&amp;$AN108):INDIRECT("Table!" &amp; $AR$159 &amp; $AN108),0)),"",INDIRECT(CONCATENATE("Table!",ADDRESS($AJ108,MATCH(X$1,INDIRECT("Table!A" &amp; $AN108):INDIRECT("Table!" &amp; $AR$159 &amp; $AN108),0)))))</f>
        <v>60665.9</v>
      </c>
      <c r="Y108" s="35">
        <f ca="1">IF(ISERROR(MATCH(Y$1,INDIRECT("Table!A"&amp;$AN108):INDIRECT("Table!" &amp; $AR$159 &amp; $AN108),0)),"",INDIRECT(CONCATENATE("Table!",ADDRESS($AJ108,MATCH(Y$1,INDIRECT("Table!A" &amp; $AN108):INDIRECT("Table!" &amp; $AR$159 &amp; $AN108),0)))))</f>
        <v>176482.7</v>
      </c>
      <c r="Z108" s="35">
        <f ca="1">IF(ISERROR(MATCH(Z$1,INDIRECT("Table!A"&amp;$AN108):INDIRECT("Table!" &amp; $AR$159 &amp; $AN108),0)),"",INDIRECT(CONCATENATE("Table!",ADDRESS($AJ108,MATCH(Z$1,INDIRECT("Table!A" &amp; $AN108):INDIRECT("Table!" &amp; $AR$159 &amp; $AN108),0)))))</f>
        <v>54921</v>
      </c>
      <c r="AA108" s="12"/>
      <c r="AB108" s="12">
        <f>MATCH($A108,Table!$A:$A,0)+$AD$2-1</f>
        <v>1586</v>
      </c>
      <c r="AF108" s="31">
        <f>MATCH($A108,Table!$A:$A,0)+$AH$2-1</f>
        <v>1584</v>
      </c>
      <c r="AJ108" s="12">
        <f>MATCH($A108,Table!$A:$A,0)+$AL$2-1</f>
        <v>1585</v>
      </c>
      <c r="AN108" s="31">
        <f>MATCH($A108,Table!$A:$A,0)+$AH$2-1</f>
        <v>1584</v>
      </c>
      <c r="AR108" s="169" t="s">
        <v>118</v>
      </c>
    </row>
    <row r="109" spans="1:44">
      <c r="A109" s="5">
        <v>41002</v>
      </c>
      <c r="B109" s="35">
        <f ca="1">IF(ISERROR(MATCH(B$1,INDIRECT("Table!A"&amp;$AF109):INDIRECT("Table!" &amp; $AR$159 &amp; $AF109),0)),"",INDIRECT(CONCATENATE("Table!",ADDRESS($AB109,MATCH(B$1,INDIRECT("Table!A" &amp; $AF109):INDIRECT("Table!" &amp; $AR$159 &amp; $AF109),0)))))</f>
        <v>86496.6</v>
      </c>
      <c r="C109" s="35">
        <f ca="1">IF(ISERROR(MATCH(C$1,INDIRECT("Table!A"&amp;$AF109):INDIRECT("Table!" &amp; $AR$159 &amp; $AF109),0)),"",INDIRECT(CONCATENATE("Table!",ADDRESS($AB109,MATCH(C$1,INDIRECT("Table!A" &amp; $AF109):INDIRECT("Table!" &amp; $AR$159 &amp; $AF109),0)))))</f>
        <v>65904.899999999994</v>
      </c>
      <c r="D109" s="35">
        <f ca="1">IF(ISERROR(MATCH(D$1,INDIRECT("Table!A"&amp;$AF109):INDIRECT("Table!" &amp; $AR$159 &amp; $AF109),0)),"",INDIRECT(CONCATENATE("Table!",ADDRESS($AB109,MATCH(D$1,INDIRECT("Table!A" &amp; $AF109):INDIRECT("Table!" &amp; $AR$159 &amp; $AF109),0)))))</f>
        <v>67282.600000000006</v>
      </c>
      <c r="E109" s="35">
        <f ca="1">IF(ISERROR(MATCH(E$1,INDIRECT("Table!A"&amp;$AF109):INDIRECT("Table!" &amp; $AR$159 &amp; $AF109),0)),"",INDIRECT(CONCATENATE("Table!",ADDRESS($AB109,MATCH(E$1,INDIRECT("Table!A" &amp; $AF109):INDIRECT("Table!" &amp; $AR$159 &amp; $AF109),0)))))</f>
        <v>131528.9</v>
      </c>
      <c r="F109" s="35">
        <f ca="1">IF(ISERROR(MATCH(F$1,INDIRECT("Table!A"&amp;$AF109):INDIRECT("Table!" &amp; $AR$159 &amp; $AF109),0)),"",INDIRECT(CONCATENATE("Table!",ADDRESS($AB109,MATCH(F$1,INDIRECT("Table!A" &amp; $AF109):INDIRECT("Table!" &amp; $AR$159 &amp; $AF109),0)))))</f>
        <v>2323</v>
      </c>
      <c r="G109" s="35">
        <f ca="1">IF(ISERROR(MATCH(G$1,INDIRECT("Table!A"&amp;$AF109):INDIRECT("Table!" &amp; $AR$159 &amp; $AF109),0)),"",INDIRECT(CONCATENATE("Table!",ADDRESS($AB109,MATCH(G$1,INDIRECT("Table!A" &amp; $AF109):INDIRECT("Table!" &amp; $AR$159 &amp; $AF109),0)))))</f>
        <v>30368.7</v>
      </c>
      <c r="H109" s="35">
        <f ca="1">IF(ISERROR(MATCH(H$1,INDIRECT("Table!A"&amp;$AF109):INDIRECT("Table!" &amp; $AR$159 &amp; $AF109),0)),"",INDIRECT(CONCATENATE("Table!",ADDRESS($AB109,MATCH(H$1,INDIRECT("Table!A" &amp; $AF109):INDIRECT("Table!" &amp; $AR$159 &amp; $AF109),0)))))</f>
        <v>20067.400000000001</v>
      </c>
      <c r="I109" s="35">
        <f ca="1">IF(ISERROR(MATCH(I$1,INDIRECT("Table!A"&amp;$AF109):INDIRECT("Table!" &amp; $AR$159 &amp; $AF109),0)),"",INDIRECT(CONCATENATE("Table!",ADDRESS($AB109,MATCH(I$1,INDIRECT("Table!A" &amp; $AF109):INDIRECT("Table!" &amp; $AR$159 &amp; $AF109),0)))))</f>
        <v>121769</v>
      </c>
      <c r="J109" s="35">
        <f ca="1">IF(ISERROR(MATCH(J$1,INDIRECT("Table!A"&amp;$AF109):INDIRECT("Table!" &amp; $AR$159 &amp; $AF109),0)),"",INDIRECT(CONCATENATE("Table!",ADDRESS($AB109,MATCH(J$1,INDIRECT("Table!A" &amp; $AF109):INDIRECT("Table!" &amp; $AR$159 &amp; $AF109),0)))))</f>
        <v>27690.799999999999</v>
      </c>
      <c r="K109" s="35">
        <f ca="1">IF(ISERROR(MATCH(K$1,INDIRECT("Table!A"&amp;$AF109):INDIRECT("Table!" &amp; $AR$159 &amp; $AF109),0)),"",INDIRECT(CONCATENATE("Table!",ADDRESS($AB109,MATCH(K$1,INDIRECT("Table!A" &amp; $AF109):INDIRECT("Table!" &amp; $AR$159 &amp; $AF109),0)))))</f>
        <v>1287.9000000000001</v>
      </c>
      <c r="L109" s="35">
        <f ca="1">IF(ISERROR(MATCH(L$1,INDIRECT("Table!A"&amp;$AF109):INDIRECT("Table!" &amp; $AR$159 &amp; $AF109),0)),"",INDIRECT(CONCATENATE("Table!",ADDRESS($AB109,MATCH(L$1,INDIRECT("Table!A" &amp; $AF109):INDIRECT("Table!" &amp; $AR$159 &amp; $AF109),0)))))</f>
        <v>78932.100000000006</v>
      </c>
      <c r="M109" s="35">
        <f ca="1">IF(ISERROR(MATCH(M$1,INDIRECT("Table!A"&amp;$AF109):INDIRECT("Table!" &amp; $AR$159 &amp; $AF109),0)),"",INDIRECT(CONCATENATE("Table!",ADDRESS($AB109,MATCH(M$1,INDIRECT("Table!A" &amp; $AF109):INDIRECT("Table!" &amp; $AR$159 &amp; $AF109),0)))))</f>
        <v>23077.200000000001</v>
      </c>
      <c r="N109" s="35" t="str">
        <f ca="1">IF(ISERROR(MATCH(N$1,INDIRECT("Table!A"&amp;$AF109):INDIRECT("Table!" &amp; $AR$188 &amp; $AF109),0)),"",INDIRECT(CONCATENATE("Table!",ADDRESS($AB109,MATCH(N$1,INDIRECT("Table!A" &amp; $AF109):INDIRECT("Table!" &amp; $AR$188 &amp; $AF109),0)))))</f>
        <v/>
      </c>
      <c r="O109" s="35">
        <f ca="1">IF(ISERROR(MATCH(O$1,INDIRECT("Table!A"&amp;$AN109):INDIRECT("Table!" &amp; $AR$159 &amp; $AN109),0)),"",INDIRECT(CONCATENATE("Table!",ADDRESS($AJ109,MATCH(O$1,INDIRECT("Table!A" &amp; $AN109):INDIRECT("Table!" &amp; $AR$159 &amp; $AN109),0)))))</f>
        <v>115816.8</v>
      </c>
      <c r="P109" s="35">
        <f ca="1">IF(ISERROR(MATCH(P$1,INDIRECT("Table!A"&amp;$AN109):INDIRECT("Table!" &amp; $AR$159 &amp; $AN109),0)),"",INDIRECT(CONCATENATE("Table!",ADDRESS($AJ109,MATCH(P$1,INDIRECT("Table!A" &amp; $AN109):INDIRECT("Table!" &amp; $AR$159 &amp; $AN109),0)))))</f>
        <v>99042</v>
      </c>
      <c r="Q109" s="35">
        <f ca="1">IF(ISERROR(MATCH(Q$1,INDIRECT("Table!A"&amp;$AN109):INDIRECT("Table!" &amp; $AR$159 &amp; $AN109),0)),"",INDIRECT(CONCATENATE("Table!",ADDRESS($AJ109,MATCH(Q$1,INDIRECT("Table!A" &amp; $AN109):INDIRECT("Table!" &amp; $AR$159 &amp; $AN109),0)))))</f>
        <v>99042</v>
      </c>
      <c r="R109" s="35">
        <f ca="1">IF(ISERROR(MATCH(R$1,INDIRECT("Table!A"&amp;$AN109):INDIRECT("Table!" &amp; $AR$159 &amp; $AN109),0)),"",INDIRECT(CONCATENATE("Table!",ADDRESS($AJ109,MATCH(R$1,INDIRECT("Table!A" &amp; $AN109):INDIRECT("Table!" &amp; $AR$159 &amp; $AN109),0)))))</f>
        <v>154422.39999999999</v>
      </c>
      <c r="S109" s="35">
        <f ca="1">IF(ISERROR(MATCH(S$1,INDIRECT("Table!A"&amp;$AN109):INDIRECT("Table!" &amp; $AR$159 &amp; $AN109),0)),"",INDIRECT(CONCATENATE("Table!",ADDRESS($AJ109,MATCH(S$1,INDIRECT("Table!A" &amp; $AN109):INDIRECT("Table!" &amp; $AR$159 &amp; $AN109),0)))))</f>
        <v>121331.8</v>
      </c>
      <c r="T109" s="35">
        <f ca="1">IF(ISERROR(MATCH(T$1,INDIRECT("Table!A"&amp;$AN109):INDIRECT("Table!" &amp; $AR$159 &amp; $AN109),0)),"",INDIRECT(CONCATENATE("Table!",ADDRESS($AJ109,MATCH(T$1,INDIRECT("Table!A" &amp; $AN109):INDIRECT("Table!" &amp; $AR$159 &amp; $AN109),0)))))</f>
        <v>110071.9</v>
      </c>
      <c r="U109" s="35">
        <f ca="1">IF(ISERROR(MATCH(U$1,INDIRECT("Table!A"&amp;$AN109):INDIRECT("Table!" &amp; $AR$159 &amp; $AN109),0)),"",INDIRECT(CONCATENATE("Table!",ADDRESS($AJ109,MATCH(U$1,INDIRECT("Table!A" &amp; $AN109):INDIRECT("Table!" &amp; $AR$159 &amp; $AN109),0)))))</f>
        <v>121331.8</v>
      </c>
      <c r="V109" s="35">
        <f ca="1">IF(ISERROR(MATCH(V$1,INDIRECT("Table!A"&amp;$AN109):INDIRECT("Table!" &amp; $AR$159 &amp; $AN109),0)),"",INDIRECT(CONCATENATE("Table!",ADDRESS($AJ109,MATCH(V$1,INDIRECT("Table!A" &amp; $AN109):INDIRECT("Table!" &amp; $AR$159 &amp; $AN109),0)))))</f>
        <v>170967.6</v>
      </c>
      <c r="W109" s="35">
        <f ca="1">IF(ISERROR(MATCH(W$1,INDIRECT("Table!A"&amp;$AN109):INDIRECT("Table!" &amp; $AR$159 &amp; $AN109),0)),"",INDIRECT(CONCATENATE("Table!",ADDRESS($AJ109,MATCH(W$1,INDIRECT("Table!A" &amp; $AN109):INDIRECT("Table!" &amp; $AR$159 &amp; $AN109),0)))))</f>
        <v>54921</v>
      </c>
      <c r="X109" s="35">
        <f ca="1">IF(ISERROR(MATCH(X$1,INDIRECT("Table!A"&amp;$AN109):INDIRECT("Table!" &amp; $AR$159 &amp; $AN109),0)),"",INDIRECT(CONCATENATE("Table!",ADDRESS($AJ109,MATCH(X$1,INDIRECT("Table!A" &amp; $AN109):INDIRECT("Table!" &amp; $AR$159 &amp; $AN109),0)))))</f>
        <v>60665.9</v>
      </c>
      <c r="Y109" s="35">
        <f ca="1">IF(ISERROR(MATCH(Y$1,INDIRECT("Table!A"&amp;$AN109):INDIRECT("Table!" &amp; $AR$159 &amp; $AN109),0)),"",INDIRECT(CONCATENATE("Table!",ADDRESS($AJ109,MATCH(Y$1,INDIRECT("Table!A" &amp; $AN109):INDIRECT("Table!" &amp; $AR$159 &amp; $AN109),0)))))</f>
        <v>176482.7</v>
      </c>
      <c r="Z109" s="35">
        <f ca="1">IF(ISERROR(MATCH(Z$1,INDIRECT("Table!A"&amp;$AN109):INDIRECT("Table!" &amp; $AR$159 &amp; $AN109),0)),"",INDIRECT(CONCATENATE("Table!",ADDRESS($AJ109,MATCH(Z$1,INDIRECT("Table!A" &amp; $AN109):INDIRECT("Table!" &amp; $AR$159 &amp; $AN109),0)))))</f>
        <v>54921</v>
      </c>
      <c r="AA109" s="12"/>
      <c r="AB109" s="12">
        <f>MATCH($A109,Table!$A:$A,0)+$AD$2-1</f>
        <v>1599</v>
      </c>
      <c r="AF109" s="31">
        <f>MATCH($A109,Table!$A:$A,0)+$AH$2-1</f>
        <v>1597</v>
      </c>
      <c r="AJ109" s="12">
        <f>MATCH($A109,Table!$A:$A,0)+$AL$2-1</f>
        <v>1598</v>
      </c>
      <c r="AN109" s="31">
        <f>MATCH($A109,Table!$A:$A,0)+$AH$2-1</f>
        <v>1597</v>
      </c>
      <c r="AR109" s="168" t="s">
        <v>118</v>
      </c>
    </row>
    <row r="110" spans="1:44">
      <c r="A110" s="5">
        <v>41001</v>
      </c>
      <c r="B110" s="35">
        <f ca="1">IF(ISERROR(MATCH(B$1,INDIRECT("Table!A"&amp;$AF110):INDIRECT("Table!" &amp; $AR$159 &amp; $AF110),0)),"",INDIRECT(CONCATENATE("Table!",ADDRESS($AB110,MATCH(B$1,INDIRECT("Table!A" &amp; $AF110):INDIRECT("Table!" &amp; $AR$159 &amp; $AF110),0)))))</f>
        <v>86450.2</v>
      </c>
      <c r="C110" s="35">
        <f ca="1">IF(ISERROR(MATCH(C$1,INDIRECT("Table!A"&amp;$AF110):INDIRECT("Table!" &amp; $AR$159 &amp; $AF110),0)),"",INDIRECT(CONCATENATE("Table!",ADDRESS($AB110,MATCH(C$1,INDIRECT("Table!A" &amp; $AF110):INDIRECT("Table!" &amp; $AR$159 &amp; $AF110),0)))))</f>
        <v>65886.100000000006</v>
      </c>
      <c r="D110" s="35">
        <f ca="1">IF(ISERROR(MATCH(D$1,INDIRECT("Table!A"&amp;$AF110):INDIRECT("Table!" &amp; $AR$159 &amp; $AF110),0)),"",INDIRECT(CONCATENATE("Table!",ADDRESS($AB110,MATCH(D$1,INDIRECT("Table!A" &amp; $AF110):INDIRECT("Table!" &amp; $AR$159 &amp; $AF110),0)))))</f>
        <v>67263.3</v>
      </c>
      <c r="E110" s="35">
        <f ca="1">IF(ISERROR(MATCH(E$1,INDIRECT("Table!A"&amp;$AF110):INDIRECT("Table!" &amp; $AR$159 &amp; $AF110),0)),"",INDIRECT(CONCATENATE("Table!",ADDRESS($AB110,MATCH(E$1,INDIRECT("Table!A" &amp; $AF110):INDIRECT("Table!" &amp; $AR$159 &amp; $AF110),0)))))</f>
        <v>131375.1</v>
      </c>
      <c r="F110" s="35">
        <f ca="1">IF(ISERROR(MATCH(F$1,INDIRECT("Table!A"&amp;$AF110):INDIRECT("Table!" &amp; $AR$159 &amp; $AF110),0)),"",INDIRECT(CONCATENATE("Table!",ADDRESS($AB110,MATCH(F$1,INDIRECT("Table!A" &amp; $AF110):INDIRECT("Table!" &amp; $AR$159 &amp; $AF110),0)))))</f>
        <v>2322.9</v>
      </c>
      <c r="G110" s="35">
        <f ca="1">IF(ISERROR(MATCH(G$1,INDIRECT("Table!A"&amp;$AF110):INDIRECT("Table!" &amp; $AR$159 &amp; $AF110),0)),"",INDIRECT(CONCATENATE("Table!",ADDRESS($AB110,MATCH(G$1,INDIRECT("Table!A" &amp; $AF110):INDIRECT("Table!" &amp; $AR$159 &amp; $AF110),0)))))</f>
        <v>29878.799999999999</v>
      </c>
      <c r="H110" s="35">
        <f ca="1">IF(ISERROR(MATCH(H$1,INDIRECT("Table!A"&amp;$AF110):INDIRECT("Table!" &amp; $AR$159 &amp; $AF110),0)),"",INDIRECT(CONCATENATE("Table!",ADDRESS($AB110,MATCH(H$1,INDIRECT("Table!A" &amp; $AF110):INDIRECT("Table!" &amp; $AR$159 &amp; $AF110),0)))))</f>
        <v>20053.8</v>
      </c>
      <c r="I110" s="35">
        <f ca="1">IF(ISERROR(MATCH(I$1,INDIRECT("Table!A"&amp;$AF110):INDIRECT("Table!" &amp; $AR$159 &amp; $AF110),0)),"",INDIRECT(CONCATENATE("Table!",ADDRESS($AB110,MATCH(I$1,INDIRECT("Table!A" &amp; $AF110):INDIRECT("Table!" &amp; $AR$159 &amp; $AF110),0)))))</f>
        <v>121723.1</v>
      </c>
      <c r="J110" s="35">
        <f ca="1">IF(ISERROR(MATCH(J$1,INDIRECT("Table!A"&amp;$AF110):INDIRECT("Table!" &amp; $AR$159 &amp; $AF110),0)),"",INDIRECT(CONCATENATE("Table!",ADDRESS($AB110,MATCH(J$1,INDIRECT("Table!A" &amp; $AF110):INDIRECT("Table!" &amp; $AR$159 &amp; $AF110),0)))))</f>
        <v>27687.7</v>
      </c>
      <c r="K110" s="35">
        <f ca="1">IF(ISERROR(MATCH(K$1,INDIRECT("Table!A"&amp;$AF110):INDIRECT("Table!" &amp; $AR$159 &amp; $AF110),0)),"",INDIRECT(CONCATENATE("Table!",ADDRESS($AB110,MATCH(K$1,INDIRECT("Table!A" &amp; $AF110):INDIRECT("Table!" &amp; $AR$159 &amp; $AF110),0)))))</f>
        <v>1286</v>
      </c>
      <c r="L110" s="35">
        <f ca="1">IF(ISERROR(MATCH(L$1,INDIRECT("Table!A"&amp;$AF110):INDIRECT("Table!" &amp; $AR$159 &amp; $AF110),0)),"",INDIRECT(CONCATENATE("Table!",ADDRESS($AB110,MATCH(L$1,INDIRECT("Table!A" &amp; $AF110):INDIRECT("Table!" &amp; $AR$159 &amp; $AF110),0)))))</f>
        <v>78904.3</v>
      </c>
      <c r="M110" s="35">
        <f ca="1">IF(ISERROR(MATCH(M$1,INDIRECT("Table!A"&amp;$AF110):INDIRECT("Table!" &amp; $AR$159 &amp; $AF110),0)),"",INDIRECT(CONCATENATE("Table!",ADDRESS($AB110,MATCH(M$1,INDIRECT("Table!A" &amp; $AF110):INDIRECT("Table!" &amp; $AR$159 &amp; $AF110),0)))))</f>
        <v>23075.9</v>
      </c>
      <c r="N110" s="35" t="str">
        <f ca="1">IF(ISERROR(MATCH(N$1,INDIRECT("Table!A"&amp;$AF110):INDIRECT("Table!" &amp; $AR$188 &amp; $AF110),0)),"",INDIRECT(CONCATENATE("Table!",ADDRESS($AB110,MATCH(N$1,INDIRECT("Table!A" &amp; $AF110):INDIRECT("Table!" &amp; $AR$188 &amp; $AF110),0)))))</f>
        <v/>
      </c>
      <c r="O110" s="35">
        <f ca="1">IF(ISERROR(MATCH(O$1,INDIRECT("Table!A"&amp;$AN110):INDIRECT("Table!" &amp; $AR$159 &amp; $AN110),0)),"",INDIRECT(CONCATENATE("Table!",ADDRESS($AJ110,MATCH(O$1,INDIRECT("Table!A" &amp; $AN110):INDIRECT("Table!" &amp; $AR$159 &amp; $AN110),0)))))</f>
        <v>115816.8</v>
      </c>
      <c r="P110" s="35">
        <f ca="1">IF(ISERROR(MATCH(P$1,INDIRECT("Table!A"&amp;$AN110):INDIRECT("Table!" &amp; $AR$159 &amp; $AN110),0)),"",INDIRECT(CONCATENATE("Table!",ADDRESS($AJ110,MATCH(P$1,INDIRECT("Table!A" &amp; $AN110):INDIRECT("Table!" &amp; $AR$159 &amp; $AN110),0)))))</f>
        <v>99042</v>
      </c>
      <c r="Q110" s="35">
        <f ca="1">IF(ISERROR(MATCH(Q$1,INDIRECT("Table!A"&amp;$AN110):INDIRECT("Table!" &amp; $AR$159 &amp; $AN110),0)),"",INDIRECT(CONCATENATE("Table!",ADDRESS($AJ110,MATCH(Q$1,INDIRECT("Table!A" &amp; $AN110):INDIRECT("Table!" &amp; $AR$159 &amp; $AN110),0)))))</f>
        <v>99042</v>
      </c>
      <c r="R110" s="35">
        <f ca="1">IF(ISERROR(MATCH(R$1,INDIRECT("Table!A"&amp;$AN110):INDIRECT("Table!" &amp; $AR$159 &amp; $AN110),0)),"",INDIRECT(CONCATENATE("Table!",ADDRESS($AJ110,MATCH(R$1,INDIRECT("Table!A" &amp; $AN110):INDIRECT("Table!" &amp; $AR$159 &amp; $AN110),0)))))</f>
        <v>154422.39999999999</v>
      </c>
      <c r="S110" s="35">
        <f ca="1">IF(ISERROR(MATCH(S$1,INDIRECT("Table!A"&amp;$AN110):INDIRECT("Table!" &amp; $AR$159 &amp; $AN110),0)),"",INDIRECT(CONCATENATE("Table!",ADDRESS($AJ110,MATCH(S$1,INDIRECT("Table!A" &amp; $AN110):INDIRECT("Table!" &amp; $AR$159 &amp; $AN110),0)))))</f>
        <v>121331.8</v>
      </c>
      <c r="T110" s="35">
        <f ca="1">IF(ISERROR(MATCH(T$1,INDIRECT("Table!A"&amp;$AN110):INDIRECT("Table!" &amp; $AR$159 &amp; $AN110),0)),"",INDIRECT(CONCATENATE("Table!",ADDRESS($AJ110,MATCH(T$1,INDIRECT("Table!A" &amp; $AN110):INDIRECT("Table!" &amp; $AR$159 &amp; $AN110),0)))))</f>
        <v>110071.9</v>
      </c>
      <c r="U110" s="35">
        <f ca="1">IF(ISERROR(MATCH(U$1,INDIRECT("Table!A"&amp;$AN110):INDIRECT("Table!" &amp; $AR$159 &amp; $AN110),0)),"",INDIRECT(CONCATENATE("Table!",ADDRESS($AJ110,MATCH(U$1,INDIRECT("Table!A" &amp; $AN110):INDIRECT("Table!" &amp; $AR$159 &amp; $AN110),0)))))</f>
        <v>121331.8</v>
      </c>
      <c r="V110" s="35">
        <f ca="1">IF(ISERROR(MATCH(V$1,INDIRECT("Table!A"&amp;$AN110):INDIRECT("Table!" &amp; $AR$159 &amp; $AN110),0)),"",INDIRECT(CONCATENATE("Table!",ADDRESS($AJ110,MATCH(V$1,INDIRECT("Table!A" &amp; $AN110):INDIRECT("Table!" &amp; $AR$159 &amp; $AN110),0)))))</f>
        <v>170967.6</v>
      </c>
      <c r="W110" s="35">
        <f ca="1">IF(ISERROR(MATCH(W$1,INDIRECT("Table!A"&amp;$AN110):INDIRECT("Table!" &amp; $AR$159 &amp; $AN110),0)),"",INDIRECT(CONCATENATE("Table!",ADDRESS($AJ110,MATCH(W$1,INDIRECT("Table!A" &amp; $AN110):INDIRECT("Table!" &amp; $AR$159 &amp; $AN110),0)))))</f>
        <v>54921</v>
      </c>
      <c r="X110" s="35">
        <f ca="1">IF(ISERROR(MATCH(X$1,INDIRECT("Table!A"&amp;$AN110):INDIRECT("Table!" &amp; $AR$159 &amp; $AN110),0)),"",INDIRECT(CONCATENATE("Table!",ADDRESS($AJ110,MATCH(X$1,INDIRECT("Table!A" &amp; $AN110):INDIRECT("Table!" &amp; $AR$159 &amp; $AN110),0)))))</f>
        <v>60665.9</v>
      </c>
      <c r="Y110" s="35">
        <f ca="1">IF(ISERROR(MATCH(Y$1,INDIRECT("Table!A"&amp;$AN110):INDIRECT("Table!" &amp; $AR$159 &amp; $AN110),0)),"",INDIRECT(CONCATENATE("Table!",ADDRESS($AJ110,MATCH(Y$1,INDIRECT("Table!A" &amp; $AN110):INDIRECT("Table!" &amp; $AR$159 &amp; $AN110),0)))))</f>
        <v>176482.7</v>
      </c>
      <c r="Z110" s="35">
        <f ca="1">IF(ISERROR(MATCH(Z$1,INDIRECT("Table!A"&amp;$AN110):INDIRECT("Table!" &amp; $AR$159 &amp; $AN110),0)),"",INDIRECT(CONCATENATE("Table!",ADDRESS($AJ110,MATCH(Z$1,INDIRECT("Table!A" &amp; $AN110):INDIRECT("Table!" &amp; $AR$159 &amp; $AN110),0)))))</f>
        <v>54921</v>
      </c>
      <c r="AA110" s="12"/>
      <c r="AB110" s="12">
        <f>MATCH($A110,Table!$A:$A,0)+$AD$2-1</f>
        <v>1612</v>
      </c>
      <c r="AF110" s="31">
        <f>MATCH($A110,Table!$A:$A,0)+$AH$2-1</f>
        <v>1610</v>
      </c>
      <c r="AJ110" s="12">
        <f>MATCH($A110,Table!$A:$A,0)+$AL$2-1</f>
        <v>1611</v>
      </c>
      <c r="AN110" s="31">
        <f>MATCH($A110,Table!$A:$A,0)+$AH$2-1</f>
        <v>1610</v>
      </c>
      <c r="AR110" s="167" t="s">
        <v>118</v>
      </c>
    </row>
    <row r="111" spans="1:44">
      <c r="A111" s="5">
        <v>40998</v>
      </c>
      <c r="B111" s="35">
        <f ca="1">IF(ISERROR(MATCH(B$1,INDIRECT("Table!A"&amp;$AF111):INDIRECT("Table!" &amp; $AR$159 &amp; $AF111),0)),"",INDIRECT(CONCATENATE("Table!",ADDRESS($AB111,MATCH(B$1,INDIRECT("Table!A" &amp; $AF111):INDIRECT("Table!" &amp; $AR$159 &amp; $AF111),0)))))</f>
        <v>86376.7</v>
      </c>
      <c r="C111" s="35">
        <f ca="1">IF(ISERROR(MATCH(C$1,INDIRECT("Table!A"&amp;$AF111):INDIRECT("Table!" &amp; $AR$159 &amp; $AF111),0)),"",INDIRECT(CONCATENATE("Table!",ADDRESS($AB111,MATCH(C$1,INDIRECT("Table!A" &amp; $AF111):INDIRECT("Table!" &amp; $AR$159 &amp; $AF111),0)))))</f>
        <v>65862.8</v>
      </c>
      <c r="D111" s="35">
        <f ca="1">IF(ISERROR(MATCH(D$1,INDIRECT("Table!A"&amp;$AF111):INDIRECT("Table!" &amp; $AR$159 &amp; $AF111),0)),"",INDIRECT(CONCATENATE("Table!",ADDRESS($AB111,MATCH(D$1,INDIRECT("Table!A" &amp; $AF111):INDIRECT("Table!" &amp; $AR$159 &amp; $AF111),0)))))</f>
        <v>67240.5</v>
      </c>
      <c r="E111" s="35">
        <f ca="1">IF(ISERROR(MATCH(E$1,INDIRECT("Table!A"&amp;$AF111):INDIRECT("Table!" &amp; $AR$159 &amp; $AF111),0)),"",INDIRECT(CONCATENATE("Table!",ADDRESS($AB111,MATCH(E$1,INDIRECT("Table!A" &amp; $AF111):INDIRECT("Table!" &amp; $AR$159 &amp; $AF111),0)))))</f>
        <v>131007.6</v>
      </c>
      <c r="F111" s="35">
        <f ca="1">IF(ISERROR(MATCH(F$1,INDIRECT("Table!A"&amp;$AF111):INDIRECT("Table!" &amp; $AR$159 &amp; $AF111),0)),"",INDIRECT(CONCATENATE("Table!",ADDRESS($AB111,MATCH(F$1,INDIRECT("Table!A" &amp; $AF111):INDIRECT("Table!" &amp; $AR$159 &amp; $AF111),0)))))</f>
        <v>2322.9</v>
      </c>
      <c r="G111" s="35">
        <f ca="1">IF(ISERROR(MATCH(G$1,INDIRECT("Table!A"&amp;$AF111):INDIRECT("Table!" &amp; $AR$159 &amp; $AF111),0)),"",INDIRECT(CONCATENATE("Table!",ADDRESS($AB111,MATCH(G$1,INDIRECT("Table!A" &amp; $AF111):INDIRECT("Table!" &amp; $AR$159 &amp; $AF111),0)))))</f>
        <v>29535.200000000001</v>
      </c>
      <c r="H111" s="35">
        <f ca="1">IF(ISERROR(MATCH(H$1,INDIRECT("Table!A"&amp;$AF111):INDIRECT("Table!" &amp; $AR$159 &amp; $AF111),0)),"",INDIRECT(CONCATENATE("Table!",ADDRESS($AB111,MATCH(H$1,INDIRECT("Table!A" &amp; $AF111):INDIRECT("Table!" &amp; $AR$159 &amp; $AF111),0)))))</f>
        <v>20040.7</v>
      </c>
      <c r="I111" s="35">
        <f ca="1">IF(ISERROR(MATCH(I$1,INDIRECT("Table!A"&amp;$AF111):INDIRECT("Table!" &amp; $AR$159 &amp; $AF111),0)),"",INDIRECT(CONCATENATE("Table!",ADDRESS($AB111,MATCH(I$1,INDIRECT("Table!A" &amp; $AF111):INDIRECT("Table!" &amp; $AR$159 &amp; $AF111),0)))))</f>
        <v>121481.7</v>
      </c>
      <c r="J111" s="35">
        <f ca="1">IF(ISERROR(MATCH(J$1,INDIRECT("Table!A"&amp;$AF111):INDIRECT("Table!" &amp; $AR$159 &amp; $AF111),0)),"",INDIRECT(CONCATENATE("Table!",ADDRESS($AB111,MATCH(J$1,INDIRECT("Table!A" &amp; $AF111):INDIRECT("Table!" &amp; $AR$159 &amp; $AF111),0)))))</f>
        <v>27652.5</v>
      </c>
      <c r="K111" s="35">
        <f ca="1">IF(ISERROR(MATCH(K$1,INDIRECT("Table!A"&amp;$AF111):INDIRECT("Table!" &amp; $AR$159 &amp; $AF111),0)),"",INDIRECT(CONCATENATE("Table!",ADDRESS($AB111,MATCH(K$1,INDIRECT("Table!A" &amp; $AF111):INDIRECT("Table!" &amp; $AR$159 &amp; $AF111),0)))))</f>
        <v>1282.0999999999999</v>
      </c>
      <c r="L111" s="35">
        <f ca="1">IF(ISERROR(MATCH(L$1,INDIRECT("Table!A"&amp;$AF111):INDIRECT("Table!" &amp; $AR$159 &amp; $AF111),0)),"",INDIRECT(CONCATENATE("Table!",ADDRESS($AB111,MATCH(L$1,INDIRECT("Table!A" &amp; $AF111):INDIRECT("Table!" &amp; $AR$159 &amp; $AF111),0)))))</f>
        <v>78874.3</v>
      </c>
      <c r="M111" s="35">
        <f ca="1">IF(ISERROR(MATCH(M$1,INDIRECT("Table!A"&amp;$AF111):INDIRECT("Table!" &amp; $AR$159 &amp; $AF111),0)),"",INDIRECT(CONCATENATE("Table!",ADDRESS($AB111,MATCH(M$1,INDIRECT("Table!A" &amp; $AF111):INDIRECT("Table!" &amp; $AR$159 &amp; $AF111),0)))))</f>
        <v>23074.9</v>
      </c>
      <c r="N111" s="35" t="str">
        <f ca="1">IF(ISERROR(MATCH(N$1,INDIRECT("Table!A"&amp;$AF111):INDIRECT("Table!" &amp; $AR$188 &amp; $AF111),0)),"",INDIRECT(CONCATENATE("Table!",ADDRESS($AB111,MATCH(N$1,INDIRECT("Table!A" &amp; $AF111):INDIRECT("Table!" &amp; $AR$188 &amp; $AF111),0)))))</f>
        <v/>
      </c>
      <c r="O111" s="35">
        <f ca="1">IF(ISERROR(MATCH(O$1,INDIRECT("Table!A"&amp;$AN111):INDIRECT("Table!" &amp; $AR$159 &amp; $AN111),0)),"",INDIRECT(CONCATENATE("Table!",ADDRESS($AJ111,MATCH(O$1,INDIRECT("Table!A" &amp; $AN111):INDIRECT("Table!" &amp; $AR$159 &amp; $AN111),0)))))</f>
        <v>115816.8</v>
      </c>
      <c r="P111" s="35">
        <f ca="1">IF(ISERROR(MATCH(P$1,INDIRECT("Table!A"&amp;$AN111):INDIRECT("Table!" &amp; $AR$159 &amp; $AN111),0)),"",INDIRECT(CONCATENATE("Table!",ADDRESS($AJ111,MATCH(P$1,INDIRECT("Table!A" &amp; $AN111):INDIRECT("Table!" &amp; $AR$159 &amp; $AN111),0)))))</f>
        <v>99042</v>
      </c>
      <c r="Q111" s="35">
        <f ca="1">IF(ISERROR(MATCH(Q$1,INDIRECT("Table!A"&amp;$AN111):INDIRECT("Table!" &amp; $AR$159 &amp; $AN111),0)),"",INDIRECT(CONCATENATE("Table!",ADDRESS($AJ111,MATCH(Q$1,INDIRECT("Table!A" &amp; $AN111):INDIRECT("Table!" &amp; $AR$159 &amp; $AN111),0)))))</f>
        <v>99042</v>
      </c>
      <c r="R111" s="35">
        <f ca="1">IF(ISERROR(MATCH(R$1,INDIRECT("Table!A"&amp;$AN111):INDIRECT("Table!" &amp; $AR$159 &amp; $AN111),0)),"",INDIRECT(CONCATENATE("Table!",ADDRESS($AJ111,MATCH(R$1,INDIRECT("Table!A" &amp; $AN111):INDIRECT("Table!" &amp; $AR$159 &amp; $AN111),0)))))</f>
        <v>154422.39999999999</v>
      </c>
      <c r="S111" s="35">
        <f ca="1">IF(ISERROR(MATCH(S$1,INDIRECT("Table!A"&amp;$AN111):INDIRECT("Table!" &amp; $AR$159 &amp; $AN111),0)),"",INDIRECT(CONCATENATE("Table!",ADDRESS($AJ111,MATCH(S$1,INDIRECT("Table!A" &amp; $AN111):INDIRECT("Table!" &amp; $AR$159 &amp; $AN111),0)))))</f>
        <v>121331.8</v>
      </c>
      <c r="T111" s="35">
        <f ca="1">IF(ISERROR(MATCH(T$1,INDIRECT("Table!A"&amp;$AN111):INDIRECT("Table!" &amp; $AR$159 &amp; $AN111),0)),"",INDIRECT(CONCATENATE("Table!",ADDRESS($AJ111,MATCH(T$1,INDIRECT("Table!A" &amp; $AN111):INDIRECT("Table!" &amp; $AR$159 &amp; $AN111),0)))))</f>
        <v>110071.9</v>
      </c>
      <c r="U111" s="35">
        <f ca="1">IF(ISERROR(MATCH(U$1,INDIRECT("Table!A"&amp;$AN111):INDIRECT("Table!" &amp; $AR$159 &amp; $AN111),0)),"",INDIRECT(CONCATENATE("Table!",ADDRESS($AJ111,MATCH(U$1,INDIRECT("Table!A" &amp; $AN111):INDIRECT("Table!" &amp; $AR$159 &amp; $AN111),0)))))</f>
        <v>121331.8</v>
      </c>
      <c r="V111" s="35">
        <f ca="1">IF(ISERROR(MATCH(V$1,INDIRECT("Table!A"&amp;$AN111):INDIRECT("Table!" &amp; $AR$159 &amp; $AN111),0)),"",INDIRECT(CONCATENATE("Table!",ADDRESS($AJ111,MATCH(V$1,INDIRECT("Table!A" &amp; $AN111):INDIRECT("Table!" &amp; $AR$159 &amp; $AN111),0)))))</f>
        <v>170967.6</v>
      </c>
      <c r="W111" s="35">
        <f ca="1">IF(ISERROR(MATCH(W$1,INDIRECT("Table!A"&amp;$AN111):INDIRECT("Table!" &amp; $AR$159 &amp; $AN111),0)),"",INDIRECT(CONCATENATE("Table!",ADDRESS($AJ111,MATCH(W$1,INDIRECT("Table!A" &amp; $AN111):INDIRECT("Table!" &amp; $AR$159 &amp; $AN111),0)))))</f>
        <v>54921</v>
      </c>
      <c r="X111" s="35">
        <f ca="1">IF(ISERROR(MATCH(X$1,INDIRECT("Table!A"&amp;$AN111):INDIRECT("Table!" &amp; $AR$159 &amp; $AN111),0)),"",INDIRECT(CONCATENATE("Table!",ADDRESS($AJ111,MATCH(X$1,INDIRECT("Table!A" &amp; $AN111):INDIRECT("Table!" &amp; $AR$159 &amp; $AN111),0)))))</f>
        <v>60665.9</v>
      </c>
      <c r="Y111" s="35">
        <f ca="1">IF(ISERROR(MATCH(Y$1,INDIRECT("Table!A"&amp;$AN111):INDIRECT("Table!" &amp; $AR$159 &amp; $AN111),0)),"",INDIRECT(CONCATENATE("Table!",ADDRESS($AJ111,MATCH(Y$1,INDIRECT("Table!A" &amp; $AN111):INDIRECT("Table!" &amp; $AR$159 &amp; $AN111),0)))))</f>
        <v>176482.7</v>
      </c>
      <c r="Z111" s="35">
        <f ca="1">IF(ISERROR(MATCH(Z$1,INDIRECT("Table!A"&amp;$AN111):INDIRECT("Table!" &amp; $AR$159 &amp; $AN111),0)),"",INDIRECT(CONCATENATE("Table!",ADDRESS($AJ111,MATCH(Z$1,INDIRECT("Table!A" &amp; $AN111):INDIRECT("Table!" &amp; $AR$159 &amp; $AN111),0)))))</f>
        <v>54921</v>
      </c>
      <c r="AA111" s="12"/>
      <c r="AB111" s="12">
        <f>MATCH($A111,Table!$A:$A,0)+$AD$2-1</f>
        <v>1625</v>
      </c>
      <c r="AF111" s="31">
        <f>MATCH($A111,Table!$A:$A,0)+$AH$2-1</f>
        <v>1623</v>
      </c>
      <c r="AJ111" s="12">
        <f>MATCH($A111,Table!$A:$A,0)+$AL$2-1</f>
        <v>1624</v>
      </c>
      <c r="AN111" s="31">
        <f>MATCH($A111,Table!$A:$A,0)+$AH$2-1</f>
        <v>1623</v>
      </c>
      <c r="AR111" s="166" t="s">
        <v>118</v>
      </c>
    </row>
    <row r="112" spans="1:44">
      <c r="A112" s="5">
        <v>40997</v>
      </c>
      <c r="B112" s="35">
        <f ca="1">IF(ISERROR(MATCH(B$1,INDIRECT("Table!A"&amp;$AF112):INDIRECT("Table!" &amp; $AR$159 &amp; $AF112),0)),"",INDIRECT(CONCATENATE("Table!",ADDRESS($AB112,MATCH(B$1,INDIRECT("Table!A" &amp; $AF112):INDIRECT("Table!" &amp; $AR$159 &amp; $AF112),0)))))</f>
        <v>86373.6</v>
      </c>
      <c r="C112" s="35">
        <f ca="1">IF(ISERROR(MATCH(C$1,INDIRECT("Table!A"&amp;$AF112):INDIRECT("Table!" &amp; $AR$159 &amp; $AF112),0)),"",INDIRECT(CONCATENATE("Table!",ADDRESS($AB112,MATCH(C$1,INDIRECT("Table!A" &amp; $AF112):INDIRECT("Table!" &amp; $AR$159 &amp; $AF112),0)))))</f>
        <v>65849.399999999994</v>
      </c>
      <c r="D112" s="35">
        <f ca="1">IF(ISERROR(MATCH(D$1,INDIRECT("Table!A"&amp;$AF112):INDIRECT("Table!" &amp; $AR$159 &amp; $AF112),0)),"",INDIRECT(CONCATENATE("Table!",ADDRESS($AB112,MATCH(D$1,INDIRECT("Table!A" &amp; $AF112):INDIRECT("Table!" &amp; $AR$159 &amp; $AF112),0)))))</f>
        <v>67227.100000000006</v>
      </c>
      <c r="E112" s="35">
        <f ca="1">IF(ISERROR(MATCH(E$1,INDIRECT("Table!A"&amp;$AF112):INDIRECT("Table!" &amp; $AR$159 &amp; $AF112),0)),"",INDIRECT(CONCATENATE("Table!",ADDRESS($AB112,MATCH(E$1,INDIRECT("Table!A" &amp; $AF112):INDIRECT("Table!" &amp; $AR$159 &amp; $AF112),0)))))</f>
        <v>130950.5</v>
      </c>
      <c r="F112" s="35">
        <f ca="1">IF(ISERROR(MATCH(F$1,INDIRECT("Table!A"&amp;$AF112):INDIRECT("Table!" &amp; $AR$159 &amp; $AF112),0)),"",INDIRECT(CONCATENATE("Table!",ADDRESS($AB112,MATCH(F$1,INDIRECT("Table!A" &amp; $AF112):INDIRECT("Table!" &amp; $AR$159 &amp; $AF112),0)))))</f>
        <v>2322.9</v>
      </c>
      <c r="G112" s="35">
        <f ca="1">IF(ISERROR(MATCH(G$1,INDIRECT("Table!A"&amp;$AF112):INDIRECT("Table!" &amp; $AR$159 &amp; $AF112),0)),"",INDIRECT(CONCATENATE("Table!",ADDRESS($AB112,MATCH(G$1,INDIRECT("Table!A" &amp; $AF112):INDIRECT("Table!" &amp; $AR$159 &amp; $AF112),0)))))</f>
        <v>29502.6</v>
      </c>
      <c r="H112" s="35">
        <f ca="1">IF(ISERROR(MATCH(H$1,INDIRECT("Table!A"&amp;$AF112):INDIRECT("Table!" &amp; $AR$159 &amp; $AF112),0)),"",INDIRECT(CONCATENATE("Table!",ADDRESS($AB112,MATCH(H$1,INDIRECT("Table!A" &amp; $AF112):INDIRECT("Table!" &amp; $AR$159 &amp; $AF112),0)))))</f>
        <v>20037.7</v>
      </c>
      <c r="I112" s="35">
        <f ca="1">IF(ISERROR(MATCH(I$1,INDIRECT("Table!A"&amp;$AF112):INDIRECT("Table!" &amp; $AR$159 &amp; $AF112),0)),"",INDIRECT(CONCATENATE("Table!",ADDRESS($AB112,MATCH(I$1,INDIRECT("Table!A" &amp; $AF112):INDIRECT("Table!" &amp; $AR$159 &amp; $AF112),0)))))</f>
        <v>121440.9</v>
      </c>
      <c r="J112" s="35">
        <f ca="1">IF(ISERROR(MATCH(J$1,INDIRECT("Table!A"&amp;$AF112):INDIRECT("Table!" &amp; $AR$159 &amp; $AF112),0)),"",INDIRECT(CONCATENATE("Table!",ADDRESS($AB112,MATCH(J$1,INDIRECT("Table!A" &amp; $AF112):INDIRECT("Table!" &amp; $AR$159 &amp; $AF112),0)))))</f>
        <v>27634.6</v>
      </c>
      <c r="K112" s="35">
        <f ca="1">IF(ISERROR(MATCH(K$1,INDIRECT("Table!A"&amp;$AF112):INDIRECT("Table!" &amp; $AR$159 &amp; $AF112),0)),"",INDIRECT(CONCATENATE("Table!",ADDRESS($AB112,MATCH(K$1,INDIRECT("Table!A" &amp; $AF112):INDIRECT("Table!" &amp; $AR$159 &amp; $AF112),0)))))</f>
        <v>1280.3</v>
      </c>
      <c r="L112" s="35">
        <f ca="1">IF(ISERROR(MATCH(L$1,INDIRECT("Table!A"&amp;$AF112):INDIRECT("Table!" &amp; $AR$159 &amp; $AF112),0)),"",INDIRECT(CONCATENATE("Table!",ADDRESS($AB112,MATCH(L$1,INDIRECT("Table!A" &amp; $AF112):INDIRECT("Table!" &amp; $AR$159 &amp; $AF112),0)))))</f>
        <v>78868.3</v>
      </c>
      <c r="M112" s="35">
        <f ca="1">IF(ISERROR(MATCH(M$1,INDIRECT("Table!A"&amp;$AF112):INDIRECT("Table!" &amp; $AR$159 &amp; $AF112),0)),"",INDIRECT(CONCATENATE("Table!",ADDRESS($AB112,MATCH(M$1,INDIRECT("Table!A" &amp; $AF112):INDIRECT("Table!" &amp; $AR$159 &amp; $AF112),0)))))</f>
        <v>23074.9</v>
      </c>
      <c r="N112" s="35" t="str">
        <f ca="1">IF(ISERROR(MATCH(N$1,INDIRECT("Table!A"&amp;$AF112):INDIRECT("Table!" &amp; $AR$188 &amp; $AF112),0)),"",INDIRECT(CONCATENATE("Table!",ADDRESS($AB112,MATCH(N$1,INDIRECT("Table!A" &amp; $AF112):INDIRECT("Table!" &amp; $AR$188 &amp; $AF112),0)))))</f>
        <v/>
      </c>
      <c r="O112" s="35">
        <f ca="1">IF(ISERROR(MATCH(O$1,INDIRECT("Table!A"&amp;$AN112):INDIRECT("Table!" &amp; $AR$159 &amp; $AN112),0)),"",INDIRECT(CONCATENATE("Table!",ADDRESS($AJ112,MATCH(O$1,INDIRECT("Table!A" &amp; $AN112):INDIRECT("Table!" &amp; $AR$159 &amp; $AN112),0)))))</f>
        <v>115816.8</v>
      </c>
      <c r="P112" s="35">
        <f ca="1">IF(ISERROR(MATCH(P$1,INDIRECT("Table!A"&amp;$AN112):INDIRECT("Table!" &amp; $AR$159 &amp; $AN112),0)),"",INDIRECT(CONCATENATE("Table!",ADDRESS($AJ112,MATCH(P$1,INDIRECT("Table!A" &amp; $AN112):INDIRECT("Table!" &amp; $AR$159 &amp; $AN112),0)))))</f>
        <v>99042</v>
      </c>
      <c r="Q112" s="35">
        <f ca="1">IF(ISERROR(MATCH(Q$1,INDIRECT("Table!A"&amp;$AN112):INDIRECT("Table!" &amp; $AR$159 &amp; $AN112),0)),"",INDIRECT(CONCATENATE("Table!",ADDRESS($AJ112,MATCH(Q$1,INDIRECT("Table!A" &amp; $AN112):INDIRECT("Table!" &amp; $AR$159 &amp; $AN112),0)))))</f>
        <v>99042</v>
      </c>
      <c r="R112" s="35">
        <f ca="1">IF(ISERROR(MATCH(R$1,INDIRECT("Table!A"&amp;$AN112):INDIRECT("Table!" &amp; $AR$159 &amp; $AN112),0)),"",INDIRECT(CONCATENATE("Table!",ADDRESS($AJ112,MATCH(R$1,INDIRECT("Table!A" &amp; $AN112):INDIRECT("Table!" &amp; $AR$159 &amp; $AN112),0)))))</f>
        <v>154422.39999999999</v>
      </c>
      <c r="S112" s="35">
        <f ca="1">IF(ISERROR(MATCH(S$1,INDIRECT("Table!A"&amp;$AN112):INDIRECT("Table!" &amp; $AR$159 &amp; $AN112),0)),"",INDIRECT(CONCATENATE("Table!",ADDRESS($AJ112,MATCH(S$1,INDIRECT("Table!A" &amp; $AN112):INDIRECT("Table!" &amp; $AR$159 &amp; $AN112),0)))))</f>
        <v>121331.8</v>
      </c>
      <c r="T112" s="35">
        <f ca="1">IF(ISERROR(MATCH(T$1,INDIRECT("Table!A"&amp;$AN112):INDIRECT("Table!" &amp; $AR$159 &amp; $AN112),0)),"",INDIRECT(CONCATENATE("Table!",ADDRESS($AJ112,MATCH(T$1,INDIRECT("Table!A" &amp; $AN112):INDIRECT("Table!" &amp; $AR$159 &amp; $AN112),0)))))</f>
        <v>110071.9</v>
      </c>
      <c r="U112" s="35">
        <f ca="1">IF(ISERROR(MATCH(U$1,INDIRECT("Table!A"&amp;$AN112):INDIRECT("Table!" &amp; $AR$159 &amp; $AN112),0)),"",INDIRECT(CONCATENATE("Table!",ADDRESS($AJ112,MATCH(U$1,INDIRECT("Table!A" &amp; $AN112):INDIRECT("Table!" &amp; $AR$159 &amp; $AN112),0)))))</f>
        <v>121331.8</v>
      </c>
      <c r="V112" s="35">
        <f ca="1">IF(ISERROR(MATCH(V$1,INDIRECT("Table!A"&amp;$AN112):INDIRECT("Table!" &amp; $AR$159 &amp; $AN112),0)),"",INDIRECT(CONCATENATE("Table!",ADDRESS($AJ112,MATCH(V$1,INDIRECT("Table!A" &amp; $AN112):INDIRECT("Table!" &amp; $AR$159 &amp; $AN112),0)))))</f>
        <v>170967.6</v>
      </c>
      <c r="W112" s="35">
        <f ca="1">IF(ISERROR(MATCH(W$1,INDIRECT("Table!A"&amp;$AN112):INDIRECT("Table!" &amp; $AR$159 &amp; $AN112),0)),"",INDIRECT(CONCATENATE("Table!",ADDRESS($AJ112,MATCH(W$1,INDIRECT("Table!A" &amp; $AN112):INDIRECT("Table!" &amp; $AR$159 &amp; $AN112),0)))))</f>
        <v>54921</v>
      </c>
      <c r="X112" s="35">
        <f ca="1">IF(ISERROR(MATCH(X$1,INDIRECT("Table!A"&amp;$AN112):INDIRECT("Table!" &amp; $AR$159 &amp; $AN112),0)),"",INDIRECT(CONCATENATE("Table!",ADDRESS($AJ112,MATCH(X$1,INDIRECT("Table!A" &amp; $AN112):INDIRECT("Table!" &amp; $AR$159 &amp; $AN112),0)))))</f>
        <v>60665.9</v>
      </c>
      <c r="Y112" s="35">
        <f ca="1">IF(ISERROR(MATCH(Y$1,INDIRECT("Table!A"&amp;$AN112):INDIRECT("Table!" &amp; $AR$159 &amp; $AN112),0)),"",INDIRECT(CONCATENATE("Table!",ADDRESS($AJ112,MATCH(Y$1,INDIRECT("Table!A" &amp; $AN112):INDIRECT("Table!" &amp; $AR$159 &amp; $AN112),0)))))</f>
        <v>176482.7</v>
      </c>
      <c r="Z112" s="35">
        <f ca="1">IF(ISERROR(MATCH(Z$1,INDIRECT("Table!A"&amp;$AN112):INDIRECT("Table!" &amp; $AR$159 &amp; $AN112),0)),"",INDIRECT(CONCATENATE("Table!",ADDRESS($AJ112,MATCH(Z$1,INDIRECT("Table!A" &amp; $AN112):INDIRECT("Table!" &amp; $AR$159 &amp; $AN112),0)))))</f>
        <v>54921</v>
      </c>
      <c r="AA112" s="12"/>
      <c r="AB112" s="12">
        <f>MATCH($A112,Table!$A:$A,0)+$AD$2-1</f>
        <v>1638</v>
      </c>
      <c r="AF112" s="31">
        <f>MATCH($A112,Table!$A:$A,0)+$AH$2-1</f>
        <v>1636</v>
      </c>
      <c r="AJ112" s="12">
        <f>MATCH($A112,Table!$A:$A,0)+$AL$2-1</f>
        <v>1637</v>
      </c>
      <c r="AN112" s="31">
        <f>MATCH($A112,Table!$A:$A,0)+$AH$2-1</f>
        <v>1636</v>
      </c>
      <c r="AR112" s="165" t="s">
        <v>118</v>
      </c>
    </row>
    <row r="113" spans="1:44">
      <c r="A113" s="5">
        <v>40996</v>
      </c>
      <c r="B113" s="35">
        <f ca="1">IF(ISERROR(MATCH(B$1,INDIRECT("Table!A"&amp;$AF113):INDIRECT("Table!" &amp; $AR$159 &amp; $AF113),0)),"",INDIRECT(CONCATENATE("Table!",ADDRESS($AB113,MATCH(B$1,INDIRECT("Table!A" &amp; $AF113):INDIRECT("Table!" &amp; $AR$159 &amp; $AF113),0)))))</f>
        <v>86328.7</v>
      </c>
      <c r="C113" s="35">
        <f ca="1">IF(ISERROR(MATCH(C$1,INDIRECT("Table!A"&amp;$AF113):INDIRECT("Table!" &amp; $AR$159 &amp; $AF113),0)),"",INDIRECT(CONCATENATE("Table!",ADDRESS($AB113,MATCH(C$1,INDIRECT("Table!A" &amp; $AF113):INDIRECT("Table!" &amp; $AR$159 &amp; $AF113),0)))))</f>
        <v>65819.5</v>
      </c>
      <c r="D113" s="35">
        <f ca="1">IF(ISERROR(MATCH(D$1,INDIRECT("Table!A"&amp;$AF113):INDIRECT("Table!" &amp; $AR$159 &amp; $AF113),0)),"",INDIRECT(CONCATENATE("Table!",ADDRESS($AB113,MATCH(D$1,INDIRECT("Table!A" &amp; $AF113):INDIRECT("Table!" &amp; $AR$159 &amp; $AF113),0)))))</f>
        <v>67197.100000000006</v>
      </c>
      <c r="E113" s="35">
        <f ca="1">IF(ISERROR(MATCH(E$1,INDIRECT("Table!A"&amp;$AF113):INDIRECT("Table!" &amp; $AR$159 &amp; $AF113),0)),"",INDIRECT(CONCATENATE("Table!",ADDRESS($AB113,MATCH(E$1,INDIRECT("Table!A" &amp; $AF113):INDIRECT("Table!" &amp; $AR$159 &amp; $AF113),0)))))</f>
        <v>130827.8</v>
      </c>
      <c r="F113" s="35">
        <f ca="1">IF(ISERROR(MATCH(F$1,INDIRECT("Table!A"&amp;$AF113):INDIRECT("Table!" &amp; $AR$159 &amp; $AF113),0)),"",INDIRECT(CONCATENATE("Table!",ADDRESS($AB113,MATCH(F$1,INDIRECT("Table!A" &amp; $AF113):INDIRECT("Table!" &amp; $AR$159 &amp; $AF113),0)))))</f>
        <v>2037.6</v>
      </c>
      <c r="G113" s="35">
        <f ca="1">IF(ISERROR(MATCH(G$1,INDIRECT("Table!A"&amp;$AF113):INDIRECT("Table!" &amp; $AR$159 &amp; $AF113),0)),"",INDIRECT(CONCATENATE("Table!",ADDRESS($AB113,MATCH(G$1,INDIRECT("Table!A" &amp; $AF113):INDIRECT("Table!" &amp; $AR$159 &amp; $AF113),0)))))</f>
        <v>29362.2</v>
      </c>
      <c r="H113" s="35">
        <f ca="1">IF(ISERROR(MATCH(H$1,INDIRECT("Table!A"&amp;$AF113):INDIRECT("Table!" &amp; $AR$159 &amp; $AF113),0)),"",INDIRECT(CONCATENATE("Table!",ADDRESS($AB113,MATCH(H$1,INDIRECT("Table!A" &amp; $AF113):INDIRECT("Table!" &amp; $AR$159 &amp; $AF113),0)))))</f>
        <v>20027.400000000001</v>
      </c>
      <c r="I113" s="35">
        <f ca="1">IF(ISERROR(MATCH(I$1,INDIRECT("Table!A"&amp;$AF113):INDIRECT("Table!" &amp; $AR$159 &amp; $AF113),0)),"",INDIRECT(CONCATENATE("Table!",ADDRESS($AB113,MATCH(I$1,INDIRECT("Table!A" &amp; $AF113):INDIRECT("Table!" &amp; $AR$159 &amp; $AF113),0)))))</f>
        <v>121337.4</v>
      </c>
      <c r="J113" s="35">
        <f ca="1">IF(ISERROR(MATCH(J$1,INDIRECT("Table!A"&amp;$AF113):INDIRECT("Table!" &amp; $AR$159 &amp; $AF113),0)),"",INDIRECT(CONCATENATE("Table!",ADDRESS($AB113,MATCH(J$1,INDIRECT("Table!A" &amp; $AF113):INDIRECT("Table!" &amp; $AR$159 &amp; $AF113),0)))))</f>
        <v>27609.5</v>
      </c>
      <c r="K113" s="35">
        <f ca="1">IF(ISERROR(MATCH(K$1,INDIRECT("Table!A"&amp;$AF113):INDIRECT("Table!" &amp; $AR$159 &amp; $AF113),0)),"",INDIRECT(CONCATENATE("Table!",ADDRESS($AB113,MATCH(K$1,INDIRECT("Table!A" &amp; $AF113):INDIRECT("Table!" &amp; $AR$159 &amp; $AF113),0)))))</f>
        <v>1271.0999999999999</v>
      </c>
      <c r="L113" s="35">
        <f ca="1">IF(ISERROR(MATCH(L$1,INDIRECT("Table!A"&amp;$AF113):INDIRECT("Table!" &amp; $AR$159 &amp; $AF113),0)),"",INDIRECT(CONCATENATE("Table!",ADDRESS($AB113,MATCH(L$1,INDIRECT("Table!A" &amp; $AF113):INDIRECT("Table!" &amp; $AR$159 &amp; $AF113),0)))))</f>
        <v>78858.5</v>
      </c>
      <c r="M113" s="35">
        <f ca="1">IF(ISERROR(MATCH(M$1,INDIRECT("Table!A"&amp;$AF113):INDIRECT("Table!" &amp; $AR$159 &amp; $AF113),0)),"",INDIRECT(CONCATENATE("Table!",ADDRESS($AB113,MATCH(M$1,INDIRECT("Table!A" &amp; $AF113):INDIRECT("Table!" &amp; $AR$159 &amp; $AF113),0)))))</f>
        <v>23074.9</v>
      </c>
      <c r="N113" s="35" t="str">
        <f ca="1">IF(ISERROR(MATCH(N$1,INDIRECT("Table!A"&amp;$AF113):INDIRECT("Table!" &amp; $AR$188 &amp; $AF113),0)),"",INDIRECT(CONCATENATE("Table!",ADDRESS($AB113,MATCH(N$1,INDIRECT("Table!A" &amp; $AF113):INDIRECT("Table!" &amp; $AR$188 &amp; $AF113),0)))))</f>
        <v/>
      </c>
      <c r="O113" s="35">
        <f ca="1">IF(ISERROR(MATCH(O$1,INDIRECT("Table!A"&amp;$AN113):INDIRECT("Table!" &amp; $AR$159 &amp; $AN113),0)),"",INDIRECT(CONCATENATE("Table!",ADDRESS($AJ113,MATCH(O$1,INDIRECT("Table!A" &amp; $AN113):INDIRECT("Table!" &amp; $AR$159 &amp; $AN113),0)))))</f>
        <v>115816.8</v>
      </c>
      <c r="P113" s="35">
        <f ca="1">IF(ISERROR(MATCH(P$1,INDIRECT("Table!A"&amp;$AN113):INDIRECT("Table!" &amp; $AR$159 &amp; $AN113),0)),"",INDIRECT(CONCATENATE("Table!",ADDRESS($AJ113,MATCH(P$1,INDIRECT("Table!A" &amp; $AN113):INDIRECT("Table!" &amp; $AR$159 &amp; $AN113),0)))))</f>
        <v>99042</v>
      </c>
      <c r="Q113" s="35">
        <f ca="1">IF(ISERROR(MATCH(Q$1,INDIRECT("Table!A"&amp;$AN113):INDIRECT("Table!" &amp; $AR$159 &amp; $AN113),0)),"",INDIRECT(CONCATENATE("Table!",ADDRESS($AJ113,MATCH(Q$1,INDIRECT("Table!A" &amp; $AN113):INDIRECT("Table!" &amp; $AR$159 &amp; $AN113),0)))))</f>
        <v>99042</v>
      </c>
      <c r="R113" s="35">
        <f ca="1">IF(ISERROR(MATCH(R$1,INDIRECT("Table!A"&amp;$AN113):INDIRECT("Table!" &amp; $AR$159 &amp; $AN113),0)),"",INDIRECT(CONCATENATE("Table!",ADDRESS($AJ113,MATCH(R$1,INDIRECT("Table!A" &amp; $AN113):INDIRECT("Table!" &amp; $AR$159 &amp; $AN113),0)))))</f>
        <v>154422.39999999999</v>
      </c>
      <c r="S113" s="35">
        <f ca="1">IF(ISERROR(MATCH(S$1,INDIRECT("Table!A"&amp;$AN113):INDIRECT("Table!" &amp; $AR$159 &amp; $AN113),0)),"",INDIRECT(CONCATENATE("Table!",ADDRESS($AJ113,MATCH(S$1,INDIRECT("Table!A" &amp; $AN113):INDIRECT("Table!" &amp; $AR$159 &amp; $AN113),0)))))</f>
        <v>121331.8</v>
      </c>
      <c r="T113" s="35">
        <f ca="1">IF(ISERROR(MATCH(T$1,INDIRECT("Table!A"&amp;$AN113):INDIRECT("Table!" &amp; $AR$159 &amp; $AN113),0)),"",INDIRECT(CONCATENATE("Table!",ADDRESS($AJ113,MATCH(T$1,INDIRECT("Table!A" &amp; $AN113):INDIRECT("Table!" &amp; $AR$159 &amp; $AN113),0)))))</f>
        <v>110071.9</v>
      </c>
      <c r="U113" s="35">
        <f ca="1">IF(ISERROR(MATCH(U$1,INDIRECT("Table!A"&amp;$AN113):INDIRECT("Table!" &amp; $AR$159 &amp; $AN113),0)),"",INDIRECT(CONCATENATE("Table!",ADDRESS($AJ113,MATCH(U$1,INDIRECT("Table!A" &amp; $AN113):INDIRECT("Table!" &amp; $AR$159 &amp; $AN113),0)))))</f>
        <v>121331.8</v>
      </c>
      <c r="V113" s="35">
        <f ca="1">IF(ISERROR(MATCH(V$1,INDIRECT("Table!A"&amp;$AN113):INDIRECT("Table!" &amp; $AR$159 &amp; $AN113),0)),"",INDIRECT(CONCATENATE("Table!",ADDRESS($AJ113,MATCH(V$1,INDIRECT("Table!A" &amp; $AN113):INDIRECT("Table!" &amp; $AR$159 &amp; $AN113),0)))))</f>
        <v>170967.6</v>
      </c>
      <c r="W113" s="35">
        <f ca="1">IF(ISERROR(MATCH(W$1,INDIRECT("Table!A"&amp;$AN113):INDIRECT("Table!" &amp; $AR$159 &amp; $AN113),0)),"",INDIRECT(CONCATENATE("Table!",ADDRESS($AJ113,MATCH(W$1,INDIRECT("Table!A" &amp; $AN113):INDIRECT("Table!" &amp; $AR$159 &amp; $AN113),0)))))</f>
        <v>54921</v>
      </c>
      <c r="X113" s="35">
        <f ca="1">IF(ISERROR(MATCH(X$1,INDIRECT("Table!A"&amp;$AN113):INDIRECT("Table!" &amp; $AR$159 &amp; $AN113),0)),"",INDIRECT(CONCATENATE("Table!",ADDRESS($AJ113,MATCH(X$1,INDIRECT("Table!A" &amp; $AN113):INDIRECT("Table!" &amp; $AR$159 &amp; $AN113),0)))))</f>
        <v>60665.9</v>
      </c>
      <c r="Y113" s="35">
        <f ca="1">IF(ISERROR(MATCH(Y$1,INDIRECT("Table!A"&amp;$AN113):INDIRECT("Table!" &amp; $AR$159 &amp; $AN113),0)),"",INDIRECT(CONCATENATE("Table!",ADDRESS($AJ113,MATCH(Y$1,INDIRECT("Table!A" &amp; $AN113):INDIRECT("Table!" &amp; $AR$159 &amp; $AN113),0)))))</f>
        <v>176482.7</v>
      </c>
      <c r="Z113" s="35">
        <f ca="1">IF(ISERROR(MATCH(Z$1,INDIRECT("Table!A"&amp;$AN113):INDIRECT("Table!" &amp; $AR$159 &amp; $AN113),0)),"",INDIRECT(CONCATENATE("Table!",ADDRESS($AJ113,MATCH(Z$1,INDIRECT("Table!A" &amp; $AN113):INDIRECT("Table!" &amp; $AR$159 &amp; $AN113),0)))))</f>
        <v>54921</v>
      </c>
      <c r="AA113" s="12"/>
      <c r="AB113" s="12">
        <f>MATCH($A113,Table!$A:$A,0)+$AD$2-1</f>
        <v>1651</v>
      </c>
      <c r="AF113" s="31">
        <f>MATCH($A113,Table!$A:$A,0)+$AH$2-1</f>
        <v>1649</v>
      </c>
      <c r="AJ113" s="12">
        <f>MATCH($A113,Table!$A:$A,0)+$AL$2-1</f>
        <v>1650</v>
      </c>
      <c r="AN113" s="31">
        <f>MATCH($A113,Table!$A:$A,0)+$AH$2-1</f>
        <v>1649</v>
      </c>
      <c r="AR113" s="164" t="s">
        <v>118</v>
      </c>
    </row>
    <row r="114" spans="1:44">
      <c r="A114" s="5">
        <v>40994</v>
      </c>
      <c r="B114" s="35">
        <f ca="1">IF(ISERROR(MATCH(B$1,INDIRECT("Table!A"&amp;$AF114):INDIRECT("Table!" &amp; $AR$159 &amp; $AF114),0)),"",INDIRECT(CONCATENATE("Table!",ADDRESS($AB114,MATCH(B$1,INDIRECT("Table!A" &amp; $AF114):INDIRECT("Table!" &amp; $AR$159 &amp; $AF114),0)))))</f>
        <v>85903.6</v>
      </c>
      <c r="C114" s="35">
        <f ca="1">IF(ISERROR(MATCH(C$1,INDIRECT("Table!A"&amp;$AF114):INDIRECT("Table!" &amp; $AR$159 &amp; $AF114),0)),"",INDIRECT(CONCATENATE("Table!",ADDRESS($AB114,MATCH(C$1,INDIRECT("Table!A" &amp; $AF114):INDIRECT("Table!" &amp; $AR$159 &amp; $AF114),0)))))</f>
        <v>65783.7</v>
      </c>
      <c r="D114" s="35">
        <f ca="1">IF(ISERROR(MATCH(D$1,INDIRECT("Table!A"&amp;$AF114):INDIRECT("Table!" &amp; $AR$159 &amp; $AF114),0)),"",INDIRECT(CONCATENATE("Table!",ADDRESS($AB114,MATCH(D$1,INDIRECT("Table!A" &amp; $AF114):INDIRECT("Table!" &amp; $AR$159 &amp; $AF114),0)))))</f>
        <v>67161.399999999994</v>
      </c>
      <c r="E114" s="35">
        <f ca="1">IF(ISERROR(MATCH(E$1,INDIRECT("Table!A"&amp;$AF114):INDIRECT("Table!" &amp; $AR$159 &amp; $AF114),0)),"",INDIRECT(CONCATENATE("Table!",ADDRESS($AB114,MATCH(E$1,INDIRECT("Table!A" &amp; $AF114):INDIRECT("Table!" &amp; $AR$159 &amp; $AF114),0)))))</f>
        <v>130575.7</v>
      </c>
      <c r="F114" s="35">
        <f ca="1">IF(ISERROR(MATCH(F$1,INDIRECT("Table!A"&amp;$AF114):INDIRECT("Table!" &amp; $AR$159 &amp; $AF114),0)),"",INDIRECT(CONCATENATE("Table!",ADDRESS($AB114,MATCH(F$1,INDIRECT("Table!A" &amp; $AF114):INDIRECT("Table!" &amp; $AR$159 &amp; $AF114),0)))))</f>
        <v>2031.4</v>
      </c>
      <c r="G114" s="35">
        <f ca="1">IF(ISERROR(MATCH(G$1,INDIRECT("Table!A"&amp;$AF114):INDIRECT("Table!" &amp; $AR$159 &amp; $AF114),0)),"",INDIRECT(CONCATENATE("Table!",ADDRESS($AB114,MATCH(G$1,INDIRECT("Table!A" &amp; $AF114):INDIRECT("Table!" &amp; $AR$159 &amp; $AF114),0)))))</f>
        <v>29420.1</v>
      </c>
      <c r="H114" s="35">
        <f ca="1">IF(ISERROR(MATCH(H$1,INDIRECT("Table!A"&amp;$AF114):INDIRECT("Table!" &amp; $AR$159 &amp; $AF114),0)),"",INDIRECT(CONCATENATE("Table!",ADDRESS($AB114,MATCH(H$1,INDIRECT("Table!A" &amp; $AF114):INDIRECT("Table!" &amp; $AR$159 &amp; $AF114),0)))))</f>
        <v>20000.3</v>
      </c>
      <c r="I114" s="35">
        <f ca="1">IF(ISERROR(MATCH(I$1,INDIRECT("Table!A"&amp;$AF114):INDIRECT("Table!" &amp; $AR$159 &amp; $AF114),0)),"",INDIRECT(CONCATENATE("Table!",ADDRESS($AB114,MATCH(I$1,INDIRECT("Table!A" &amp; $AF114):INDIRECT("Table!" &amp; $AR$159 &amp; $AF114),0)))))</f>
        <v>120671.4</v>
      </c>
      <c r="J114" s="35">
        <f ca="1">IF(ISERROR(MATCH(J$1,INDIRECT("Table!A"&amp;$AF114):INDIRECT("Table!" &amp; $AR$159 &amp; $AF114),0)),"",INDIRECT(CONCATENATE("Table!",ADDRESS($AB114,MATCH(J$1,INDIRECT("Table!A" &amp; $AF114):INDIRECT("Table!" &amp; $AR$159 &amp; $AF114),0)))))</f>
        <v>27574.6</v>
      </c>
      <c r="K114" s="35">
        <f ca="1">IF(ISERROR(MATCH(K$1,INDIRECT("Table!A"&amp;$AF114):INDIRECT("Table!" &amp; $AR$159 &amp; $AF114),0)),"",INDIRECT(CONCATENATE("Table!",ADDRESS($AB114,MATCH(K$1,INDIRECT("Table!A" &amp; $AF114):INDIRECT("Table!" &amp; $AR$159 &amp; $AF114),0)))))</f>
        <v>1131.4000000000001</v>
      </c>
      <c r="L114" s="35">
        <f ca="1">IF(ISERROR(MATCH(L$1,INDIRECT("Table!A"&amp;$AF114):INDIRECT("Table!" &amp; $AR$159 &amp; $AF114),0)),"",INDIRECT(CONCATENATE("Table!",ADDRESS($AB114,MATCH(L$1,INDIRECT("Table!A" &amp; $AF114):INDIRECT("Table!" &amp; $AR$159 &amp; $AF114),0)))))</f>
        <v>78792.5</v>
      </c>
      <c r="M114" s="35">
        <f ca="1">IF(ISERROR(MATCH(M$1,INDIRECT("Table!A"&amp;$AF114):INDIRECT("Table!" &amp; $AR$159 &amp; $AF114),0)),"",INDIRECT(CONCATENATE("Table!",ADDRESS($AB114,MATCH(M$1,INDIRECT("Table!A" &amp; $AF114):INDIRECT("Table!" &amp; $AR$159 &amp; $AF114),0)))))</f>
        <v>23074.400000000001</v>
      </c>
      <c r="N114" s="35" t="str">
        <f ca="1">IF(ISERROR(MATCH(N$1,INDIRECT("Table!A"&amp;$AF114):INDIRECT("Table!" &amp; $AR$188 &amp; $AF114),0)),"",INDIRECT(CONCATENATE("Table!",ADDRESS($AB114,MATCH(N$1,INDIRECT("Table!A" &amp; $AF114):INDIRECT("Table!" &amp; $AR$188 &amp; $AF114),0)))))</f>
        <v/>
      </c>
      <c r="O114" s="35">
        <f ca="1">IF(ISERROR(MATCH(O$1,INDIRECT("Table!A"&amp;$AN114):INDIRECT("Table!" &amp; $AR$159 &amp; $AN114),0)),"",INDIRECT(CONCATENATE("Table!",ADDRESS($AJ114,MATCH(O$1,INDIRECT("Table!A" &amp; $AN114):INDIRECT("Table!" &amp; $AR$159 &amp; $AN114),0)))))</f>
        <v>115816.8</v>
      </c>
      <c r="P114" s="35">
        <f ca="1">IF(ISERROR(MATCH(P$1,INDIRECT("Table!A"&amp;$AN114):INDIRECT("Table!" &amp; $AR$159 &amp; $AN114),0)),"",INDIRECT(CONCATENATE("Table!",ADDRESS($AJ114,MATCH(P$1,INDIRECT("Table!A" &amp; $AN114):INDIRECT("Table!" &amp; $AR$159 &amp; $AN114),0)))))</f>
        <v>99042</v>
      </c>
      <c r="Q114" s="35">
        <f ca="1">IF(ISERROR(MATCH(Q$1,INDIRECT("Table!A"&amp;$AN114):INDIRECT("Table!" &amp; $AR$159 &amp; $AN114),0)),"",INDIRECT(CONCATENATE("Table!",ADDRESS($AJ114,MATCH(Q$1,INDIRECT("Table!A" &amp; $AN114):INDIRECT("Table!" &amp; $AR$159 &amp; $AN114),0)))))</f>
        <v>99042</v>
      </c>
      <c r="R114" s="35">
        <f ca="1">IF(ISERROR(MATCH(R$1,INDIRECT("Table!A"&amp;$AN114):INDIRECT("Table!" &amp; $AR$159 &amp; $AN114),0)),"",INDIRECT(CONCATENATE("Table!",ADDRESS($AJ114,MATCH(R$1,INDIRECT("Table!A" &amp; $AN114):INDIRECT("Table!" &amp; $AR$159 &amp; $AN114),0)))))</f>
        <v>154422.39999999999</v>
      </c>
      <c r="S114" s="35">
        <f ca="1">IF(ISERROR(MATCH(S$1,INDIRECT("Table!A"&amp;$AN114):INDIRECT("Table!" &amp; $AR$159 &amp; $AN114),0)),"",INDIRECT(CONCATENATE("Table!",ADDRESS($AJ114,MATCH(S$1,INDIRECT("Table!A" &amp; $AN114):INDIRECT("Table!" &amp; $AR$159 &amp; $AN114),0)))))</f>
        <v>121331.8</v>
      </c>
      <c r="T114" s="35">
        <f ca="1">IF(ISERROR(MATCH(T$1,INDIRECT("Table!A"&amp;$AN114):INDIRECT("Table!" &amp; $AR$159 &amp; $AN114),0)),"",INDIRECT(CONCATENATE("Table!",ADDRESS($AJ114,MATCH(T$1,INDIRECT("Table!A" &amp; $AN114):INDIRECT("Table!" &amp; $AR$159 &amp; $AN114),0)))))</f>
        <v>110071.9</v>
      </c>
      <c r="U114" s="35">
        <f ca="1">IF(ISERROR(MATCH(U$1,INDIRECT("Table!A"&amp;$AN114):INDIRECT("Table!" &amp; $AR$159 &amp; $AN114),0)),"",INDIRECT(CONCATENATE("Table!",ADDRESS($AJ114,MATCH(U$1,INDIRECT("Table!A" &amp; $AN114):INDIRECT("Table!" &amp; $AR$159 &amp; $AN114),0)))))</f>
        <v>121331.8</v>
      </c>
      <c r="V114" s="35">
        <f ca="1">IF(ISERROR(MATCH(V$1,INDIRECT("Table!A"&amp;$AN114):INDIRECT("Table!" &amp; $AR$159 &amp; $AN114),0)),"",INDIRECT(CONCATENATE("Table!",ADDRESS($AJ114,MATCH(V$1,INDIRECT("Table!A" &amp; $AN114):INDIRECT("Table!" &amp; $AR$159 &amp; $AN114),0)))))</f>
        <v>170967.6</v>
      </c>
      <c r="W114" s="35">
        <f ca="1">IF(ISERROR(MATCH(W$1,INDIRECT("Table!A"&amp;$AN114):INDIRECT("Table!" &amp; $AR$159 &amp; $AN114),0)),"",INDIRECT(CONCATENATE("Table!",ADDRESS($AJ114,MATCH(W$1,INDIRECT("Table!A" &amp; $AN114):INDIRECT("Table!" &amp; $AR$159 &amp; $AN114),0)))))</f>
        <v>54921</v>
      </c>
      <c r="X114" s="35">
        <f ca="1">IF(ISERROR(MATCH(X$1,INDIRECT("Table!A"&amp;$AN114):INDIRECT("Table!" &amp; $AR$159 &amp; $AN114),0)),"",INDIRECT(CONCATENATE("Table!",ADDRESS($AJ114,MATCH(X$1,INDIRECT("Table!A" &amp; $AN114):INDIRECT("Table!" &amp; $AR$159 &amp; $AN114),0)))))</f>
        <v>60665.9</v>
      </c>
      <c r="Y114" s="35">
        <f ca="1">IF(ISERROR(MATCH(Y$1,INDIRECT("Table!A"&amp;$AN114):INDIRECT("Table!" &amp; $AR$159 &amp; $AN114),0)),"",INDIRECT(CONCATENATE("Table!",ADDRESS($AJ114,MATCH(Y$1,INDIRECT("Table!A" &amp; $AN114):INDIRECT("Table!" &amp; $AR$159 &amp; $AN114),0)))))</f>
        <v>176482.7</v>
      </c>
      <c r="Z114" s="35">
        <f ca="1">IF(ISERROR(MATCH(Z$1,INDIRECT("Table!A"&amp;$AN114):INDIRECT("Table!" &amp; $AR$159 &amp; $AN114),0)),"",INDIRECT(CONCATENATE("Table!",ADDRESS($AJ114,MATCH(Z$1,INDIRECT("Table!A" &amp; $AN114):INDIRECT("Table!" &amp; $AR$159 &amp; $AN114),0)))))</f>
        <v>54921</v>
      </c>
      <c r="AA114" s="12"/>
      <c r="AB114" s="12">
        <f>MATCH($A114,Table!$A:$A,0)+$AD$2-1</f>
        <v>1664</v>
      </c>
      <c r="AF114" s="31">
        <f>MATCH($A114,Table!$A:$A,0)+$AH$2-1</f>
        <v>1662</v>
      </c>
      <c r="AJ114" s="12">
        <f>MATCH($A114,Table!$A:$A,0)+$AL$2-1</f>
        <v>1663</v>
      </c>
      <c r="AN114" s="31">
        <f>MATCH($A114,Table!$A:$A,0)+$AH$2-1</f>
        <v>1662</v>
      </c>
      <c r="AR114" s="163" t="s">
        <v>118</v>
      </c>
    </row>
    <row r="115" spans="1:44">
      <c r="A115" s="5">
        <v>40989</v>
      </c>
      <c r="B115" s="35">
        <f ca="1">IF(ISERROR(MATCH(B$1,INDIRECT("Table!A"&amp;$AF115):INDIRECT("Table!" &amp; $AR$159 &amp; $AF115),0)),"",INDIRECT(CONCATENATE("Table!",ADDRESS($AB115,MATCH(B$1,INDIRECT("Table!A" &amp; $AF115):INDIRECT("Table!" &amp; $AR$159 &amp; $AF115),0)))))</f>
        <v>87036</v>
      </c>
      <c r="C115" s="35">
        <f ca="1">IF(ISERROR(MATCH(C$1,INDIRECT("Table!A"&amp;$AF115):INDIRECT("Table!" &amp; $AR$159 &amp; $AF115),0)),"",INDIRECT(CONCATENATE("Table!",ADDRESS($AB115,MATCH(C$1,INDIRECT("Table!A" &amp; $AF115):INDIRECT("Table!" &amp; $AR$159 &amp; $AF115),0)))))</f>
        <v>65714.600000000006</v>
      </c>
      <c r="D115" s="35">
        <f ca="1">IF(ISERROR(MATCH(D$1,INDIRECT("Table!A"&amp;$AF115):INDIRECT("Table!" &amp; $AR$159 &amp; $AF115),0)),"",INDIRECT(CONCATENATE("Table!",ADDRESS($AB115,MATCH(D$1,INDIRECT("Table!A" &amp; $AF115):INDIRECT("Table!" &amp; $AR$159 &amp; $AF115),0)))))</f>
        <v>67092.399999999994</v>
      </c>
      <c r="E115" s="35">
        <f ca="1">IF(ISERROR(MATCH(E$1,INDIRECT("Table!A"&amp;$AF115):INDIRECT("Table!" &amp; $AR$159 &amp; $AF115),0)),"",INDIRECT(CONCATENATE("Table!",ADDRESS($AB115,MATCH(E$1,INDIRECT("Table!A" &amp; $AF115):INDIRECT("Table!" &amp; $AR$159 &amp; $AF115),0)))))</f>
        <v>129769.60000000001</v>
      </c>
      <c r="F115" s="35">
        <f ca="1">IF(ISERROR(MATCH(F$1,INDIRECT("Table!A"&amp;$AF115):INDIRECT("Table!" &amp; $AR$159 &amp; $AF115),0)),"",INDIRECT(CONCATENATE("Table!",ADDRESS($AB115,MATCH(F$1,INDIRECT("Table!A" &amp; $AF115):INDIRECT("Table!" &amp; $AR$159 &amp; $AF115),0)))))</f>
        <v>1696.2</v>
      </c>
      <c r="G115" s="35">
        <f ca="1">IF(ISERROR(MATCH(G$1,INDIRECT("Table!A"&amp;$AF115):INDIRECT("Table!" &amp; $AR$159 &amp; $AF115),0)),"",INDIRECT(CONCATENATE("Table!",ADDRESS($AB115,MATCH(G$1,INDIRECT("Table!A" &amp; $AF115):INDIRECT("Table!" &amp; $AR$159 &amp; $AF115),0)))))</f>
        <v>32113.4</v>
      </c>
      <c r="H115" s="35">
        <f ca="1">IF(ISERROR(MATCH(H$1,INDIRECT("Table!A"&amp;$AF115):INDIRECT("Table!" &amp; $AR$159 &amp; $AF115),0)),"",INDIRECT(CONCATENATE("Table!",ADDRESS($AB115,MATCH(H$1,INDIRECT("Table!A" &amp; $AF115):INDIRECT("Table!" &amp; $AR$159 &amp; $AF115),0)))))</f>
        <v>19967.8</v>
      </c>
      <c r="I115" s="35">
        <f ca="1">IF(ISERROR(MATCH(I$1,INDIRECT("Table!A"&amp;$AF115):INDIRECT("Table!" &amp; $AR$159 &amp; $AF115),0)),"",INDIRECT(CONCATENATE("Table!",ADDRESS($AB115,MATCH(I$1,INDIRECT("Table!A" &amp; $AF115):INDIRECT("Table!" &amp; $AR$159 &amp; $AF115),0)))))</f>
        <v>118863.8</v>
      </c>
      <c r="J115" s="35">
        <f ca="1">IF(ISERROR(MATCH(J$1,INDIRECT("Table!A"&amp;$AF115):INDIRECT("Table!" &amp; $AR$159 &amp; $AF115),0)),"",INDIRECT(CONCATENATE("Table!",ADDRESS($AB115,MATCH(J$1,INDIRECT("Table!A" &amp; $AF115):INDIRECT("Table!" &amp; $AR$159 &amp; $AF115),0)))))</f>
        <v>27505.3</v>
      </c>
      <c r="K115" s="35">
        <f ca="1">IF(ISERROR(MATCH(K$1,INDIRECT("Table!A"&amp;$AF115):INDIRECT("Table!" &amp; $AR$159 &amp; $AF115),0)),"",INDIRECT(CONCATENATE("Table!",ADDRESS($AB115,MATCH(K$1,INDIRECT("Table!A" &amp; $AF115):INDIRECT("Table!" &amp; $AR$159 &amp; $AF115),0)))))</f>
        <v>921.2</v>
      </c>
      <c r="L115" s="35">
        <f ca="1">IF(ISERROR(MATCH(L$1,INDIRECT("Table!A"&amp;$AF115):INDIRECT("Table!" &amp; $AR$159 &amp; $AF115),0)),"",INDIRECT(CONCATENATE("Table!",ADDRESS($AB115,MATCH(L$1,INDIRECT("Table!A" &amp; $AF115):INDIRECT("Table!" &amp; $AR$159 &amp; $AF115),0)))))</f>
        <v>78725</v>
      </c>
      <c r="M115" s="35">
        <f ca="1">IF(ISERROR(MATCH(M$1,INDIRECT("Table!A"&amp;$AF115):INDIRECT("Table!" &amp; $AR$159 &amp; $AF115),0)),"",INDIRECT(CONCATENATE("Table!",ADDRESS($AB115,MATCH(M$1,INDIRECT("Table!A" &amp; $AF115):INDIRECT("Table!" &amp; $AR$159 &amp; $AF115),0)))))</f>
        <v>22966.400000000001</v>
      </c>
      <c r="N115" s="35" t="str">
        <f ca="1">IF(ISERROR(MATCH(N$1,INDIRECT("Table!A"&amp;$AF115):INDIRECT("Table!" &amp; $AR$188 &amp; $AF115),0)),"",INDIRECT(CONCATENATE("Table!",ADDRESS($AB115,MATCH(N$1,INDIRECT("Table!A" &amp; $AF115):INDIRECT("Table!" &amp; $AR$188 &amp; $AF115),0)))))</f>
        <v/>
      </c>
      <c r="O115" s="35">
        <f ca="1">IF(ISERROR(MATCH(O$1,INDIRECT("Table!A"&amp;$AN115):INDIRECT("Table!" &amp; $AR$159 &amp; $AN115),0)),"",INDIRECT(CONCATENATE("Table!",ADDRESS($AJ115,MATCH(O$1,INDIRECT("Table!A" &amp; $AN115):INDIRECT("Table!" &amp; $AR$159 &amp; $AN115),0)))))</f>
        <v>115816.8</v>
      </c>
      <c r="P115" s="35">
        <f ca="1">IF(ISERROR(MATCH(P$1,INDIRECT("Table!A"&amp;$AN115):INDIRECT("Table!" &amp; $AR$159 &amp; $AN115),0)),"",INDIRECT(CONCATENATE("Table!",ADDRESS($AJ115,MATCH(P$1,INDIRECT("Table!A" &amp; $AN115):INDIRECT("Table!" &amp; $AR$159 &amp; $AN115),0)))))</f>
        <v>99042</v>
      </c>
      <c r="Q115" s="35">
        <f ca="1">IF(ISERROR(MATCH(Q$1,INDIRECT("Table!A"&amp;$AN115):INDIRECT("Table!" &amp; $AR$159 &amp; $AN115),0)),"",INDIRECT(CONCATENATE("Table!",ADDRESS($AJ115,MATCH(Q$1,INDIRECT("Table!A" &amp; $AN115):INDIRECT("Table!" &amp; $AR$159 &amp; $AN115),0)))))</f>
        <v>99042</v>
      </c>
      <c r="R115" s="35">
        <f ca="1">IF(ISERROR(MATCH(R$1,INDIRECT("Table!A"&amp;$AN115):INDIRECT("Table!" &amp; $AR$159 &amp; $AN115),0)),"",INDIRECT(CONCATENATE("Table!",ADDRESS($AJ115,MATCH(R$1,INDIRECT("Table!A" &amp; $AN115):INDIRECT("Table!" &amp; $AR$159 &amp; $AN115),0)))))</f>
        <v>154422.39999999999</v>
      </c>
      <c r="S115" s="35">
        <f ca="1">IF(ISERROR(MATCH(S$1,INDIRECT("Table!A"&amp;$AN115):INDIRECT("Table!" &amp; $AR$159 &amp; $AN115),0)),"",INDIRECT(CONCATENATE("Table!",ADDRESS($AJ115,MATCH(S$1,INDIRECT("Table!A" &amp; $AN115):INDIRECT("Table!" &amp; $AR$159 &amp; $AN115),0)))))</f>
        <v>121331.8</v>
      </c>
      <c r="T115" s="35">
        <f ca="1">IF(ISERROR(MATCH(T$1,INDIRECT("Table!A"&amp;$AN115):INDIRECT("Table!" &amp; $AR$159 &amp; $AN115),0)),"",INDIRECT(CONCATENATE("Table!",ADDRESS($AJ115,MATCH(T$1,INDIRECT("Table!A" &amp; $AN115):INDIRECT("Table!" &amp; $AR$159 &amp; $AN115),0)))))</f>
        <v>110071.9</v>
      </c>
      <c r="U115" s="35">
        <f ca="1">IF(ISERROR(MATCH(U$1,INDIRECT("Table!A"&amp;$AN115):INDIRECT("Table!" &amp; $AR$159 &amp; $AN115),0)),"",INDIRECT(CONCATENATE("Table!",ADDRESS($AJ115,MATCH(U$1,INDIRECT("Table!A" &amp; $AN115):INDIRECT("Table!" &amp; $AR$159 &amp; $AN115),0)))))</f>
        <v>121331.8</v>
      </c>
      <c r="V115" s="35">
        <f ca="1">IF(ISERROR(MATCH(V$1,INDIRECT("Table!A"&amp;$AN115):INDIRECT("Table!" &amp; $AR$159 &amp; $AN115),0)),"",INDIRECT(CONCATENATE("Table!",ADDRESS($AJ115,MATCH(V$1,INDIRECT("Table!A" &amp; $AN115):INDIRECT("Table!" &amp; $AR$159 &amp; $AN115),0)))))</f>
        <v>170967.6</v>
      </c>
      <c r="W115" s="35">
        <f ca="1">IF(ISERROR(MATCH(W$1,INDIRECT("Table!A"&amp;$AN115):INDIRECT("Table!" &amp; $AR$159 &amp; $AN115),0)),"",INDIRECT(CONCATENATE("Table!",ADDRESS($AJ115,MATCH(W$1,INDIRECT("Table!A" &amp; $AN115):INDIRECT("Table!" &amp; $AR$159 &amp; $AN115),0)))))</f>
        <v>54921</v>
      </c>
      <c r="X115" s="35">
        <f ca="1">IF(ISERROR(MATCH(X$1,INDIRECT("Table!A"&amp;$AN115):INDIRECT("Table!" &amp; $AR$159 &amp; $AN115),0)),"",INDIRECT(CONCATENATE("Table!",ADDRESS($AJ115,MATCH(X$1,INDIRECT("Table!A" &amp; $AN115):INDIRECT("Table!" &amp; $AR$159 &amp; $AN115),0)))))</f>
        <v>60665.9</v>
      </c>
      <c r="Y115" s="35">
        <f ca="1">IF(ISERROR(MATCH(Y$1,INDIRECT("Table!A"&amp;$AN115):INDIRECT("Table!" &amp; $AR$159 &amp; $AN115),0)),"",INDIRECT(CONCATENATE("Table!",ADDRESS($AJ115,MATCH(Y$1,INDIRECT("Table!A" &amp; $AN115):INDIRECT("Table!" &amp; $AR$159 &amp; $AN115),0)))))</f>
        <v>176482.7</v>
      </c>
      <c r="Z115" s="35">
        <f ca="1">IF(ISERROR(MATCH(Z$1,INDIRECT("Table!A"&amp;$AN115):INDIRECT("Table!" &amp; $AR$159 &amp; $AN115),0)),"",INDIRECT(CONCATENATE("Table!",ADDRESS($AJ115,MATCH(Z$1,INDIRECT("Table!A" &amp; $AN115):INDIRECT("Table!" &amp; $AR$159 &amp; $AN115),0)))))</f>
        <v>54921</v>
      </c>
      <c r="AA115" s="12"/>
      <c r="AB115" s="12">
        <f>MATCH($A115,Table!$A:$A,0)+$AD$2-1</f>
        <v>1677</v>
      </c>
      <c r="AF115" s="31">
        <f>MATCH($A115,Table!$A:$A,0)+$AH$2-1</f>
        <v>1675</v>
      </c>
      <c r="AJ115" s="12">
        <f>MATCH($A115,Table!$A:$A,0)+$AL$2-1</f>
        <v>1676</v>
      </c>
      <c r="AN115" s="31">
        <f>MATCH($A115,Table!$A:$A,0)+$AH$2-1</f>
        <v>1675</v>
      </c>
      <c r="AR115" s="162" t="s">
        <v>118</v>
      </c>
    </row>
    <row r="116" spans="1:44">
      <c r="A116" s="5">
        <v>40984</v>
      </c>
      <c r="B116" s="35">
        <f ca="1">IF(ISERROR(MATCH(B$1,INDIRECT("Table!A"&amp;$AF116):INDIRECT("Table!" &amp; $AR$159 &amp; $AF116),0)),"",INDIRECT(CONCATENATE("Table!",ADDRESS($AB116,MATCH(B$1,INDIRECT("Table!A" &amp; $AF116):INDIRECT("Table!" &amp; $AR$159 &amp; $AF116),0)))))</f>
        <v>93819.8</v>
      </c>
      <c r="C116" s="35">
        <f ca="1">IF(ISERROR(MATCH(C$1,INDIRECT("Table!A"&amp;$AF116):INDIRECT("Table!" &amp; $AR$159 &amp; $AF116),0)),"",INDIRECT(CONCATENATE("Table!",ADDRESS($AB116,MATCH(C$1,INDIRECT("Table!A" &amp; $AF116):INDIRECT("Table!" &amp; $AR$159 &amp; $AF116),0)))))</f>
        <v>65593.5</v>
      </c>
      <c r="D116" s="35">
        <f ca="1">IF(ISERROR(MATCH(D$1,INDIRECT("Table!A"&amp;$AF116):INDIRECT("Table!" &amp; $AR$159 &amp; $AF116),0)),"",INDIRECT(CONCATENATE("Table!",ADDRESS($AB116,MATCH(D$1,INDIRECT("Table!A" &amp; $AF116):INDIRECT("Table!" &amp; $AR$159 &amp; $AF116),0)))))</f>
        <v>66971.3</v>
      </c>
      <c r="E116" s="35">
        <f ca="1">IF(ISERROR(MATCH(E$1,INDIRECT("Table!A"&amp;$AF116):INDIRECT("Table!" &amp; $AR$159 &amp; $AF116),0)),"",INDIRECT(CONCATENATE("Table!",ADDRESS($AB116,MATCH(E$1,INDIRECT("Table!A" &amp; $AF116):INDIRECT("Table!" &amp; $AR$159 &amp; $AF116),0)))))</f>
        <v>131467.9</v>
      </c>
      <c r="F116" s="35">
        <f ca="1">IF(ISERROR(MATCH(F$1,INDIRECT("Table!A"&amp;$AF116):INDIRECT("Table!" &amp; $AR$159 &amp; $AF116),0)),"",INDIRECT(CONCATENATE("Table!",ADDRESS($AB116,MATCH(F$1,INDIRECT("Table!A" &amp; $AF116):INDIRECT("Table!" &amp; $AR$159 &amp; $AF116),0)))))</f>
        <v>1683.9</v>
      </c>
      <c r="G116" s="35">
        <f ca="1">IF(ISERROR(MATCH(G$1,INDIRECT("Table!A"&amp;$AF116):INDIRECT("Table!" &amp; $AR$159 &amp; $AF116),0)),"",INDIRECT(CONCATENATE("Table!",ADDRESS($AB116,MATCH(G$1,INDIRECT("Table!A" &amp; $AF116):INDIRECT("Table!" &amp; $AR$159 &amp; $AF116),0)))))</f>
        <v>31585</v>
      </c>
      <c r="H116" s="35">
        <f ca="1">IF(ISERROR(MATCH(H$1,INDIRECT("Table!A"&amp;$AF116):INDIRECT("Table!" &amp; $AR$159 &amp; $AF116),0)),"",INDIRECT(CONCATENATE("Table!",ADDRESS($AB116,MATCH(H$1,INDIRECT("Table!A" &amp; $AF116):INDIRECT("Table!" &amp; $AR$159 &amp; $AF116),0)))))</f>
        <v>19960.3</v>
      </c>
      <c r="I116" s="35">
        <f ca="1">IF(ISERROR(MATCH(I$1,INDIRECT("Table!A"&amp;$AF116):INDIRECT("Table!" &amp; $AR$159 &amp; $AF116),0)),"",INDIRECT(CONCATENATE("Table!",ADDRESS($AB116,MATCH(I$1,INDIRECT("Table!A" &amp; $AF116):INDIRECT("Table!" &amp; $AR$159 &amp; $AF116),0)))))</f>
        <v>120059</v>
      </c>
      <c r="J116" s="35">
        <f ca="1">IF(ISERROR(MATCH(J$1,INDIRECT("Table!A"&amp;$AF116):INDIRECT("Table!" &amp; $AR$159 &amp; $AF116),0)),"",INDIRECT(CONCATENATE("Table!",ADDRESS($AB116,MATCH(J$1,INDIRECT("Table!A" &amp; $AF116):INDIRECT("Table!" &amp; $AR$159 &amp; $AF116),0)))))</f>
        <v>30032</v>
      </c>
      <c r="K116" s="35">
        <f ca="1">IF(ISERROR(MATCH(K$1,INDIRECT("Table!A"&amp;$AF116):INDIRECT("Table!" &amp; $AR$159 &amp; $AF116),0)),"",INDIRECT(CONCATENATE("Table!",ADDRESS($AB116,MATCH(K$1,INDIRECT("Table!A" &amp; $AF116):INDIRECT("Table!" &amp; $AR$159 &amp; $AF116),0)))))</f>
        <v>901.6</v>
      </c>
      <c r="L116" s="35">
        <f ca="1">IF(ISERROR(MATCH(L$1,INDIRECT("Table!A"&amp;$AF116):INDIRECT("Table!" &amp; $AR$159 &amp; $AF116),0)),"",INDIRECT(CONCATENATE("Table!",ADDRESS($AB116,MATCH(L$1,INDIRECT("Table!A" &amp; $AF116):INDIRECT("Table!" &amp; $AR$159 &amp; $AF116),0)))))</f>
        <v>78706.2</v>
      </c>
      <c r="M116" s="35">
        <f ca="1">IF(ISERROR(MATCH(M$1,INDIRECT("Table!A"&amp;$AF116):INDIRECT("Table!" &amp; $AR$159 &amp; $AF116),0)),"",INDIRECT(CONCATENATE("Table!",ADDRESS($AB116,MATCH(M$1,INDIRECT("Table!A" &amp; $AF116):INDIRECT("Table!" &amp; $AR$159 &amp; $AF116),0)))))</f>
        <v>22942.400000000001</v>
      </c>
      <c r="N116" s="35" t="str">
        <f ca="1">IF(ISERROR(MATCH(N$1,INDIRECT("Table!A"&amp;$AF116):INDIRECT("Table!" &amp; $AR$188 &amp; $AF116),0)),"",INDIRECT(CONCATENATE("Table!",ADDRESS($AB116,MATCH(N$1,INDIRECT("Table!A" &amp; $AF116):INDIRECT("Table!" &amp; $AR$188 &amp; $AF116),0)))))</f>
        <v/>
      </c>
      <c r="O116" s="35">
        <f ca="1">IF(ISERROR(MATCH(O$1,INDIRECT("Table!A"&amp;$AN116):INDIRECT("Table!" &amp; $AR$159 &amp; $AN116),0)),"",INDIRECT(CONCATENATE("Table!",ADDRESS($AJ116,MATCH(O$1,INDIRECT("Table!A" &amp; $AN116):INDIRECT("Table!" &amp; $AR$159 &amp; $AN116),0)))))</f>
        <v>115816.8</v>
      </c>
      <c r="P116" s="35">
        <f ca="1">IF(ISERROR(MATCH(P$1,INDIRECT("Table!A"&amp;$AN116):INDIRECT("Table!" &amp; $AR$159 &amp; $AN116),0)),"",INDIRECT(CONCATENATE("Table!",ADDRESS($AJ116,MATCH(P$1,INDIRECT("Table!A" &amp; $AN116):INDIRECT("Table!" &amp; $AR$159 &amp; $AN116),0)))))</f>
        <v>99042</v>
      </c>
      <c r="Q116" s="35">
        <f ca="1">IF(ISERROR(MATCH(Q$1,INDIRECT("Table!A"&amp;$AN116):INDIRECT("Table!" &amp; $AR$159 &amp; $AN116),0)),"",INDIRECT(CONCATENATE("Table!",ADDRESS($AJ116,MATCH(Q$1,INDIRECT("Table!A" &amp; $AN116):INDIRECT("Table!" &amp; $AR$159 &amp; $AN116),0)))))</f>
        <v>99042</v>
      </c>
      <c r="R116" s="35">
        <f ca="1">IF(ISERROR(MATCH(R$1,INDIRECT("Table!A"&amp;$AN116):INDIRECT("Table!" &amp; $AR$159 &amp; $AN116),0)),"",INDIRECT(CONCATENATE("Table!",ADDRESS($AJ116,MATCH(R$1,INDIRECT("Table!A" &amp; $AN116):INDIRECT("Table!" &amp; $AR$159 &amp; $AN116),0)))))</f>
        <v>154422.39999999999</v>
      </c>
      <c r="S116" s="35">
        <f ca="1">IF(ISERROR(MATCH(S$1,INDIRECT("Table!A"&amp;$AN116):INDIRECT("Table!" &amp; $AR$159 &amp; $AN116),0)),"",INDIRECT(CONCATENATE("Table!",ADDRESS($AJ116,MATCH(S$1,INDIRECT("Table!A" &amp; $AN116):INDIRECT("Table!" &amp; $AR$159 &amp; $AN116),0)))))</f>
        <v>121331.8</v>
      </c>
      <c r="T116" s="35">
        <f ca="1">IF(ISERROR(MATCH(T$1,INDIRECT("Table!A"&amp;$AN116):INDIRECT("Table!" &amp; $AR$159 &amp; $AN116),0)),"",INDIRECT(CONCATENATE("Table!",ADDRESS($AJ116,MATCH(T$1,INDIRECT("Table!A" &amp; $AN116):INDIRECT("Table!" &amp; $AR$159 &amp; $AN116),0)))))</f>
        <v>110071.9</v>
      </c>
      <c r="U116" s="35">
        <f ca="1">IF(ISERROR(MATCH(U$1,INDIRECT("Table!A"&amp;$AN116):INDIRECT("Table!" &amp; $AR$159 &amp; $AN116),0)),"",INDIRECT(CONCATENATE("Table!",ADDRESS($AJ116,MATCH(U$1,INDIRECT("Table!A" &amp; $AN116):INDIRECT("Table!" &amp; $AR$159 &amp; $AN116),0)))))</f>
        <v>121331.8</v>
      </c>
      <c r="V116" s="35">
        <f ca="1">IF(ISERROR(MATCH(V$1,INDIRECT("Table!A"&amp;$AN116):INDIRECT("Table!" &amp; $AR$159 &amp; $AN116),0)),"",INDIRECT(CONCATENATE("Table!",ADDRESS($AJ116,MATCH(V$1,INDIRECT("Table!A" &amp; $AN116):INDIRECT("Table!" &amp; $AR$159 &amp; $AN116),0)))))</f>
        <v>170967.6</v>
      </c>
      <c r="W116" s="35">
        <f ca="1">IF(ISERROR(MATCH(W$1,INDIRECT("Table!A"&amp;$AN116):INDIRECT("Table!" &amp; $AR$159 &amp; $AN116),0)),"",INDIRECT(CONCATENATE("Table!",ADDRESS($AJ116,MATCH(W$1,INDIRECT("Table!A" &amp; $AN116):INDIRECT("Table!" &amp; $AR$159 &amp; $AN116),0)))))</f>
        <v>54921</v>
      </c>
      <c r="X116" s="35">
        <f ca="1">IF(ISERROR(MATCH(X$1,INDIRECT("Table!A"&amp;$AN116):INDIRECT("Table!" &amp; $AR$159 &amp; $AN116),0)),"",INDIRECT(CONCATENATE("Table!",ADDRESS($AJ116,MATCH(X$1,INDIRECT("Table!A" &amp; $AN116):INDIRECT("Table!" &amp; $AR$159 &amp; $AN116),0)))))</f>
        <v>60665.9</v>
      </c>
      <c r="Y116" s="35">
        <f ca="1">IF(ISERROR(MATCH(Y$1,INDIRECT("Table!A"&amp;$AN116):INDIRECT("Table!" &amp; $AR$159 &amp; $AN116),0)),"",INDIRECT(CONCATENATE("Table!",ADDRESS($AJ116,MATCH(Y$1,INDIRECT("Table!A" &amp; $AN116):INDIRECT("Table!" &amp; $AR$159 &amp; $AN116),0)))))</f>
        <v>176482.7</v>
      </c>
      <c r="Z116" s="35">
        <f ca="1">IF(ISERROR(MATCH(Z$1,INDIRECT("Table!A"&amp;$AN116):INDIRECT("Table!" &amp; $AR$159 &amp; $AN116),0)),"",INDIRECT(CONCATENATE("Table!",ADDRESS($AJ116,MATCH(Z$1,INDIRECT("Table!A" &amp; $AN116):INDIRECT("Table!" &amp; $AR$159 &amp; $AN116),0)))))</f>
        <v>54921</v>
      </c>
      <c r="AA116" s="12"/>
      <c r="AB116" s="12">
        <f>MATCH($A116,Table!$A:$A,0)+$AD$2-1</f>
        <v>1690</v>
      </c>
      <c r="AF116" s="31">
        <f>MATCH($A116,Table!$A:$A,0)+$AH$2-1</f>
        <v>1688</v>
      </c>
      <c r="AJ116" s="12">
        <f>MATCH($A116,Table!$A:$A,0)+$AL$2-1</f>
        <v>1689</v>
      </c>
      <c r="AN116" s="31">
        <f>MATCH($A116,Table!$A:$A,0)+$AH$2-1</f>
        <v>1688</v>
      </c>
      <c r="AR116" s="161" t="s">
        <v>118</v>
      </c>
    </row>
    <row r="117" spans="1:44">
      <c r="A117" s="5">
        <v>40983</v>
      </c>
      <c r="B117" s="35">
        <f ca="1">IF(ISERROR(MATCH(B$1,INDIRECT("Table!A"&amp;$AF117):INDIRECT("Table!" &amp; $AR$159 &amp; $AF117),0)),"",INDIRECT(CONCATENATE("Table!",ADDRESS($AB117,MATCH(B$1,INDIRECT("Table!A" &amp; $AF117):INDIRECT("Table!" &amp; $AR$159 &amp; $AF117),0)))))</f>
        <v>93598.7</v>
      </c>
      <c r="C117" s="35">
        <f ca="1">IF(ISERROR(MATCH(C$1,INDIRECT("Table!A"&amp;$AF117):INDIRECT("Table!" &amp; $AR$159 &amp; $AF117),0)),"",INDIRECT(CONCATENATE("Table!",ADDRESS($AB117,MATCH(C$1,INDIRECT("Table!A" &amp; $AF117):INDIRECT("Table!" &amp; $AR$159 &amp; $AF117),0)))))</f>
        <v>65569</v>
      </c>
      <c r="D117" s="35">
        <f ca="1">IF(ISERROR(MATCH(D$1,INDIRECT("Table!A"&amp;$AF117):INDIRECT("Table!" &amp; $AR$159 &amp; $AF117),0)),"",INDIRECT(CONCATENATE("Table!",ADDRESS($AB117,MATCH(D$1,INDIRECT("Table!A" &amp; $AF117):INDIRECT("Table!" &amp; $AR$159 &amp; $AF117),0)))))</f>
        <v>66946.7</v>
      </c>
      <c r="E117" s="35">
        <f ca="1">IF(ISERROR(MATCH(E$1,INDIRECT("Table!A"&amp;$AF117):INDIRECT("Table!" &amp; $AR$159 &amp; $AF117),0)),"",INDIRECT(CONCATENATE("Table!",ADDRESS($AB117,MATCH(E$1,INDIRECT("Table!A" &amp; $AF117):INDIRECT("Table!" &amp; $AR$159 &amp; $AF117),0)))))</f>
        <v>133311.5</v>
      </c>
      <c r="F117" s="35">
        <f ca="1">IF(ISERROR(MATCH(F$1,INDIRECT("Table!A"&amp;$AF117):INDIRECT("Table!" &amp; $AR$159 &amp; $AF117),0)),"",INDIRECT(CONCATENATE("Table!",ADDRESS($AB117,MATCH(F$1,INDIRECT("Table!A" &amp; $AF117):INDIRECT("Table!" &amp; $AR$159 &amp; $AF117),0)))))</f>
        <v>1649.5</v>
      </c>
      <c r="G117" s="35">
        <f ca="1">IF(ISERROR(MATCH(G$1,INDIRECT("Table!A"&amp;$AF117):INDIRECT("Table!" &amp; $AR$159 &amp; $AF117),0)),"",INDIRECT(CONCATENATE("Table!",ADDRESS($AB117,MATCH(G$1,INDIRECT("Table!A" &amp; $AF117):INDIRECT("Table!" &amp; $AR$159 &amp; $AF117),0)))))</f>
        <v>31036.9</v>
      </c>
      <c r="H117" s="35">
        <f ca="1">IF(ISERROR(MATCH(H$1,INDIRECT("Table!A"&amp;$AF117):INDIRECT("Table!" &amp; $AR$159 &amp; $AF117),0)),"",INDIRECT(CONCATENATE("Table!",ADDRESS($AB117,MATCH(H$1,INDIRECT("Table!A" &amp; $AF117):INDIRECT("Table!" &amp; $AR$159 &amp; $AF117),0)))))</f>
        <v>19956.7</v>
      </c>
      <c r="I117" s="35">
        <f ca="1">IF(ISERROR(MATCH(I$1,INDIRECT("Table!A"&amp;$AF117):INDIRECT("Table!" &amp; $AR$159 &amp; $AF117),0)),"",INDIRECT(CONCATENATE("Table!",ADDRESS($AB117,MATCH(I$1,INDIRECT("Table!A" &amp; $AF117):INDIRECT("Table!" &amp; $AR$159 &amp; $AF117),0)))))</f>
        <v>120680.6</v>
      </c>
      <c r="J117" s="35">
        <f ca="1">IF(ISERROR(MATCH(J$1,INDIRECT("Table!A"&amp;$AF117):INDIRECT("Table!" &amp; $AR$159 &amp; $AF117),0)),"",INDIRECT(CONCATENATE("Table!",ADDRESS($AB117,MATCH(J$1,INDIRECT("Table!A" &amp; $AF117):INDIRECT("Table!" &amp; $AR$159 &amp; $AF117),0)))))</f>
        <v>29961.7</v>
      </c>
      <c r="K117" s="35">
        <f ca="1">IF(ISERROR(MATCH(K$1,INDIRECT("Table!A"&amp;$AF117):INDIRECT("Table!" &amp; $AR$159 &amp; $AF117),0)),"",INDIRECT(CONCATENATE("Table!",ADDRESS($AB117,MATCH(K$1,INDIRECT("Table!A" &amp; $AF117):INDIRECT("Table!" &amp; $AR$159 &amp; $AF117),0)))))</f>
        <v>881</v>
      </c>
      <c r="L117" s="35">
        <f ca="1">IF(ISERROR(MATCH(L$1,INDIRECT("Table!A"&amp;$AF117):INDIRECT("Table!" &amp; $AR$159 &amp; $AF117),0)),"",INDIRECT(CONCATENATE("Table!",ADDRESS($AB117,MATCH(L$1,INDIRECT("Table!A" &amp; $AF117):INDIRECT("Table!" &amp; $AR$159 &amp; $AF117),0)))))</f>
        <v>78698.399999999994</v>
      </c>
      <c r="M117" s="35">
        <f ca="1">IF(ISERROR(MATCH(M$1,INDIRECT("Table!A"&amp;$AF117):INDIRECT("Table!" &amp; $AR$159 &amp; $AF117),0)),"",INDIRECT(CONCATENATE("Table!",ADDRESS($AB117,MATCH(M$1,INDIRECT("Table!A" &amp; $AF117):INDIRECT("Table!" &amp; $AR$159 &amp; $AF117),0)))))</f>
        <v>22942.2</v>
      </c>
      <c r="N117" s="35" t="str">
        <f ca="1">IF(ISERROR(MATCH(N$1,INDIRECT("Table!A"&amp;$AF117):INDIRECT("Table!" &amp; $AR$188 &amp; $AF117),0)),"",INDIRECT(CONCATENATE("Table!",ADDRESS($AB117,MATCH(N$1,INDIRECT("Table!A" &amp; $AF117):INDIRECT("Table!" &amp; $AR$188 &amp; $AF117),0)))))</f>
        <v/>
      </c>
      <c r="O117" s="35">
        <f ca="1">IF(ISERROR(MATCH(O$1,INDIRECT("Table!A"&amp;$AN117):INDIRECT("Table!" &amp; $AR$159 &amp; $AN117),0)),"",INDIRECT(CONCATENATE("Table!",ADDRESS($AJ117,MATCH(O$1,INDIRECT("Table!A" &amp; $AN117):INDIRECT("Table!" &amp; $AR$159 &amp; $AN117),0)))))</f>
        <v>115816.8</v>
      </c>
      <c r="P117" s="35">
        <f ca="1">IF(ISERROR(MATCH(P$1,INDIRECT("Table!A"&amp;$AN117):INDIRECT("Table!" &amp; $AR$159 &amp; $AN117),0)),"",INDIRECT(CONCATENATE("Table!",ADDRESS($AJ117,MATCH(P$1,INDIRECT("Table!A" &amp; $AN117):INDIRECT("Table!" &amp; $AR$159 &amp; $AN117),0)))))</f>
        <v>99042</v>
      </c>
      <c r="Q117" s="35">
        <f ca="1">IF(ISERROR(MATCH(Q$1,INDIRECT("Table!A"&amp;$AN117):INDIRECT("Table!" &amp; $AR$159 &amp; $AN117),0)),"",INDIRECT(CONCATENATE("Table!",ADDRESS($AJ117,MATCH(Q$1,INDIRECT("Table!A" &amp; $AN117):INDIRECT("Table!" &amp; $AR$159 &amp; $AN117),0)))))</f>
        <v>99042</v>
      </c>
      <c r="R117" s="35">
        <f ca="1">IF(ISERROR(MATCH(R$1,INDIRECT("Table!A"&amp;$AN117):INDIRECT("Table!" &amp; $AR$159 &amp; $AN117),0)),"",INDIRECT(CONCATENATE("Table!",ADDRESS($AJ117,MATCH(R$1,INDIRECT("Table!A" &amp; $AN117):INDIRECT("Table!" &amp; $AR$159 &amp; $AN117),0)))))</f>
        <v>154422.39999999999</v>
      </c>
      <c r="S117" s="35">
        <f ca="1">IF(ISERROR(MATCH(S$1,INDIRECT("Table!A"&amp;$AN117):INDIRECT("Table!" &amp; $AR$159 &amp; $AN117),0)),"",INDIRECT(CONCATENATE("Table!",ADDRESS($AJ117,MATCH(S$1,INDIRECT("Table!A" &amp; $AN117):INDIRECT("Table!" &amp; $AR$159 &amp; $AN117),0)))))</f>
        <v>121331.8</v>
      </c>
      <c r="T117" s="35">
        <f ca="1">IF(ISERROR(MATCH(T$1,INDIRECT("Table!A"&amp;$AN117):INDIRECT("Table!" &amp; $AR$159 &amp; $AN117),0)),"",INDIRECT(CONCATENATE("Table!",ADDRESS($AJ117,MATCH(T$1,INDIRECT("Table!A" &amp; $AN117):INDIRECT("Table!" &amp; $AR$159 &amp; $AN117),0)))))</f>
        <v>110071.9</v>
      </c>
      <c r="U117" s="35">
        <f ca="1">IF(ISERROR(MATCH(U$1,INDIRECT("Table!A"&amp;$AN117):INDIRECT("Table!" &amp; $AR$159 &amp; $AN117),0)),"",INDIRECT(CONCATENATE("Table!",ADDRESS($AJ117,MATCH(U$1,INDIRECT("Table!A" &amp; $AN117):INDIRECT("Table!" &amp; $AR$159 &amp; $AN117),0)))))</f>
        <v>121331.8</v>
      </c>
      <c r="V117" s="35">
        <f ca="1">IF(ISERROR(MATCH(V$1,INDIRECT("Table!A"&amp;$AN117):INDIRECT("Table!" &amp; $AR$159 &amp; $AN117),0)),"",INDIRECT(CONCATENATE("Table!",ADDRESS($AJ117,MATCH(V$1,INDIRECT("Table!A" &amp; $AN117):INDIRECT("Table!" &amp; $AR$159 &amp; $AN117),0)))))</f>
        <v>170967.6</v>
      </c>
      <c r="W117" s="35">
        <f ca="1">IF(ISERROR(MATCH(W$1,INDIRECT("Table!A"&amp;$AN117):INDIRECT("Table!" &amp; $AR$159 &amp; $AN117),0)),"",INDIRECT(CONCATENATE("Table!",ADDRESS($AJ117,MATCH(W$1,INDIRECT("Table!A" &amp; $AN117):INDIRECT("Table!" &amp; $AR$159 &amp; $AN117),0)))))</f>
        <v>54921</v>
      </c>
      <c r="X117" s="35">
        <f ca="1">IF(ISERROR(MATCH(X$1,INDIRECT("Table!A"&amp;$AN117):INDIRECT("Table!" &amp; $AR$159 &amp; $AN117),0)),"",INDIRECT(CONCATENATE("Table!",ADDRESS($AJ117,MATCH(X$1,INDIRECT("Table!A" &amp; $AN117):INDIRECT("Table!" &amp; $AR$159 &amp; $AN117),0)))))</f>
        <v>60665.9</v>
      </c>
      <c r="Y117" s="35">
        <f ca="1">IF(ISERROR(MATCH(Y$1,INDIRECT("Table!A"&amp;$AN117):INDIRECT("Table!" &amp; $AR$159 &amp; $AN117),0)),"",INDIRECT(CONCATENATE("Table!",ADDRESS($AJ117,MATCH(Y$1,INDIRECT("Table!A" &amp; $AN117):INDIRECT("Table!" &amp; $AR$159 &amp; $AN117),0)))))</f>
        <v>176482.7</v>
      </c>
      <c r="Z117" s="35">
        <f ca="1">IF(ISERROR(MATCH(Z$1,INDIRECT("Table!A"&amp;$AN117):INDIRECT("Table!" &amp; $AR$159 &amp; $AN117),0)),"",INDIRECT(CONCATENATE("Table!",ADDRESS($AJ117,MATCH(Z$1,INDIRECT("Table!A" &amp; $AN117):INDIRECT("Table!" &amp; $AR$159 &amp; $AN117),0)))))</f>
        <v>54921</v>
      </c>
      <c r="AA117" s="12"/>
      <c r="AB117" s="12">
        <f>MATCH($A117,Table!$A:$A,0)+$AD$2-1</f>
        <v>1703</v>
      </c>
      <c r="AF117" s="31">
        <f>MATCH($A117,Table!$A:$A,0)+$AH$2-1</f>
        <v>1701</v>
      </c>
      <c r="AJ117" s="12">
        <f>MATCH($A117,Table!$A:$A,0)+$AL$2-1</f>
        <v>1702</v>
      </c>
      <c r="AN117" s="31">
        <f>MATCH($A117,Table!$A:$A,0)+$AH$2-1</f>
        <v>1701</v>
      </c>
      <c r="AR117" s="160" t="s">
        <v>118</v>
      </c>
    </row>
    <row r="118" spans="1:44">
      <c r="A118" s="5">
        <v>40982</v>
      </c>
      <c r="B118" s="35">
        <f ca="1">IF(ISERROR(MATCH(B$1,INDIRECT("Table!A"&amp;$AF118):INDIRECT("Table!" &amp; $AR$159 &amp; $AF118),0)),"",INDIRECT(CONCATENATE("Table!",ADDRESS($AB118,MATCH(B$1,INDIRECT("Table!A" &amp; $AF118):INDIRECT("Table!" &amp; $AR$159 &amp; $AF118),0)))))</f>
        <v>95872</v>
      </c>
      <c r="C118" s="35">
        <f ca="1">IF(ISERROR(MATCH(C$1,INDIRECT("Table!A"&amp;$AF118):INDIRECT("Table!" &amp; $AR$159 &amp; $AF118),0)),"",INDIRECT(CONCATENATE("Table!",ADDRESS($AB118,MATCH(C$1,INDIRECT("Table!A" &amp; $AF118):INDIRECT("Table!" &amp; $AR$159 &amp; $AF118),0)))))</f>
        <v>65539.7</v>
      </c>
      <c r="D118" s="35">
        <f ca="1">IF(ISERROR(MATCH(D$1,INDIRECT("Table!A"&amp;$AF118):INDIRECT("Table!" &amp; $AR$159 &amp; $AF118),0)),"",INDIRECT(CONCATENATE("Table!",ADDRESS($AB118,MATCH(D$1,INDIRECT("Table!A" &amp; $AF118):INDIRECT("Table!" &amp; $AR$159 &amp; $AF118),0)))))</f>
        <v>66917.399999999994</v>
      </c>
      <c r="E118" s="35">
        <f ca="1">IF(ISERROR(MATCH(E$1,INDIRECT("Table!A"&amp;$AF118):INDIRECT("Table!" &amp; $AR$159 &amp; $AF118),0)),"",INDIRECT(CONCATENATE("Table!",ADDRESS($AB118,MATCH(E$1,INDIRECT("Table!A" &amp; $AF118):INDIRECT("Table!" &amp; $AR$159 &amp; $AF118),0)))))</f>
        <v>133188.4</v>
      </c>
      <c r="F118" s="35">
        <f ca="1">IF(ISERROR(MATCH(F$1,INDIRECT("Table!A"&amp;$AF118):INDIRECT("Table!" &amp; $AR$159 &amp; $AF118),0)),"",INDIRECT(CONCATENATE("Table!",ADDRESS($AB118,MATCH(F$1,INDIRECT("Table!A" &amp; $AF118):INDIRECT("Table!" &amp; $AR$159 &amp; $AF118),0)))))</f>
        <v>1592.8</v>
      </c>
      <c r="G118" s="35">
        <f ca="1">IF(ISERROR(MATCH(G$1,INDIRECT("Table!A"&amp;$AF118):INDIRECT("Table!" &amp; $AR$159 &amp; $AF118),0)),"",INDIRECT(CONCATENATE("Table!",ADDRESS($AB118,MATCH(G$1,INDIRECT("Table!A" &amp; $AF118):INDIRECT("Table!" &amp; $AR$159 &amp; $AF118),0)))))</f>
        <v>30765</v>
      </c>
      <c r="H118" s="35">
        <f ca="1">IF(ISERROR(MATCH(H$1,INDIRECT("Table!A"&amp;$AF118):INDIRECT("Table!" &amp; $AR$159 &amp; $AF118),0)),"",INDIRECT(CONCATENATE("Table!",ADDRESS($AB118,MATCH(H$1,INDIRECT("Table!A" &amp; $AF118):INDIRECT("Table!" &amp; $AR$159 &amp; $AF118),0)))))</f>
        <v>19954.3</v>
      </c>
      <c r="I118" s="35">
        <f ca="1">IF(ISERROR(MATCH(I$1,INDIRECT("Table!A"&amp;$AF118):INDIRECT("Table!" &amp; $AR$159 &amp; $AF118),0)),"",INDIRECT(CONCATENATE("Table!",ADDRESS($AB118,MATCH(I$1,INDIRECT("Table!A" &amp; $AF118):INDIRECT("Table!" &amp; $AR$159 &amp; $AF118),0)))))</f>
        <v>120611.4</v>
      </c>
      <c r="J118" s="35">
        <f ca="1">IF(ISERROR(MATCH(J$1,INDIRECT("Table!A"&amp;$AF118):INDIRECT("Table!" &amp; $AR$159 &amp; $AF118),0)),"",INDIRECT(CONCATENATE("Table!",ADDRESS($AB118,MATCH(J$1,INDIRECT("Table!A" &amp; $AF118):INDIRECT("Table!" &amp; $AR$159 &amp; $AF118),0)))))</f>
        <v>29878.400000000001</v>
      </c>
      <c r="K118" s="35">
        <f ca="1">IF(ISERROR(MATCH(K$1,INDIRECT("Table!A"&amp;$AF118):INDIRECT("Table!" &amp; $AR$159 &amp; $AF118),0)),"",INDIRECT(CONCATENATE("Table!",ADDRESS($AB118,MATCH(K$1,INDIRECT("Table!A" &amp; $AF118):INDIRECT("Table!" &amp; $AR$159 &amp; $AF118),0)))))</f>
        <v>847.8</v>
      </c>
      <c r="L118" s="35">
        <f ca="1">IF(ISERROR(MATCH(L$1,INDIRECT("Table!A"&amp;$AF118):INDIRECT("Table!" &amp; $AR$159 &amp; $AF118),0)),"",INDIRECT(CONCATENATE("Table!",ADDRESS($AB118,MATCH(L$1,INDIRECT("Table!A" &amp; $AF118):INDIRECT("Table!" &amp; $AR$159 &amp; $AF118),0)))))</f>
        <v>78692.7</v>
      </c>
      <c r="M118" s="35">
        <f ca="1">IF(ISERROR(MATCH(M$1,INDIRECT("Table!A"&amp;$AF118):INDIRECT("Table!" &amp; $AR$159 &amp; $AF118),0)),"",INDIRECT(CONCATENATE("Table!",ADDRESS($AB118,MATCH(M$1,INDIRECT("Table!A" &amp; $AF118):INDIRECT("Table!" &amp; $AR$159 &amp; $AF118),0)))))</f>
        <v>22941.8</v>
      </c>
      <c r="N118" s="35" t="str">
        <f ca="1">IF(ISERROR(MATCH(N$1,INDIRECT("Table!A"&amp;$AF118):INDIRECT("Table!" &amp; $AR$188 &amp; $AF118),0)),"",INDIRECT(CONCATENATE("Table!",ADDRESS($AB118,MATCH(N$1,INDIRECT("Table!A" &amp; $AF118):INDIRECT("Table!" &amp; $AR$188 &amp; $AF118),0)))))</f>
        <v/>
      </c>
      <c r="O118" s="35">
        <f ca="1">IF(ISERROR(MATCH(O$1,INDIRECT("Table!A"&amp;$AN118):INDIRECT("Table!" &amp; $AR$159 &amp; $AN118),0)),"",INDIRECT(CONCATENATE("Table!",ADDRESS($AJ118,MATCH(O$1,INDIRECT("Table!A" &amp; $AN118):INDIRECT("Table!" &amp; $AR$159 &amp; $AN118),0)))))</f>
        <v>115816.8</v>
      </c>
      <c r="P118" s="35">
        <f ca="1">IF(ISERROR(MATCH(P$1,INDIRECT("Table!A"&amp;$AN118):INDIRECT("Table!" &amp; $AR$159 &amp; $AN118),0)),"",INDIRECT(CONCATENATE("Table!",ADDRESS($AJ118,MATCH(P$1,INDIRECT("Table!A" &amp; $AN118):INDIRECT("Table!" &amp; $AR$159 &amp; $AN118),0)))))</f>
        <v>99042</v>
      </c>
      <c r="Q118" s="35">
        <f ca="1">IF(ISERROR(MATCH(Q$1,INDIRECT("Table!A"&amp;$AN118):INDIRECT("Table!" &amp; $AR$159 &amp; $AN118),0)),"",INDIRECT(CONCATENATE("Table!",ADDRESS($AJ118,MATCH(Q$1,INDIRECT("Table!A" &amp; $AN118):INDIRECT("Table!" &amp; $AR$159 &amp; $AN118),0)))))</f>
        <v>99042</v>
      </c>
      <c r="R118" s="35">
        <f ca="1">IF(ISERROR(MATCH(R$1,INDIRECT("Table!A"&amp;$AN118):INDIRECT("Table!" &amp; $AR$159 &amp; $AN118),0)),"",INDIRECT(CONCATENATE("Table!",ADDRESS($AJ118,MATCH(R$1,INDIRECT("Table!A" &amp; $AN118):INDIRECT("Table!" &amp; $AR$159 &amp; $AN118),0)))))</f>
        <v>154422.39999999999</v>
      </c>
      <c r="S118" s="35">
        <f ca="1">IF(ISERROR(MATCH(S$1,INDIRECT("Table!A"&amp;$AN118):INDIRECT("Table!" &amp; $AR$159 &amp; $AN118),0)),"",INDIRECT(CONCATENATE("Table!",ADDRESS($AJ118,MATCH(S$1,INDIRECT("Table!A" &amp; $AN118):INDIRECT("Table!" &amp; $AR$159 &amp; $AN118),0)))))</f>
        <v>121331.8</v>
      </c>
      <c r="T118" s="35">
        <f ca="1">IF(ISERROR(MATCH(T$1,INDIRECT("Table!A"&amp;$AN118):INDIRECT("Table!" &amp; $AR$159 &amp; $AN118),0)),"",INDIRECT(CONCATENATE("Table!",ADDRESS($AJ118,MATCH(T$1,INDIRECT("Table!A" &amp; $AN118):INDIRECT("Table!" &amp; $AR$159 &amp; $AN118),0)))))</f>
        <v>110071.9</v>
      </c>
      <c r="U118" s="35">
        <f ca="1">IF(ISERROR(MATCH(U$1,INDIRECT("Table!A"&amp;$AN118):INDIRECT("Table!" &amp; $AR$159 &amp; $AN118),0)),"",INDIRECT(CONCATENATE("Table!",ADDRESS($AJ118,MATCH(U$1,INDIRECT("Table!A" &amp; $AN118):INDIRECT("Table!" &amp; $AR$159 &amp; $AN118),0)))))</f>
        <v>121331.8</v>
      </c>
      <c r="V118" s="35">
        <f ca="1">IF(ISERROR(MATCH(V$1,INDIRECT("Table!A"&amp;$AN118):INDIRECT("Table!" &amp; $AR$159 &amp; $AN118),0)),"",INDIRECT(CONCATENATE("Table!",ADDRESS($AJ118,MATCH(V$1,INDIRECT("Table!A" &amp; $AN118):INDIRECT("Table!" &amp; $AR$159 &amp; $AN118),0)))))</f>
        <v>170967.6</v>
      </c>
      <c r="W118" s="35">
        <f ca="1">IF(ISERROR(MATCH(W$1,INDIRECT("Table!A"&amp;$AN118):INDIRECT("Table!" &amp; $AR$159 &amp; $AN118),0)),"",INDIRECT(CONCATENATE("Table!",ADDRESS($AJ118,MATCH(W$1,INDIRECT("Table!A" &amp; $AN118):INDIRECT("Table!" &amp; $AR$159 &amp; $AN118),0)))))</f>
        <v>54921</v>
      </c>
      <c r="X118" s="35">
        <f ca="1">IF(ISERROR(MATCH(X$1,INDIRECT("Table!A"&amp;$AN118):INDIRECT("Table!" &amp; $AR$159 &amp; $AN118),0)),"",INDIRECT(CONCATENATE("Table!",ADDRESS($AJ118,MATCH(X$1,INDIRECT("Table!A" &amp; $AN118):INDIRECT("Table!" &amp; $AR$159 &amp; $AN118),0)))))</f>
        <v>60665.9</v>
      </c>
      <c r="Y118" s="35">
        <f ca="1">IF(ISERROR(MATCH(Y$1,INDIRECT("Table!A"&amp;$AN118):INDIRECT("Table!" &amp; $AR$159 &amp; $AN118),0)),"",INDIRECT(CONCATENATE("Table!",ADDRESS($AJ118,MATCH(Y$1,INDIRECT("Table!A" &amp; $AN118):INDIRECT("Table!" &amp; $AR$159 &amp; $AN118),0)))))</f>
        <v>176482.7</v>
      </c>
      <c r="Z118" s="35">
        <f ca="1">IF(ISERROR(MATCH(Z$1,INDIRECT("Table!A"&amp;$AN118):INDIRECT("Table!" &amp; $AR$159 &amp; $AN118),0)),"",INDIRECT(CONCATENATE("Table!",ADDRESS($AJ118,MATCH(Z$1,INDIRECT("Table!A" &amp; $AN118):INDIRECT("Table!" &amp; $AR$159 &amp; $AN118),0)))))</f>
        <v>54921</v>
      </c>
      <c r="AA118" s="12"/>
      <c r="AB118" s="12">
        <f>MATCH($A118,Table!$A:$A,0)+$AD$2-1</f>
        <v>1716</v>
      </c>
      <c r="AF118" s="31">
        <f>MATCH($A118,Table!$A:$A,0)+$AH$2-1</f>
        <v>1714</v>
      </c>
      <c r="AJ118" s="12">
        <f>MATCH($A118,Table!$A:$A,0)+$AL$2-1</f>
        <v>1715</v>
      </c>
      <c r="AN118" s="31">
        <f>MATCH($A118,Table!$A:$A,0)+$AH$2-1</f>
        <v>1714</v>
      </c>
      <c r="AR118" s="159" t="s">
        <v>118</v>
      </c>
    </row>
    <row r="119" spans="1:44">
      <c r="A119" s="5">
        <v>40981</v>
      </c>
      <c r="B119" s="35">
        <f ca="1">IF(ISERROR(MATCH(B$1,INDIRECT("Table!A"&amp;$AF119):INDIRECT("Table!" &amp; $AR$159 &amp; $AF119),0)),"",INDIRECT(CONCATENATE("Table!",ADDRESS($AB119,MATCH(B$1,INDIRECT("Table!A" &amp; $AF119):INDIRECT("Table!" &amp; $AR$159 &amp; $AF119),0)))))</f>
        <v>95691.8</v>
      </c>
      <c r="C119" s="35">
        <f ca="1">IF(ISERROR(MATCH(C$1,INDIRECT("Table!A"&amp;$AF119):INDIRECT("Table!" &amp; $AR$159 &amp; $AF119),0)),"",INDIRECT(CONCATENATE("Table!",ADDRESS($AB119,MATCH(C$1,INDIRECT("Table!A" &amp; $AF119):INDIRECT("Table!" &amp; $AR$159 &amp; $AF119),0)))))</f>
        <v>65536.2</v>
      </c>
      <c r="D119" s="35">
        <f ca="1">IF(ISERROR(MATCH(D$1,INDIRECT("Table!A"&amp;$AF119):INDIRECT("Table!" &amp; $AR$159 &amp; $AF119),0)),"",INDIRECT(CONCATENATE("Table!",ADDRESS($AB119,MATCH(D$1,INDIRECT("Table!A" &amp; $AF119):INDIRECT("Table!" &amp; $AR$159 &amp; $AF119),0)))))</f>
        <v>66913.899999999994</v>
      </c>
      <c r="E119" s="35">
        <f ca="1">IF(ISERROR(MATCH(E$1,INDIRECT("Table!A"&amp;$AF119):INDIRECT("Table!" &amp; $AR$159 &amp; $AF119),0)),"",INDIRECT(CONCATENATE("Table!",ADDRESS($AB119,MATCH(E$1,INDIRECT("Table!A" &amp; $AF119):INDIRECT("Table!" &amp; $AR$159 &amp; $AF119),0)))))</f>
        <v>133121.9</v>
      </c>
      <c r="F119" s="35">
        <f ca="1">IF(ISERROR(MATCH(F$1,INDIRECT("Table!A"&amp;$AF119):INDIRECT("Table!" &amp; $AR$159 &amp; $AF119),0)),"",INDIRECT(CONCATENATE("Table!",ADDRESS($AB119,MATCH(F$1,INDIRECT("Table!A" &amp; $AF119):INDIRECT("Table!" &amp; $AR$159 &amp; $AF119),0)))))</f>
        <v>1592.8</v>
      </c>
      <c r="G119" s="35">
        <f ca="1">IF(ISERROR(MATCH(G$1,INDIRECT("Table!A"&amp;$AF119):INDIRECT("Table!" &amp; $AR$159 &amp; $AF119),0)),"",INDIRECT(CONCATENATE("Table!",ADDRESS($AB119,MATCH(G$1,INDIRECT("Table!A" &amp; $AF119):INDIRECT("Table!" &amp; $AR$159 &amp; $AF119),0)))))</f>
        <v>30517.599999999999</v>
      </c>
      <c r="H119" s="35">
        <f ca="1">IF(ISERROR(MATCH(H$1,INDIRECT("Table!A"&amp;$AF119):INDIRECT("Table!" &amp; $AR$159 &amp; $AF119),0)),"",INDIRECT(CONCATENATE("Table!",ADDRESS($AB119,MATCH(H$1,INDIRECT("Table!A" &amp; $AF119):INDIRECT("Table!" &amp; $AR$159 &amp; $AF119),0)))))</f>
        <v>19946.900000000001</v>
      </c>
      <c r="I119" s="35">
        <f ca="1">IF(ISERROR(MATCH(I$1,INDIRECT("Table!A"&amp;$AF119):INDIRECT("Table!" &amp; $AR$159 &amp; $AF119),0)),"",INDIRECT(CONCATENATE("Table!",ADDRESS($AB119,MATCH(I$1,INDIRECT("Table!A" &amp; $AF119):INDIRECT("Table!" &amp; $AR$159 &amp; $AF119),0)))))</f>
        <v>120574.7</v>
      </c>
      <c r="J119" s="35">
        <f ca="1">IF(ISERROR(MATCH(J$1,INDIRECT("Table!A"&amp;$AF119):INDIRECT("Table!" &amp; $AR$159 &amp; $AF119),0)),"",INDIRECT(CONCATENATE("Table!",ADDRESS($AB119,MATCH(J$1,INDIRECT("Table!A" &amp; $AF119):INDIRECT("Table!" &amp; $AR$159 &amp; $AF119),0)))))</f>
        <v>29875.3</v>
      </c>
      <c r="K119" s="35">
        <f ca="1">IF(ISERROR(MATCH(K$1,INDIRECT("Table!A"&amp;$AF119):INDIRECT("Table!" &amp; $AR$159 &amp; $AF119),0)),"",INDIRECT(CONCATENATE("Table!",ADDRESS($AB119,MATCH(K$1,INDIRECT("Table!A" &amp; $AF119):INDIRECT("Table!" &amp; $AR$159 &amp; $AF119),0)))))</f>
        <v>846.3</v>
      </c>
      <c r="L119" s="35">
        <f ca="1">IF(ISERROR(MATCH(L$1,INDIRECT("Table!A"&amp;$AF119):INDIRECT("Table!" &amp; $AR$159 &amp; $AF119),0)),"",INDIRECT(CONCATENATE("Table!",ADDRESS($AB119,MATCH(L$1,INDIRECT("Table!A" &amp; $AF119):INDIRECT("Table!" &amp; $AR$159 &amp; $AF119),0)))))</f>
        <v>78677.899999999994</v>
      </c>
      <c r="M119" s="35">
        <f ca="1">IF(ISERROR(MATCH(M$1,INDIRECT("Table!A"&amp;$AF119):INDIRECT("Table!" &amp; $AR$159 &amp; $AF119),0)),"",INDIRECT(CONCATENATE("Table!",ADDRESS($AB119,MATCH(M$1,INDIRECT("Table!A" &amp; $AF119):INDIRECT("Table!" &amp; $AR$159 &amp; $AF119),0)))))</f>
        <v>22941.7</v>
      </c>
      <c r="N119" s="35" t="str">
        <f ca="1">IF(ISERROR(MATCH(N$1,INDIRECT("Table!A"&amp;$AF119):INDIRECT("Table!" &amp; $AR$188 &amp; $AF119),0)),"",INDIRECT(CONCATENATE("Table!",ADDRESS($AB119,MATCH(N$1,INDIRECT("Table!A" &amp; $AF119):INDIRECT("Table!" &amp; $AR$188 &amp; $AF119),0)))))</f>
        <v/>
      </c>
      <c r="O119" s="35">
        <f ca="1">IF(ISERROR(MATCH(O$1,INDIRECT("Table!A"&amp;$AN119):INDIRECT("Table!" &amp; $AR$159 &amp; $AN119),0)),"",INDIRECT(CONCATENATE("Table!",ADDRESS($AJ119,MATCH(O$1,INDIRECT("Table!A" &amp; $AN119):INDIRECT("Table!" &amp; $AR$159 &amp; $AN119),0)))))</f>
        <v>115816.8</v>
      </c>
      <c r="P119" s="35">
        <f ca="1">IF(ISERROR(MATCH(P$1,INDIRECT("Table!A"&amp;$AN119):INDIRECT("Table!" &amp; $AR$159 &amp; $AN119),0)),"",INDIRECT(CONCATENATE("Table!",ADDRESS($AJ119,MATCH(P$1,INDIRECT("Table!A" &amp; $AN119):INDIRECT("Table!" &amp; $AR$159 &amp; $AN119),0)))))</f>
        <v>99042</v>
      </c>
      <c r="Q119" s="35">
        <f ca="1">IF(ISERROR(MATCH(Q$1,INDIRECT("Table!A"&amp;$AN119):INDIRECT("Table!" &amp; $AR$159 &amp; $AN119),0)),"",INDIRECT(CONCATENATE("Table!",ADDRESS($AJ119,MATCH(Q$1,INDIRECT("Table!A" &amp; $AN119):INDIRECT("Table!" &amp; $AR$159 &amp; $AN119),0)))))</f>
        <v>99042</v>
      </c>
      <c r="R119" s="35">
        <f ca="1">IF(ISERROR(MATCH(R$1,INDIRECT("Table!A"&amp;$AN119):INDIRECT("Table!" &amp; $AR$159 &amp; $AN119),0)),"",INDIRECT(CONCATENATE("Table!",ADDRESS($AJ119,MATCH(R$1,INDIRECT("Table!A" &amp; $AN119):INDIRECT("Table!" &amp; $AR$159 &amp; $AN119),0)))))</f>
        <v>154422.39999999999</v>
      </c>
      <c r="S119" s="35">
        <f ca="1">IF(ISERROR(MATCH(S$1,INDIRECT("Table!A"&amp;$AN119):INDIRECT("Table!" &amp; $AR$159 &amp; $AN119),0)),"",INDIRECT(CONCATENATE("Table!",ADDRESS($AJ119,MATCH(S$1,INDIRECT("Table!A" &amp; $AN119):INDIRECT("Table!" &amp; $AR$159 &amp; $AN119),0)))))</f>
        <v>121331.8</v>
      </c>
      <c r="T119" s="35">
        <f ca="1">IF(ISERROR(MATCH(T$1,INDIRECT("Table!A"&amp;$AN119):INDIRECT("Table!" &amp; $AR$159 &amp; $AN119),0)),"",INDIRECT(CONCATENATE("Table!",ADDRESS($AJ119,MATCH(T$1,INDIRECT("Table!A" &amp; $AN119):INDIRECT("Table!" &amp; $AR$159 &amp; $AN119),0)))))</f>
        <v>110071.9</v>
      </c>
      <c r="U119" s="35">
        <f ca="1">IF(ISERROR(MATCH(U$1,INDIRECT("Table!A"&amp;$AN119):INDIRECT("Table!" &amp; $AR$159 &amp; $AN119),0)),"",INDIRECT(CONCATENATE("Table!",ADDRESS($AJ119,MATCH(U$1,INDIRECT("Table!A" &amp; $AN119):INDIRECT("Table!" &amp; $AR$159 &amp; $AN119),0)))))</f>
        <v>121331.8</v>
      </c>
      <c r="V119" s="35">
        <f ca="1">IF(ISERROR(MATCH(V$1,INDIRECT("Table!A"&amp;$AN119):INDIRECT("Table!" &amp; $AR$159 &amp; $AN119),0)),"",INDIRECT(CONCATENATE("Table!",ADDRESS($AJ119,MATCH(V$1,INDIRECT("Table!A" &amp; $AN119):INDIRECT("Table!" &amp; $AR$159 &amp; $AN119),0)))))</f>
        <v>170967.6</v>
      </c>
      <c r="W119" s="35">
        <f ca="1">IF(ISERROR(MATCH(W$1,INDIRECT("Table!A"&amp;$AN119):INDIRECT("Table!" &amp; $AR$159 &amp; $AN119),0)),"",INDIRECT(CONCATENATE("Table!",ADDRESS($AJ119,MATCH(W$1,INDIRECT("Table!A" &amp; $AN119):INDIRECT("Table!" &amp; $AR$159 &amp; $AN119),0)))))</f>
        <v>54921</v>
      </c>
      <c r="X119" s="35">
        <f ca="1">IF(ISERROR(MATCH(X$1,INDIRECT("Table!A"&amp;$AN119):INDIRECT("Table!" &amp; $AR$159 &amp; $AN119),0)),"",INDIRECT(CONCATENATE("Table!",ADDRESS($AJ119,MATCH(X$1,INDIRECT("Table!A" &amp; $AN119):INDIRECT("Table!" &amp; $AR$159 &amp; $AN119),0)))))</f>
        <v>60665.9</v>
      </c>
      <c r="Y119" s="35">
        <f ca="1">IF(ISERROR(MATCH(Y$1,INDIRECT("Table!A"&amp;$AN119):INDIRECT("Table!" &amp; $AR$159 &amp; $AN119),0)),"",INDIRECT(CONCATENATE("Table!",ADDRESS($AJ119,MATCH(Y$1,INDIRECT("Table!A" &amp; $AN119):INDIRECT("Table!" &amp; $AR$159 &amp; $AN119),0)))))</f>
        <v>176482.7</v>
      </c>
      <c r="Z119" s="35">
        <f ca="1">IF(ISERROR(MATCH(Z$1,INDIRECT("Table!A"&amp;$AN119):INDIRECT("Table!" &amp; $AR$159 &amp; $AN119),0)),"",INDIRECT(CONCATENATE("Table!",ADDRESS($AJ119,MATCH(Z$1,INDIRECT("Table!A" &amp; $AN119):INDIRECT("Table!" &amp; $AR$159 &amp; $AN119),0)))))</f>
        <v>54921</v>
      </c>
      <c r="AA119" s="12"/>
      <c r="AB119" s="12">
        <f>MATCH($A119,Table!$A:$A,0)+$AD$2-1</f>
        <v>1729</v>
      </c>
      <c r="AF119" s="31">
        <f>MATCH($A119,Table!$A:$A,0)+$AH$2-1</f>
        <v>1727</v>
      </c>
      <c r="AJ119" s="12">
        <f>MATCH($A119,Table!$A:$A,0)+$AL$2-1</f>
        <v>1728</v>
      </c>
      <c r="AN119" s="31">
        <f>MATCH($A119,Table!$A:$A,0)+$AH$2-1</f>
        <v>1727</v>
      </c>
      <c r="AR119" s="158" t="s">
        <v>118</v>
      </c>
    </row>
    <row r="120" spans="1:44">
      <c r="A120" s="5">
        <v>40980</v>
      </c>
      <c r="B120" s="35">
        <f ca="1">IF(ISERROR(MATCH(B$1,INDIRECT("Table!A"&amp;$AF120):INDIRECT("Table!" &amp; $AR$159 &amp; $AF120),0)),"",INDIRECT(CONCATENATE("Table!",ADDRESS($AB120,MATCH(B$1,INDIRECT("Table!A" &amp; $AF120):INDIRECT("Table!" &amp; $AR$159 &amp; $AF120),0)))))</f>
        <v>95412.1</v>
      </c>
      <c r="C120" s="35">
        <f ca="1">IF(ISERROR(MATCH(C$1,INDIRECT("Table!A"&amp;$AF120):INDIRECT("Table!" &amp; $AR$159 &amp; $AF120),0)),"",INDIRECT(CONCATENATE("Table!",ADDRESS($AB120,MATCH(C$1,INDIRECT("Table!A" &amp; $AF120):INDIRECT("Table!" &amp; $AR$159 &amp; $AF120),0)))))</f>
        <v>65478.8</v>
      </c>
      <c r="D120" s="35">
        <f ca="1">IF(ISERROR(MATCH(D$1,INDIRECT("Table!A"&amp;$AF120):INDIRECT("Table!" &amp; $AR$159 &amp; $AF120),0)),"",INDIRECT(CONCATENATE("Table!",ADDRESS($AB120,MATCH(D$1,INDIRECT("Table!A" &amp; $AF120):INDIRECT("Table!" &amp; $AR$159 &amp; $AF120),0)))))</f>
        <v>66856.5</v>
      </c>
      <c r="E120" s="35">
        <f ca="1">IF(ISERROR(MATCH(E$1,INDIRECT("Table!A"&amp;$AF120):INDIRECT("Table!" &amp; $AR$159 &amp; $AF120),0)),"",INDIRECT(CONCATENATE("Table!",ADDRESS($AB120,MATCH(E$1,INDIRECT("Table!A" &amp; $AF120):INDIRECT("Table!" &amp; $AR$159 &amp; $AF120),0)))))</f>
        <v>132884.20000000001</v>
      </c>
      <c r="F120" s="35">
        <f ca="1">IF(ISERROR(MATCH(F$1,INDIRECT("Table!A"&amp;$AF120):INDIRECT("Table!" &amp; $AR$159 &amp; $AF120),0)),"",INDIRECT(CONCATENATE("Table!",ADDRESS($AB120,MATCH(F$1,INDIRECT("Table!A" &amp; $AF120):INDIRECT("Table!" &amp; $AR$159 &amp; $AF120),0)))))</f>
        <v>1592.8</v>
      </c>
      <c r="G120" s="35">
        <f ca="1">IF(ISERROR(MATCH(G$1,INDIRECT("Table!A"&amp;$AF120):INDIRECT("Table!" &amp; $AR$159 &amp; $AF120),0)),"",INDIRECT(CONCATENATE("Table!",ADDRESS($AB120,MATCH(G$1,INDIRECT("Table!A" &amp; $AF120):INDIRECT("Table!" &amp; $AR$159 &amp; $AF120),0)))))</f>
        <v>30223.8</v>
      </c>
      <c r="H120" s="35">
        <f ca="1">IF(ISERROR(MATCH(H$1,INDIRECT("Table!A"&amp;$AF120):INDIRECT("Table!" &amp; $AR$159 &amp; $AF120),0)),"",INDIRECT(CONCATENATE("Table!",ADDRESS($AB120,MATCH(H$1,INDIRECT("Table!A" &amp; $AF120):INDIRECT("Table!" &amp; $AR$159 &amp; $AF120),0)))))</f>
        <v>19930.8</v>
      </c>
      <c r="I120" s="35">
        <f ca="1">IF(ISERROR(MATCH(I$1,INDIRECT("Table!A"&amp;$AF120):INDIRECT("Table!" &amp; $AR$159 &amp; $AF120),0)),"",INDIRECT(CONCATENATE("Table!",ADDRESS($AB120,MATCH(I$1,INDIRECT("Table!A" &amp; $AF120):INDIRECT("Table!" &amp; $AR$159 &amp; $AF120),0)))))</f>
        <v>120488.6</v>
      </c>
      <c r="J120" s="35">
        <f ca="1">IF(ISERROR(MATCH(J$1,INDIRECT("Table!A"&amp;$AF120):INDIRECT("Table!" &amp; $AR$159 &amp; $AF120),0)),"",INDIRECT(CONCATENATE("Table!",ADDRESS($AB120,MATCH(J$1,INDIRECT("Table!A" &amp; $AF120):INDIRECT("Table!" &amp; $AR$159 &amp; $AF120),0)))))</f>
        <v>29633.1</v>
      </c>
      <c r="K120" s="35">
        <f ca="1">IF(ISERROR(MATCH(K$1,INDIRECT("Table!A"&amp;$AF120):INDIRECT("Table!" &amp; $AR$159 &amp; $AF120),0)),"",INDIRECT(CONCATENATE("Table!",ADDRESS($AB120,MATCH(K$1,INDIRECT("Table!A" &amp; $AF120):INDIRECT("Table!" &amp; $AR$159 &amp; $AF120),0)))))</f>
        <v>845.2</v>
      </c>
      <c r="L120" s="35">
        <f ca="1">IF(ISERROR(MATCH(L$1,INDIRECT("Table!A"&amp;$AF120):INDIRECT("Table!" &amp; $AR$159 &amp; $AF120),0)),"",INDIRECT(CONCATENATE("Table!",ADDRESS($AB120,MATCH(L$1,INDIRECT("Table!A" &amp; $AF120):INDIRECT("Table!" &amp; $AR$159 &amp; $AF120),0)))))</f>
        <v>78645</v>
      </c>
      <c r="M120" s="35">
        <f ca="1">IF(ISERROR(MATCH(M$1,INDIRECT("Table!A"&amp;$AF120):INDIRECT("Table!" &amp; $AR$159 &amp; $AF120),0)),"",INDIRECT(CONCATENATE("Table!",ADDRESS($AB120,MATCH(M$1,INDIRECT("Table!A" &amp; $AF120):INDIRECT("Table!" &amp; $AR$159 &amp; $AF120),0)))))</f>
        <v>22941.4</v>
      </c>
      <c r="N120" s="35" t="str">
        <f ca="1">IF(ISERROR(MATCH(N$1,INDIRECT("Table!A"&amp;$AF120):INDIRECT("Table!" &amp; $AR$188 &amp; $AF120),0)),"",INDIRECT(CONCATENATE("Table!",ADDRESS($AB120,MATCH(N$1,INDIRECT("Table!A" &amp; $AF120):INDIRECT("Table!" &amp; $AR$188 &amp; $AF120),0)))))</f>
        <v/>
      </c>
      <c r="O120" s="35">
        <f ca="1">IF(ISERROR(MATCH(O$1,INDIRECT("Table!A"&amp;$AN120):INDIRECT("Table!" &amp; $AR$159 &amp; $AN120),0)),"",INDIRECT(CONCATENATE("Table!",ADDRESS($AJ120,MATCH(O$1,INDIRECT("Table!A" &amp; $AN120):INDIRECT("Table!" &amp; $AR$159 &amp; $AN120),0)))))</f>
        <v>115816.8</v>
      </c>
      <c r="P120" s="35">
        <f ca="1">IF(ISERROR(MATCH(P$1,INDIRECT("Table!A"&amp;$AN120):INDIRECT("Table!" &amp; $AR$159 &amp; $AN120),0)),"",INDIRECT(CONCATENATE("Table!",ADDRESS($AJ120,MATCH(P$1,INDIRECT("Table!A" &amp; $AN120):INDIRECT("Table!" &amp; $AR$159 &amp; $AN120),0)))))</f>
        <v>99042</v>
      </c>
      <c r="Q120" s="35">
        <f ca="1">IF(ISERROR(MATCH(Q$1,INDIRECT("Table!A"&amp;$AN120):INDIRECT("Table!" &amp; $AR$159 &amp; $AN120),0)),"",INDIRECT(CONCATENATE("Table!",ADDRESS($AJ120,MATCH(Q$1,INDIRECT("Table!A" &amp; $AN120):INDIRECT("Table!" &amp; $AR$159 &amp; $AN120),0)))))</f>
        <v>99042</v>
      </c>
      <c r="R120" s="35">
        <f ca="1">IF(ISERROR(MATCH(R$1,INDIRECT("Table!A"&amp;$AN120):INDIRECT("Table!" &amp; $AR$159 &amp; $AN120),0)),"",INDIRECT(CONCATENATE("Table!",ADDRESS($AJ120,MATCH(R$1,INDIRECT("Table!A" &amp; $AN120):INDIRECT("Table!" &amp; $AR$159 &amp; $AN120),0)))))</f>
        <v>154422.39999999999</v>
      </c>
      <c r="S120" s="35">
        <f ca="1">IF(ISERROR(MATCH(S$1,INDIRECT("Table!A"&amp;$AN120):INDIRECT("Table!" &amp; $AR$159 &amp; $AN120),0)),"",INDIRECT(CONCATENATE("Table!",ADDRESS($AJ120,MATCH(S$1,INDIRECT("Table!A" &amp; $AN120):INDIRECT("Table!" &amp; $AR$159 &amp; $AN120),0)))))</f>
        <v>121331.8</v>
      </c>
      <c r="T120" s="35">
        <f ca="1">IF(ISERROR(MATCH(T$1,INDIRECT("Table!A"&amp;$AN120):INDIRECT("Table!" &amp; $AR$159 &amp; $AN120),0)),"",INDIRECT(CONCATENATE("Table!",ADDRESS($AJ120,MATCH(T$1,INDIRECT("Table!A" &amp; $AN120):INDIRECT("Table!" &amp; $AR$159 &amp; $AN120),0)))))</f>
        <v>110071.9</v>
      </c>
      <c r="U120" s="35">
        <f ca="1">IF(ISERROR(MATCH(U$1,INDIRECT("Table!A"&amp;$AN120):INDIRECT("Table!" &amp; $AR$159 &amp; $AN120),0)),"",INDIRECT(CONCATENATE("Table!",ADDRESS($AJ120,MATCH(U$1,INDIRECT("Table!A" &amp; $AN120):INDIRECT("Table!" &amp; $AR$159 &amp; $AN120),0)))))</f>
        <v>121331.8</v>
      </c>
      <c r="V120" s="35">
        <f ca="1">IF(ISERROR(MATCH(V$1,INDIRECT("Table!A"&amp;$AN120):INDIRECT("Table!" &amp; $AR$159 &amp; $AN120),0)),"",INDIRECT(CONCATENATE("Table!",ADDRESS($AJ120,MATCH(V$1,INDIRECT("Table!A" &amp; $AN120):INDIRECT("Table!" &amp; $AR$159 &amp; $AN120),0)))))</f>
        <v>170967.6</v>
      </c>
      <c r="W120" s="35">
        <f ca="1">IF(ISERROR(MATCH(W$1,INDIRECT("Table!A"&amp;$AN120):INDIRECT("Table!" &amp; $AR$159 &amp; $AN120),0)),"",INDIRECT(CONCATENATE("Table!",ADDRESS($AJ120,MATCH(W$1,INDIRECT("Table!A" &amp; $AN120):INDIRECT("Table!" &amp; $AR$159 &amp; $AN120),0)))))</f>
        <v>54921</v>
      </c>
      <c r="X120" s="35">
        <f ca="1">IF(ISERROR(MATCH(X$1,INDIRECT("Table!A"&amp;$AN120):INDIRECT("Table!" &amp; $AR$159 &amp; $AN120),0)),"",INDIRECT(CONCATENATE("Table!",ADDRESS($AJ120,MATCH(X$1,INDIRECT("Table!A" &amp; $AN120):INDIRECT("Table!" &amp; $AR$159 &amp; $AN120),0)))))</f>
        <v>60665.9</v>
      </c>
      <c r="Y120" s="35">
        <f ca="1">IF(ISERROR(MATCH(Y$1,INDIRECT("Table!A"&amp;$AN120):INDIRECT("Table!" &amp; $AR$159 &amp; $AN120),0)),"",INDIRECT(CONCATENATE("Table!",ADDRESS($AJ120,MATCH(Y$1,INDIRECT("Table!A" &amp; $AN120):INDIRECT("Table!" &amp; $AR$159 &amp; $AN120),0)))))</f>
        <v>176482.7</v>
      </c>
      <c r="Z120" s="35">
        <f ca="1">IF(ISERROR(MATCH(Z$1,INDIRECT("Table!A"&amp;$AN120):INDIRECT("Table!" &amp; $AR$159 &amp; $AN120),0)),"",INDIRECT(CONCATENATE("Table!",ADDRESS($AJ120,MATCH(Z$1,INDIRECT("Table!A" &amp; $AN120):INDIRECT("Table!" &amp; $AR$159 &amp; $AN120),0)))))</f>
        <v>54921</v>
      </c>
      <c r="AA120" s="12"/>
      <c r="AB120" s="12">
        <f>MATCH($A120,Table!$A:$A,0)+$AD$2-1</f>
        <v>1742</v>
      </c>
      <c r="AF120" s="31">
        <f>MATCH($A120,Table!$A:$A,0)+$AH$2-1</f>
        <v>1740</v>
      </c>
      <c r="AJ120" s="12">
        <f>MATCH($A120,Table!$A:$A,0)+$AL$2-1</f>
        <v>1741</v>
      </c>
      <c r="AN120" s="31">
        <f>MATCH($A120,Table!$A:$A,0)+$AH$2-1</f>
        <v>1740</v>
      </c>
      <c r="AR120" s="157" t="s">
        <v>118</v>
      </c>
    </row>
    <row r="121" spans="1:44">
      <c r="A121" s="5">
        <v>40977</v>
      </c>
      <c r="B121" s="35">
        <f ca="1">IF(ISERROR(MATCH(B$1,INDIRECT("Table!A"&amp;$AF121):INDIRECT("Table!" &amp; $AR$159 &amp; $AF121),0)),"",INDIRECT(CONCATENATE("Table!",ADDRESS($AB121,MATCH(B$1,INDIRECT("Table!A" &amp; $AF121):INDIRECT("Table!" &amp; $AR$159 &amp; $AF121),0)))))</f>
        <v>94970.2</v>
      </c>
      <c r="C121" s="35">
        <f ca="1">IF(ISERROR(MATCH(C$1,INDIRECT("Table!A"&amp;$AF121):INDIRECT("Table!" &amp; $AR$159 &amp; $AF121),0)),"",INDIRECT(CONCATENATE("Table!",ADDRESS($AB121,MATCH(C$1,INDIRECT("Table!A" &amp; $AF121):INDIRECT("Table!" &amp; $AR$159 &amp; $AF121),0)))))</f>
        <v>65398.9</v>
      </c>
      <c r="D121" s="35">
        <f ca="1">IF(ISERROR(MATCH(D$1,INDIRECT("Table!A"&amp;$AF121):INDIRECT("Table!" &amp; $AR$159 &amp; $AF121),0)),"",INDIRECT(CONCATENATE("Table!",ADDRESS($AB121,MATCH(D$1,INDIRECT("Table!A" &amp; $AF121):INDIRECT("Table!" &amp; $AR$159 &amp; $AF121),0)))))</f>
        <v>66776.600000000006</v>
      </c>
      <c r="E121" s="35">
        <f ca="1">IF(ISERROR(MATCH(E$1,INDIRECT("Table!A"&amp;$AF121):INDIRECT("Table!" &amp; $AR$159 &amp; $AF121),0)),"",INDIRECT(CONCATENATE("Table!",ADDRESS($AB121,MATCH(E$1,INDIRECT("Table!A" &amp; $AF121):INDIRECT("Table!" &amp; $AR$159 &amp; $AF121),0)))))</f>
        <v>132700.4</v>
      </c>
      <c r="F121" s="35">
        <f ca="1">IF(ISERROR(MATCH(F$1,INDIRECT("Table!A"&amp;$AF121):INDIRECT("Table!" &amp; $AR$159 &amp; $AF121),0)),"",INDIRECT(CONCATENATE("Table!",ADDRESS($AB121,MATCH(F$1,INDIRECT("Table!A" &amp; $AF121):INDIRECT("Table!" &amp; $AR$159 &amp; $AF121),0)))))</f>
        <v>1565.8</v>
      </c>
      <c r="G121" s="35">
        <f ca="1">IF(ISERROR(MATCH(G$1,INDIRECT("Table!A"&amp;$AF121):INDIRECT("Table!" &amp; $AR$159 &amp; $AF121),0)),"",INDIRECT(CONCATENATE("Table!",ADDRESS($AB121,MATCH(G$1,INDIRECT("Table!A" &amp; $AF121):INDIRECT("Table!" &amp; $AR$159 &amp; $AF121),0)))))</f>
        <v>29984.3</v>
      </c>
      <c r="H121" s="35">
        <f ca="1">IF(ISERROR(MATCH(H$1,INDIRECT("Table!A"&amp;$AF121):INDIRECT("Table!" &amp; $AR$159 &amp; $AF121),0)),"",INDIRECT(CONCATENATE("Table!",ADDRESS($AB121,MATCH(H$1,INDIRECT("Table!A" &amp; $AF121):INDIRECT("Table!" &amp; $AR$159 &amp; $AF121),0)))))</f>
        <v>19784.599999999999</v>
      </c>
      <c r="I121" s="35">
        <f ca="1">IF(ISERROR(MATCH(I$1,INDIRECT("Table!A"&amp;$AF121):INDIRECT("Table!" &amp; $AR$159 &amp; $AF121),0)),"",INDIRECT(CONCATENATE("Table!",ADDRESS($AB121,MATCH(I$1,INDIRECT("Table!A" &amp; $AF121):INDIRECT("Table!" &amp; $AR$159 &amp; $AF121),0)))))</f>
        <v>120141.4</v>
      </c>
      <c r="J121" s="35">
        <f ca="1">IF(ISERROR(MATCH(J$1,INDIRECT("Table!A"&amp;$AF121):INDIRECT("Table!" &amp; $AR$159 &amp; $AF121),0)),"",INDIRECT(CONCATENATE("Table!",ADDRESS($AB121,MATCH(J$1,INDIRECT("Table!A" &amp; $AF121):INDIRECT("Table!" &amp; $AR$159 &amp; $AF121),0)))))</f>
        <v>29599.3</v>
      </c>
      <c r="K121" s="35">
        <f ca="1">IF(ISERROR(MATCH(K$1,INDIRECT("Table!A"&amp;$AF121):INDIRECT("Table!" &amp; $AR$159 &amp; $AF121),0)),"",INDIRECT(CONCATENATE("Table!",ADDRESS($AB121,MATCH(K$1,INDIRECT("Table!A" &amp; $AF121):INDIRECT("Table!" &amp; $AR$159 &amp; $AF121),0)))))</f>
        <v>828.9</v>
      </c>
      <c r="L121" s="35">
        <f ca="1">IF(ISERROR(MATCH(L$1,INDIRECT("Table!A"&amp;$AF121):INDIRECT("Table!" &amp; $AR$159 &amp; $AF121),0)),"",INDIRECT(CONCATENATE("Table!",ADDRESS($AB121,MATCH(L$1,INDIRECT("Table!A" &amp; $AF121):INDIRECT("Table!" &amp; $AR$159 &amp; $AF121),0)))))</f>
        <v>78490</v>
      </c>
      <c r="M121" s="35">
        <f ca="1">IF(ISERROR(MATCH(M$1,INDIRECT("Table!A"&amp;$AF121):INDIRECT("Table!" &amp; $AR$159 &amp; $AF121),0)),"",INDIRECT(CONCATENATE("Table!",ADDRESS($AB121,MATCH(M$1,INDIRECT("Table!A" &amp; $AF121):INDIRECT("Table!" &amp; $AR$159 &amp; $AF121),0)))))</f>
        <v>22940.9</v>
      </c>
      <c r="N121" s="35" t="str">
        <f ca="1">IF(ISERROR(MATCH(N$1,INDIRECT("Table!A"&amp;$AF121):INDIRECT("Table!" &amp; $AR$188 &amp; $AF121),0)),"",INDIRECT(CONCATENATE("Table!",ADDRESS($AB121,MATCH(N$1,INDIRECT("Table!A" &amp; $AF121):INDIRECT("Table!" &amp; $AR$188 &amp; $AF121),0)))))</f>
        <v/>
      </c>
      <c r="O121" s="35">
        <f ca="1">IF(ISERROR(MATCH(O$1,INDIRECT("Table!A"&amp;$AN121):INDIRECT("Table!" &amp; $AR$159 &amp; $AN121),0)),"",INDIRECT(CONCATENATE("Table!",ADDRESS($AJ121,MATCH(O$1,INDIRECT("Table!A" &amp; $AN121):INDIRECT("Table!" &amp; $AR$159 &amp; $AN121),0)))))</f>
        <v>115816.8</v>
      </c>
      <c r="P121" s="35">
        <f ca="1">IF(ISERROR(MATCH(P$1,INDIRECT("Table!A"&amp;$AN121):INDIRECT("Table!" &amp; $AR$159 &amp; $AN121),0)),"",INDIRECT(CONCATENATE("Table!",ADDRESS($AJ121,MATCH(P$1,INDIRECT("Table!A" &amp; $AN121):INDIRECT("Table!" &amp; $AR$159 &amp; $AN121),0)))))</f>
        <v>99042</v>
      </c>
      <c r="Q121" s="35">
        <f ca="1">IF(ISERROR(MATCH(Q$1,INDIRECT("Table!A"&amp;$AN121):INDIRECT("Table!" &amp; $AR$159 &amp; $AN121),0)),"",INDIRECT(CONCATENATE("Table!",ADDRESS($AJ121,MATCH(Q$1,INDIRECT("Table!A" &amp; $AN121):INDIRECT("Table!" &amp; $AR$159 &amp; $AN121),0)))))</f>
        <v>99042</v>
      </c>
      <c r="R121" s="35">
        <f ca="1">IF(ISERROR(MATCH(R$1,INDIRECT("Table!A"&amp;$AN121):INDIRECT("Table!" &amp; $AR$159 &amp; $AN121),0)),"",INDIRECT(CONCATENATE("Table!",ADDRESS($AJ121,MATCH(R$1,INDIRECT("Table!A" &amp; $AN121):INDIRECT("Table!" &amp; $AR$159 &amp; $AN121),0)))))</f>
        <v>154422.39999999999</v>
      </c>
      <c r="S121" s="35">
        <f ca="1">IF(ISERROR(MATCH(S$1,INDIRECT("Table!A"&amp;$AN121):INDIRECT("Table!" &amp; $AR$159 &amp; $AN121),0)),"",INDIRECT(CONCATENATE("Table!",ADDRESS($AJ121,MATCH(S$1,INDIRECT("Table!A" &amp; $AN121):INDIRECT("Table!" &amp; $AR$159 &amp; $AN121),0)))))</f>
        <v>121331.8</v>
      </c>
      <c r="T121" s="35">
        <f ca="1">IF(ISERROR(MATCH(T$1,INDIRECT("Table!A"&amp;$AN121):INDIRECT("Table!" &amp; $AR$159 &amp; $AN121),0)),"",INDIRECT(CONCATENATE("Table!",ADDRESS($AJ121,MATCH(T$1,INDIRECT("Table!A" &amp; $AN121):INDIRECT("Table!" &amp; $AR$159 &amp; $AN121),0)))))</f>
        <v>110071.9</v>
      </c>
      <c r="U121" s="35">
        <f ca="1">IF(ISERROR(MATCH(U$1,INDIRECT("Table!A"&amp;$AN121):INDIRECT("Table!" &amp; $AR$159 &amp; $AN121),0)),"",INDIRECT(CONCATENATE("Table!",ADDRESS($AJ121,MATCH(U$1,INDIRECT("Table!A" &amp; $AN121):INDIRECT("Table!" &amp; $AR$159 &amp; $AN121),0)))))</f>
        <v>121331.8</v>
      </c>
      <c r="V121" s="35">
        <f ca="1">IF(ISERROR(MATCH(V$1,INDIRECT("Table!A"&amp;$AN121):INDIRECT("Table!" &amp; $AR$159 &amp; $AN121),0)),"",INDIRECT(CONCATENATE("Table!",ADDRESS($AJ121,MATCH(V$1,INDIRECT("Table!A" &amp; $AN121):INDIRECT("Table!" &amp; $AR$159 &amp; $AN121),0)))))</f>
        <v>170967.6</v>
      </c>
      <c r="W121" s="35">
        <f ca="1">IF(ISERROR(MATCH(W$1,INDIRECT("Table!A"&amp;$AN121):INDIRECT("Table!" &amp; $AR$159 &amp; $AN121),0)),"",INDIRECT(CONCATENATE("Table!",ADDRESS($AJ121,MATCH(W$1,INDIRECT("Table!A" &amp; $AN121):INDIRECT("Table!" &amp; $AR$159 &amp; $AN121),0)))))</f>
        <v>54921</v>
      </c>
      <c r="X121" s="35">
        <f ca="1">IF(ISERROR(MATCH(X$1,INDIRECT("Table!A"&amp;$AN121):INDIRECT("Table!" &amp; $AR$159 &amp; $AN121),0)),"",INDIRECT(CONCATENATE("Table!",ADDRESS($AJ121,MATCH(X$1,INDIRECT("Table!A" &amp; $AN121):INDIRECT("Table!" &amp; $AR$159 &amp; $AN121),0)))))</f>
        <v>60665.9</v>
      </c>
      <c r="Y121" s="35">
        <f ca="1">IF(ISERROR(MATCH(Y$1,INDIRECT("Table!A"&amp;$AN121):INDIRECT("Table!" &amp; $AR$159 &amp; $AN121),0)),"",INDIRECT(CONCATENATE("Table!",ADDRESS($AJ121,MATCH(Y$1,INDIRECT("Table!A" &amp; $AN121):INDIRECT("Table!" &amp; $AR$159 &amp; $AN121),0)))))</f>
        <v>176482.7</v>
      </c>
      <c r="Z121" s="35">
        <f ca="1">IF(ISERROR(MATCH(Z$1,INDIRECT("Table!A"&amp;$AN121):INDIRECT("Table!" &amp; $AR$159 &amp; $AN121),0)),"",INDIRECT(CONCATENATE("Table!",ADDRESS($AJ121,MATCH(Z$1,INDIRECT("Table!A" &amp; $AN121):INDIRECT("Table!" &amp; $AR$159 &amp; $AN121),0)))))</f>
        <v>54921</v>
      </c>
      <c r="AA121" s="12"/>
      <c r="AB121" s="12">
        <f>MATCH($A121,Table!$A:$A,0)+$AD$2-1</f>
        <v>1755</v>
      </c>
      <c r="AF121" s="31">
        <f>MATCH($A121,Table!$A:$A,0)+$AH$2-1</f>
        <v>1753</v>
      </c>
      <c r="AJ121" s="12">
        <f>MATCH($A121,Table!$A:$A,0)+$AL$2-1</f>
        <v>1754</v>
      </c>
      <c r="AN121" s="31">
        <f>MATCH($A121,Table!$A:$A,0)+$AH$2-1</f>
        <v>1753</v>
      </c>
      <c r="AR121" s="156" t="s">
        <v>118</v>
      </c>
    </row>
    <row r="122" spans="1:44">
      <c r="A122" s="5">
        <v>40976</v>
      </c>
      <c r="B122" s="35">
        <f ca="1">IF(ISERROR(MATCH(B$1,INDIRECT("Table!A"&amp;$AF122):INDIRECT("Table!" &amp; $AR$159 &amp; $AF122),0)),"",INDIRECT(CONCATENATE("Table!",ADDRESS($AB122,MATCH(B$1,INDIRECT("Table!A" &amp; $AF122):INDIRECT("Table!" &amp; $AR$159 &amp; $AF122),0)))))</f>
        <v>94709.7</v>
      </c>
      <c r="C122" s="35">
        <f ca="1">IF(ISERROR(MATCH(C$1,INDIRECT("Table!A"&amp;$AF122):INDIRECT("Table!" &amp; $AR$159 &amp; $AF122),0)),"",INDIRECT(CONCATENATE("Table!",ADDRESS($AB122,MATCH(C$1,INDIRECT("Table!A" &amp; $AF122):INDIRECT("Table!" &amp; $AR$159 &amp; $AF122),0)))))</f>
        <v>65411.4</v>
      </c>
      <c r="D122" s="35">
        <f ca="1">IF(ISERROR(MATCH(D$1,INDIRECT("Table!A"&amp;$AF122):INDIRECT("Table!" &amp; $AR$159 &amp; $AF122),0)),"",INDIRECT(CONCATENATE("Table!",ADDRESS($AB122,MATCH(D$1,INDIRECT("Table!A" &amp; $AF122):INDIRECT("Table!" &amp; $AR$159 &amp; $AF122),0)))))</f>
        <v>66789</v>
      </c>
      <c r="E122" s="35">
        <f ca="1">IF(ISERROR(MATCH(E$1,INDIRECT("Table!A"&amp;$AF122):INDIRECT("Table!" &amp; $AR$159 &amp; $AF122),0)),"",INDIRECT(CONCATENATE("Table!",ADDRESS($AB122,MATCH(E$1,INDIRECT("Table!A" &amp; $AF122):INDIRECT("Table!" &amp; $AR$159 &amp; $AF122),0)))))</f>
        <v>132576.20000000001</v>
      </c>
      <c r="F122" s="35">
        <f ca="1">IF(ISERROR(MATCH(F$1,INDIRECT("Table!A"&amp;$AF122):INDIRECT("Table!" &amp; $AR$159 &amp; $AF122),0)),"",INDIRECT(CONCATENATE("Table!",ADDRESS($AB122,MATCH(F$1,INDIRECT("Table!A" &amp; $AF122):INDIRECT("Table!" &amp; $AR$159 &amp; $AF122),0)))))</f>
        <v>1565.8</v>
      </c>
      <c r="G122" s="35">
        <f ca="1">IF(ISERROR(MATCH(G$1,INDIRECT("Table!A"&amp;$AF122):INDIRECT("Table!" &amp; $AR$159 &amp; $AF122),0)),"",INDIRECT(CONCATENATE("Table!",ADDRESS($AB122,MATCH(G$1,INDIRECT("Table!A" &amp; $AF122):INDIRECT("Table!" &amp; $AR$159 &amp; $AF122),0)))))</f>
        <v>29687.200000000001</v>
      </c>
      <c r="H122" s="35">
        <f ca="1">IF(ISERROR(MATCH(H$1,INDIRECT("Table!A"&amp;$AF122):INDIRECT("Table!" &amp; $AR$159 &amp; $AF122),0)),"",INDIRECT(CONCATENATE("Table!",ADDRESS($AB122,MATCH(H$1,INDIRECT("Table!A" &amp; $AF122):INDIRECT("Table!" &amp; $AR$159 &amp; $AF122),0)))))</f>
        <v>19782.5</v>
      </c>
      <c r="I122" s="35">
        <f ca="1">IF(ISERROR(MATCH(I$1,INDIRECT("Table!A"&amp;$AF122):INDIRECT("Table!" &amp; $AR$159 &amp; $AF122),0)),"",INDIRECT(CONCATENATE("Table!",ADDRESS($AB122,MATCH(I$1,INDIRECT("Table!A" &amp; $AF122):INDIRECT("Table!" &amp; $AR$159 &amp; $AF122),0)))))</f>
        <v>119385.3</v>
      </c>
      <c r="J122" s="35">
        <f ca="1">IF(ISERROR(MATCH(J$1,INDIRECT("Table!A"&amp;$AF122):INDIRECT("Table!" &amp; $AR$159 &amp; $AF122),0)),"",INDIRECT(CONCATENATE("Table!",ADDRESS($AB122,MATCH(J$1,INDIRECT("Table!A" &amp; $AF122):INDIRECT("Table!" &amp; $AR$159 &amp; $AF122),0)))))</f>
        <v>29586.7</v>
      </c>
      <c r="K122" s="35">
        <f ca="1">IF(ISERROR(MATCH(K$1,INDIRECT("Table!A"&amp;$AF122):INDIRECT("Table!" &amp; $AR$159 &amp; $AF122),0)),"",INDIRECT(CONCATENATE("Table!",ADDRESS($AB122,MATCH(K$1,INDIRECT("Table!A" &amp; $AF122):INDIRECT("Table!" &amp; $AR$159 &amp; $AF122),0)))))</f>
        <v>826.3</v>
      </c>
      <c r="L122" s="35">
        <f ca="1">IF(ISERROR(MATCH(L$1,INDIRECT("Table!A"&amp;$AF122):INDIRECT("Table!" &amp; $AR$159 &amp; $AF122),0)),"",INDIRECT(CONCATENATE("Table!",ADDRESS($AB122,MATCH(L$1,INDIRECT("Table!A" &amp; $AF122):INDIRECT("Table!" &amp; $AR$159 &amp; $AF122),0)))))</f>
        <v>78485.8</v>
      </c>
      <c r="M122" s="35">
        <f ca="1">IF(ISERROR(MATCH(M$1,INDIRECT("Table!A"&amp;$AF122):INDIRECT("Table!" &amp; $AR$159 &amp; $AF122),0)),"",INDIRECT(CONCATENATE("Table!",ADDRESS($AB122,MATCH(M$1,INDIRECT("Table!A" &amp; $AF122):INDIRECT("Table!" &amp; $AR$159 &amp; $AF122),0)))))</f>
        <v>22940.9</v>
      </c>
      <c r="N122" s="35" t="str">
        <f ca="1">IF(ISERROR(MATCH(N$1,INDIRECT("Table!A"&amp;$AF122):INDIRECT("Table!" &amp; $AR$188 &amp; $AF122),0)),"",INDIRECT(CONCATENATE("Table!",ADDRESS($AB122,MATCH(N$1,INDIRECT("Table!A" &amp; $AF122):INDIRECT("Table!" &amp; $AR$188 &amp; $AF122),0)))))</f>
        <v/>
      </c>
      <c r="O122" s="35">
        <f ca="1">IF(ISERROR(MATCH(O$1,INDIRECT("Table!A"&amp;$AN122):INDIRECT("Table!" &amp; $AR$159 &amp; $AN122),0)),"",INDIRECT(CONCATENATE("Table!",ADDRESS($AJ122,MATCH(O$1,INDIRECT("Table!A" &amp; $AN122):INDIRECT("Table!" &amp; $AR$159 &amp; $AN122),0)))))</f>
        <v>115816.8</v>
      </c>
      <c r="P122" s="35">
        <f ca="1">IF(ISERROR(MATCH(P$1,INDIRECT("Table!A"&amp;$AN122):INDIRECT("Table!" &amp; $AR$159 &amp; $AN122),0)),"",INDIRECT(CONCATENATE("Table!",ADDRESS($AJ122,MATCH(P$1,INDIRECT("Table!A" &amp; $AN122):INDIRECT("Table!" &amp; $AR$159 &amp; $AN122),0)))))</f>
        <v>99042</v>
      </c>
      <c r="Q122" s="35">
        <f ca="1">IF(ISERROR(MATCH(Q$1,INDIRECT("Table!A"&amp;$AN122):INDIRECT("Table!" &amp; $AR$159 &amp; $AN122),0)),"",INDIRECT(CONCATENATE("Table!",ADDRESS($AJ122,MATCH(Q$1,INDIRECT("Table!A" &amp; $AN122):INDIRECT("Table!" &amp; $AR$159 &amp; $AN122),0)))))</f>
        <v>99042</v>
      </c>
      <c r="R122" s="35">
        <f ca="1">IF(ISERROR(MATCH(R$1,INDIRECT("Table!A"&amp;$AN122):INDIRECT("Table!" &amp; $AR$159 &amp; $AN122),0)),"",INDIRECT(CONCATENATE("Table!",ADDRESS($AJ122,MATCH(R$1,INDIRECT("Table!A" &amp; $AN122):INDIRECT("Table!" &amp; $AR$159 &amp; $AN122),0)))))</f>
        <v>154422.39999999999</v>
      </c>
      <c r="S122" s="35">
        <f ca="1">IF(ISERROR(MATCH(S$1,INDIRECT("Table!A"&amp;$AN122):INDIRECT("Table!" &amp; $AR$159 &amp; $AN122),0)),"",INDIRECT(CONCATENATE("Table!",ADDRESS($AJ122,MATCH(S$1,INDIRECT("Table!A" &amp; $AN122):INDIRECT("Table!" &amp; $AR$159 &amp; $AN122),0)))))</f>
        <v>121331.8</v>
      </c>
      <c r="T122" s="35">
        <f ca="1">IF(ISERROR(MATCH(T$1,INDIRECT("Table!A"&amp;$AN122):INDIRECT("Table!" &amp; $AR$159 &amp; $AN122),0)),"",INDIRECT(CONCATENATE("Table!",ADDRESS($AJ122,MATCH(T$1,INDIRECT("Table!A" &amp; $AN122):INDIRECT("Table!" &amp; $AR$159 &amp; $AN122),0)))))</f>
        <v>110071.9</v>
      </c>
      <c r="U122" s="35">
        <f ca="1">IF(ISERROR(MATCH(U$1,INDIRECT("Table!A"&amp;$AN122):INDIRECT("Table!" &amp; $AR$159 &amp; $AN122),0)),"",INDIRECT(CONCATENATE("Table!",ADDRESS($AJ122,MATCH(U$1,INDIRECT("Table!A" &amp; $AN122):INDIRECT("Table!" &amp; $AR$159 &amp; $AN122),0)))))</f>
        <v>121331.8</v>
      </c>
      <c r="V122" s="35">
        <f ca="1">IF(ISERROR(MATCH(V$1,INDIRECT("Table!A"&amp;$AN122):INDIRECT("Table!" &amp; $AR$159 &amp; $AN122),0)),"",INDIRECT(CONCATENATE("Table!",ADDRESS($AJ122,MATCH(V$1,INDIRECT("Table!A" &amp; $AN122):INDIRECT("Table!" &amp; $AR$159 &amp; $AN122),0)))))</f>
        <v>170967.6</v>
      </c>
      <c r="W122" s="35">
        <f ca="1">IF(ISERROR(MATCH(W$1,INDIRECT("Table!A"&amp;$AN122):INDIRECT("Table!" &amp; $AR$159 &amp; $AN122),0)),"",INDIRECT(CONCATENATE("Table!",ADDRESS($AJ122,MATCH(W$1,INDIRECT("Table!A" &amp; $AN122):INDIRECT("Table!" &amp; $AR$159 &amp; $AN122),0)))))</f>
        <v>54921</v>
      </c>
      <c r="X122" s="35">
        <f ca="1">IF(ISERROR(MATCH(X$1,INDIRECT("Table!A"&amp;$AN122):INDIRECT("Table!" &amp; $AR$159 &amp; $AN122),0)),"",INDIRECT(CONCATENATE("Table!",ADDRESS($AJ122,MATCH(X$1,INDIRECT("Table!A" &amp; $AN122):INDIRECT("Table!" &amp; $AR$159 &amp; $AN122),0)))))</f>
        <v>60665.9</v>
      </c>
      <c r="Y122" s="35">
        <f ca="1">IF(ISERROR(MATCH(Y$1,INDIRECT("Table!A"&amp;$AN122):INDIRECT("Table!" &amp; $AR$159 &amp; $AN122),0)),"",INDIRECT(CONCATENATE("Table!",ADDRESS($AJ122,MATCH(Y$1,INDIRECT("Table!A" &amp; $AN122):INDIRECT("Table!" &amp; $AR$159 &amp; $AN122),0)))))</f>
        <v>176482.7</v>
      </c>
      <c r="Z122" s="35">
        <f ca="1">IF(ISERROR(MATCH(Z$1,INDIRECT("Table!A"&amp;$AN122):INDIRECT("Table!" &amp; $AR$159 &amp; $AN122),0)),"",INDIRECT(CONCATENATE("Table!",ADDRESS($AJ122,MATCH(Z$1,INDIRECT("Table!A" &amp; $AN122):INDIRECT("Table!" &amp; $AR$159 &amp; $AN122),0)))))</f>
        <v>54921</v>
      </c>
      <c r="AA122" s="12"/>
      <c r="AB122" s="12">
        <f>MATCH($A122,Table!$A:$A,0)+$AD$2-1</f>
        <v>1768</v>
      </c>
      <c r="AF122" s="31">
        <f>MATCH($A122,Table!$A:$A,0)+$AH$2-1</f>
        <v>1766</v>
      </c>
      <c r="AJ122" s="12">
        <f>MATCH($A122,Table!$A:$A,0)+$AL$2-1</f>
        <v>1767</v>
      </c>
      <c r="AN122" s="31">
        <f>MATCH($A122,Table!$A:$A,0)+$AH$2-1</f>
        <v>1766</v>
      </c>
      <c r="AR122" s="155" t="s">
        <v>118</v>
      </c>
    </row>
    <row r="123" spans="1:44">
      <c r="A123" s="5">
        <v>40974</v>
      </c>
      <c r="B123" s="35">
        <f ca="1">IF(ISERROR(MATCH(B$1,INDIRECT("Table!A"&amp;$AF123):INDIRECT("Table!" &amp; $AR$159 &amp; $AF123),0)),"",INDIRECT(CONCATENATE("Table!",ADDRESS($AB123,MATCH(B$1,INDIRECT("Table!A" &amp; $AF123):INDIRECT("Table!" &amp; $AR$159 &amp; $AF123),0)))))</f>
        <v>94244.1</v>
      </c>
      <c r="C123" s="35">
        <f ca="1">IF(ISERROR(MATCH(C$1,INDIRECT("Table!A"&amp;$AF123):INDIRECT("Table!" &amp; $AR$159 &amp; $AF123),0)),"",INDIRECT(CONCATENATE("Table!",ADDRESS($AB123,MATCH(C$1,INDIRECT("Table!A" &amp; $AF123):INDIRECT("Table!" &amp; $AR$159 &amp; $AF123),0)))))</f>
        <v>66165</v>
      </c>
      <c r="D123" s="35">
        <f ca="1">IF(ISERROR(MATCH(D$1,INDIRECT("Table!A"&amp;$AF123):INDIRECT("Table!" &amp; $AR$159 &amp; $AF123),0)),"",INDIRECT(CONCATENATE("Table!",ADDRESS($AB123,MATCH(D$1,INDIRECT("Table!A" &amp; $AF123):INDIRECT("Table!" &amp; $AR$159 &amp; $AF123),0)))))</f>
        <v>67542.7</v>
      </c>
      <c r="E123" s="35">
        <f ca="1">IF(ISERROR(MATCH(E$1,INDIRECT("Table!A"&amp;$AF123):INDIRECT("Table!" &amp; $AR$159 &amp; $AF123),0)),"",INDIRECT(CONCATENATE("Table!",ADDRESS($AB123,MATCH(E$1,INDIRECT("Table!A" &amp; $AF123):INDIRECT("Table!" &amp; $AR$159 &amp; $AF123),0)))))</f>
        <v>132318.1</v>
      </c>
      <c r="F123" s="35">
        <f ca="1">IF(ISERROR(MATCH(F$1,INDIRECT("Table!A"&amp;$AF123):INDIRECT("Table!" &amp; $AR$159 &amp; $AF123),0)),"",INDIRECT(CONCATENATE("Table!",ADDRESS($AB123,MATCH(F$1,INDIRECT("Table!A" &amp; $AF123):INDIRECT("Table!" &amp; $AR$159 &amp; $AF123),0)))))</f>
        <v>1565.8</v>
      </c>
      <c r="G123" s="35">
        <f ca="1">IF(ISERROR(MATCH(G$1,INDIRECT("Table!A"&amp;$AF123):INDIRECT("Table!" &amp; $AR$159 &amp; $AF123),0)),"",INDIRECT(CONCATENATE("Table!",ADDRESS($AB123,MATCH(G$1,INDIRECT("Table!A" &amp; $AF123):INDIRECT("Table!" &amp; $AR$159 &amp; $AF123),0)))))</f>
        <v>29416.7</v>
      </c>
      <c r="H123" s="35">
        <f ca="1">IF(ISERROR(MATCH(H$1,INDIRECT("Table!A"&amp;$AF123):INDIRECT("Table!" &amp; $AR$159 &amp; $AF123),0)),"",INDIRECT(CONCATENATE("Table!",ADDRESS($AB123,MATCH(H$1,INDIRECT("Table!A" &amp; $AF123):INDIRECT("Table!" &amp; $AR$159 &amp; $AF123),0)))))</f>
        <v>19759.900000000001</v>
      </c>
      <c r="I123" s="35">
        <f ca="1">IF(ISERROR(MATCH(I$1,INDIRECT("Table!A"&amp;$AF123):INDIRECT("Table!" &amp; $AR$159 &amp; $AF123),0)),"",INDIRECT(CONCATENATE("Table!",ADDRESS($AB123,MATCH(I$1,INDIRECT("Table!A" &amp; $AF123):INDIRECT("Table!" &amp; $AR$159 &amp; $AF123),0)))))</f>
        <v>119217.2</v>
      </c>
      <c r="J123" s="35">
        <f ca="1">IF(ISERROR(MATCH(J$1,INDIRECT("Table!A"&amp;$AF123):INDIRECT("Table!" &amp; $AR$159 &amp; $AF123),0)),"",INDIRECT(CONCATENATE("Table!",ADDRESS($AB123,MATCH(J$1,INDIRECT("Table!A" &amp; $AF123):INDIRECT("Table!" &amp; $AR$159 &amp; $AF123),0)))))</f>
        <v>29558</v>
      </c>
      <c r="K123" s="35">
        <f ca="1">IF(ISERROR(MATCH(K$1,INDIRECT("Table!A"&amp;$AF123):INDIRECT("Table!" &amp; $AR$159 &amp; $AF123),0)),"",INDIRECT(CONCATENATE("Table!",ADDRESS($AB123,MATCH(K$1,INDIRECT("Table!A" &amp; $AF123):INDIRECT("Table!" &amp; $AR$159 &amp; $AF123),0)))))</f>
        <v>820.3</v>
      </c>
      <c r="L123" s="35">
        <f ca="1">IF(ISERROR(MATCH(L$1,INDIRECT("Table!A"&amp;$AF123):INDIRECT("Table!" &amp; $AR$159 &amp; $AF123),0)),"",INDIRECT(CONCATENATE("Table!",ADDRESS($AB123,MATCH(L$1,INDIRECT("Table!A" &amp; $AF123):INDIRECT("Table!" &amp; $AR$159 &amp; $AF123),0)))))</f>
        <v>78440.600000000006</v>
      </c>
      <c r="M123" s="35">
        <f ca="1">IF(ISERROR(MATCH(M$1,INDIRECT("Table!A"&amp;$AF123):INDIRECT("Table!" &amp; $AR$159 &amp; $AF123),0)),"",INDIRECT(CONCATENATE("Table!",ADDRESS($AB123,MATCH(M$1,INDIRECT("Table!A" &amp; $AF123):INDIRECT("Table!" &amp; $AR$159 &amp; $AF123),0)))))</f>
        <v>22940.9</v>
      </c>
      <c r="N123" s="35" t="str">
        <f ca="1">IF(ISERROR(MATCH(N$1,INDIRECT("Table!A"&amp;$AF123):INDIRECT("Table!" &amp; $AR$188 &amp; $AF123),0)),"",INDIRECT(CONCATENATE("Table!",ADDRESS($AB123,MATCH(N$1,INDIRECT("Table!A" &amp; $AF123):INDIRECT("Table!" &amp; $AR$188 &amp; $AF123),0)))))</f>
        <v/>
      </c>
      <c r="O123" s="35">
        <f ca="1">IF(ISERROR(MATCH(O$1,INDIRECT("Table!A"&amp;$AN123):INDIRECT("Table!" &amp; $AR$159 &amp; $AN123),0)),"",INDIRECT(CONCATENATE("Table!",ADDRESS($AJ123,MATCH(O$1,INDIRECT("Table!A" &amp; $AN123):INDIRECT("Table!" &amp; $AR$159 &amp; $AN123),0)))))</f>
        <v>115816.8</v>
      </c>
      <c r="P123" s="35">
        <f ca="1">IF(ISERROR(MATCH(P$1,INDIRECT("Table!A"&amp;$AN123):INDIRECT("Table!" &amp; $AR$159 &amp; $AN123),0)),"",INDIRECT(CONCATENATE("Table!",ADDRESS($AJ123,MATCH(P$1,INDIRECT("Table!A" &amp; $AN123):INDIRECT("Table!" &amp; $AR$159 &amp; $AN123),0)))))</f>
        <v>99042</v>
      </c>
      <c r="Q123" s="35">
        <f ca="1">IF(ISERROR(MATCH(Q$1,INDIRECT("Table!A"&amp;$AN123):INDIRECT("Table!" &amp; $AR$159 &amp; $AN123),0)),"",INDIRECT(CONCATENATE("Table!",ADDRESS($AJ123,MATCH(Q$1,INDIRECT("Table!A" &amp; $AN123):INDIRECT("Table!" &amp; $AR$159 &amp; $AN123),0)))))</f>
        <v>99042</v>
      </c>
      <c r="R123" s="35">
        <f ca="1">IF(ISERROR(MATCH(R$1,INDIRECT("Table!A"&amp;$AN123):INDIRECT("Table!" &amp; $AR$159 &amp; $AN123),0)),"",INDIRECT(CONCATENATE("Table!",ADDRESS($AJ123,MATCH(R$1,INDIRECT("Table!A" &amp; $AN123):INDIRECT("Table!" &amp; $AR$159 &amp; $AN123),0)))))</f>
        <v>154422.39999999999</v>
      </c>
      <c r="S123" s="35">
        <f ca="1">IF(ISERROR(MATCH(S$1,INDIRECT("Table!A"&amp;$AN123):INDIRECT("Table!" &amp; $AR$159 &amp; $AN123),0)),"",INDIRECT(CONCATENATE("Table!",ADDRESS($AJ123,MATCH(S$1,INDIRECT("Table!A" &amp; $AN123):INDIRECT("Table!" &amp; $AR$159 &amp; $AN123),0)))))</f>
        <v>121331.8</v>
      </c>
      <c r="T123" s="35">
        <f ca="1">IF(ISERROR(MATCH(T$1,INDIRECT("Table!A"&amp;$AN123):INDIRECT("Table!" &amp; $AR$159 &amp; $AN123),0)),"",INDIRECT(CONCATENATE("Table!",ADDRESS($AJ123,MATCH(T$1,INDIRECT("Table!A" &amp; $AN123):INDIRECT("Table!" &amp; $AR$159 &amp; $AN123),0)))))</f>
        <v>110071.9</v>
      </c>
      <c r="U123" s="35">
        <f ca="1">IF(ISERROR(MATCH(U$1,INDIRECT("Table!A"&amp;$AN123):INDIRECT("Table!" &amp; $AR$159 &amp; $AN123),0)),"",INDIRECT(CONCATENATE("Table!",ADDRESS($AJ123,MATCH(U$1,INDIRECT("Table!A" &amp; $AN123):INDIRECT("Table!" &amp; $AR$159 &amp; $AN123),0)))))</f>
        <v>121331.8</v>
      </c>
      <c r="V123" s="35">
        <f ca="1">IF(ISERROR(MATCH(V$1,INDIRECT("Table!A"&amp;$AN123):INDIRECT("Table!" &amp; $AR$159 &amp; $AN123),0)),"",INDIRECT(CONCATENATE("Table!",ADDRESS($AJ123,MATCH(V$1,INDIRECT("Table!A" &amp; $AN123):INDIRECT("Table!" &amp; $AR$159 &amp; $AN123),0)))))</f>
        <v>170967.6</v>
      </c>
      <c r="W123" s="35">
        <f ca="1">IF(ISERROR(MATCH(W$1,INDIRECT("Table!A"&amp;$AN123):INDIRECT("Table!" &amp; $AR$159 &amp; $AN123),0)),"",INDIRECT(CONCATENATE("Table!",ADDRESS($AJ123,MATCH(W$1,INDIRECT("Table!A" &amp; $AN123):INDIRECT("Table!" &amp; $AR$159 &amp; $AN123),0)))))</f>
        <v>54921</v>
      </c>
      <c r="X123" s="35">
        <f ca="1">IF(ISERROR(MATCH(X$1,INDIRECT("Table!A"&amp;$AN123):INDIRECT("Table!" &amp; $AR$159 &amp; $AN123),0)),"",INDIRECT(CONCATENATE("Table!",ADDRESS($AJ123,MATCH(X$1,INDIRECT("Table!A" &amp; $AN123):INDIRECT("Table!" &amp; $AR$159 &amp; $AN123),0)))))</f>
        <v>60665.9</v>
      </c>
      <c r="Y123" s="35">
        <f ca="1">IF(ISERROR(MATCH(Y$1,INDIRECT("Table!A"&amp;$AN123):INDIRECT("Table!" &amp; $AR$159 &amp; $AN123),0)),"",INDIRECT(CONCATENATE("Table!",ADDRESS($AJ123,MATCH(Y$1,INDIRECT("Table!A" &amp; $AN123):INDIRECT("Table!" &amp; $AR$159 &amp; $AN123),0)))))</f>
        <v>176482.7</v>
      </c>
      <c r="Z123" s="35">
        <f ca="1">IF(ISERROR(MATCH(Z$1,INDIRECT("Table!A"&amp;$AN123):INDIRECT("Table!" &amp; $AR$159 &amp; $AN123),0)),"",INDIRECT(CONCATENATE("Table!",ADDRESS($AJ123,MATCH(Z$1,INDIRECT("Table!A" &amp; $AN123):INDIRECT("Table!" &amp; $AR$159 &amp; $AN123),0)))))</f>
        <v>54921</v>
      </c>
      <c r="AA123" s="12"/>
      <c r="AB123" s="12">
        <f>MATCH($A123,Table!$A:$A,0)+$AD$2-1</f>
        <v>1781</v>
      </c>
      <c r="AF123" s="31">
        <f>MATCH($A123,Table!$A:$A,0)+$AH$2-1</f>
        <v>1779</v>
      </c>
      <c r="AJ123" s="12">
        <f>MATCH($A123,Table!$A:$A,0)+$AL$2-1</f>
        <v>1780</v>
      </c>
      <c r="AN123" s="31">
        <f>MATCH($A123,Table!$A:$A,0)+$AH$2-1</f>
        <v>1779</v>
      </c>
      <c r="AR123" s="153" t="s">
        <v>118</v>
      </c>
    </row>
    <row r="124" spans="1:44">
      <c r="A124" s="5">
        <v>40973</v>
      </c>
      <c r="B124" s="35">
        <f ca="1">IF(ISERROR(MATCH(B$1,INDIRECT("Table!A"&amp;$AF124):INDIRECT("Table!" &amp; $AR$159 &amp; $AF124),0)),"",INDIRECT(CONCATENATE("Table!",ADDRESS($AB124,MATCH(B$1,INDIRECT("Table!A" &amp; $AF124):INDIRECT("Table!" &amp; $AR$159 &amp; $AF124),0)))))</f>
        <v>94048.8</v>
      </c>
      <c r="C124" s="35">
        <f ca="1">IF(ISERROR(MATCH(C$1,INDIRECT("Table!A"&amp;$AF124):INDIRECT("Table!" &amp; $AR$159 &amp; $AF124),0)),"",INDIRECT(CONCATENATE("Table!",ADDRESS($AB124,MATCH(C$1,INDIRECT("Table!A" &amp; $AF124):INDIRECT("Table!" &amp; $AR$159 &amp; $AF124),0)))))</f>
        <v>66164.100000000006</v>
      </c>
      <c r="D124" s="35">
        <f ca="1">IF(ISERROR(MATCH(D$1,INDIRECT("Table!A"&amp;$AF124):INDIRECT("Table!" &amp; $AR$159 &amp; $AF124),0)),"",INDIRECT(CONCATENATE("Table!",ADDRESS($AB124,MATCH(D$1,INDIRECT("Table!A" &amp; $AF124):INDIRECT("Table!" &amp; $AR$159 &amp; $AF124),0)))))</f>
        <v>67541.600000000006</v>
      </c>
      <c r="E124" s="35">
        <f ca="1">IF(ISERROR(MATCH(E$1,INDIRECT("Table!A"&amp;$AF124):INDIRECT("Table!" &amp; $AR$159 &amp; $AF124),0)),"",INDIRECT(CONCATENATE("Table!",ADDRESS($AB124,MATCH(E$1,INDIRECT("Table!A" &amp; $AF124):INDIRECT("Table!" &amp; $AR$159 &amp; $AF124),0)))))</f>
        <v>132093.1</v>
      </c>
      <c r="F124" s="35">
        <f ca="1">IF(ISERROR(MATCH(F$1,INDIRECT("Table!A"&amp;$AF124):INDIRECT("Table!" &amp; $AR$159 &amp; $AF124),0)),"",INDIRECT(CONCATENATE("Table!",ADDRESS($AB124,MATCH(F$1,INDIRECT("Table!A" &amp; $AF124):INDIRECT("Table!" &amp; $AR$159 &amp; $AF124),0)))))</f>
        <v>1565.8</v>
      </c>
      <c r="G124" s="35">
        <f ca="1">IF(ISERROR(MATCH(G$1,INDIRECT("Table!A"&amp;$AF124):INDIRECT("Table!" &amp; $AR$159 &amp; $AF124),0)),"",INDIRECT(CONCATENATE("Table!",ADDRESS($AB124,MATCH(G$1,INDIRECT("Table!A" &amp; $AF124):INDIRECT("Table!" &amp; $AR$159 &amp; $AF124),0)))))</f>
        <v>29386.799999999999</v>
      </c>
      <c r="H124" s="35">
        <f ca="1">IF(ISERROR(MATCH(H$1,INDIRECT("Table!A"&amp;$AF124):INDIRECT("Table!" &amp; $AR$159 &amp; $AF124),0)),"",INDIRECT(CONCATENATE("Table!",ADDRESS($AB124,MATCH(H$1,INDIRECT("Table!A" &amp; $AF124):INDIRECT("Table!" &amp; $AR$159 &amp; $AF124),0)))))</f>
        <v>19752.5</v>
      </c>
      <c r="I124" s="35">
        <f ca="1">IF(ISERROR(MATCH(I$1,INDIRECT("Table!A"&amp;$AF124):INDIRECT("Table!" &amp; $AR$159 &amp; $AF124),0)),"",INDIRECT(CONCATENATE("Table!",ADDRESS($AB124,MATCH(I$1,INDIRECT("Table!A" &amp; $AF124):INDIRECT("Table!" &amp; $AR$159 &amp; $AF124),0)))))</f>
        <v>119098.5</v>
      </c>
      <c r="J124" s="35">
        <f ca="1">IF(ISERROR(MATCH(J$1,INDIRECT("Table!A"&amp;$AF124):INDIRECT("Table!" &amp; $AR$159 &amp; $AF124),0)),"",INDIRECT(CONCATENATE("Table!",ADDRESS($AB124,MATCH(J$1,INDIRECT("Table!A" &amp; $AF124):INDIRECT("Table!" &amp; $AR$159 &amp; $AF124),0)))))</f>
        <v>29551.8</v>
      </c>
      <c r="K124" s="35">
        <f ca="1">IF(ISERROR(MATCH(K$1,INDIRECT("Table!A"&amp;$AF124):INDIRECT("Table!" &amp; $AR$159 &amp; $AF124),0)),"",INDIRECT(CONCATENATE("Table!",ADDRESS($AB124,MATCH(K$1,INDIRECT("Table!A" &amp; $AF124):INDIRECT("Table!" &amp; $AR$159 &amp; $AF124),0)))))</f>
        <v>817.7</v>
      </c>
      <c r="L124" s="35">
        <f ca="1">IF(ISERROR(MATCH(L$1,INDIRECT("Table!A"&amp;$AF124):INDIRECT("Table!" &amp; $AR$159 &amp; $AF124),0)),"",INDIRECT(CONCATENATE("Table!",ADDRESS($AB124,MATCH(L$1,INDIRECT("Table!A" &amp; $AF124):INDIRECT("Table!" &amp; $AR$159 &amp; $AF124),0)))))</f>
        <v>78425.8</v>
      </c>
      <c r="M124" s="35">
        <f ca="1">IF(ISERROR(MATCH(M$1,INDIRECT("Table!A"&amp;$AF124):INDIRECT("Table!" &amp; $AR$159 &amp; $AF124),0)),"",INDIRECT(CONCATENATE("Table!",ADDRESS($AB124,MATCH(M$1,INDIRECT("Table!A" &amp; $AF124):INDIRECT("Table!" &amp; $AR$159 &amp; $AF124),0)))))</f>
        <v>22940.9</v>
      </c>
      <c r="N124" s="35" t="str">
        <f ca="1">IF(ISERROR(MATCH(N$1,INDIRECT("Table!A"&amp;$AF124):INDIRECT("Table!" &amp; $AR$188 &amp; $AF124),0)),"",INDIRECT(CONCATENATE("Table!",ADDRESS($AB124,MATCH(N$1,INDIRECT("Table!A" &amp; $AF124):INDIRECT("Table!" &amp; $AR$188 &amp; $AF124),0)))))</f>
        <v/>
      </c>
      <c r="O124" s="35">
        <f ca="1">IF(ISERROR(MATCH(O$1,INDIRECT("Table!A"&amp;$AN124):INDIRECT("Table!" &amp; $AR$159 &amp; $AN124),0)),"",INDIRECT(CONCATENATE("Table!",ADDRESS($AJ124,MATCH(O$1,INDIRECT("Table!A" &amp; $AN124):INDIRECT("Table!" &amp; $AR$159 &amp; $AN124),0)))))</f>
        <v>115816.8</v>
      </c>
      <c r="P124" s="35">
        <f ca="1">IF(ISERROR(MATCH(P$1,INDIRECT("Table!A"&amp;$AN124):INDIRECT("Table!" &amp; $AR$159 &amp; $AN124),0)),"",INDIRECT(CONCATENATE("Table!",ADDRESS($AJ124,MATCH(P$1,INDIRECT("Table!A" &amp; $AN124):INDIRECT("Table!" &amp; $AR$159 &amp; $AN124),0)))))</f>
        <v>79968.7</v>
      </c>
      <c r="Q124" s="35">
        <f ca="1">IF(ISERROR(MATCH(Q$1,INDIRECT("Table!A"&amp;$AN124):INDIRECT("Table!" &amp; $AR$159 &amp; $AN124),0)),"",INDIRECT(CONCATENATE("Table!",ADDRESS($AJ124,MATCH(Q$1,INDIRECT("Table!A" &amp; $AN124):INDIRECT("Table!" &amp; $AR$159 &amp; $AN124),0)))))</f>
        <v>79968.7</v>
      </c>
      <c r="R124" s="35">
        <f ca="1">IF(ISERROR(MATCH(R$1,INDIRECT("Table!A"&amp;$AN124):INDIRECT("Table!" &amp; $AR$159 &amp; $AN124),0)),"",INDIRECT(CONCATENATE("Table!",ADDRESS($AJ124,MATCH(R$1,INDIRECT("Table!A" &amp; $AN124):INDIRECT("Table!" &amp; $AR$159 &amp; $AN124),0)))))</f>
        <v>154422.39999999999</v>
      </c>
      <c r="S124" s="35">
        <f ca="1">IF(ISERROR(MATCH(S$1,INDIRECT("Table!A"&amp;$AN124):INDIRECT("Table!" &amp; $AR$159 &amp; $AN124),0)),"",INDIRECT(CONCATENATE("Table!",ADDRESS($AJ124,MATCH(S$1,INDIRECT("Table!A" &amp; $AN124):INDIRECT("Table!" &amp; $AR$159 &amp; $AN124),0)))))</f>
        <v>121331.8</v>
      </c>
      <c r="T124" s="35">
        <f ca="1">IF(ISERROR(MATCH(T$1,INDIRECT("Table!A"&amp;$AN124):INDIRECT("Table!" &amp; $AR$159 &amp; $AN124),0)),"",INDIRECT(CONCATENATE("Table!",ADDRESS($AJ124,MATCH(T$1,INDIRECT("Table!A" &amp; $AN124):INDIRECT("Table!" &amp; $AR$159 &amp; $AN124),0)))))</f>
        <v>110071.9</v>
      </c>
      <c r="U124" s="35">
        <f ca="1">IF(ISERROR(MATCH(U$1,INDIRECT("Table!A"&amp;$AN124):INDIRECT("Table!" &amp; $AR$159 &amp; $AN124),0)),"",INDIRECT(CONCATENATE("Table!",ADDRESS($AJ124,MATCH(U$1,INDIRECT("Table!A" &amp; $AN124):INDIRECT("Table!" &amp; $AR$159 &amp; $AN124),0)))))</f>
        <v>121331.8</v>
      </c>
      <c r="V124" s="35">
        <f ca="1">IF(ISERROR(MATCH(V$1,INDIRECT("Table!A"&amp;$AN124):INDIRECT("Table!" &amp; $AR$159 &amp; $AN124),0)),"",INDIRECT(CONCATENATE("Table!",ADDRESS($AJ124,MATCH(V$1,INDIRECT("Table!A" &amp; $AN124):INDIRECT("Table!" &amp; $AR$159 &amp; $AN124),0)))))</f>
        <v>170967.6</v>
      </c>
      <c r="W124" s="35">
        <f ca="1">IF(ISERROR(MATCH(W$1,INDIRECT("Table!A"&amp;$AN124):INDIRECT("Table!" &amp; $AR$159 &amp; $AN124),0)),"",INDIRECT(CONCATENATE("Table!",ADDRESS($AJ124,MATCH(W$1,INDIRECT("Table!A" &amp; $AN124):INDIRECT("Table!" &amp; $AR$159 &amp; $AN124),0)))))</f>
        <v>54921</v>
      </c>
      <c r="X124" s="35">
        <f ca="1">IF(ISERROR(MATCH(X$1,INDIRECT("Table!A"&amp;$AN124):INDIRECT("Table!" &amp; $AR$159 &amp; $AN124),0)),"",INDIRECT(CONCATENATE("Table!",ADDRESS($AJ124,MATCH(X$1,INDIRECT("Table!A" &amp; $AN124):INDIRECT("Table!" &amp; $AR$159 &amp; $AN124),0)))))</f>
        <v>60665.9</v>
      </c>
      <c r="Y124" s="35">
        <f ca="1">IF(ISERROR(MATCH(Y$1,INDIRECT("Table!A"&amp;$AN124):INDIRECT("Table!" &amp; $AR$159 &amp; $AN124),0)),"",INDIRECT(CONCATENATE("Table!",ADDRESS($AJ124,MATCH(Y$1,INDIRECT("Table!A" &amp; $AN124):INDIRECT("Table!" &amp; $AR$159 &amp; $AN124),0)))))</f>
        <v>176482.7</v>
      </c>
      <c r="Z124" s="35">
        <f ca="1">IF(ISERROR(MATCH(Z$1,INDIRECT("Table!A"&amp;$AN124):INDIRECT("Table!" &amp; $AR$159 &amp; $AN124),0)),"",INDIRECT(CONCATENATE("Table!",ADDRESS($AJ124,MATCH(Z$1,INDIRECT("Table!A" &amp; $AN124):INDIRECT("Table!" &amp; $AR$159 &amp; $AN124),0)))))</f>
        <v>54921</v>
      </c>
      <c r="AA124" s="12"/>
      <c r="AB124" s="12">
        <f>MATCH($A124,Table!$A:$A,0)+$AD$2-1</f>
        <v>1794</v>
      </c>
      <c r="AF124" s="31">
        <f>MATCH($A124,Table!$A:$A,0)+$AH$2-1</f>
        <v>1792</v>
      </c>
      <c r="AJ124" s="12">
        <f>MATCH($A124,Table!$A:$A,0)+$AL$2-1</f>
        <v>1793</v>
      </c>
      <c r="AN124" s="31">
        <f>MATCH($A124,Table!$A:$A,0)+$AH$2-1</f>
        <v>1792</v>
      </c>
      <c r="AR124" s="152" t="s">
        <v>118</v>
      </c>
    </row>
    <row r="125" spans="1:44">
      <c r="A125" s="5">
        <v>40968</v>
      </c>
      <c r="B125" s="35">
        <f ca="1">IF(ISERROR(MATCH(B$1,INDIRECT("Table!A"&amp;$AF125):INDIRECT("Table!" &amp; $AR$159 &amp; $AF125),0)),"",INDIRECT(CONCATENATE("Table!",ADDRESS($AB125,MATCH(B$1,INDIRECT("Table!A" &amp; $AF125):INDIRECT("Table!" &amp; $AR$159 &amp; $AF125),0)))))</f>
        <v>93713.9</v>
      </c>
      <c r="C125" s="35">
        <f ca="1">IF(ISERROR(MATCH(C$1,INDIRECT("Table!A"&amp;$AF125):INDIRECT("Table!" &amp; $AR$159 &amp; $AF125),0)),"",INDIRECT(CONCATENATE("Table!",ADDRESS($AB125,MATCH(C$1,INDIRECT("Table!A" &amp; $AF125):INDIRECT("Table!" &amp; $AR$159 &amp; $AF125),0)))))</f>
        <v>66071.399999999994</v>
      </c>
      <c r="D125" s="35">
        <f ca="1">IF(ISERROR(MATCH(D$1,INDIRECT("Table!A"&amp;$AF125):INDIRECT("Table!" &amp; $AR$159 &amp; $AF125),0)),"",INDIRECT(CONCATENATE("Table!",ADDRESS($AB125,MATCH(D$1,INDIRECT("Table!A" &amp; $AF125):INDIRECT("Table!" &amp; $AR$159 &amp; $AF125),0)))))</f>
        <v>67449</v>
      </c>
      <c r="E125" s="35">
        <f ca="1">IF(ISERROR(MATCH(E$1,INDIRECT("Table!A"&amp;$AF125):INDIRECT("Table!" &amp; $AR$159 &amp; $AF125),0)),"",INDIRECT(CONCATENATE("Table!",ADDRESS($AB125,MATCH(E$1,INDIRECT("Table!A" &amp; $AF125):INDIRECT("Table!" &amp; $AR$159 &amp; $AF125),0)))))</f>
        <v>131445.70000000001</v>
      </c>
      <c r="F125" s="35">
        <f ca="1">IF(ISERROR(MATCH(F$1,INDIRECT("Table!A"&amp;$AF125):INDIRECT("Table!" &amp; $AR$159 &amp; $AF125),0)),"",INDIRECT(CONCATENATE("Table!",ADDRESS($AB125,MATCH(F$1,INDIRECT("Table!A" &amp; $AF125):INDIRECT("Table!" &amp; $AR$159 &amp; $AF125),0)))))</f>
        <v>1556.4</v>
      </c>
      <c r="G125" s="35">
        <f ca="1">IF(ISERROR(MATCH(G$1,INDIRECT("Table!A"&amp;$AF125):INDIRECT("Table!" &amp; $AR$159 &amp; $AF125),0)),"",INDIRECT(CONCATENATE("Table!",ADDRESS($AB125,MATCH(G$1,INDIRECT("Table!A" &amp; $AF125):INDIRECT("Table!" &amp; $AR$159 &amp; $AF125),0)))))</f>
        <v>26839.9</v>
      </c>
      <c r="H125" s="35">
        <f ca="1">IF(ISERROR(MATCH(H$1,INDIRECT("Table!A"&amp;$AF125):INDIRECT("Table!" &amp; $AR$159 &amp; $AF125),0)),"",INDIRECT(CONCATENATE("Table!",ADDRESS($AB125,MATCH(H$1,INDIRECT("Table!A" &amp; $AF125):INDIRECT("Table!" &amp; $AR$159 &amp; $AF125),0)))))</f>
        <v>19671.8</v>
      </c>
      <c r="I125" s="35">
        <f ca="1">IF(ISERROR(MATCH(I$1,INDIRECT("Table!A"&amp;$AF125):INDIRECT("Table!" &amp; $AR$159 &amp; $AF125),0)),"",INDIRECT(CONCATENATE("Table!",ADDRESS($AB125,MATCH(I$1,INDIRECT("Table!A" &amp; $AF125):INDIRECT("Table!" &amp; $AR$159 &amp; $AF125),0)))))</f>
        <v>118760.6</v>
      </c>
      <c r="J125" s="35">
        <f ca="1">IF(ISERROR(MATCH(J$1,INDIRECT("Table!A"&amp;$AF125):INDIRECT("Table!" &amp; $AR$159 &amp; $AF125),0)),"",INDIRECT(CONCATENATE("Table!",ADDRESS($AB125,MATCH(J$1,INDIRECT("Table!A" &amp; $AF125):INDIRECT("Table!" &amp; $AR$159 &amp; $AF125),0)))))</f>
        <v>29309.599999999999</v>
      </c>
      <c r="K125" s="35">
        <f ca="1">IF(ISERROR(MATCH(K$1,INDIRECT("Table!A"&amp;$AF125):INDIRECT("Table!" &amp; $AR$159 &amp; $AF125),0)),"",INDIRECT(CONCATENATE("Table!",ADDRESS($AB125,MATCH(K$1,INDIRECT("Table!A" &amp; $AF125):INDIRECT("Table!" &amp; $AR$159 &amp; $AF125),0)))))</f>
        <v>799.6</v>
      </c>
      <c r="L125" s="35">
        <f ca="1">IF(ISERROR(MATCH(L$1,INDIRECT("Table!A"&amp;$AF125):INDIRECT("Table!" &amp; $AR$159 &amp; $AF125),0)),"",INDIRECT(CONCATENATE("Table!",ADDRESS($AB125,MATCH(L$1,INDIRECT("Table!A" &amp; $AF125):INDIRECT("Table!" &amp; $AR$159 &amp; $AF125),0)))))</f>
        <v>78253.100000000006</v>
      </c>
      <c r="M125" s="35">
        <f ca="1">IF(ISERROR(MATCH(M$1,INDIRECT("Table!A"&amp;$AF125):INDIRECT("Table!" &amp; $AR$159 &amp; $AF125),0)),"",INDIRECT(CONCATENATE("Table!",ADDRESS($AB125,MATCH(M$1,INDIRECT("Table!A" &amp; $AF125):INDIRECT("Table!" &amp; $AR$159 &amp; $AF125),0)))))</f>
        <v>22935.3</v>
      </c>
      <c r="N125" s="35" t="str">
        <f ca="1">IF(ISERROR(MATCH(N$1,INDIRECT("Table!A"&amp;$AF125):INDIRECT("Table!" &amp; $AR$188 &amp; $AF125),0)),"",INDIRECT(CONCATENATE("Table!",ADDRESS($AB125,MATCH(N$1,INDIRECT("Table!A" &amp; $AF125):INDIRECT("Table!" &amp; $AR$188 &amp; $AF125),0)))))</f>
        <v/>
      </c>
      <c r="O125" s="35">
        <f ca="1">IF(ISERROR(MATCH(O$1,INDIRECT("Table!A"&amp;$AN125):INDIRECT("Table!" &amp; $AR$159 &amp; $AN125),0)),"",INDIRECT(CONCATENATE("Table!",ADDRESS($AJ125,MATCH(O$1,INDIRECT("Table!A" &amp; $AN125):INDIRECT("Table!" &amp; $AR$159 &amp; $AN125),0)))))</f>
        <v>115816.8</v>
      </c>
      <c r="P125" s="35">
        <f ca="1">IF(ISERROR(MATCH(P$1,INDIRECT("Table!A"&amp;$AN125):INDIRECT("Table!" &amp; $AR$159 &amp; $AN125),0)),"",INDIRECT(CONCATENATE("Table!",ADDRESS($AJ125,MATCH(P$1,INDIRECT("Table!A" &amp; $AN125):INDIRECT("Table!" &amp; $AR$159 &amp; $AN125),0)))))</f>
        <v>79968.7</v>
      </c>
      <c r="Q125" s="35">
        <f ca="1">IF(ISERROR(MATCH(Q$1,INDIRECT("Table!A"&amp;$AN125):INDIRECT("Table!" &amp; $AR$159 &amp; $AN125),0)),"",INDIRECT(CONCATENATE("Table!",ADDRESS($AJ125,MATCH(Q$1,INDIRECT("Table!A" &amp; $AN125):INDIRECT("Table!" &amp; $AR$159 &amp; $AN125),0)))))</f>
        <v>79968.7</v>
      </c>
      <c r="R125" s="35">
        <f ca="1">IF(ISERROR(MATCH(R$1,INDIRECT("Table!A"&amp;$AN125):INDIRECT("Table!" &amp; $AR$159 &amp; $AN125),0)),"",INDIRECT(CONCATENATE("Table!",ADDRESS($AJ125,MATCH(R$1,INDIRECT("Table!A" &amp; $AN125):INDIRECT("Table!" &amp; $AR$159 &amp; $AN125),0)))))</f>
        <v>154422.39999999999</v>
      </c>
      <c r="S125" s="35">
        <f ca="1">IF(ISERROR(MATCH(S$1,INDIRECT("Table!A"&amp;$AN125):INDIRECT("Table!" &amp; $AR$159 &amp; $AN125),0)),"",INDIRECT(CONCATENATE("Table!",ADDRESS($AJ125,MATCH(S$1,INDIRECT("Table!A" &amp; $AN125):INDIRECT("Table!" &amp; $AR$159 &amp; $AN125),0)))))</f>
        <v>121331.8</v>
      </c>
      <c r="T125" s="35">
        <f ca="1">IF(ISERROR(MATCH(T$1,INDIRECT("Table!A"&amp;$AN125):INDIRECT("Table!" &amp; $AR$159 &amp; $AN125),0)),"",INDIRECT(CONCATENATE("Table!",ADDRESS($AJ125,MATCH(T$1,INDIRECT("Table!A" &amp; $AN125):INDIRECT("Table!" &amp; $AR$159 &amp; $AN125),0)))))</f>
        <v>110071.9</v>
      </c>
      <c r="U125" s="35">
        <f ca="1">IF(ISERROR(MATCH(U$1,INDIRECT("Table!A"&amp;$AN125):INDIRECT("Table!" &amp; $AR$159 &amp; $AN125),0)),"",INDIRECT(CONCATENATE("Table!",ADDRESS($AJ125,MATCH(U$1,INDIRECT("Table!A" &amp; $AN125):INDIRECT("Table!" &amp; $AR$159 &amp; $AN125),0)))))</f>
        <v>121331.8</v>
      </c>
      <c r="V125" s="35">
        <f ca="1">IF(ISERROR(MATCH(V$1,INDIRECT("Table!A"&amp;$AN125):INDIRECT("Table!" &amp; $AR$159 &amp; $AN125),0)),"",INDIRECT(CONCATENATE("Table!",ADDRESS($AJ125,MATCH(V$1,INDIRECT("Table!A" &amp; $AN125):INDIRECT("Table!" &amp; $AR$159 &amp; $AN125),0)))))</f>
        <v>170967.6</v>
      </c>
      <c r="W125" s="35">
        <f ca="1">IF(ISERROR(MATCH(W$1,INDIRECT("Table!A"&amp;$AN125):INDIRECT("Table!" &amp; $AR$159 &amp; $AN125),0)),"",INDIRECT(CONCATENATE("Table!",ADDRESS($AJ125,MATCH(W$1,INDIRECT("Table!A" &amp; $AN125):INDIRECT("Table!" &amp; $AR$159 &amp; $AN125),0)))))</f>
        <v>54921</v>
      </c>
      <c r="X125" s="35">
        <f ca="1">IF(ISERROR(MATCH(X$1,INDIRECT("Table!A"&amp;$AN125):INDIRECT("Table!" &amp; $AR$159 &amp; $AN125),0)),"",INDIRECT(CONCATENATE("Table!",ADDRESS($AJ125,MATCH(X$1,INDIRECT("Table!A" &amp; $AN125):INDIRECT("Table!" &amp; $AR$159 &amp; $AN125),0)))))</f>
        <v>60665.9</v>
      </c>
      <c r="Y125" s="35">
        <f ca="1">IF(ISERROR(MATCH(Y$1,INDIRECT("Table!A"&amp;$AN125):INDIRECT("Table!" &amp; $AR$159 &amp; $AN125),0)),"",INDIRECT(CONCATENATE("Table!",ADDRESS($AJ125,MATCH(Y$1,INDIRECT("Table!A" &amp; $AN125):INDIRECT("Table!" &amp; $AR$159 &amp; $AN125),0)))))</f>
        <v>176482.7</v>
      </c>
      <c r="Z125" s="35">
        <f ca="1">IF(ISERROR(MATCH(Z$1,INDIRECT("Table!A"&amp;$AN125):INDIRECT("Table!" &amp; $AR$159 &amp; $AN125),0)),"",INDIRECT(CONCATENATE("Table!",ADDRESS($AJ125,MATCH(Z$1,INDIRECT("Table!A" &amp; $AN125):INDIRECT("Table!" &amp; $AR$159 &amp; $AN125),0)))))</f>
        <v>54921</v>
      </c>
      <c r="AA125" s="12"/>
      <c r="AB125" s="12">
        <f>MATCH($A125,Table!$A:$A,0)+$AD$2-1</f>
        <v>1807</v>
      </c>
      <c r="AF125" s="31">
        <f>MATCH($A125,Table!$A:$A,0)+$AH$2-1</f>
        <v>1805</v>
      </c>
      <c r="AJ125" s="12">
        <f>MATCH($A125,Table!$A:$A,0)+$AL$2-1</f>
        <v>1806</v>
      </c>
      <c r="AN125" s="31">
        <f>MATCH($A125,Table!$A:$A,0)+$AH$2-1</f>
        <v>1805</v>
      </c>
      <c r="AR125" s="151" t="s">
        <v>118</v>
      </c>
    </row>
    <row r="126" spans="1:44">
      <c r="A126" s="5">
        <v>40967</v>
      </c>
      <c r="B126" s="35">
        <f ca="1">IF(ISERROR(MATCH(B$1,INDIRECT("Table!A"&amp;$AF126):INDIRECT("Table!" &amp; $AR$159 &amp; $AF126),0)),"",INDIRECT(CONCATENATE("Table!",ADDRESS($AB126,MATCH(B$1,INDIRECT("Table!A" &amp; $AF126):INDIRECT("Table!" &amp; $AR$159 &amp; $AF126),0)))))</f>
        <v>93577.600000000006</v>
      </c>
      <c r="C126" s="35">
        <f ca="1">IF(ISERROR(MATCH(C$1,INDIRECT("Table!A"&amp;$AF126):INDIRECT("Table!" &amp; $AR$159 &amp; $AF126),0)),"",INDIRECT(CONCATENATE("Table!",ADDRESS($AB126,MATCH(C$1,INDIRECT("Table!A" &amp; $AF126):INDIRECT("Table!" &amp; $AR$159 &amp; $AF126),0)))))</f>
        <v>66066.899999999994</v>
      </c>
      <c r="D126" s="35">
        <f ca="1">IF(ISERROR(MATCH(D$1,INDIRECT("Table!A"&amp;$AF126):INDIRECT("Table!" &amp; $AR$159 &amp; $AF126),0)),"",INDIRECT(CONCATENATE("Table!",ADDRESS($AB126,MATCH(D$1,INDIRECT("Table!A" &amp; $AF126):INDIRECT("Table!" &amp; $AR$159 &amp; $AF126),0)))))</f>
        <v>67444.600000000006</v>
      </c>
      <c r="E126" s="35">
        <f ca="1">IF(ISERROR(MATCH(E$1,INDIRECT("Table!A"&amp;$AF126):INDIRECT("Table!" &amp; $AR$159 &amp; $AF126),0)),"",INDIRECT(CONCATENATE("Table!",ADDRESS($AB126,MATCH(E$1,INDIRECT("Table!A" &amp; $AF126):INDIRECT("Table!" &amp; $AR$159 &amp; $AF126),0)))))</f>
        <v>131356.79999999999</v>
      </c>
      <c r="F126" s="35">
        <f ca="1">IF(ISERROR(MATCH(F$1,INDIRECT("Table!A"&amp;$AF126):INDIRECT("Table!" &amp; $AR$159 &amp; $AF126),0)),"",INDIRECT(CONCATENATE("Table!",ADDRESS($AB126,MATCH(F$1,INDIRECT("Table!A" &amp; $AF126):INDIRECT("Table!" &amp; $AR$159 &amp; $AF126),0)))))</f>
        <v>1360.9</v>
      </c>
      <c r="G126" s="35">
        <f ca="1">IF(ISERROR(MATCH(G$1,INDIRECT("Table!A"&amp;$AF126):INDIRECT("Table!" &amp; $AR$159 &amp; $AF126),0)),"",INDIRECT(CONCATENATE("Table!",ADDRESS($AB126,MATCH(G$1,INDIRECT("Table!A" &amp; $AF126):INDIRECT("Table!" &amp; $AR$159 &amp; $AF126),0)))))</f>
        <v>26659.3</v>
      </c>
      <c r="H126" s="35">
        <f ca="1">IF(ISERROR(MATCH(H$1,INDIRECT("Table!A"&amp;$AF126):INDIRECT("Table!" &amp; $AR$159 &amp; $AF126),0)),"",INDIRECT(CONCATENATE("Table!",ADDRESS($AB126,MATCH(H$1,INDIRECT("Table!A" &amp; $AF126):INDIRECT("Table!" &amp; $AR$159 &amp; $AF126),0)))))</f>
        <v>19660.900000000001</v>
      </c>
      <c r="I126" s="35">
        <f ca="1">IF(ISERROR(MATCH(I$1,INDIRECT("Table!A"&amp;$AF126):INDIRECT("Table!" &amp; $AR$159 &amp; $AF126),0)),"",INDIRECT(CONCATENATE("Table!",ADDRESS($AB126,MATCH(I$1,INDIRECT("Table!A" &amp; $AF126):INDIRECT("Table!" &amp; $AR$159 &amp; $AF126),0)))))</f>
        <v>118652.4</v>
      </c>
      <c r="J126" s="35">
        <f ca="1">IF(ISERROR(MATCH(J$1,INDIRECT("Table!A"&amp;$AF126):INDIRECT("Table!" &amp; $AR$159 &amp; $AF126),0)),"",INDIRECT(CONCATENATE("Table!",ADDRESS($AB126,MATCH(J$1,INDIRECT("Table!A" &amp; $AF126):INDIRECT("Table!" &amp; $AR$159 &amp; $AF126),0)))))</f>
        <v>29308.1</v>
      </c>
      <c r="K126" s="35">
        <f ca="1">IF(ISERROR(MATCH(K$1,INDIRECT("Table!A"&amp;$AF126):INDIRECT("Table!" &amp; $AR$159 &amp; $AF126),0)),"",INDIRECT(CONCATENATE("Table!",ADDRESS($AB126,MATCH(K$1,INDIRECT("Table!A" &amp; $AF126):INDIRECT("Table!" &amp; $AR$159 &amp; $AF126),0)))))</f>
        <v>700.2</v>
      </c>
      <c r="L126" s="35">
        <f ca="1">IF(ISERROR(MATCH(L$1,INDIRECT("Table!A"&amp;$AF126):INDIRECT("Table!" &amp; $AR$159 &amp; $AF126),0)),"",INDIRECT(CONCATENATE("Table!",ADDRESS($AB126,MATCH(L$1,INDIRECT("Table!A" &amp; $AF126):INDIRECT("Table!" &amp; $AR$159 &amp; $AF126),0)))))</f>
        <v>78231.5</v>
      </c>
      <c r="M126" s="35">
        <f ca="1">IF(ISERROR(MATCH(M$1,INDIRECT("Table!A"&amp;$AF126):INDIRECT("Table!" &amp; $AR$159 &amp; $AF126),0)),"",INDIRECT(CONCATENATE("Table!",ADDRESS($AB126,MATCH(M$1,INDIRECT("Table!A" &amp; $AF126):INDIRECT("Table!" &amp; $AR$159 &amp; $AF126),0)))))</f>
        <v>22935.200000000001</v>
      </c>
      <c r="N126" s="35" t="str">
        <f ca="1">IF(ISERROR(MATCH(N$1,INDIRECT("Table!A"&amp;$AF126):INDIRECT("Table!" &amp; $AR$188 &amp; $AF126),0)),"",INDIRECT(CONCATENATE("Table!",ADDRESS($AB126,MATCH(N$1,INDIRECT("Table!A" &amp; $AF126):INDIRECT("Table!" &amp; $AR$188 &amp; $AF126),0)))))</f>
        <v/>
      </c>
      <c r="O126" s="35">
        <f ca="1">IF(ISERROR(MATCH(O$1,INDIRECT("Table!A"&amp;$AN126):INDIRECT("Table!" &amp; $AR$159 &amp; $AN126),0)),"",INDIRECT(CONCATENATE("Table!",ADDRESS($AJ126,MATCH(O$1,INDIRECT("Table!A" &amp; $AN126):INDIRECT("Table!" &amp; $AR$159 &amp; $AN126),0)))))</f>
        <v>115816.8</v>
      </c>
      <c r="P126" s="35">
        <f ca="1">IF(ISERROR(MATCH(P$1,INDIRECT("Table!A"&amp;$AN126):INDIRECT("Table!" &amp; $AR$159 &amp; $AN126),0)),"",INDIRECT(CONCATENATE("Table!",ADDRESS($AJ126,MATCH(P$1,INDIRECT("Table!A" &amp; $AN126):INDIRECT("Table!" &amp; $AR$159 &amp; $AN126),0)))))</f>
        <v>79968.7</v>
      </c>
      <c r="Q126" s="35">
        <f ca="1">IF(ISERROR(MATCH(Q$1,INDIRECT("Table!A"&amp;$AN126):INDIRECT("Table!" &amp; $AR$159 &amp; $AN126),0)),"",INDIRECT(CONCATENATE("Table!",ADDRESS($AJ126,MATCH(Q$1,INDIRECT("Table!A" &amp; $AN126):INDIRECT("Table!" &amp; $AR$159 &amp; $AN126),0)))))</f>
        <v>79968.7</v>
      </c>
      <c r="R126" s="35">
        <f ca="1">IF(ISERROR(MATCH(R$1,INDIRECT("Table!A"&amp;$AN126):INDIRECT("Table!" &amp; $AR$159 &amp; $AN126),0)),"",INDIRECT(CONCATENATE("Table!",ADDRESS($AJ126,MATCH(R$1,INDIRECT("Table!A" &amp; $AN126):INDIRECT("Table!" &amp; $AR$159 &amp; $AN126),0)))))</f>
        <v>154422.39999999999</v>
      </c>
      <c r="S126" s="35">
        <f ca="1">IF(ISERROR(MATCH(S$1,INDIRECT("Table!A"&amp;$AN126):INDIRECT("Table!" &amp; $AR$159 &amp; $AN126),0)),"",INDIRECT(CONCATENATE("Table!",ADDRESS($AJ126,MATCH(S$1,INDIRECT("Table!A" &amp; $AN126):INDIRECT("Table!" &amp; $AR$159 &amp; $AN126),0)))))</f>
        <v>121331.8</v>
      </c>
      <c r="T126" s="35">
        <f ca="1">IF(ISERROR(MATCH(T$1,INDIRECT("Table!A"&amp;$AN126):INDIRECT("Table!" &amp; $AR$159 &amp; $AN126),0)),"",INDIRECT(CONCATENATE("Table!",ADDRESS($AJ126,MATCH(T$1,INDIRECT("Table!A" &amp; $AN126):INDIRECT("Table!" &amp; $AR$159 &amp; $AN126),0)))))</f>
        <v>110071.9</v>
      </c>
      <c r="U126" s="35">
        <f ca="1">IF(ISERROR(MATCH(U$1,INDIRECT("Table!A"&amp;$AN126):INDIRECT("Table!" &amp; $AR$159 &amp; $AN126),0)),"",INDIRECT(CONCATENATE("Table!",ADDRESS($AJ126,MATCH(U$1,INDIRECT("Table!A" &amp; $AN126):INDIRECT("Table!" &amp; $AR$159 &amp; $AN126),0)))))</f>
        <v>121331.8</v>
      </c>
      <c r="V126" s="35">
        <f ca="1">IF(ISERROR(MATCH(V$1,INDIRECT("Table!A"&amp;$AN126):INDIRECT("Table!" &amp; $AR$159 &amp; $AN126),0)),"",INDIRECT(CONCATENATE("Table!",ADDRESS($AJ126,MATCH(V$1,INDIRECT("Table!A" &amp; $AN126):INDIRECT("Table!" &amp; $AR$159 &amp; $AN126),0)))))</f>
        <v>170967.6</v>
      </c>
      <c r="W126" s="35">
        <f ca="1">IF(ISERROR(MATCH(W$1,INDIRECT("Table!A"&amp;$AN126):INDIRECT("Table!" &amp; $AR$159 &amp; $AN126),0)),"",INDIRECT(CONCATENATE("Table!",ADDRESS($AJ126,MATCH(W$1,INDIRECT("Table!A" &amp; $AN126):INDIRECT("Table!" &amp; $AR$159 &amp; $AN126),0)))))</f>
        <v>54921</v>
      </c>
      <c r="X126" s="35">
        <f ca="1">IF(ISERROR(MATCH(X$1,INDIRECT("Table!A"&amp;$AN126):INDIRECT("Table!" &amp; $AR$159 &amp; $AN126),0)),"",INDIRECT(CONCATENATE("Table!",ADDRESS($AJ126,MATCH(X$1,INDIRECT("Table!A" &amp; $AN126):INDIRECT("Table!" &amp; $AR$159 &amp; $AN126),0)))))</f>
        <v>60665.9</v>
      </c>
      <c r="Y126" s="35">
        <f ca="1">IF(ISERROR(MATCH(Y$1,INDIRECT("Table!A"&amp;$AN126):INDIRECT("Table!" &amp; $AR$159 &amp; $AN126),0)),"",INDIRECT(CONCATENATE("Table!",ADDRESS($AJ126,MATCH(Y$1,INDIRECT("Table!A" &amp; $AN126):INDIRECT("Table!" &amp; $AR$159 &amp; $AN126),0)))))</f>
        <v>176482.7</v>
      </c>
      <c r="Z126" s="35">
        <f ca="1">IF(ISERROR(MATCH(Z$1,INDIRECT("Table!A"&amp;$AN126):INDIRECT("Table!" &amp; $AR$159 &amp; $AN126),0)),"",INDIRECT(CONCATENATE("Table!",ADDRESS($AJ126,MATCH(Z$1,INDIRECT("Table!A" &amp; $AN126):INDIRECT("Table!" &amp; $AR$159 &amp; $AN126),0)))))</f>
        <v>54921</v>
      </c>
      <c r="AA126" s="12"/>
      <c r="AB126" s="12">
        <f>MATCH($A126,Table!$A:$A,0)+$AD$2-1</f>
        <v>1820</v>
      </c>
      <c r="AF126" s="31">
        <f>MATCH($A126,Table!$A:$A,0)+$AH$2-1</f>
        <v>1818</v>
      </c>
      <c r="AJ126" s="12">
        <f>MATCH($A126,Table!$A:$A,0)+$AL$2-1</f>
        <v>1819</v>
      </c>
      <c r="AN126" s="31">
        <f>MATCH($A126,Table!$A:$A,0)+$AH$2-1</f>
        <v>1818</v>
      </c>
      <c r="AR126" s="150" t="s">
        <v>118</v>
      </c>
    </row>
    <row r="127" spans="1:44">
      <c r="A127" s="5">
        <v>40966</v>
      </c>
      <c r="B127" s="35">
        <f ca="1">IF(ISERROR(MATCH(B$1,INDIRECT("Table!A"&amp;$AF127):INDIRECT("Table!" &amp; $AR$159 &amp; $AF127),0)),"",INDIRECT(CONCATENATE("Table!",ADDRESS($AB127,MATCH(B$1,INDIRECT("Table!A" &amp; $AF127):INDIRECT("Table!" &amp; $AR$159 &amp; $AF127),0)))))</f>
        <v>93569.5</v>
      </c>
      <c r="C127" s="35">
        <f ca="1">IF(ISERROR(MATCH(C$1,INDIRECT("Table!A"&amp;$AF127):INDIRECT("Table!" &amp; $AR$159 &amp; $AF127),0)),"",INDIRECT(CONCATENATE("Table!",ADDRESS($AB127,MATCH(C$1,INDIRECT("Table!A" &amp; $AF127):INDIRECT("Table!" &amp; $AR$159 &amp; $AF127),0)))))</f>
        <v>66065.7</v>
      </c>
      <c r="D127" s="35">
        <f ca="1">IF(ISERROR(MATCH(D$1,INDIRECT("Table!A"&amp;$AF127):INDIRECT("Table!" &amp; $AR$159 &amp; $AF127),0)),"",INDIRECT(CONCATENATE("Table!",ADDRESS($AB127,MATCH(D$1,INDIRECT("Table!A" &amp; $AF127):INDIRECT("Table!" &amp; $AR$159 &amp; $AF127),0)))))</f>
        <v>67443.399999999994</v>
      </c>
      <c r="E127" s="35">
        <f ca="1">IF(ISERROR(MATCH(E$1,INDIRECT("Table!A"&amp;$AF127):INDIRECT("Table!" &amp; $AR$159 &amp; $AF127),0)),"",INDIRECT(CONCATENATE("Table!",ADDRESS($AB127,MATCH(E$1,INDIRECT("Table!A" &amp; $AF127):INDIRECT("Table!" &amp; $AR$159 &amp; $AF127),0)))))</f>
        <v>131241.70000000001</v>
      </c>
      <c r="F127" s="35">
        <f ca="1">IF(ISERROR(MATCH(F$1,INDIRECT("Table!A"&amp;$AF127):INDIRECT("Table!" &amp; $AR$159 &amp; $AF127),0)),"",INDIRECT(CONCATENATE("Table!",ADDRESS($AB127,MATCH(F$1,INDIRECT("Table!A" &amp; $AF127):INDIRECT("Table!" &amp; $AR$159 &amp; $AF127),0)))))</f>
        <v>856.4</v>
      </c>
      <c r="G127" s="35">
        <f ca="1">IF(ISERROR(MATCH(G$1,INDIRECT("Table!A"&amp;$AF127):INDIRECT("Table!" &amp; $AR$159 &amp; $AF127),0)),"",INDIRECT(CONCATENATE("Table!",ADDRESS($AB127,MATCH(G$1,INDIRECT("Table!A" &amp; $AF127):INDIRECT("Table!" &amp; $AR$159 &amp; $AF127),0)))))</f>
        <v>26588.400000000001</v>
      </c>
      <c r="H127" s="35">
        <f ca="1">IF(ISERROR(MATCH(H$1,INDIRECT("Table!A"&amp;$AF127):INDIRECT("Table!" &amp; $AR$159 &amp; $AF127),0)),"",INDIRECT(CONCATENATE("Table!",ADDRESS($AB127,MATCH(H$1,INDIRECT("Table!A" &amp; $AF127):INDIRECT("Table!" &amp; $AR$159 &amp; $AF127),0)))))</f>
        <v>19652.400000000001</v>
      </c>
      <c r="I127" s="35">
        <f ca="1">IF(ISERROR(MATCH(I$1,INDIRECT("Table!A"&amp;$AF127):INDIRECT("Table!" &amp; $AR$159 &amp; $AF127),0)),"",INDIRECT(CONCATENATE("Table!",ADDRESS($AB127,MATCH(I$1,INDIRECT("Table!A" &amp; $AF127):INDIRECT("Table!" &amp; $AR$159 &amp; $AF127),0)))))</f>
        <v>118181.7</v>
      </c>
      <c r="J127" s="35">
        <f ca="1">IF(ISERROR(MATCH(J$1,INDIRECT("Table!A"&amp;$AF127):INDIRECT("Table!" &amp; $AR$159 &amp; $AF127),0)),"",INDIRECT(CONCATENATE("Table!",ADDRESS($AB127,MATCH(J$1,INDIRECT("Table!A" &amp; $AF127):INDIRECT("Table!" &amp; $AR$159 &amp; $AF127),0)))))</f>
        <v>29297.200000000001</v>
      </c>
      <c r="K127" s="35">
        <f ca="1">IF(ISERROR(MATCH(K$1,INDIRECT("Table!A"&amp;$AF127):INDIRECT("Table!" &amp; $AR$159 &amp; $AF127),0)),"",INDIRECT(CONCATENATE("Table!",ADDRESS($AB127,MATCH(K$1,INDIRECT("Table!A" &amp; $AF127):INDIRECT("Table!" &amp; $AR$159 &amp; $AF127),0)))))</f>
        <v>449.3</v>
      </c>
      <c r="L127" s="35">
        <f ca="1">IF(ISERROR(MATCH(L$1,INDIRECT("Table!A"&amp;$AF127):INDIRECT("Table!" &amp; $AR$159 &amp; $AF127),0)),"",INDIRECT(CONCATENATE("Table!",ADDRESS($AB127,MATCH(L$1,INDIRECT("Table!A" &amp; $AF127):INDIRECT("Table!" &amp; $AR$159 &amp; $AF127),0)))))</f>
        <v>78212.800000000003</v>
      </c>
      <c r="M127" s="35">
        <f ca="1">IF(ISERROR(MATCH(M$1,INDIRECT("Table!A"&amp;$AF127):INDIRECT("Table!" &amp; $AR$159 &amp; $AF127),0)),"",INDIRECT(CONCATENATE("Table!",ADDRESS($AB127,MATCH(M$1,INDIRECT("Table!A" &amp; $AF127):INDIRECT("Table!" &amp; $AR$159 &amp; $AF127),0)))))</f>
        <v>22934.400000000001</v>
      </c>
      <c r="N127" s="35" t="str">
        <f ca="1">IF(ISERROR(MATCH(N$1,INDIRECT("Table!A"&amp;$AF127):INDIRECT("Table!" &amp; $AR$188 &amp; $AF127),0)),"",INDIRECT(CONCATENATE("Table!",ADDRESS($AB127,MATCH(N$1,INDIRECT("Table!A" &amp; $AF127):INDIRECT("Table!" &amp; $AR$188 &amp; $AF127),0)))))</f>
        <v/>
      </c>
      <c r="O127" s="35">
        <f ca="1">IF(ISERROR(MATCH(O$1,INDIRECT("Table!A"&amp;$AN127):INDIRECT("Table!" &amp; $AR$159 &amp; $AN127),0)),"",INDIRECT(CONCATENATE("Table!",ADDRESS($AJ127,MATCH(O$1,INDIRECT("Table!A" &amp; $AN127):INDIRECT("Table!" &amp; $AR$159 &amp; $AN127),0)))))</f>
        <v>115816.8</v>
      </c>
      <c r="P127" s="35">
        <f ca="1">IF(ISERROR(MATCH(P$1,INDIRECT("Table!A"&amp;$AN127):INDIRECT("Table!" &amp; $AR$159 &amp; $AN127),0)),"",INDIRECT(CONCATENATE("Table!",ADDRESS($AJ127,MATCH(P$1,INDIRECT("Table!A" &amp; $AN127):INDIRECT("Table!" &amp; $AR$159 &amp; $AN127),0)))))</f>
        <v>79968.7</v>
      </c>
      <c r="Q127" s="35">
        <f ca="1">IF(ISERROR(MATCH(Q$1,INDIRECT("Table!A"&amp;$AN127):INDIRECT("Table!" &amp; $AR$159 &amp; $AN127),0)),"",INDIRECT(CONCATENATE("Table!",ADDRESS($AJ127,MATCH(Q$1,INDIRECT("Table!A" &amp; $AN127):INDIRECT("Table!" &amp; $AR$159 &amp; $AN127),0)))))</f>
        <v>79968.7</v>
      </c>
      <c r="R127" s="35">
        <f ca="1">IF(ISERROR(MATCH(R$1,INDIRECT("Table!A"&amp;$AN127):INDIRECT("Table!" &amp; $AR$159 &amp; $AN127),0)),"",INDIRECT(CONCATENATE("Table!",ADDRESS($AJ127,MATCH(R$1,INDIRECT("Table!A" &amp; $AN127):INDIRECT("Table!" &amp; $AR$159 &amp; $AN127),0)))))</f>
        <v>154422.39999999999</v>
      </c>
      <c r="S127" s="35">
        <f ca="1">IF(ISERROR(MATCH(S$1,INDIRECT("Table!A"&amp;$AN127):INDIRECT("Table!" &amp; $AR$159 &amp; $AN127),0)),"",INDIRECT(CONCATENATE("Table!",ADDRESS($AJ127,MATCH(S$1,INDIRECT("Table!A" &amp; $AN127):INDIRECT("Table!" &amp; $AR$159 &amp; $AN127),0)))))</f>
        <v>121331.8</v>
      </c>
      <c r="T127" s="35">
        <f ca="1">IF(ISERROR(MATCH(T$1,INDIRECT("Table!A"&amp;$AN127):INDIRECT("Table!" &amp; $AR$159 &amp; $AN127),0)),"",INDIRECT(CONCATENATE("Table!",ADDRESS($AJ127,MATCH(T$1,INDIRECT("Table!A" &amp; $AN127):INDIRECT("Table!" &amp; $AR$159 &amp; $AN127),0)))))</f>
        <v>110071.9</v>
      </c>
      <c r="U127" s="35">
        <f ca="1">IF(ISERROR(MATCH(U$1,INDIRECT("Table!A"&amp;$AN127):INDIRECT("Table!" &amp; $AR$159 &amp; $AN127),0)),"",INDIRECT(CONCATENATE("Table!",ADDRESS($AJ127,MATCH(U$1,INDIRECT("Table!A" &amp; $AN127):INDIRECT("Table!" &amp; $AR$159 &amp; $AN127),0)))))</f>
        <v>121331.8</v>
      </c>
      <c r="V127" s="35">
        <f ca="1">IF(ISERROR(MATCH(V$1,INDIRECT("Table!A"&amp;$AN127):INDIRECT("Table!" &amp; $AR$159 &amp; $AN127),0)),"",INDIRECT(CONCATENATE("Table!",ADDRESS($AJ127,MATCH(V$1,INDIRECT("Table!A" &amp; $AN127):INDIRECT("Table!" &amp; $AR$159 &amp; $AN127),0)))))</f>
        <v>170967.6</v>
      </c>
      <c r="W127" s="35">
        <f ca="1">IF(ISERROR(MATCH(W$1,INDIRECT("Table!A"&amp;$AN127):INDIRECT("Table!" &amp; $AR$159 &amp; $AN127),0)),"",INDIRECT(CONCATENATE("Table!",ADDRESS($AJ127,MATCH(W$1,INDIRECT("Table!A" &amp; $AN127):INDIRECT("Table!" &amp; $AR$159 &amp; $AN127),0)))))</f>
        <v>54921</v>
      </c>
      <c r="X127" s="35">
        <f ca="1">IF(ISERROR(MATCH(X$1,INDIRECT("Table!A"&amp;$AN127):INDIRECT("Table!" &amp; $AR$159 &amp; $AN127),0)),"",INDIRECT(CONCATENATE("Table!",ADDRESS($AJ127,MATCH(X$1,INDIRECT("Table!A" &amp; $AN127):INDIRECT("Table!" &amp; $AR$159 &amp; $AN127),0)))))</f>
        <v>60665.9</v>
      </c>
      <c r="Y127" s="35">
        <f ca="1">IF(ISERROR(MATCH(Y$1,INDIRECT("Table!A"&amp;$AN127):INDIRECT("Table!" &amp; $AR$159 &amp; $AN127),0)),"",INDIRECT(CONCATENATE("Table!",ADDRESS($AJ127,MATCH(Y$1,INDIRECT("Table!A" &amp; $AN127):INDIRECT("Table!" &amp; $AR$159 &amp; $AN127),0)))))</f>
        <v>176482.7</v>
      </c>
      <c r="Z127" s="35">
        <f ca="1">IF(ISERROR(MATCH(Z$1,INDIRECT("Table!A"&amp;$AN127):INDIRECT("Table!" &amp; $AR$159 &amp; $AN127),0)),"",INDIRECT(CONCATENATE("Table!",ADDRESS($AJ127,MATCH(Z$1,INDIRECT("Table!A" &amp; $AN127):INDIRECT("Table!" &amp; $AR$159 &amp; $AN127),0)))))</f>
        <v>54921</v>
      </c>
      <c r="AA127" s="12"/>
      <c r="AB127" s="12">
        <f>MATCH($A127,Table!$A:$A,0)+$AD$2-1</f>
        <v>1833</v>
      </c>
      <c r="AF127" s="31">
        <f>MATCH($A127,Table!$A:$A,0)+$AH$2-1</f>
        <v>1831</v>
      </c>
      <c r="AJ127" s="12">
        <f>MATCH($A127,Table!$A:$A,0)+$AL$2-1</f>
        <v>1832</v>
      </c>
      <c r="AN127" s="31">
        <f>MATCH($A127,Table!$A:$A,0)+$AH$2-1</f>
        <v>1831</v>
      </c>
      <c r="AR127" s="149" t="s">
        <v>118</v>
      </c>
    </row>
    <row r="128" spans="1:44">
      <c r="A128" s="5">
        <v>40963</v>
      </c>
      <c r="B128" s="35">
        <f ca="1">IF(ISERROR(MATCH(B$1,INDIRECT("Table!A"&amp;$AF128):INDIRECT("Table!" &amp; $AR$159 &amp; $AF128),0)),"",INDIRECT(CONCATENATE("Table!",ADDRESS($AB128,MATCH(B$1,INDIRECT("Table!A" &amp; $AF128):INDIRECT("Table!" &amp; $AR$159 &amp; $AF128),0)))))</f>
        <v>93538</v>
      </c>
      <c r="C128" s="35">
        <f ca="1">IF(ISERROR(MATCH(C$1,INDIRECT("Table!A"&amp;$AF128):INDIRECT("Table!" &amp; $AR$159 &amp; $AF128),0)),"",INDIRECT(CONCATENATE("Table!",ADDRESS($AB128,MATCH(C$1,INDIRECT("Table!A" &amp; $AF128):INDIRECT("Table!" &amp; $AR$159 &amp; $AF128),0)))))</f>
        <v>66063.399999999994</v>
      </c>
      <c r="D128" s="35">
        <f ca="1">IF(ISERROR(MATCH(D$1,INDIRECT("Table!A"&amp;$AF128):INDIRECT("Table!" &amp; $AR$159 &amp; $AF128),0)),"",INDIRECT(CONCATENATE("Table!",ADDRESS($AB128,MATCH(D$1,INDIRECT("Table!A" &amp; $AF128):INDIRECT("Table!" &amp; $AR$159 &amp; $AF128),0)))))</f>
        <v>67441.100000000006</v>
      </c>
      <c r="E128" s="35">
        <f ca="1">IF(ISERROR(MATCH(E$1,INDIRECT("Table!A"&amp;$AF128):INDIRECT("Table!" &amp; $AR$159 &amp; $AF128),0)),"",INDIRECT(CONCATENATE("Table!",ADDRESS($AB128,MATCH(E$1,INDIRECT("Table!A" &amp; $AF128):INDIRECT("Table!" &amp; $AR$159 &amp; $AF128),0)))))</f>
        <v>130892.3</v>
      </c>
      <c r="F128" s="35">
        <f ca="1">IF(ISERROR(MATCH(F$1,INDIRECT("Table!A"&amp;$AF128):INDIRECT("Table!" &amp; $AR$159 &amp; $AF128),0)),"",INDIRECT(CONCATENATE("Table!",ADDRESS($AB128,MATCH(F$1,INDIRECT("Table!A" &amp; $AF128):INDIRECT("Table!" &amp; $AR$159 &amp; $AF128),0)))))</f>
        <v>421.3</v>
      </c>
      <c r="G128" s="35">
        <f ca="1">IF(ISERROR(MATCH(G$1,INDIRECT("Table!A"&amp;$AF128):INDIRECT("Table!" &amp; $AR$159 &amp; $AF128),0)),"",INDIRECT(CONCATENATE("Table!",ADDRESS($AB128,MATCH(G$1,INDIRECT("Table!A" &amp; $AF128):INDIRECT("Table!" &amp; $AR$159 &amp; $AF128),0)))))</f>
        <v>26512.3</v>
      </c>
      <c r="H128" s="35">
        <f ca="1">IF(ISERROR(MATCH(H$1,INDIRECT("Table!A"&amp;$AF128):INDIRECT("Table!" &amp; $AR$159 &amp; $AF128),0)),"",INDIRECT(CONCATENATE("Table!",ADDRESS($AB128,MATCH(H$1,INDIRECT("Table!A" &amp; $AF128):INDIRECT("Table!" &amp; $AR$159 &amp; $AF128),0)))))</f>
        <v>19630.099999999999</v>
      </c>
      <c r="I128" s="35">
        <f ca="1">IF(ISERROR(MATCH(I$1,INDIRECT("Table!A"&amp;$AF128):INDIRECT("Table!" &amp; $AR$159 &amp; $AF128),0)),"",INDIRECT(CONCATENATE("Table!",ADDRESS($AB128,MATCH(I$1,INDIRECT("Table!A" &amp; $AF128):INDIRECT("Table!" &amp; $AR$159 &amp; $AF128),0)))))</f>
        <v>117832.8</v>
      </c>
      <c r="J128" s="35">
        <f ca="1">IF(ISERROR(MATCH(J$1,INDIRECT("Table!A"&amp;$AF128):INDIRECT("Table!" &amp; $AR$159 &amp; $AF128),0)),"",INDIRECT(CONCATENATE("Table!",ADDRESS($AB128,MATCH(J$1,INDIRECT("Table!A" &amp; $AF128):INDIRECT("Table!" &amp; $AR$159 &amp; $AF128),0)))))</f>
        <v>29294</v>
      </c>
      <c r="K128" s="35">
        <f ca="1">IF(ISERROR(MATCH(K$1,INDIRECT("Table!A"&amp;$AF128):INDIRECT("Table!" &amp; $AR$159 &amp; $AF128),0)),"",INDIRECT(CONCATENATE("Table!",ADDRESS($AB128,MATCH(K$1,INDIRECT("Table!A" &amp; $AF128):INDIRECT("Table!" &amp; $AR$159 &amp; $AF128),0)))))</f>
        <v>228.8</v>
      </c>
      <c r="L128" s="35">
        <f ca="1">IF(ISERROR(MATCH(L$1,INDIRECT("Table!A"&amp;$AF128):INDIRECT("Table!" &amp; $AR$159 &amp; $AF128),0)),"",INDIRECT(CONCATENATE("Table!",ADDRESS($AB128,MATCH(L$1,INDIRECT("Table!A" &amp; $AF128):INDIRECT("Table!" &amp; $AR$159 &amp; $AF128),0)))))</f>
        <v>78167.899999999994</v>
      </c>
      <c r="M128" s="35">
        <f ca="1">IF(ISERROR(MATCH(M$1,INDIRECT("Table!A"&amp;$AF128):INDIRECT("Table!" &amp; $AR$159 &amp; $AF128),0)),"",INDIRECT(CONCATENATE("Table!",ADDRESS($AB128,MATCH(M$1,INDIRECT("Table!A" &amp; $AF128):INDIRECT("Table!" &amp; $AR$159 &amp; $AF128),0)))))</f>
        <v>22934.2</v>
      </c>
      <c r="N128" s="35" t="str">
        <f ca="1">IF(ISERROR(MATCH(N$1,INDIRECT("Table!A"&amp;$AF128):INDIRECT("Table!" &amp; $AR$188 &amp; $AF128),0)),"",INDIRECT(CONCATENATE("Table!",ADDRESS($AB128,MATCH(N$1,INDIRECT("Table!A" &amp; $AF128):INDIRECT("Table!" &amp; $AR$188 &amp; $AF128),0)))))</f>
        <v/>
      </c>
      <c r="O128" s="35">
        <f ca="1">IF(ISERROR(MATCH(O$1,INDIRECT("Table!A"&amp;$AN128):INDIRECT("Table!" &amp; $AR$159 &amp; $AN128),0)),"",INDIRECT(CONCATENATE("Table!",ADDRESS($AJ128,MATCH(O$1,INDIRECT("Table!A" &amp; $AN128):INDIRECT("Table!" &amp; $AR$159 &amp; $AN128),0)))))</f>
        <v>115816.8</v>
      </c>
      <c r="P128" s="35">
        <f ca="1">IF(ISERROR(MATCH(P$1,INDIRECT("Table!A"&amp;$AN128):INDIRECT("Table!" &amp; $AR$159 &amp; $AN128),0)),"",INDIRECT(CONCATENATE("Table!",ADDRESS($AJ128,MATCH(P$1,INDIRECT("Table!A" &amp; $AN128):INDIRECT("Table!" &amp; $AR$159 &amp; $AN128),0)))))</f>
        <v>79968.7</v>
      </c>
      <c r="Q128" s="35">
        <f ca="1">IF(ISERROR(MATCH(Q$1,INDIRECT("Table!A"&amp;$AN128):INDIRECT("Table!" &amp; $AR$159 &amp; $AN128),0)),"",INDIRECT(CONCATENATE("Table!",ADDRESS($AJ128,MATCH(Q$1,INDIRECT("Table!A" &amp; $AN128):INDIRECT("Table!" &amp; $AR$159 &amp; $AN128),0)))))</f>
        <v>79968.7</v>
      </c>
      <c r="R128" s="35">
        <f ca="1">IF(ISERROR(MATCH(R$1,INDIRECT("Table!A"&amp;$AN128):INDIRECT("Table!" &amp; $AR$159 &amp; $AN128),0)),"",INDIRECT(CONCATENATE("Table!",ADDRESS($AJ128,MATCH(R$1,INDIRECT("Table!A" &amp; $AN128):INDIRECT("Table!" &amp; $AR$159 &amp; $AN128),0)))))</f>
        <v>154422.39999999999</v>
      </c>
      <c r="S128" s="35">
        <f ca="1">IF(ISERROR(MATCH(S$1,INDIRECT("Table!A"&amp;$AN128):INDIRECT("Table!" &amp; $AR$159 &amp; $AN128),0)),"",INDIRECT(CONCATENATE("Table!",ADDRESS($AJ128,MATCH(S$1,INDIRECT("Table!A" &amp; $AN128):INDIRECT("Table!" &amp; $AR$159 &amp; $AN128),0)))))</f>
        <v>121331.8</v>
      </c>
      <c r="T128" s="35">
        <f ca="1">IF(ISERROR(MATCH(T$1,INDIRECT("Table!A"&amp;$AN128):INDIRECT("Table!" &amp; $AR$159 &amp; $AN128),0)),"",INDIRECT(CONCATENATE("Table!",ADDRESS($AJ128,MATCH(T$1,INDIRECT("Table!A" &amp; $AN128):INDIRECT("Table!" &amp; $AR$159 &amp; $AN128),0)))))</f>
        <v>110071.9</v>
      </c>
      <c r="U128" s="35">
        <f ca="1">IF(ISERROR(MATCH(U$1,INDIRECT("Table!A"&amp;$AN128):INDIRECT("Table!" &amp; $AR$159 &amp; $AN128),0)),"",INDIRECT(CONCATENATE("Table!",ADDRESS($AJ128,MATCH(U$1,INDIRECT("Table!A" &amp; $AN128):INDIRECT("Table!" &amp; $AR$159 &amp; $AN128),0)))))</f>
        <v>121331.8</v>
      </c>
      <c r="V128" s="35">
        <f ca="1">IF(ISERROR(MATCH(V$1,INDIRECT("Table!A"&amp;$AN128):INDIRECT("Table!" &amp; $AR$159 &amp; $AN128),0)),"",INDIRECT(CONCATENATE("Table!",ADDRESS($AJ128,MATCH(V$1,INDIRECT("Table!A" &amp; $AN128):INDIRECT("Table!" &amp; $AR$159 &amp; $AN128),0)))))</f>
        <v>170967.6</v>
      </c>
      <c r="W128" s="35">
        <f ca="1">IF(ISERROR(MATCH(W$1,INDIRECT("Table!A"&amp;$AN128):INDIRECT("Table!" &amp; $AR$159 &amp; $AN128),0)),"",INDIRECT(CONCATENATE("Table!",ADDRESS($AJ128,MATCH(W$1,INDIRECT("Table!A" &amp; $AN128):INDIRECT("Table!" &amp; $AR$159 &amp; $AN128),0)))))</f>
        <v>54921</v>
      </c>
      <c r="X128" s="35">
        <f ca="1">IF(ISERROR(MATCH(X$1,INDIRECT("Table!A"&amp;$AN128):INDIRECT("Table!" &amp; $AR$159 &amp; $AN128),0)),"",INDIRECT(CONCATENATE("Table!",ADDRESS($AJ128,MATCH(X$1,INDIRECT("Table!A" &amp; $AN128):INDIRECT("Table!" &amp; $AR$159 &amp; $AN128),0)))))</f>
        <v>60665.9</v>
      </c>
      <c r="Y128" s="35">
        <f ca="1">IF(ISERROR(MATCH(Y$1,INDIRECT("Table!A"&amp;$AN128):INDIRECT("Table!" &amp; $AR$159 &amp; $AN128),0)),"",INDIRECT(CONCATENATE("Table!",ADDRESS($AJ128,MATCH(Y$1,INDIRECT("Table!A" &amp; $AN128):INDIRECT("Table!" &amp; $AR$159 &amp; $AN128),0)))))</f>
        <v>176482.7</v>
      </c>
      <c r="Z128" s="35">
        <f ca="1">IF(ISERROR(MATCH(Z$1,INDIRECT("Table!A"&amp;$AN128):INDIRECT("Table!" &amp; $AR$159 &amp; $AN128),0)),"",INDIRECT(CONCATENATE("Table!",ADDRESS($AJ128,MATCH(Z$1,INDIRECT("Table!A" &amp; $AN128):INDIRECT("Table!" &amp; $AR$159 &amp; $AN128),0)))))</f>
        <v>54921</v>
      </c>
      <c r="AA128" s="12"/>
      <c r="AB128" s="12">
        <f>MATCH($A128,Table!$A:$A,0)+$AD$2-1</f>
        <v>1846</v>
      </c>
      <c r="AF128" s="31">
        <f>MATCH($A128,Table!$A:$A,0)+$AH$2-1</f>
        <v>1844</v>
      </c>
      <c r="AJ128" s="12">
        <f>MATCH($A128,Table!$A:$A,0)+$AL$2-1</f>
        <v>1845</v>
      </c>
      <c r="AN128" s="31">
        <f>MATCH($A128,Table!$A:$A,0)+$AH$2-1</f>
        <v>1844</v>
      </c>
      <c r="AR128" s="148" t="s">
        <v>118</v>
      </c>
    </row>
    <row r="129" spans="1:44">
      <c r="A129" s="5">
        <v>40962</v>
      </c>
      <c r="B129" s="35">
        <f ca="1">IF(ISERROR(MATCH(B$1,INDIRECT("Table!A"&amp;$AF129):INDIRECT("Table!" &amp; $AR$159 &amp; $AF129),0)),"",INDIRECT(CONCATENATE("Table!",ADDRESS($AB129,MATCH(B$1,INDIRECT("Table!A" &amp; $AF129):INDIRECT("Table!" &amp; $AR$159 &amp; $AF129),0)))))</f>
        <v>93452.7</v>
      </c>
      <c r="C129" s="35">
        <f ca="1">IF(ISERROR(MATCH(C$1,INDIRECT("Table!A"&amp;$AF129):INDIRECT("Table!" &amp; $AR$159 &amp; $AF129),0)),"",INDIRECT(CONCATENATE("Table!",ADDRESS($AB129,MATCH(C$1,INDIRECT("Table!A" &amp; $AF129):INDIRECT("Table!" &amp; $AR$159 &amp; $AF129),0)))))</f>
        <v>66062.100000000006</v>
      </c>
      <c r="D129" s="35">
        <f ca="1">IF(ISERROR(MATCH(D$1,INDIRECT("Table!A"&amp;$AF129):INDIRECT("Table!" &amp; $AR$159 &amp; $AF129),0)),"",INDIRECT(CONCATENATE("Table!",ADDRESS($AB129,MATCH(D$1,INDIRECT("Table!A" &amp; $AF129):INDIRECT("Table!" &amp; $AR$159 &amp; $AF129),0)))))</f>
        <v>67435.8</v>
      </c>
      <c r="E129" s="35">
        <f ca="1">IF(ISERROR(MATCH(E$1,INDIRECT("Table!A"&amp;$AF129):INDIRECT("Table!" &amp; $AR$159 &amp; $AF129),0)),"",INDIRECT(CONCATENATE("Table!",ADDRESS($AB129,MATCH(E$1,INDIRECT("Table!A" &amp; $AF129):INDIRECT("Table!" &amp; $AR$159 &amp; $AF129),0)))))</f>
        <v>130704.8</v>
      </c>
      <c r="F129" s="35">
        <f ca="1">IF(ISERROR(MATCH(F$1,INDIRECT("Table!A"&amp;$AF129):INDIRECT("Table!" &amp; $AR$159 &amp; $AF129),0)),"",INDIRECT(CONCATENATE("Table!",ADDRESS($AB129,MATCH(F$1,INDIRECT("Table!A" &amp; $AF129):INDIRECT("Table!" &amp; $AR$159 &amp; $AF129),0)))))</f>
        <v>420.5</v>
      </c>
      <c r="G129" s="35">
        <f ca="1">IF(ISERROR(MATCH(G$1,INDIRECT("Table!A"&amp;$AF129):INDIRECT("Table!" &amp; $AR$159 &amp; $AF129),0)),"",INDIRECT(CONCATENATE("Table!",ADDRESS($AB129,MATCH(G$1,INDIRECT("Table!A" &amp; $AF129):INDIRECT("Table!" &amp; $AR$159 &amp; $AF129),0)))))</f>
        <v>26424.3</v>
      </c>
      <c r="H129" s="35">
        <f ca="1">IF(ISERROR(MATCH(H$1,INDIRECT("Table!A"&amp;$AF129):INDIRECT("Table!" &amp; $AR$159 &amp; $AF129),0)),"",INDIRECT(CONCATENATE("Table!",ADDRESS($AB129,MATCH(H$1,INDIRECT("Table!A" &amp; $AF129):INDIRECT("Table!" &amp; $AR$159 &amp; $AF129),0)))))</f>
        <v>19625.900000000001</v>
      </c>
      <c r="I129" s="35">
        <f ca="1">IF(ISERROR(MATCH(I$1,INDIRECT("Table!A"&amp;$AF129):INDIRECT("Table!" &amp; $AR$159 &amp; $AF129),0)),"",INDIRECT(CONCATENATE("Table!",ADDRESS($AB129,MATCH(I$1,INDIRECT("Table!A" &amp; $AF129):INDIRECT("Table!" &amp; $AR$159 &amp; $AF129),0)))))</f>
        <v>117381.9</v>
      </c>
      <c r="J129" s="35">
        <f ca="1">IF(ISERROR(MATCH(J$1,INDIRECT("Table!A"&amp;$AF129):INDIRECT("Table!" &amp; $AR$159 &amp; $AF129),0)),"",INDIRECT(CONCATENATE("Table!",ADDRESS($AB129,MATCH(J$1,INDIRECT("Table!A" &amp; $AF129):INDIRECT("Table!" &amp; $AR$159 &amp; $AF129),0)))))</f>
        <v>29293.4</v>
      </c>
      <c r="K129" s="35">
        <f ca="1">IF(ISERROR(MATCH(K$1,INDIRECT("Table!A"&amp;$AF129):INDIRECT("Table!" &amp; $AR$159 &amp; $AF129),0)),"",INDIRECT(CONCATENATE("Table!",ADDRESS($AB129,MATCH(K$1,INDIRECT("Table!A" &amp; $AF129):INDIRECT("Table!" &amp; $AR$159 &amp; $AF129),0)))))</f>
        <v>227.5</v>
      </c>
      <c r="L129" s="35">
        <f ca="1">IF(ISERROR(MATCH(L$1,INDIRECT("Table!A"&amp;$AF129):INDIRECT("Table!" &amp; $AR$159 &amp; $AF129),0)),"",INDIRECT(CONCATENATE("Table!",ADDRESS($AB129,MATCH(L$1,INDIRECT("Table!A" &amp; $AF129):INDIRECT("Table!" &amp; $AR$159 &amp; $AF129),0)))))</f>
        <v>78161.899999999994</v>
      </c>
      <c r="M129" s="35">
        <f ca="1">IF(ISERROR(MATCH(M$1,INDIRECT("Table!A"&amp;$AF129):INDIRECT("Table!" &amp; $AR$159 &amp; $AF129),0)),"",INDIRECT(CONCATENATE("Table!",ADDRESS($AB129,MATCH(M$1,INDIRECT("Table!A" &amp; $AF129):INDIRECT("Table!" &amp; $AR$159 &amp; $AF129),0)))))</f>
        <v>22934.2</v>
      </c>
      <c r="N129" s="35" t="str">
        <f ca="1">IF(ISERROR(MATCH(N$1,INDIRECT("Table!A"&amp;$AF129):INDIRECT("Table!" &amp; $AR$188 &amp; $AF129),0)),"",INDIRECT(CONCATENATE("Table!",ADDRESS($AB129,MATCH(N$1,INDIRECT("Table!A" &amp; $AF129):INDIRECT("Table!" &amp; $AR$188 &amp; $AF129),0)))))</f>
        <v/>
      </c>
      <c r="O129" s="35">
        <f ca="1">IF(ISERROR(MATCH(O$1,INDIRECT("Table!A"&amp;$AN129):INDIRECT("Table!" &amp; $AR$159 &amp; $AN129),0)),"",INDIRECT(CONCATENATE("Table!",ADDRESS($AJ129,MATCH(O$1,INDIRECT("Table!A" &amp; $AN129):INDIRECT("Table!" &amp; $AR$159 &amp; $AN129),0)))))</f>
        <v>115816.8</v>
      </c>
      <c r="P129" s="35">
        <f ca="1">IF(ISERROR(MATCH(P$1,INDIRECT("Table!A"&amp;$AN129):INDIRECT("Table!" &amp; $AR$159 &amp; $AN129),0)),"",INDIRECT(CONCATENATE("Table!",ADDRESS($AJ129,MATCH(P$1,INDIRECT("Table!A" &amp; $AN129):INDIRECT("Table!" &amp; $AR$159 &amp; $AN129),0)))))</f>
        <v>79968.7</v>
      </c>
      <c r="Q129" s="35">
        <f ca="1">IF(ISERROR(MATCH(Q$1,INDIRECT("Table!A"&amp;$AN129):INDIRECT("Table!" &amp; $AR$159 &amp; $AN129),0)),"",INDIRECT(CONCATENATE("Table!",ADDRESS($AJ129,MATCH(Q$1,INDIRECT("Table!A" &amp; $AN129):INDIRECT("Table!" &amp; $AR$159 &amp; $AN129),0)))))</f>
        <v>79968.7</v>
      </c>
      <c r="R129" s="35">
        <f ca="1">IF(ISERROR(MATCH(R$1,INDIRECT("Table!A"&amp;$AN129):INDIRECT("Table!" &amp; $AR$159 &amp; $AN129),0)),"",INDIRECT(CONCATENATE("Table!",ADDRESS($AJ129,MATCH(R$1,INDIRECT("Table!A" &amp; $AN129):INDIRECT("Table!" &amp; $AR$159 &amp; $AN129),0)))))</f>
        <v>154422.39999999999</v>
      </c>
      <c r="S129" s="35">
        <f ca="1">IF(ISERROR(MATCH(S$1,INDIRECT("Table!A"&amp;$AN129):INDIRECT("Table!" &amp; $AR$159 &amp; $AN129),0)),"",INDIRECT(CONCATENATE("Table!",ADDRESS($AJ129,MATCH(S$1,INDIRECT("Table!A" &amp; $AN129):INDIRECT("Table!" &amp; $AR$159 &amp; $AN129),0)))))</f>
        <v>121331.8</v>
      </c>
      <c r="T129" s="35">
        <f ca="1">IF(ISERROR(MATCH(T$1,INDIRECT("Table!A"&amp;$AN129):INDIRECT("Table!" &amp; $AR$159 &amp; $AN129),0)),"",INDIRECT(CONCATENATE("Table!",ADDRESS($AJ129,MATCH(T$1,INDIRECT("Table!A" &amp; $AN129):INDIRECT("Table!" &amp; $AR$159 &amp; $AN129),0)))))</f>
        <v>110071.9</v>
      </c>
      <c r="U129" s="35">
        <f ca="1">IF(ISERROR(MATCH(U$1,INDIRECT("Table!A"&amp;$AN129):INDIRECT("Table!" &amp; $AR$159 &amp; $AN129),0)),"",INDIRECT(CONCATENATE("Table!",ADDRESS($AJ129,MATCH(U$1,INDIRECT("Table!A" &amp; $AN129):INDIRECT("Table!" &amp; $AR$159 &amp; $AN129),0)))))</f>
        <v>121331.8</v>
      </c>
      <c r="V129" s="35">
        <f ca="1">IF(ISERROR(MATCH(V$1,INDIRECT("Table!A"&amp;$AN129):INDIRECT("Table!" &amp; $AR$159 &amp; $AN129),0)),"",INDIRECT(CONCATENATE("Table!",ADDRESS($AJ129,MATCH(V$1,INDIRECT("Table!A" &amp; $AN129):INDIRECT("Table!" &amp; $AR$159 &amp; $AN129),0)))))</f>
        <v>170967.6</v>
      </c>
      <c r="W129" s="35">
        <f ca="1">IF(ISERROR(MATCH(W$1,INDIRECT("Table!A"&amp;$AN129):INDIRECT("Table!" &amp; $AR$159 &amp; $AN129),0)),"",INDIRECT(CONCATENATE("Table!",ADDRESS($AJ129,MATCH(W$1,INDIRECT("Table!A" &amp; $AN129):INDIRECT("Table!" &amp; $AR$159 &amp; $AN129),0)))))</f>
        <v>54921</v>
      </c>
      <c r="X129" s="35">
        <f ca="1">IF(ISERROR(MATCH(X$1,INDIRECT("Table!A"&amp;$AN129):INDIRECT("Table!" &amp; $AR$159 &amp; $AN129),0)),"",INDIRECT(CONCATENATE("Table!",ADDRESS($AJ129,MATCH(X$1,INDIRECT("Table!A" &amp; $AN129):INDIRECT("Table!" &amp; $AR$159 &amp; $AN129),0)))))</f>
        <v>60665.9</v>
      </c>
      <c r="Y129" s="35">
        <f ca="1">IF(ISERROR(MATCH(Y$1,INDIRECT("Table!A"&amp;$AN129):INDIRECT("Table!" &amp; $AR$159 &amp; $AN129),0)),"",INDIRECT(CONCATENATE("Table!",ADDRESS($AJ129,MATCH(Y$1,INDIRECT("Table!A" &amp; $AN129):INDIRECT("Table!" &amp; $AR$159 &amp; $AN129),0)))))</f>
        <v>176482.7</v>
      </c>
      <c r="Z129" s="35">
        <f ca="1">IF(ISERROR(MATCH(Z$1,INDIRECT("Table!A"&amp;$AN129):INDIRECT("Table!" &amp; $AR$159 &amp; $AN129),0)),"",INDIRECT(CONCATENATE("Table!",ADDRESS($AJ129,MATCH(Z$1,INDIRECT("Table!A" &amp; $AN129):INDIRECT("Table!" &amp; $AR$159 &amp; $AN129),0)))))</f>
        <v>54921</v>
      </c>
      <c r="AA129" s="12"/>
      <c r="AB129" s="12">
        <f>MATCH($A129,Table!$A:$A,0)+$AD$2-1</f>
        <v>1859</v>
      </c>
      <c r="AF129" s="31">
        <f>MATCH($A129,Table!$A:$A,0)+$AH$2-1</f>
        <v>1857</v>
      </c>
      <c r="AJ129" s="12">
        <f>MATCH($A129,Table!$A:$A,0)+$AL$2-1</f>
        <v>1858</v>
      </c>
      <c r="AN129" s="31">
        <f>MATCH($A129,Table!$A:$A,0)+$AH$2-1</f>
        <v>1857</v>
      </c>
      <c r="AR129" s="147" t="s">
        <v>118</v>
      </c>
    </row>
    <row r="130" spans="1:44">
      <c r="A130" s="5">
        <v>40961</v>
      </c>
      <c r="B130" s="35">
        <f ca="1">IF(ISERROR(MATCH(B$1,INDIRECT("Table!A"&amp;$AF130):INDIRECT("Table!" &amp; $AR$159 &amp; $AF130),0)),"",INDIRECT(CONCATENATE("Table!",ADDRESS($AB130,MATCH(B$1,INDIRECT("Table!A" &amp; $AF130):INDIRECT("Table!" &amp; $AR$159 &amp; $AF130),0)))))</f>
        <v>93418.3</v>
      </c>
      <c r="C130" s="35">
        <f ca="1">IF(ISERROR(MATCH(C$1,INDIRECT("Table!A"&amp;$AF130):INDIRECT("Table!" &amp; $AR$159 &amp; $AF130),0)),"",INDIRECT(CONCATENATE("Table!",ADDRESS($AB130,MATCH(C$1,INDIRECT("Table!A" &amp; $AF130):INDIRECT("Table!" &amp; $AR$159 &amp; $AF130),0)))))</f>
        <v>66058.100000000006</v>
      </c>
      <c r="D130" s="35">
        <f ca="1">IF(ISERROR(MATCH(D$1,INDIRECT("Table!A"&amp;$AF130):INDIRECT("Table!" &amp; $AR$159 &amp; $AF130),0)),"",INDIRECT(CONCATENATE("Table!",ADDRESS($AB130,MATCH(D$1,INDIRECT("Table!A" &amp; $AF130):INDIRECT("Table!" &amp; $AR$159 &amp; $AF130),0)))))</f>
        <v>67435.8</v>
      </c>
      <c r="E130" s="35">
        <f ca="1">IF(ISERROR(MATCH(E$1,INDIRECT("Table!A"&amp;$AF130):INDIRECT("Table!" &amp; $AR$159 &amp; $AF130),0)),"",INDIRECT(CONCATENATE("Table!",ADDRESS($AB130,MATCH(E$1,INDIRECT("Table!A" &amp; $AF130):INDIRECT("Table!" &amp; $AR$159 &amp; $AF130),0)))))</f>
        <v>130596.3</v>
      </c>
      <c r="F130" s="35">
        <f ca="1">IF(ISERROR(MATCH(F$1,INDIRECT("Table!A"&amp;$AF130):INDIRECT("Table!" &amp; $AR$159 &amp; $AF130),0)),"",INDIRECT(CONCATENATE("Table!",ADDRESS($AB130,MATCH(F$1,INDIRECT("Table!A" &amp; $AF130):INDIRECT("Table!" &amp; $AR$159 &amp; $AF130),0)))))</f>
        <v>420.1</v>
      </c>
      <c r="G130" s="35">
        <f ca="1">IF(ISERROR(MATCH(G$1,INDIRECT("Table!A"&amp;$AF130):INDIRECT("Table!" &amp; $AR$159 &amp; $AF130),0)),"",INDIRECT(CONCATENATE("Table!",ADDRESS($AB130,MATCH(G$1,INDIRECT("Table!A" &amp; $AF130):INDIRECT("Table!" &amp; $AR$159 &amp; $AF130),0)))))</f>
        <v>26409</v>
      </c>
      <c r="H130" s="35">
        <f ca="1">IF(ISERROR(MATCH(H$1,INDIRECT("Table!A"&amp;$AF130):INDIRECT("Table!" &amp; $AR$159 &amp; $AF130),0)),"",INDIRECT(CONCATENATE("Table!",ADDRESS($AB130,MATCH(H$1,INDIRECT("Table!A" &amp; $AF130):INDIRECT("Table!" &amp; $AR$159 &amp; $AF130),0)))))</f>
        <v>19624.8</v>
      </c>
      <c r="I130" s="35">
        <f ca="1">IF(ISERROR(MATCH(I$1,INDIRECT("Table!A"&amp;$AF130):INDIRECT("Table!" &amp; $AR$159 &amp; $AF130),0)),"",INDIRECT(CONCATENATE("Table!",ADDRESS($AB130,MATCH(I$1,INDIRECT("Table!A" &amp; $AF130):INDIRECT("Table!" &amp; $AR$159 &amp; $AF130),0)))))</f>
        <v>117245.5</v>
      </c>
      <c r="J130" s="35">
        <f ca="1">IF(ISERROR(MATCH(J$1,INDIRECT("Table!A"&amp;$AF130):INDIRECT("Table!" &amp; $AR$159 &amp; $AF130),0)),"",INDIRECT(CONCATENATE("Table!",ADDRESS($AB130,MATCH(J$1,INDIRECT("Table!A" &amp; $AF130):INDIRECT("Table!" &amp; $AR$159 &amp; $AF130),0)))))</f>
        <v>29293.3</v>
      </c>
      <c r="K130" s="35">
        <f ca="1">IF(ISERROR(MATCH(K$1,INDIRECT("Table!A"&amp;$AF130):INDIRECT("Table!" &amp; $AR$159 &amp; $AF130),0)),"",INDIRECT(CONCATENATE("Table!",ADDRESS($AB130,MATCH(K$1,INDIRECT("Table!A" &amp; $AF130):INDIRECT("Table!" &amp; $AR$159 &amp; $AF130),0)))))</f>
        <v>226.6</v>
      </c>
      <c r="L130" s="35">
        <f ca="1">IF(ISERROR(MATCH(L$1,INDIRECT("Table!A"&amp;$AF130):INDIRECT("Table!" &amp; $AR$159 &amp; $AF130),0)),"",INDIRECT(CONCATENATE("Table!",ADDRESS($AB130,MATCH(L$1,INDIRECT("Table!A" &amp; $AF130):INDIRECT("Table!" &amp; $AR$159 &amp; $AF130),0)))))</f>
        <v>78161.399999999994</v>
      </c>
      <c r="M130" s="35">
        <f ca="1">IF(ISERROR(MATCH(M$1,INDIRECT("Table!A"&amp;$AF130):INDIRECT("Table!" &amp; $AR$159 &amp; $AF130),0)),"",INDIRECT(CONCATENATE("Table!",ADDRESS($AB130,MATCH(M$1,INDIRECT("Table!A" &amp; $AF130):INDIRECT("Table!" &amp; $AR$159 &amp; $AF130),0)))))</f>
        <v>22934.2</v>
      </c>
      <c r="N130" s="35" t="str">
        <f ca="1">IF(ISERROR(MATCH(N$1,INDIRECT("Table!A"&amp;$AF130):INDIRECT("Table!" &amp; $AR$188 &amp; $AF130),0)),"",INDIRECT(CONCATENATE("Table!",ADDRESS($AB130,MATCH(N$1,INDIRECT("Table!A" &amp; $AF130):INDIRECT("Table!" &amp; $AR$188 &amp; $AF130),0)))))</f>
        <v/>
      </c>
      <c r="O130" s="35">
        <f ca="1">IF(ISERROR(MATCH(O$1,INDIRECT("Table!A"&amp;$AN130):INDIRECT("Table!" &amp; $AR$159 &amp; $AN130),0)),"",INDIRECT(CONCATENATE("Table!",ADDRESS($AJ130,MATCH(O$1,INDIRECT("Table!A" &amp; $AN130):INDIRECT("Table!" &amp; $AR$159 &amp; $AN130),0)))))</f>
        <v>115816.8</v>
      </c>
      <c r="P130" s="35">
        <f ca="1">IF(ISERROR(MATCH(P$1,INDIRECT("Table!A"&amp;$AN130):INDIRECT("Table!" &amp; $AR$159 &amp; $AN130),0)),"",INDIRECT(CONCATENATE("Table!",ADDRESS($AJ130,MATCH(P$1,INDIRECT("Table!A" &amp; $AN130):INDIRECT("Table!" &amp; $AR$159 &amp; $AN130),0)))))</f>
        <v>79968.7</v>
      </c>
      <c r="Q130" s="35">
        <f ca="1">IF(ISERROR(MATCH(Q$1,INDIRECT("Table!A"&amp;$AN130):INDIRECT("Table!" &amp; $AR$159 &amp; $AN130),0)),"",INDIRECT(CONCATENATE("Table!",ADDRESS($AJ130,MATCH(Q$1,INDIRECT("Table!A" &amp; $AN130):INDIRECT("Table!" &amp; $AR$159 &amp; $AN130),0)))))</f>
        <v>79968.7</v>
      </c>
      <c r="R130" s="35">
        <f ca="1">IF(ISERROR(MATCH(R$1,INDIRECT("Table!A"&amp;$AN130):INDIRECT("Table!" &amp; $AR$159 &amp; $AN130),0)),"",INDIRECT(CONCATENATE("Table!",ADDRESS($AJ130,MATCH(R$1,INDIRECT("Table!A" &amp; $AN130):INDIRECT("Table!" &amp; $AR$159 &amp; $AN130),0)))))</f>
        <v>154422.39999999999</v>
      </c>
      <c r="S130" s="35">
        <f ca="1">IF(ISERROR(MATCH(S$1,INDIRECT("Table!A"&amp;$AN130):INDIRECT("Table!" &amp; $AR$159 &amp; $AN130),0)),"",INDIRECT(CONCATENATE("Table!",ADDRESS($AJ130,MATCH(S$1,INDIRECT("Table!A" &amp; $AN130):INDIRECT("Table!" &amp; $AR$159 &amp; $AN130),0)))))</f>
        <v>121331.8</v>
      </c>
      <c r="T130" s="35">
        <f ca="1">IF(ISERROR(MATCH(T$1,INDIRECT("Table!A"&amp;$AN130):INDIRECT("Table!" &amp; $AR$159 &amp; $AN130),0)),"",INDIRECT(CONCATENATE("Table!",ADDRESS($AJ130,MATCH(T$1,INDIRECT("Table!A" &amp; $AN130):INDIRECT("Table!" &amp; $AR$159 &amp; $AN130),0)))))</f>
        <v>110071.9</v>
      </c>
      <c r="U130" s="35">
        <f ca="1">IF(ISERROR(MATCH(U$1,INDIRECT("Table!A"&amp;$AN130):INDIRECT("Table!" &amp; $AR$159 &amp; $AN130),0)),"",INDIRECT(CONCATENATE("Table!",ADDRESS($AJ130,MATCH(U$1,INDIRECT("Table!A" &amp; $AN130):INDIRECT("Table!" &amp; $AR$159 &amp; $AN130),0)))))</f>
        <v>121331.8</v>
      </c>
      <c r="V130" s="35">
        <f ca="1">IF(ISERROR(MATCH(V$1,INDIRECT("Table!A"&amp;$AN130):INDIRECT("Table!" &amp; $AR$159 &amp; $AN130),0)),"",INDIRECT(CONCATENATE("Table!",ADDRESS($AJ130,MATCH(V$1,INDIRECT("Table!A" &amp; $AN130):INDIRECT("Table!" &amp; $AR$159 &amp; $AN130),0)))))</f>
        <v>170967.6</v>
      </c>
      <c r="W130" s="35">
        <f ca="1">IF(ISERROR(MATCH(W$1,INDIRECT("Table!A"&amp;$AN130):INDIRECT("Table!" &amp; $AR$159 &amp; $AN130),0)),"",INDIRECT(CONCATENATE("Table!",ADDRESS($AJ130,MATCH(W$1,INDIRECT("Table!A" &amp; $AN130):INDIRECT("Table!" &amp; $AR$159 &amp; $AN130),0)))))</f>
        <v>54921</v>
      </c>
      <c r="X130" s="35">
        <f ca="1">IF(ISERROR(MATCH(X$1,INDIRECT("Table!A"&amp;$AN130):INDIRECT("Table!" &amp; $AR$159 &amp; $AN130),0)),"",INDIRECT(CONCATENATE("Table!",ADDRESS($AJ130,MATCH(X$1,INDIRECT("Table!A" &amp; $AN130):INDIRECT("Table!" &amp; $AR$159 &amp; $AN130),0)))))</f>
        <v>60665.9</v>
      </c>
      <c r="Y130" s="35">
        <f ca="1">IF(ISERROR(MATCH(Y$1,INDIRECT("Table!A"&amp;$AN130):INDIRECT("Table!" &amp; $AR$159 &amp; $AN130),0)),"",INDIRECT(CONCATENATE("Table!",ADDRESS($AJ130,MATCH(Y$1,INDIRECT("Table!A" &amp; $AN130):INDIRECT("Table!" &amp; $AR$159 &amp; $AN130),0)))))</f>
        <v>176482.7</v>
      </c>
      <c r="Z130" s="35">
        <f ca="1">IF(ISERROR(MATCH(Z$1,INDIRECT("Table!A"&amp;$AN130):INDIRECT("Table!" &amp; $AR$159 &amp; $AN130),0)),"",INDIRECT(CONCATENATE("Table!",ADDRESS($AJ130,MATCH(Z$1,INDIRECT("Table!A" &amp; $AN130):INDIRECT("Table!" &amp; $AR$159 &amp; $AN130),0)))))</f>
        <v>54921</v>
      </c>
      <c r="AA130" s="12"/>
      <c r="AB130" s="12">
        <f>MATCH($A130,Table!$A:$A,0)+$AD$2-1</f>
        <v>1872</v>
      </c>
      <c r="AF130" s="31">
        <f>MATCH($A130,Table!$A:$A,0)+$AH$2-1</f>
        <v>1870</v>
      </c>
      <c r="AJ130" s="12">
        <f>MATCH($A130,Table!$A:$A,0)+$AL$2-1</f>
        <v>1871</v>
      </c>
      <c r="AN130" s="31">
        <f>MATCH($A130,Table!$A:$A,0)+$AH$2-1</f>
        <v>1870</v>
      </c>
      <c r="AR130" s="146" t="s">
        <v>118</v>
      </c>
    </row>
    <row r="131" spans="1:44">
      <c r="A131" s="5">
        <v>40960</v>
      </c>
      <c r="B131" s="35">
        <f ca="1">IF(ISERROR(MATCH(B$1,INDIRECT("Table!A"&amp;$AF131):INDIRECT("Table!" &amp; $AR$159 &amp; $AF131),0)),"",INDIRECT(CONCATENATE("Table!",ADDRESS($AB131,MATCH(B$1,INDIRECT("Table!A" &amp; $AF131):INDIRECT("Table!" &amp; $AR$159 &amp; $AF131),0)))))</f>
        <v>93358.6</v>
      </c>
      <c r="C131" s="35">
        <f ca="1">IF(ISERROR(MATCH(C$1,INDIRECT("Table!A"&amp;$AF131):INDIRECT("Table!" &amp; $AR$159 &amp; $AF131),0)),"",INDIRECT(CONCATENATE("Table!",ADDRESS($AB131,MATCH(C$1,INDIRECT("Table!A" &amp; $AF131):INDIRECT("Table!" &amp; $AR$159 &amp; $AF131),0)))))</f>
        <v>66054.100000000006</v>
      </c>
      <c r="D131" s="35">
        <f ca="1">IF(ISERROR(MATCH(D$1,INDIRECT("Table!A"&amp;$AF131):INDIRECT("Table!" &amp; $AR$159 &amp; $AF131),0)),"",INDIRECT(CONCATENATE("Table!",ADDRESS($AB131,MATCH(D$1,INDIRECT("Table!A" &amp; $AF131):INDIRECT("Table!" &amp; $AR$159 &amp; $AF131),0)))))</f>
        <v>67431.8</v>
      </c>
      <c r="E131" s="35">
        <f ca="1">IF(ISERROR(MATCH(E$1,INDIRECT("Table!A"&amp;$AF131):INDIRECT("Table!" &amp; $AR$159 &amp; $AF131),0)),"",INDIRECT(CONCATENATE("Table!",ADDRESS($AB131,MATCH(E$1,INDIRECT("Table!A" &amp; $AF131):INDIRECT("Table!" &amp; $AR$159 &amp; $AF131),0)))))</f>
        <v>130277.7</v>
      </c>
      <c r="F131" s="35">
        <f ca="1">IF(ISERROR(MATCH(F$1,INDIRECT("Table!A"&amp;$AF131):INDIRECT("Table!" &amp; $AR$159 &amp; $AF131),0)),"",INDIRECT(CONCATENATE("Table!",ADDRESS($AB131,MATCH(F$1,INDIRECT("Table!A" &amp; $AF131):INDIRECT("Table!" &amp; $AR$159 &amp; $AF131),0)))))</f>
        <v>290.3</v>
      </c>
      <c r="G131" s="35">
        <f ca="1">IF(ISERROR(MATCH(G$1,INDIRECT("Table!A"&amp;$AF131):INDIRECT("Table!" &amp; $AR$159 &amp; $AF131),0)),"",INDIRECT(CONCATENATE("Table!",ADDRESS($AB131,MATCH(G$1,INDIRECT("Table!A" &amp; $AF131):INDIRECT("Table!" &amp; $AR$159 &amp; $AF131),0)))))</f>
        <v>26321.200000000001</v>
      </c>
      <c r="H131" s="35">
        <f ca="1">IF(ISERROR(MATCH(H$1,INDIRECT("Table!A"&amp;$AF131):INDIRECT("Table!" &amp; $AR$159 &amp; $AF131),0)),"",INDIRECT(CONCATENATE("Table!",ADDRESS($AB131,MATCH(H$1,INDIRECT("Table!A" &amp; $AF131):INDIRECT("Table!" &amp; $AR$159 &amp; $AF131),0)))))</f>
        <v>19623.7</v>
      </c>
      <c r="I131" s="35">
        <f ca="1">IF(ISERROR(MATCH(I$1,INDIRECT("Table!A"&amp;$AF131):INDIRECT("Table!" &amp; $AR$159 &amp; $AF131),0)),"",INDIRECT(CONCATENATE("Table!",ADDRESS($AB131,MATCH(I$1,INDIRECT("Table!A" &amp; $AF131):INDIRECT("Table!" &amp; $AR$159 &amp; $AF131),0)))))</f>
        <v>117036.6</v>
      </c>
      <c r="J131" s="35">
        <f ca="1">IF(ISERROR(MATCH(J$1,INDIRECT("Table!A"&amp;$AF131):INDIRECT("Table!" &amp; $AR$159 &amp; $AF131),0)),"",INDIRECT(CONCATENATE("Table!",ADDRESS($AB131,MATCH(J$1,INDIRECT("Table!A" &amp; $AF131):INDIRECT("Table!" &amp; $AR$159 &amp; $AF131),0)))))</f>
        <v>29292.7</v>
      </c>
      <c r="K131" s="35">
        <f ca="1">IF(ISERROR(MATCH(K$1,INDIRECT("Table!A"&amp;$AF131):INDIRECT("Table!" &amp; $AR$159 &amp; $AF131),0)),"",INDIRECT(CONCATENATE("Table!",ADDRESS($AB131,MATCH(K$1,INDIRECT("Table!A" &amp; $AF131):INDIRECT("Table!" &amp; $AR$159 &amp; $AF131),0)))))</f>
        <v>161.69999999999999</v>
      </c>
      <c r="L131" s="35">
        <f ca="1">IF(ISERROR(MATCH(L$1,INDIRECT("Table!A"&amp;$AF131):INDIRECT("Table!" &amp; $AR$159 &amp; $AF131),0)),"",INDIRECT(CONCATENATE("Table!",ADDRESS($AB131,MATCH(L$1,INDIRECT("Table!A" &amp; $AF131):INDIRECT("Table!" &amp; $AR$159 &amp; $AF131),0)))))</f>
        <v>78175.7</v>
      </c>
      <c r="M131" s="35">
        <f ca="1">IF(ISERROR(MATCH(M$1,INDIRECT("Table!A"&amp;$AF131):INDIRECT("Table!" &amp; $AR$159 &amp; $AF131),0)),"",INDIRECT(CONCATENATE("Table!",ADDRESS($AB131,MATCH(M$1,INDIRECT("Table!A" &amp; $AF131):INDIRECT("Table!" &amp; $AR$159 &amp; $AF131),0)))))</f>
        <v>22933.3</v>
      </c>
      <c r="N131" s="35" t="str">
        <f ca="1">IF(ISERROR(MATCH(N$1,INDIRECT("Table!A"&amp;$AF131):INDIRECT("Table!" &amp; $AR$188 &amp; $AF131),0)),"",INDIRECT(CONCATENATE("Table!",ADDRESS($AB131,MATCH(N$1,INDIRECT("Table!A" &amp; $AF131):INDIRECT("Table!" &amp; $AR$188 &amp; $AF131),0)))))</f>
        <v/>
      </c>
      <c r="O131" s="35">
        <f ca="1">IF(ISERROR(MATCH(O$1,INDIRECT("Table!A"&amp;$AN131):INDIRECT("Table!" &amp; $AR$159 &amp; $AN131),0)),"",INDIRECT(CONCATENATE("Table!",ADDRESS($AJ131,MATCH(O$1,INDIRECT("Table!A" &amp; $AN131):INDIRECT("Table!" &amp; $AR$159 &amp; $AN131),0)))))</f>
        <v>115816.8</v>
      </c>
      <c r="P131" s="35">
        <f ca="1">IF(ISERROR(MATCH(P$1,INDIRECT("Table!A"&amp;$AN131):INDIRECT("Table!" &amp; $AR$159 &amp; $AN131),0)),"",INDIRECT(CONCATENATE("Table!",ADDRESS($AJ131,MATCH(P$1,INDIRECT("Table!A" &amp; $AN131):INDIRECT("Table!" &amp; $AR$159 &amp; $AN131),0)))))</f>
        <v>79968.7</v>
      </c>
      <c r="Q131" s="35">
        <f ca="1">IF(ISERROR(MATCH(Q$1,INDIRECT("Table!A"&amp;$AN131):INDIRECT("Table!" &amp; $AR$159 &amp; $AN131),0)),"",INDIRECT(CONCATENATE("Table!",ADDRESS($AJ131,MATCH(Q$1,INDIRECT("Table!A" &amp; $AN131):INDIRECT("Table!" &amp; $AR$159 &amp; $AN131),0)))))</f>
        <v>79968.7</v>
      </c>
      <c r="R131" s="35">
        <f ca="1">IF(ISERROR(MATCH(R$1,INDIRECT("Table!A"&amp;$AN131):INDIRECT("Table!" &amp; $AR$159 &amp; $AN131),0)),"",INDIRECT(CONCATENATE("Table!",ADDRESS($AJ131,MATCH(R$1,INDIRECT("Table!A" &amp; $AN131):INDIRECT("Table!" &amp; $AR$159 &amp; $AN131),0)))))</f>
        <v>154422.39999999999</v>
      </c>
      <c r="S131" s="35">
        <f ca="1">IF(ISERROR(MATCH(S$1,INDIRECT("Table!A"&amp;$AN131):INDIRECT("Table!" &amp; $AR$159 &amp; $AN131),0)),"",INDIRECT(CONCATENATE("Table!",ADDRESS($AJ131,MATCH(S$1,INDIRECT("Table!A" &amp; $AN131):INDIRECT("Table!" &amp; $AR$159 &amp; $AN131),0)))))</f>
        <v>121331.8</v>
      </c>
      <c r="T131" s="35">
        <f ca="1">IF(ISERROR(MATCH(T$1,INDIRECT("Table!A"&amp;$AN131):INDIRECT("Table!" &amp; $AR$159 &amp; $AN131),0)),"",INDIRECT(CONCATENATE("Table!",ADDRESS($AJ131,MATCH(T$1,INDIRECT("Table!A" &amp; $AN131):INDIRECT("Table!" &amp; $AR$159 &amp; $AN131),0)))))</f>
        <v>110071.9</v>
      </c>
      <c r="U131" s="35">
        <f ca="1">IF(ISERROR(MATCH(U$1,INDIRECT("Table!A"&amp;$AN131):INDIRECT("Table!" &amp; $AR$159 &amp; $AN131),0)),"",INDIRECT(CONCATENATE("Table!",ADDRESS($AJ131,MATCH(U$1,INDIRECT("Table!A" &amp; $AN131):INDIRECT("Table!" &amp; $AR$159 &amp; $AN131),0)))))</f>
        <v>121331.8</v>
      </c>
      <c r="V131" s="35">
        <f ca="1">IF(ISERROR(MATCH(V$1,INDIRECT("Table!A"&amp;$AN131):INDIRECT("Table!" &amp; $AR$159 &amp; $AN131),0)),"",INDIRECT(CONCATENATE("Table!",ADDRESS($AJ131,MATCH(V$1,INDIRECT("Table!A" &amp; $AN131):INDIRECT("Table!" &amp; $AR$159 &amp; $AN131),0)))))</f>
        <v>170967.6</v>
      </c>
      <c r="W131" s="35">
        <f ca="1">IF(ISERROR(MATCH(W$1,INDIRECT("Table!A"&amp;$AN131):INDIRECT("Table!" &amp; $AR$159 &amp; $AN131),0)),"",INDIRECT(CONCATENATE("Table!",ADDRESS($AJ131,MATCH(W$1,INDIRECT("Table!A" &amp; $AN131):INDIRECT("Table!" &amp; $AR$159 &amp; $AN131),0)))))</f>
        <v>54921</v>
      </c>
      <c r="X131" s="35">
        <f ca="1">IF(ISERROR(MATCH(X$1,INDIRECT("Table!A"&amp;$AN131):INDIRECT("Table!" &amp; $AR$159 &amp; $AN131),0)),"",INDIRECT(CONCATENATE("Table!",ADDRESS($AJ131,MATCH(X$1,INDIRECT("Table!A" &amp; $AN131):INDIRECT("Table!" &amp; $AR$159 &amp; $AN131),0)))))</f>
        <v>60665.9</v>
      </c>
      <c r="Y131" s="35">
        <f ca="1">IF(ISERROR(MATCH(Y$1,INDIRECT("Table!A"&amp;$AN131):INDIRECT("Table!" &amp; $AR$159 &amp; $AN131),0)),"",INDIRECT(CONCATENATE("Table!",ADDRESS($AJ131,MATCH(Y$1,INDIRECT("Table!A" &amp; $AN131):INDIRECT("Table!" &amp; $AR$159 &amp; $AN131),0)))))</f>
        <v>176482.7</v>
      </c>
      <c r="Z131" s="35">
        <f ca="1">IF(ISERROR(MATCH(Z$1,INDIRECT("Table!A"&amp;$AN131):INDIRECT("Table!" &amp; $AR$159 &amp; $AN131),0)),"",INDIRECT(CONCATENATE("Table!",ADDRESS($AJ131,MATCH(Z$1,INDIRECT("Table!A" &amp; $AN131):INDIRECT("Table!" &amp; $AR$159 &amp; $AN131),0)))))</f>
        <v>54921</v>
      </c>
      <c r="AA131" s="12"/>
      <c r="AB131" s="12">
        <f>MATCH($A131,Table!$A:$A,0)+$AD$2-1</f>
        <v>1885</v>
      </c>
      <c r="AF131" s="31">
        <f>MATCH($A131,Table!$A:$A,0)+$AH$2-1</f>
        <v>1883</v>
      </c>
      <c r="AJ131" s="12">
        <f>MATCH($A131,Table!$A:$A,0)+$AL$2-1</f>
        <v>1884</v>
      </c>
      <c r="AN131" s="31">
        <f>MATCH($A131,Table!$A:$A,0)+$AH$2-1</f>
        <v>1883</v>
      </c>
      <c r="AR131" s="145" t="s">
        <v>118</v>
      </c>
    </row>
    <row r="132" spans="1:44">
      <c r="A132" s="5">
        <v>40959</v>
      </c>
      <c r="B132" s="35">
        <f ca="1">IF(ISERROR(MATCH(B$1,INDIRECT("Table!A"&amp;$AF132):INDIRECT("Table!" &amp; $AR$159 &amp; $AF132),0)),"",INDIRECT(CONCATENATE("Table!",ADDRESS($AB132,MATCH(B$1,INDIRECT("Table!A" &amp; $AF132):INDIRECT("Table!" &amp; $AR$159 &amp; $AF132),0)))))</f>
        <v>93324.3</v>
      </c>
      <c r="C132" s="35">
        <f ca="1">IF(ISERROR(MATCH(C$1,INDIRECT("Table!A"&amp;$AF132):INDIRECT("Table!" &amp; $AR$159 &amp; $AF132),0)),"",INDIRECT(CONCATENATE("Table!",ADDRESS($AB132,MATCH(C$1,INDIRECT("Table!A" &amp; $AF132):INDIRECT("Table!" &amp; $AR$159 &amp; $AF132),0)))))</f>
        <v>66052.2</v>
      </c>
      <c r="D132" s="35">
        <f ca="1">IF(ISERROR(MATCH(D$1,INDIRECT("Table!A"&amp;$AF132):INDIRECT("Table!" &amp; $AR$159 &amp; $AF132),0)),"",INDIRECT(CONCATENATE("Table!",ADDRESS($AB132,MATCH(D$1,INDIRECT("Table!A" &amp; $AF132):INDIRECT("Table!" &amp; $AR$159 &amp; $AF132),0)))))</f>
        <v>67429.899999999994</v>
      </c>
      <c r="E132" s="35">
        <f ca="1">IF(ISERROR(MATCH(E$1,INDIRECT("Table!A"&amp;$AF132):INDIRECT("Table!" &amp; $AR$159 &amp; $AF132),0)),"",INDIRECT(CONCATENATE("Table!",ADDRESS($AB132,MATCH(E$1,INDIRECT("Table!A" &amp; $AF132):INDIRECT("Table!" &amp; $AR$159 &amp; $AF132),0)))))</f>
        <v>130113</v>
      </c>
      <c r="F132" s="35">
        <f ca="1">IF(ISERROR(MATCH(F$1,INDIRECT("Table!A"&amp;$AF132):INDIRECT("Table!" &amp; $AR$159 &amp; $AF132),0)),"",INDIRECT(CONCATENATE("Table!",ADDRESS($AB132,MATCH(F$1,INDIRECT("Table!A" &amp; $AF132):INDIRECT("Table!" &amp; $AR$159 &amp; $AF132),0)))))</f>
        <v>225.3</v>
      </c>
      <c r="G132" s="35">
        <f ca="1">IF(ISERROR(MATCH(G$1,INDIRECT("Table!A"&amp;$AF132):INDIRECT("Table!" &amp; $AR$159 &amp; $AF132),0)),"",INDIRECT(CONCATENATE("Table!",ADDRESS($AB132,MATCH(G$1,INDIRECT("Table!A" &amp; $AF132):INDIRECT("Table!" &amp; $AR$159 &amp; $AF132),0)))))</f>
        <v>26284.6</v>
      </c>
      <c r="H132" s="35">
        <f ca="1">IF(ISERROR(MATCH(H$1,INDIRECT("Table!A"&amp;$AF132):INDIRECT("Table!" &amp; $AR$159 &amp; $AF132),0)),"",INDIRECT(CONCATENATE("Table!",ADDRESS($AB132,MATCH(H$1,INDIRECT("Table!A" &amp; $AF132):INDIRECT("Table!" &amp; $AR$159 &amp; $AF132),0)))))</f>
        <v>19623.3</v>
      </c>
      <c r="I132" s="35">
        <f ca="1">IF(ISERROR(MATCH(I$1,INDIRECT("Table!A"&amp;$AF132):INDIRECT("Table!" &amp; $AR$159 &amp; $AF132),0)),"",INDIRECT(CONCATENATE("Table!",ADDRESS($AB132,MATCH(I$1,INDIRECT("Table!A" &amp; $AF132):INDIRECT("Table!" &amp; $AR$159 &amp; $AF132),0)))))</f>
        <v>116974.7</v>
      </c>
      <c r="J132" s="35">
        <f ca="1">IF(ISERROR(MATCH(J$1,INDIRECT("Table!A"&amp;$AF132):INDIRECT("Table!" &amp; $AR$159 &amp; $AF132),0)),"",INDIRECT(CONCATENATE("Table!",ADDRESS($AB132,MATCH(J$1,INDIRECT("Table!A" &amp; $AF132):INDIRECT("Table!" &amp; $AR$159 &amp; $AF132),0)))))</f>
        <v>29289.5</v>
      </c>
      <c r="K132" s="35">
        <f ca="1">IF(ISERROR(MATCH(K$1,INDIRECT("Table!A"&amp;$AF132):INDIRECT("Table!" &amp; $AR$159 &amp; $AF132),0)),"",INDIRECT(CONCATENATE("Table!",ADDRESS($AB132,MATCH(K$1,INDIRECT("Table!A" &amp; $AF132):INDIRECT("Table!" &amp; $AR$159 &amp; $AF132),0)))))</f>
        <v>129.1</v>
      </c>
      <c r="L132" s="35">
        <f ca="1">IF(ISERROR(MATCH(L$1,INDIRECT("Table!A"&amp;$AF132):INDIRECT("Table!" &amp; $AR$159 &amp; $AF132),0)),"",INDIRECT(CONCATENATE("Table!",ADDRESS($AB132,MATCH(L$1,INDIRECT("Table!A" &amp; $AF132):INDIRECT("Table!" &amp; $AR$159 &amp; $AF132),0)))))</f>
        <v>78155.7</v>
      </c>
      <c r="M132" s="35">
        <f ca="1">IF(ISERROR(MATCH(M$1,INDIRECT("Table!A"&amp;$AF132):INDIRECT("Table!" &amp; $AR$159 &amp; $AF132),0)),"",INDIRECT(CONCATENATE("Table!",ADDRESS($AB132,MATCH(M$1,INDIRECT("Table!A" &amp; $AF132):INDIRECT("Table!" &amp; $AR$159 &amp; $AF132),0)))))</f>
        <v>22932.799999999999</v>
      </c>
      <c r="N132" s="35" t="str">
        <f ca="1">IF(ISERROR(MATCH(N$1,INDIRECT("Table!A"&amp;$AF132):INDIRECT("Table!" &amp; $AR$188 &amp; $AF132),0)),"",INDIRECT(CONCATENATE("Table!",ADDRESS($AB132,MATCH(N$1,INDIRECT("Table!A" &amp; $AF132):INDIRECT("Table!" &amp; $AR$188 &amp; $AF132),0)))))</f>
        <v/>
      </c>
      <c r="O132" s="35">
        <f ca="1">IF(ISERROR(MATCH(O$1,INDIRECT("Table!A"&amp;$AN132):INDIRECT("Table!" &amp; $AR$159 &amp; $AN132),0)),"",INDIRECT(CONCATENATE("Table!",ADDRESS($AJ132,MATCH(O$1,INDIRECT("Table!A" &amp; $AN132):INDIRECT("Table!" &amp; $AR$159 &amp; $AN132),0)))))</f>
        <v>115816.8</v>
      </c>
      <c r="P132" s="35">
        <f ca="1">IF(ISERROR(MATCH(P$1,INDIRECT("Table!A"&amp;$AN132):INDIRECT("Table!" &amp; $AR$159 &amp; $AN132),0)),"",INDIRECT(CONCATENATE("Table!",ADDRESS($AJ132,MATCH(P$1,INDIRECT("Table!A" &amp; $AN132):INDIRECT("Table!" &amp; $AR$159 &amp; $AN132),0)))))</f>
        <v>79968.7</v>
      </c>
      <c r="Q132" s="35">
        <f ca="1">IF(ISERROR(MATCH(Q$1,INDIRECT("Table!A"&amp;$AN132):INDIRECT("Table!" &amp; $AR$159 &amp; $AN132),0)),"",INDIRECT(CONCATENATE("Table!",ADDRESS($AJ132,MATCH(Q$1,INDIRECT("Table!A" &amp; $AN132):INDIRECT("Table!" &amp; $AR$159 &amp; $AN132),0)))))</f>
        <v>79968.7</v>
      </c>
      <c r="R132" s="35">
        <f ca="1">IF(ISERROR(MATCH(R$1,INDIRECT("Table!A"&amp;$AN132):INDIRECT("Table!" &amp; $AR$159 &amp; $AN132),0)),"",INDIRECT(CONCATENATE("Table!",ADDRESS($AJ132,MATCH(R$1,INDIRECT("Table!A" &amp; $AN132):INDIRECT("Table!" &amp; $AR$159 &amp; $AN132),0)))))</f>
        <v>154422.39999999999</v>
      </c>
      <c r="S132" s="35">
        <f ca="1">IF(ISERROR(MATCH(S$1,INDIRECT("Table!A"&amp;$AN132):INDIRECT("Table!" &amp; $AR$159 &amp; $AN132),0)),"",INDIRECT(CONCATENATE("Table!",ADDRESS($AJ132,MATCH(S$1,INDIRECT("Table!A" &amp; $AN132):INDIRECT("Table!" &amp; $AR$159 &amp; $AN132),0)))))</f>
        <v>121331.8</v>
      </c>
      <c r="T132" s="35">
        <f ca="1">IF(ISERROR(MATCH(T$1,INDIRECT("Table!A"&amp;$AN132):INDIRECT("Table!" &amp; $AR$159 &amp; $AN132),0)),"",INDIRECT(CONCATENATE("Table!",ADDRESS($AJ132,MATCH(T$1,INDIRECT("Table!A" &amp; $AN132):INDIRECT("Table!" &amp; $AR$159 &amp; $AN132),0)))))</f>
        <v>110071.9</v>
      </c>
      <c r="U132" s="35">
        <f ca="1">IF(ISERROR(MATCH(U$1,INDIRECT("Table!A"&amp;$AN132):INDIRECT("Table!" &amp; $AR$159 &amp; $AN132),0)),"",INDIRECT(CONCATENATE("Table!",ADDRESS($AJ132,MATCH(U$1,INDIRECT("Table!A" &amp; $AN132):INDIRECT("Table!" &amp; $AR$159 &amp; $AN132),0)))))</f>
        <v>121331.8</v>
      </c>
      <c r="V132" s="35">
        <f ca="1">IF(ISERROR(MATCH(V$1,INDIRECT("Table!A"&amp;$AN132):INDIRECT("Table!" &amp; $AR$159 &amp; $AN132),0)),"",INDIRECT(CONCATENATE("Table!",ADDRESS($AJ132,MATCH(V$1,INDIRECT("Table!A" &amp; $AN132):INDIRECT("Table!" &amp; $AR$159 &amp; $AN132),0)))))</f>
        <v>170967.6</v>
      </c>
      <c r="W132" s="35">
        <f ca="1">IF(ISERROR(MATCH(W$1,INDIRECT("Table!A"&amp;$AN132):INDIRECT("Table!" &amp; $AR$159 &amp; $AN132),0)),"",INDIRECT(CONCATENATE("Table!",ADDRESS($AJ132,MATCH(W$1,INDIRECT("Table!A" &amp; $AN132):INDIRECT("Table!" &amp; $AR$159 &amp; $AN132),0)))))</f>
        <v>54921</v>
      </c>
      <c r="X132" s="35">
        <f ca="1">IF(ISERROR(MATCH(X$1,INDIRECT("Table!A"&amp;$AN132):INDIRECT("Table!" &amp; $AR$159 &amp; $AN132),0)),"",INDIRECT(CONCATENATE("Table!",ADDRESS($AJ132,MATCH(X$1,INDIRECT("Table!A" &amp; $AN132):INDIRECT("Table!" &amp; $AR$159 &amp; $AN132),0)))))</f>
        <v>60665.9</v>
      </c>
      <c r="Y132" s="35">
        <f ca="1">IF(ISERROR(MATCH(Y$1,INDIRECT("Table!A"&amp;$AN132):INDIRECT("Table!" &amp; $AR$159 &amp; $AN132),0)),"",INDIRECT(CONCATENATE("Table!",ADDRESS($AJ132,MATCH(Y$1,INDIRECT("Table!A" &amp; $AN132):INDIRECT("Table!" &amp; $AR$159 &amp; $AN132),0)))))</f>
        <v>176482.7</v>
      </c>
      <c r="Z132" s="35">
        <f ca="1">IF(ISERROR(MATCH(Z$1,INDIRECT("Table!A"&amp;$AN132):INDIRECT("Table!" &amp; $AR$159 &amp; $AN132),0)),"",INDIRECT(CONCATENATE("Table!",ADDRESS($AJ132,MATCH(Z$1,INDIRECT("Table!A" &amp; $AN132):INDIRECT("Table!" &amp; $AR$159 &amp; $AN132),0)))))</f>
        <v>54921</v>
      </c>
      <c r="AA132" s="12"/>
      <c r="AB132" s="12">
        <f>MATCH($A132,Table!$A:$A,0)+$AD$2-1</f>
        <v>1898</v>
      </c>
      <c r="AF132" s="31">
        <f>MATCH($A132,Table!$A:$A,0)+$AH$2-1</f>
        <v>1896</v>
      </c>
      <c r="AJ132" s="12">
        <f>MATCH($A132,Table!$A:$A,0)+$AL$2-1</f>
        <v>1897</v>
      </c>
      <c r="AN132" s="31">
        <f>MATCH($A132,Table!$A:$A,0)+$AH$2-1</f>
        <v>1896</v>
      </c>
      <c r="AR132" s="144" t="s">
        <v>118</v>
      </c>
    </row>
    <row r="133" spans="1:44">
      <c r="A133" s="5">
        <v>40956</v>
      </c>
      <c r="B133" s="35">
        <f ca="1">IF(ISERROR(MATCH(B$1,INDIRECT("Table!A"&amp;$AF133):INDIRECT("Table!" &amp; $AR$159 &amp; $AF133),0)),"",INDIRECT(CONCATENATE("Table!",ADDRESS($AB133,MATCH(B$1,INDIRECT("Table!A" &amp; $AF133):INDIRECT("Table!" &amp; $AR$159 &amp; $AF133),0)))))</f>
        <v>93115.9</v>
      </c>
      <c r="C133" s="35">
        <f ca="1">IF(ISERROR(MATCH(C$1,INDIRECT("Table!A"&amp;$AF133):INDIRECT("Table!" &amp; $AR$159 &amp; $AF133),0)),"",INDIRECT(CONCATENATE("Table!",ADDRESS($AB133,MATCH(C$1,INDIRECT("Table!A" &amp; $AF133):INDIRECT("Table!" &amp; $AR$159 &amp; $AF133),0)))))</f>
        <v>66043.8</v>
      </c>
      <c r="D133" s="35">
        <f ca="1">IF(ISERROR(MATCH(D$1,INDIRECT("Table!A"&amp;$AF133):INDIRECT("Table!" &amp; $AR$159 &amp; $AF133),0)),"",INDIRECT(CONCATENATE("Table!",ADDRESS($AB133,MATCH(D$1,INDIRECT("Table!A" &amp; $AF133):INDIRECT("Table!" &amp; $AR$159 &amp; $AF133),0)))))</f>
        <v>67421.5</v>
      </c>
      <c r="E133" s="35">
        <f ca="1">IF(ISERROR(MATCH(E$1,INDIRECT("Table!A"&amp;$AF133):INDIRECT("Table!" &amp; $AR$159 &amp; $AF133),0)),"",INDIRECT(CONCATENATE("Table!",ADDRESS($AB133,MATCH(E$1,INDIRECT("Table!A" &amp; $AF133):INDIRECT("Table!" &amp; $AR$159 &amp; $AF133),0)))))</f>
        <v>129627.9</v>
      </c>
      <c r="F133" s="35">
        <f ca="1">IF(ISERROR(MATCH(F$1,INDIRECT("Table!A"&amp;$AF133):INDIRECT("Table!" &amp; $AR$159 &amp; $AF133),0)),"",INDIRECT(CONCATENATE("Table!",ADDRESS($AB133,MATCH(F$1,INDIRECT("Table!A" &amp; $AF133):INDIRECT("Table!" &amp; $AR$159 &amp; $AF133),0)))))</f>
        <v>136.9</v>
      </c>
      <c r="G133" s="35">
        <f ca="1">IF(ISERROR(MATCH(G$1,INDIRECT("Table!A"&amp;$AF133):INDIRECT("Table!" &amp; $AR$159 &amp; $AF133),0)),"",INDIRECT(CONCATENATE("Table!",ADDRESS($AB133,MATCH(G$1,INDIRECT("Table!A" &amp; $AF133):INDIRECT("Table!" &amp; $AR$159 &amp; $AF133),0)))))</f>
        <v>25918.7</v>
      </c>
      <c r="H133" s="35">
        <f ca="1">IF(ISERROR(MATCH(H$1,INDIRECT("Table!A"&amp;$AF133):INDIRECT("Table!" &amp; $AR$159 &amp; $AF133),0)),"",INDIRECT(CONCATENATE("Table!",ADDRESS($AB133,MATCH(H$1,INDIRECT("Table!A" &amp; $AF133):INDIRECT("Table!" &amp; $AR$159 &amp; $AF133),0)))))</f>
        <v>19622.400000000001</v>
      </c>
      <c r="I133" s="35">
        <f ca="1">IF(ISERROR(MATCH(I$1,INDIRECT("Table!A"&amp;$AF133):INDIRECT("Table!" &amp; $AR$159 &amp; $AF133),0)),"",INDIRECT(CONCATENATE("Table!",ADDRESS($AB133,MATCH(I$1,INDIRECT("Table!A" &amp; $AF133):INDIRECT("Table!" &amp; $AR$159 &amp; $AF133),0)))))</f>
        <v>116024.2</v>
      </c>
      <c r="J133" s="35">
        <f ca="1">IF(ISERROR(MATCH(J$1,INDIRECT("Table!A"&amp;$AF133):INDIRECT("Table!" &amp; $AR$159 &amp; $AF133),0)),"",INDIRECT(CONCATENATE("Table!",ADDRESS($AB133,MATCH(J$1,INDIRECT("Table!A" &amp; $AF133):INDIRECT("Table!" &amp; $AR$159 &amp; $AF133),0)))))</f>
        <v>29281.200000000001</v>
      </c>
      <c r="K133" s="35">
        <f ca="1">IF(ISERROR(MATCH(K$1,INDIRECT("Table!A"&amp;$AF133):INDIRECT("Table!" &amp; $AR$159 &amp; $AF133),0)),"",INDIRECT(CONCATENATE("Table!",ADDRESS($AB133,MATCH(K$1,INDIRECT("Table!A" &amp; $AF133):INDIRECT("Table!" &amp; $AR$159 &amp; $AF133),0)))))</f>
        <v>84.7</v>
      </c>
      <c r="L133" s="35">
        <f ca="1">IF(ISERROR(MATCH(L$1,INDIRECT("Table!A"&amp;$AF133):INDIRECT("Table!" &amp; $AR$159 &amp; $AF133),0)),"",INDIRECT(CONCATENATE("Table!",ADDRESS($AB133,MATCH(L$1,INDIRECT("Table!A" &amp; $AF133):INDIRECT("Table!" &amp; $AR$159 &amp; $AF133),0)))))</f>
        <v>78152.899999999994</v>
      </c>
      <c r="M133" s="35">
        <f ca="1">IF(ISERROR(MATCH(M$1,INDIRECT("Table!A"&amp;$AF133):INDIRECT("Table!" &amp; $AR$159 &amp; $AF133),0)),"",INDIRECT(CONCATENATE("Table!",ADDRESS($AB133,MATCH(M$1,INDIRECT("Table!A" &amp; $AF133):INDIRECT("Table!" &amp; $AR$159 &amp; $AF133),0)))))</f>
        <v>22932.3</v>
      </c>
      <c r="N133" s="35" t="str">
        <f ca="1">IF(ISERROR(MATCH(N$1,INDIRECT("Table!A"&amp;$AF133):INDIRECT("Table!" &amp; $AR$188 &amp; $AF133),0)),"",INDIRECT(CONCATENATE("Table!",ADDRESS($AB133,MATCH(N$1,INDIRECT("Table!A" &amp; $AF133):INDIRECT("Table!" &amp; $AR$188 &amp; $AF133),0)))))</f>
        <v/>
      </c>
      <c r="O133" s="35">
        <f ca="1">IF(ISERROR(MATCH(O$1,INDIRECT("Table!A"&amp;$AN133):INDIRECT("Table!" &amp; $AR$159 &amp; $AN133),0)),"",INDIRECT(CONCATENATE("Table!",ADDRESS($AJ133,MATCH(O$1,INDIRECT("Table!A" &amp; $AN133):INDIRECT("Table!" &amp; $AR$159 &amp; $AN133),0)))))</f>
        <v>115816.8</v>
      </c>
      <c r="P133" s="35">
        <f ca="1">IF(ISERROR(MATCH(P$1,INDIRECT("Table!A"&amp;$AN133):INDIRECT("Table!" &amp; $AR$159 &amp; $AN133),0)),"",INDIRECT(CONCATENATE("Table!",ADDRESS($AJ133,MATCH(P$1,INDIRECT("Table!A" &amp; $AN133):INDIRECT("Table!" &amp; $AR$159 &amp; $AN133),0)))))</f>
        <v>79968.7</v>
      </c>
      <c r="Q133" s="35">
        <f ca="1">IF(ISERROR(MATCH(Q$1,INDIRECT("Table!A"&amp;$AN133):INDIRECT("Table!" &amp; $AR$159 &amp; $AN133),0)),"",INDIRECT(CONCATENATE("Table!",ADDRESS($AJ133,MATCH(Q$1,INDIRECT("Table!A" &amp; $AN133):INDIRECT("Table!" &amp; $AR$159 &amp; $AN133),0)))))</f>
        <v>79968.7</v>
      </c>
      <c r="R133" s="35">
        <f ca="1">IF(ISERROR(MATCH(R$1,INDIRECT("Table!A"&amp;$AN133):INDIRECT("Table!" &amp; $AR$159 &amp; $AN133),0)),"",INDIRECT(CONCATENATE("Table!",ADDRESS($AJ133,MATCH(R$1,INDIRECT("Table!A" &amp; $AN133):INDIRECT("Table!" &amp; $AR$159 &amp; $AN133),0)))))</f>
        <v>154422.39999999999</v>
      </c>
      <c r="S133" s="35">
        <f ca="1">IF(ISERROR(MATCH(S$1,INDIRECT("Table!A"&amp;$AN133):INDIRECT("Table!" &amp; $AR$159 &amp; $AN133),0)),"",INDIRECT(CONCATENATE("Table!",ADDRESS($AJ133,MATCH(S$1,INDIRECT("Table!A" &amp; $AN133):INDIRECT("Table!" &amp; $AR$159 &amp; $AN133),0)))))</f>
        <v>121331.8</v>
      </c>
      <c r="T133" s="35">
        <f ca="1">IF(ISERROR(MATCH(T$1,INDIRECT("Table!A"&amp;$AN133):INDIRECT("Table!" &amp; $AR$159 &amp; $AN133),0)),"",INDIRECT(CONCATENATE("Table!",ADDRESS($AJ133,MATCH(T$1,INDIRECT("Table!A" &amp; $AN133):INDIRECT("Table!" &amp; $AR$159 &amp; $AN133),0)))))</f>
        <v>110071.9</v>
      </c>
      <c r="U133" s="35">
        <f ca="1">IF(ISERROR(MATCH(U$1,INDIRECT("Table!A"&amp;$AN133):INDIRECT("Table!" &amp; $AR$159 &amp; $AN133),0)),"",INDIRECT(CONCATENATE("Table!",ADDRESS($AJ133,MATCH(U$1,INDIRECT("Table!A" &amp; $AN133):INDIRECT("Table!" &amp; $AR$159 &amp; $AN133),0)))))</f>
        <v>121331.8</v>
      </c>
      <c r="V133" s="35">
        <f ca="1">IF(ISERROR(MATCH(V$1,INDIRECT("Table!A"&amp;$AN133):INDIRECT("Table!" &amp; $AR$159 &amp; $AN133),0)),"",INDIRECT(CONCATENATE("Table!",ADDRESS($AJ133,MATCH(V$1,INDIRECT("Table!A" &amp; $AN133):INDIRECT("Table!" &amp; $AR$159 &amp; $AN133),0)))))</f>
        <v>170967.6</v>
      </c>
      <c r="W133" s="35">
        <f ca="1">IF(ISERROR(MATCH(W$1,INDIRECT("Table!A"&amp;$AN133):INDIRECT("Table!" &amp; $AR$159 &amp; $AN133),0)),"",INDIRECT(CONCATENATE("Table!",ADDRESS($AJ133,MATCH(W$1,INDIRECT("Table!A" &amp; $AN133):INDIRECT("Table!" &amp; $AR$159 &amp; $AN133),0)))))</f>
        <v>54921</v>
      </c>
      <c r="X133" s="35">
        <f ca="1">IF(ISERROR(MATCH(X$1,INDIRECT("Table!A"&amp;$AN133):INDIRECT("Table!" &amp; $AR$159 &amp; $AN133),0)),"",INDIRECT(CONCATENATE("Table!",ADDRESS($AJ133,MATCH(X$1,INDIRECT("Table!A" &amp; $AN133):INDIRECT("Table!" &amp; $AR$159 &amp; $AN133),0)))))</f>
        <v>60665.9</v>
      </c>
      <c r="Y133" s="35">
        <f ca="1">IF(ISERROR(MATCH(Y$1,INDIRECT("Table!A"&amp;$AN133):INDIRECT("Table!" &amp; $AR$159 &amp; $AN133),0)),"",INDIRECT(CONCATENATE("Table!",ADDRESS($AJ133,MATCH(Y$1,INDIRECT("Table!A" &amp; $AN133):INDIRECT("Table!" &amp; $AR$159 &amp; $AN133),0)))))</f>
        <v>176482.7</v>
      </c>
      <c r="Z133" s="35">
        <f ca="1">IF(ISERROR(MATCH(Z$1,INDIRECT("Table!A"&amp;$AN133):INDIRECT("Table!" &amp; $AR$159 &amp; $AN133),0)),"",INDIRECT(CONCATENATE("Table!",ADDRESS($AJ133,MATCH(Z$1,INDIRECT("Table!A" &amp; $AN133):INDIRECT("Table!" &amp; $AR$159 &amp; $AN133),0)))))</f>
        <v>54921</v>
      </c>
      <c r="AA133" s="12"/>
      <c r="AB133" s="12">
        <f>MATCH($A133,Table!$A:$A,0)+$AD$2-1</f>
        <v>1911</v>
      </c>
      <c r="AF133" s="31">
        <f>MATCH($A133,Table!$A:$A,0)+$AH$2-1</f>
        <v>1909</v>
      </c>
      <c r="AJ133" s="12">
        <f>MATCH($A133,Table!$A:$A,0)+$AL$2-1</f>
        <v>1910</v>
      </c>
      <c r="AN133" s="31">
        <f>MATCH($A133,Table!$A:$A,0)+$AH$2-1</f>
        <v>1909</v>
      </c>
      <c r="AR133" s="143" t="s">
        <v>118</v>
      </c>
    </row>
    <row r="134" spans="1:44">
      <c r="A134" s="5">
        <v>40955</v>
      </c>
      <c r="B134" s="35">
        <f ca="1">IF(ISERROR(MATCH(B$1,INDIRECT("Table!A"&amp;$AF134):INDIRECT("Table!" &amp; $AR$159 &amp; $AF134),0)),"",INDIRECT(CONCATENATE("Table!",ADDRESS($AB134,MATCH(B$1,INDIRECT("Table!A" &amp; $AF134):INDIRECT("Table!" &amp; $AR$159 &amp; $AF134),0)))))</f>
        <v>92868.4</v>
      </c>
      <c r="C134" s="35">
        <f ca="1">IF(ISERROR(MATCH(C$1,INDIRECT("Table!A"&amp;$AF134):INDIRECT("Table!" &amp; $AR$159 &amp; $AF134),0)),"",INDIRECT(CONCATENATE("Table!",ADDRESS($AB134,MATCH(C$1,INDIRECT("Table!A" &amp; $AF134):INDIRECT("Table!" &amp; $AR$159 &amp; $AF134),0)))))</f>
        <v>66041.5</v>
      </c>
      <c r="D134" s="35">
        <f ca="1">IF(ISERROR(MATCH(D$1,INDIRECT("Table!A"&amp;$AF134):INDIRECT("Table!" &amp; $AR$159 &amp; $AF134),0)),"",INDIRECT(CONCATENATE("Table!",ADDRESS($AB134,MATCH(D$1,INDIRECT("Table!A" &amp; $AF134):INDIRECT("Table!" &amp; $AR$159 &amp; $AF134),0)))))</f>
        <v>67419.199999999997</v>
      </c>
      <c r="E134" s="35">
        <f ca="1">IF(ISERROR(MATCH(E$1,INDIRECT("Table!A"&amp;$AF134):INDIRECT("Table!" &amp; $AR$159 &amp; $AF134),0)),"",INDIRECT(CONCATENATE("Table!",ADDRESS($AB134,MATCH(E$1,INDIRECT("Table!A" &amp; $AF134):INDIRECT("Table!" &amp; $AR$159 &amp; $AF134),0)))))</f>
        <v>129350.8</v>
      </c>
      <c r="F134" s="35">
        <f ca="1">IF(ISERROR(MATCH(F$1,INDIRECT("Table!A"&amp;$AF134):INDIRECT("Table!" &amp; $AR$159 &amp; $AF134),0)),"",INDIRECT(CONCATENATE("Table!",ADDRESS($AB134,MATCH(F$1,INDIRECT("Table!A" &amp; $AF134):INDIRECT("Table!" &amp; $AR$159 &amp; $AF134),0)))))</f>
        <v>96</v>
      </c>
      <c r="G134" s="35">
        <f ca="1">IF(ISERROR(MATCH(G$1,INDIRECT("Table!A"&amp;$AF134):INDIRECT("Table!" &amp; $AR$159 &amp; $AF134),0)),"",INDIRECT(CONCATENATE("Table!",ADDRESS($AB134,MATCH(G$1,INDIRECT("Table!A" &amp; $AF134):INDIRECT("Table!" &amp; $AR$159 &amp; $AF134),0)))))</f>
        <v>25865.1</v>
      </c>
      <c r="H134" s="35">
        <f ca="1">IF(ISERROR(MATCH(H$1,INDIRECT("Table!A"&amp;$AF134):INDIRECT("Table!" &amp; $AR$159 &amp; $AF134),0)),"",INDIRECT(CONCATENATE("Table!",ADDRESS($AB134,MATCH(H$1,INDIRECT("Table!A" &amp; $AF134):INDIRECT("Table!" &amp; $AR$159 &amp; $AF134),0)))))</f>
        <v>19621.900000000001</v>
      </c>
      <c r="I134" s="35">
        <f ca="1">IF(ISERROR(MATCH(I$1,INDIRECT("Table!A"&amp;$AF134):INDIRECT("Table!" &amp; $AR$159 &amp; $AF134),0)),"",INDIRECT(CONCATENATE("Table!",ADDRESS($AB134,MATCH(I$1,INDIRECT("Table!A" &amp; $AF134):INDIRECT("Table!" &amp; $AR$159 &amp; $AF134),0)))))</f>
        <v>115940</v>
      </c>
      <c r="J134" s="35">
        <f ca="1">IF(ISERROR(MATCH(J$1,INDIRECT("Table!A"&amp;$AF134):INDIRECT("Table!" &amp; $AR$159 &amp; $AF134),0)),"",INDIRECT(CONCATENATE("Table!",ADDRESS($AB134,MATCH(J$1,INDIRECT("Table!A" &amp; $AF134):INDIRECT("Table!" &amp; $AR$159 &amp; $AF134),0)))))</f>
        <v>29276.9</v>
      </c>
      <c r="K134" s="35">
        <f ca="1">IF(ISERROR(MATCH(K$1,INDIRECT("Table!A"&amp;$AF134):INDIRECT("Table!" &amp; $AR$159 &amp; $AF134),0)),"",INDIRECT(CONCATENATE("Table!",ADDRESS($AB134,MATCH(K$1,INDIRECT("Table!A" &amp; $AF134):INDIRECT("Table!" &amp; $AR$159 &amp; $AF134),0)))))</f>
        <v>64.3</v>
      </c>
      <c r="L134" s="35">
        <f ca="1">IF(ISERROR(MATCH(L$1,INDIRECT("Table!A"&amp;$AF134):INDIRECT("Table!" &amp; $AR$159 &amp; $AF134),0)),"",INDIRECT(CONCATENATE("Table!",ADDRESS($AB134,MATCH(L$1,INDIRECT("Table!A" &amp; $AF134):INDIRECT("Table!" &amp; $AR$159 &amp; $AF134),0)))))</f>
        <v>78151.5</v>
      </c>
      <c r="M134" s="35">
        <f ca="1">IF(ISERROR(MATCH(M$1,INDIRECT("Table!A"&amp;$AF134):INDIRECT("Table!" &amp; $AR$159 &amp; $AF134),0)),"",INDIRECT(CONCATENATE("Table!",ADDRESS($AB134,MATCH(M$1,INDIRECT("Table!A" &amp; $AF134):INDIRECT("Table!" &amp; $AR$159 &amp; $AF134),0)))))</f>
        <v>22932</v>
      </c>
      <c r="N134" s="35" t="str">
        <f ca="1">IF(ISERROR(MATCH(N$1,INDIRECT("Table!A"&amp;$AF134):INDIRECT("Table!" &amp; $AR$188 &amp; $AF134),0)),"",INDIRECT(CONCATENATE("Table!",ADDRESS($AB134,MATCH(N$1,INDIRECT("Table!A" &amp; $AF134):INDIRECT("Table!" &amp; $AR$188 &amp; $AF134),0)))))</f>
        <v/>
      </c>
      <c r="O134" s="35">
        <f ca="1">IF(ISERROR(MATCH(O$1,INDIRECT("Table!A"&amp;$AN134):INDIRECT("Table!" &amp; $AR$159 &amp; $AN134),0)),"",INDIRECT(CONCATENATE("Table!",ADDRESS($AJ134,MATCH(O$1,INDIRECT("Table!A" &amp; $AN134):INDIRECT("Table!" &amp; $AR$159 &amp; $AN134),0)))))</f>
        <v>115816.8</v>
      </c>
      <c r="P134" s="35">
        <f ca="1">IF(ISERROR(MATCH(P$1,INDIRECT("Table!A"&amp;$AN134):INDIRECT("Table!" &amp; $AR$159 &amp; $AN134),0)),"",INDIRECT(CONCATENATE("Table!",ADDRESS($AJ134,MATCH(P$1,INDIRECT("Table!A" &amp; $AN134):INDIRECT("Table!" &amp; $AR$159 &amp; $AN134),0)))))</f>
        <v>79968.7</v>
      </c>
      <c r="Q134" s="35">
        <f ca="1">IF(ISERROR(MATCH(Q$1,INDIRECT("Table!A"&amp;$AN134):INDIRECT("Table!" &amp; $AR$159 &amp; $AN134),0)),"",INDIRECT(CONCATENATE("Table!",ADDRESS($AJ134,MATCH(Q$1,INDIRECT("Table!A" &amp; $AN134):INDIRECT("Table!" &amp; $AR$159 &amp; $AN134),0)))))</f>
        <v>79968.7</v>
      </c>
      <c r="R134" s="35">
        <f ca="1">IF(ISERROR(MATCH(R$1,INDIRECT("Table!A"&amp;$AN134):INDIRECT("Table!" &amp; $AR$159 &amp; $AN134),0)),"",INDIRECT(CONCATENATE("Table!",ADDRESS($AJ134,MATCH(R$1,INDIRECT("Table!A" &amp; $AN134):INDIRECT("Table!" &amp; $AR$159 &amp; $AN134),0)))))</f>
        <v>154422.39999999999</v>
      </c>
      <c r="S134" s="35">
        <f ca="1">IF(ISERROR(MATCH(S$1,INDIRECT("Table!A"&amp;$AN134):INDIRECT("Table!" &amp; $AR$159 &amp; $AN134),0)),"",INDIRECT(CONCATENATE("Table!",ADDRESS($AJ134,MATCH(S$1,INDIRECT("Table!A" &amp; $AN134):INDIRECT("Table!" &amp; $AR$159 &amp; $AN134),0)))))</f>
        <v>121331.8</v>
      </c>
      <c r="T134" s="35">
        <f ca="1">IF(ISERROR(MATCH(T$1,INDIRECT("Table!A"&amp;$AN134):INDIRECT("Table!" &amp; $AR$159 &amp; $AN134),0)),"",INDIRECT(CONCATENATE("Table!",ADDRESS($AJ134,MATCH(T$1,INDIRECT("Table!A" &amp; $AN134):INDIRECT("Table!" &amp; $AR$159 &amp; $AN134),0)))))</f>
        <v>110071.9</v>
      </c>
      <c r="U134" s="35">
        <f ca="1">IF(ISERROR(MATCH(U$1,INDIRECT("Table!A"&amp;$AN134):INDIRECT("Table!" &amp; $AR$159 &amp; $AN134),0)),"",INDIRECT(CONCATENATE("Table!",ADDRESS($AJ134,MATCH(U$1,INDIRECT("Table!A" &amp; $AN134):INDIRECT("Table!" &amp; $AR$159 &amp; $AN134),0)))))</f>
        <v>121331.8</v>
      </c>
      <c r="V134" s="35">
        <f ca="1">IF(ISERROR(MATCH(V$1,INDIRECT("Table!A"&amp;$AN134):INDIRECT("Table!" &amp; $AR$159 &amp; $AN134),0)),"",INDIRECT(CONCATENATE("Table!",ADDRESS($AJ134,MATCH(V$1,INDIRECT("Table!A" &amp; $AN134):INDIRECT("Table!" &amp; $AR$159 &amp; $AN134),0)))))</f>
        <v>170967.6</v>
      </c>
      <c r="W134" s="35">
        <f ca="1">IF(ISERROR(MATCH(W$1,INDIRECT("Table!A"&amp;$AN134):INDIRECT("Table!" &amp; $AR$159 &amp; $AN134),0)),"",INDIRECT(CONCATENATE("Table!",ADDRESS($AJ134,MATCH(W$1,INDIRECT("Table!A" &amp; $AN134):INDIRECT("Table!" &amp; $AR$159 &amp; $AN134),0)))))</f>
        <v>54921</v>
      </c>
      <c r="X134" s="35">
        <f ca="1">IF(ISERROR(MATCH(X$1,INDIRECT("Table!A"&amp;$AN134):INDIRECT("Table!" &amp; $AR$159 &amp; $AN134),0)),"",INDIRECT(CONCATENATE("Table!",ADDRESS($AJ134,MATCH(X$1,INDIRECT("Table!A" &amp; $AN134):INDIRECT("Table!" &amp; $AR$159 &amp; $AN134),0)))))</f>
        <v>60665.9</v>
      </c>
      <c r="Y134" s="35">
        <f ca="1">IF(ISERROR(MATCH(Y$1,INDIRECT("Table!A"&amp;$AN134):INDIRECT("Table!" &amp; $AR$159 &amp; $AN134),0)),"",INDIRECT(CONCATENATE("Table!",ADDRESS($AJ134,MATCH(Y$1,INDIRECT("Table!A" &amp; $AN134):INDIRECT("Table!" &amp; $AR$159 &amp; $AN134),0)))))</f>
        <v>176482.7</v>
      </c>
      <c r="Z134" s="35">
        <f ca="1">IF(ISERROR(MATCH(Z$1,INDIRECT("Table!A"&amp;$AN134):INDIRECT("Table!" &amp; $AR$159 &amp; $AN134),0)),"",INDIRECT(CONCATENATE("Table!",ADDRESS($AJ134,MATCH(Z$1,INDIRECT("Table!A" &amp; $AN134):INDIRECT("Table!" &amp; $AR$159 &amp; $AN134),0)))))</f>
        <v>54921</v>
      </c>
      <c r="AA134" s="12"/>
      <c r="AB134" s="12">
        <f>MATCH($A134,Table!$A:$A,0)+$AD$2-1</f>
        <v>1924</v>
      </c>
      <c r="AF134" s="31">
        <f>MATCH($A134,Table!$A:$A,0)+$AH$2-1</f>
        <v>1922</v>
      </c>
      <c r="AJ134" s="12">
        <f>MATCH($A134,Table!$A:$A,0)+$AL$2-1</f>
        <v>1923</v>
      </c>
      <c r="AN134" s="31">
        <f>MATCH($A134,Table!$A:$A,0)+$AH$2-1</f>
        <v>1922</v>
      </c>
      <c r="AR134" s="141" t="s">
        <v>118</v>
      </c>
    </row>
    <row r="135" spans="1:44">
      <c r="A135" s="5">
        <v>40954</v>
      </c>
      <c r="B135" s="35">
        <f ca="1">IF(ISERROR(MATCH(B$1,INDIRECT("Table!A"&amp;$AF135):INDIRECT("Table!" &amp; $AR$159 &amp; $AF135),0)),"",INDIRECT(CONCATENATE("Table!",ADDRESS($AB135,MATCH(B$1,INDIRECT("Table!A" &amp; $AF135):INDIRECT("Table!" &amp; $AR$159 &amp; $AF135),0)))))</f>
        <v>92786.2</v>
      </c>
      <c r="C135" s="35">
        <f ca="1">IF(ISERROR(MATCH(C$1,INDIRECT("Table!A"&amp;$AF135):INDIRECT("Table!" &amp; $AR$159 &amp; $AF135),0)),"",INDIRECT(CONCATENATE("Table!",ADDRESS($AB135,MATCH(C$1,INDIRECT("Table!A" &amp; $AF135):INDIRECT("Table!" &amp; $AR$159 &amp; $AF135),0)))))</f>
        <v>66039.600000000006</v>
      </c>
      <c r="D135" s="35">
        <f ca="1">IF(ISERROR(MATCH(D$1,INDIRECT("Table!A"&amp;$AF135):INDIRECT("Table!" &amp; $AR$159 &amp; $AF135),0)),"",INDIRECT(CONCATENATE("Table!",ADDRESS($AB135,MATCH(D$1,INDIRECT("Table!A" &amp; $AF135):INDIRECT("Table!" &amp; $AR$159 &amp; $AF135),0)))))</f>
        <v>67417.2</v>
      </c>
      <c r="E135" s="35">
        <f ca="1">IF(ISERROR(MATCH(E$1,INDIRECT("Table!A"&amp;$AF135):INDIRECT("Table!" &amp; $AR$159 &amp; $AF135),0)),"",INDIRECT(CONCATENATE("Table!",ADDRESS($AB135,MATCH(E$1,INDIRECT("Table!A" &amp; $AF135):INDIRECT("Table!" &amp; $AR$159 &amp; $AF135),0)))))</f>
        <v>129263.1</v>
      </c>
      <c r="F135" s="35">
        <f ca="1">IF(ISERROR(MATCH(F$1,INDIRECT("Table!A"&amp;$AF135):INDIRECT("Table!" &amp; $AR$159 &amp; $AF135),0)),"",INDIRECT(CONCATENATE("Table!",ADDRESS($AB135,MATCH(F$1,INDIRECT("Table!A" &amp; $AF135):INDIRECT("Table!" &amp; $AR$159 &amp; $AF135),0)))))</f>
        <v>96</v>
      </c>
      <c r="G135" s="35">
        <f ca="1">IF(ISERROR(MATCH(G$1,INDIRECT("Table!A"&amp;$AF135):INDIRECT("Table!" &amp; $AR$159 &amp; $AF135),0)),"",INDIRECT(CONCATENATE("Table!",ADDRESS($AB135,MATCH(G$1,INDIRECT("Table!A" &amp; $AF135):INDIRECT("Table!" &amp; $AR$159 &amp; $AF135),0)))))</f>
        <v>25779.1</v>
      </c>
      <c r="H135" s="35">
        <f ca="1">IF(ISERROR(MATCH(H$1,INDIRECT("Table!A"&amp;$AF135):INDIRECT("Table!" &amp; $AR$159 &amp; $AF135),0)),"",INDIRECT(CONCATENATE("Table!",ADDRESS($AB135,MATCH(H$1,INDIRECT("Table!A" &amp; $AF135):INDIRECT("Table!" &amp; $AR$159 &amp; $AF135),0)))))</f>
        <v>19616.5</v>
      </c>
      <c r="I135" s="35">
        <f ca="1">IF(ISERROR(MATCH(I$1,INDIRECT("Table!A"&amp;$AF135):INDIRECT("Table!" &amp; $AR$159 &amp; $AF135),0)),"",INDIRECT(CONCATENATE("Table!",ADDRESS($AB135,MATCH(I$1,INDIRECT("Table!A" &amp; $AF135):INDIRECT("Table!" &amp; $AR$159 &amp; $AF135),0)))))</f>
        <v>115821.3</v>
      </c>
      <c r="J135" s="35">
        <f ca="1">IF(ISERROR(MATCH(J$1,INDIRECT("Table!A"&amp;$AF135):INDIRECT("Table!" &amp; $AR$159 &amp; $AF135),0)),"",INDIRECT(CONCATENATE("Table!",ADDRESS($AB135,MATCH(J$1,INDIRECT("Table!A" &amp; $AF135):INDIRECT("Table!" &amp; $AR$159 &amp; $AF135),0)))))</f>
        <v>29276.3</v>
      </c>
      <c r="K135" s="35">
        <f ca="1">IF(ISERROR(MATCH(K$1,INDIRECT("Table!A"&amp;$AF135):INDIRECT("Table!" &amp; $AR$159 &amp; $AF135),0)),"",INDIRECT(CONCATENATE("Table!",ADDRESS($AB135,MATCH(K$1,INDIRECT("Table!A" &amp; $AF135):INDIRECT("Table!" &amp; $AR$159 &amp; $AF135),0)))))</f>
        <v>64.2</v>
      </c>
      <c r="L135" s="35">
        <f ca="1">IF(ISERROR(MATCH(L$1,INDIRECT("Table!A"&amp;$AF135):INDIRECT("Table!" &amp; $AR$159 &amp; $AF135),0)),"",INDIRECT(CONCATENATE("Table!",ADDRESS($AB135,MATCH(L$1,INDIRECT("Table!A" &amp; $AF135):INDIRECT("Table!" &amp; $AR$159 &amp; $AF135),0)))))</f>
        <v>78138.100000000006</v>
      </c>
      <c r="M135" s="35">
        <f ca="1">IF(ISERROR(MATCH(M$1,INDIRECT("Table!A"&amp;$AF135):INDIRECT("Table!" &amp; $AR$159 &amp; $AF135),0)),"",INDIRECT(CONCATENATE("Table!",ADDRESS($AB135,MATCH(M$1,INDIRECT("Table!A" &amp; $AF135):INDIRECT("Table!" &amp; $AR$159 &amp; $AF135),0)))))</f>
        <v>22930.799999999999</v>
      </c>
      <c r="N135" s="35" t="str">
        <f ca="1">IF(ISERROR(MATCH(N$1,INDIRECT("Table!A"&amp;$AF135):INDIRECT("Table!" &amp; $AR$188 &amp; $AF135),0)),"",INDIRECT(CONCATENATE("Table!",ADDRESS($AB135,MATCH(N$1,INDIRECT("Table!A" &amp; $AF135):INDIRECT("Table!" &amp; $AR$188 &amp; $AF135),0)))))</f>
        <v/>
      </c>
      <c r="O135" s="35">
        <f ca="1">IF(ISERROR(MATCH(O$1,INDIRECT("Table!A"&amp;$AN135):INDIRECT("Table!" &amp; $AR$159 &amp; $AN135),0)),"",INDIRECT(CONCATENATE("Table!",ADDRESS($AJ135,MATCH(O$1,INDIRECT("Table!A" &amp; $AN135):INDIRECT("Table!" &amp; $AR$159 &amp; $AN135),0)))))</f>
        <v>115816.8</v>
      </c>
      <c r="P135" s="35">
        <f ca="1">IF(ISERROR(MATCH(P$1,INDIRECT("Table!A"&amp;$AN135):INDIRECT("Table!" &amp; $AR$159 &amp; $AN135),0)),"",INDIRECT(CONCATENATE("Table!",ADDRESS($AJ135,MATCH(P$1,INDIRECT("Table!A" &amp; $AN135):INDIRECT("Table!" &amp; $AR$159 &amp; $AN135),0)))))</f>
        <v>79968.7</v>
      </c>
      <c r="Q135" s="35">
        <f ca="1">IF(ISERROR(MATCH(Q$1,INDIRECT("Table!A"&amp;$AN135):INDIRECT("Table!" &amp; $AR$159 &amp; $AN135),0)),"",INDIRECT(CONCATENATE("Table!",ADDRESS($AJ135,MATCH(Q$1,INDIRECT("Table!A" &amp; $AN135):INDIRECT("Table!" &amp; $AR$159 &amp; $AN135),0)))))</f>
        <v>79968.7</v>
      </c>
      <c r="R135" s="35">
        <f ca="1">IF(ISERROR(MATCH(R$1,INDIRECT("Table!A"&amp;$AN135):INDIRECT("Table!" &amp; $AR$159 &amp; $AN135),0)),"",INDIRECT(CONCATENATE("Table!",ADDRESS($AJ135,MATCH(R$1,INDIRECT("Table!A" &amp; $AN135):INDIRECT("Table!" &amp; $AR$159 &amp; $AN135),0)))))</f>
        <v>154422.39999999999</v>
      </c>
      <c r="S135" s="35">
        <f ca="1">IF(ISERROR(MATCH(S$1,INDIRECT("Table!A"&amp;$AN135):INDIRECT("Table!" &amp; $AR$159 &amp; $AN135),0)),"",INDIRECT(CONCATENATE("Table!",ADDRESS($AJ135,MATCH(S$1,INDIRECT("Table!A" &amp; $AN135):INDIRECT("Table!" &amp; $AR$159 &amp; $AN135),0)))))</f>
        <v>121331.8</v>
      </c>
      <c r="T135" s="35">
        <f ca="1">IF(ISERROR(MATCH(T$1,INDIRECT("Table!A"&amp;$AN135):INDIRECT("Table!" &amp; $AR$159 &amp; $AN135),0)),"",INDIRECT(CONCATENATE("Table!",ADDRESS($AJ135,MATCH(T$1,INDIRECT("Table!A" &amp; $AN135):INDIRECT("Table!" &amp; $AR$159 &amp; $AN135),0)))))</f>
        <v>110071.9</v>
      </c>
      <c r="U135" s="35">
        <f ca="1">IF(ISERROR(MATCH(U$1,INDIRECT("Table!A"&amp;$AN135):INDIRECT("Table!" &amp; $AR$159 &amp; $AN135),0)),"",INDIRECT(CONCATENATE("Table!",ADDRESS($AJ135,MATCH(U$1,INDIRECT("Table!A" &amp; $AN135):INDIRECT("Table!" &amp; $AR$159 &amp; $AN135),0)))))</f>
        <v>121331.8</v>
      </c>
      <c r="V135" s="35">
        <f ca="1">IF(ISERROR(MATCH(V$1,INDIRECT("Table!A"&amp;$AN135):INDIRECT("Table!" &amp; $AR$159 &amp; $AN135),0)),"",INDIRECT(CONCATENATE("Table!",ADDRESS($AJ135,MATCH(V$1,INDIRECT("Table!A" &amp; $AN135):INDIRECT("Table!" &amp; $AR$159 &amp; $AN135),0)))))</f>
        <v>170967.6</v>
      </c>
      <c r="W135" s="35">
        <f ca="1">IF(ISERROR(MATCH(W$1,INDIRECT("Table!A"&amp;$AN135):INDIRECT("Table!" &amp; $AR$159 &amp; $AN135),0)),"",INDIRECT(CONCATENATE("Table!",ADDRESS($AJ135,MATCH(W$1,INDIRECT("Table!A" &amp; $AN135):INDIRECT("Table!" &amp; $AR$159 &amp; $AN135),0)))))</f>
        <v>54921</v>
      </c>
      <c r="X135" s="35">
        <f ca="1">IF(ISERROR(MATCH(X$1,INDIRECT("Table!A"&amp;$AN135):INDIRECT("Table!" &amp; $AR$159 &amp; $AN135),0)),"",INDIRECT(CONCATENATE("Table!",ADDRESS($AJ135,MATCH(X$1,INDIRECT("Table!A" &amp; $AN135):INDIRECT("Table!" &amp; $AR$159 &amp; $AN135),0)))))</f>
        <v>60665.9</v>
      </c>
      <c r="Y135" s="35">
        <f ca="1">IF(ISERROR(MATCH(Y$1,INDIRECT("Table!A"&amp;$AN135):INDIRECT("Table!" &amp; $AR$159 &amp; $AN135),0)),"",INDIRECT(CONCATENATE("Table!",ADDRESS($AJ135,MATCH(Y$1,INDIRECT("Table!A" &amp; $AN135):INDIRECT("Table!" &amp; $AR$159 &amp; $AN135),0)))))</f>
        <v>176482.7</v>
      </c>
      <c r="Z135" s="35">
        <f ca="1">IF(ISERROR(MATCH(Z$1,INDIRECT("Table!A"&amp;$AN135):INDIRECT("Table!" &amp; $AR$159 &amp; $AN135),0)),"",INDIRECT(CONCATENATE("Table!",ADDRESS($AJ135,MATCH(Z$1,INDIRECT("Table!A" &amp; $AN135):INDIRECT("Table!" &amp; $AR$159 &amp; $AN135),0)))))</f>
        <v>54921</v>
      </c>
      <c r="AA135" s="12"/>
      <c r="AB135" s="12">
        <f>MATCH($A135,Table!$A:$A,0)+$AD$2-1</f>
        <v>1937</v>
      </c>
      <c r="AF135" s="31">
        <f>MATCH($A135,Table!$A:$A,0)+$AH$2-1</f>
        <v>1935</v>
      </c>
      <c r="AJ135" s="12">
        <f>MATCH($A135,Table!$A:$A,0)+$AL$2-1</f>
        <v>1936</v>
      </c>
      <c r="AN135" s="31">
        <f>MATCH($A135,Table!$A:$A,0)+$AH$2-1</f>
        <v>1935</v>
      </c>
      <c r="AR135" s="140" t="s">
        <v>118</v>
      </c>
    </row>
    <row r="136" spans="1:44">
      <c r="A136" s="5">
        <v>40953</v>
      </c>
      <c r="B136" s="35">
        <f ca="1">IF(ISERROR(MATCH(B$1,INDIRECT("Table!A"&amp;$AF136):INDIRECT("Table!" &amp; $AR$159 &amp; $AF136),0)),"",INDIRECT(CONCATENATE("Table!",ADDRESS($AB136,MATCH(B$1,INDIRECT("Table!A" &amp; $AF136):INDIRECT("Table!" &amp; $AR$159 &amp; $AF136),0)))))</f>
        <v>92683.3</v>
      </c>
      <c r="C136" s="35">
        <f ca="1">IF(ISERROR(MATCH(C$1,INDIRECT("Table!A"&amp;$AF136):INDIRECT("Table!" &amp; $AR$159 &amp; $AF136),0)),"",INDIRECT(CONCATENATE("Table!",ADDRESS($AB136,MATCH(C$1,INDIRECT("Table!A" &amp; $AF136):INDIRECT("Table!" &amp; $AR$159 &amp; $AF136),0)))))</f>
        <v>66038.5</v>
      </c>
      <c r="D136" s="35">
        <f ca="1">IF(ISERROR(MATCH(D$1,INDIRECT("Table!A"&amp;$AF136):INDIRECT("Table!" &amp; $AR$159 &amp; $AF136),0)),"",INDIRECT(CONCATENATE("Table!",ADDRESS($AB136,MATCH(D$1,INDIRECT("Table!A" &amp; $AF136):INDIRECT("Table!" &amp; $AR$159 &amp; $AF136),0)))))</f>
        <v>67416.2</v>
      </c>
      <c r="E136" s="35">
        <f ca="1">IF(ISERROR(MATCH(E$1,INDIRECT("Table!A"&amp;$AF136):INDIRECT("Table!" &amp; $AR$159 &amp; $AF136),0)),"",INDIRECT(CONCATENATE("Table!",ADDRESS($AB136,MATCH(E$1,INDIRECT("Table!A" &amp; $AF136):INDIRECT("Table!" &amp; $AR$159 &amp; $AF136),0)))))</f>
        <v>129005.4</v>
      </c>
      <c r="F136" s="35">
        <f ca="1">IF(ISERROR(MATCH(F$1,INDIRECT("Table!A"&amp;$AF136):INDIRECT("Table!" &amp; $AR$159 &amp; $AF136),0)),"",INDIRECT(CONCATENATE("Table!",ADDRESS($AB136,MATCH(F$1,INDIRECT("Table!A" &amp; $AF136):INDIRECT("Table!" &amp; $AR$159 &amp; $AF136),0)))))</f>
        <v>96</v>
      </c>
      <c r="G136" s="35">
        <f ca="1">IF(ISERROR(MATCH(G$1,INDIRECT("Table!A"&amp;$AF136):INDIRECT("Table!" &amp; $AR$159 &amp; $AF136),0)),"",INDIRECT(CONCATENATE("Table!",ADDRESS($AB136,MATCH(G$1,INDIRECT("Table!A" &amp; $AF136):INDIRECT("Table!" &amp; $AR$159 &amp; $AF136),0)))))</f>
        <v>25570.1</v>
      </c>
      <c r="H136" s="35">
        <f ca="1">IF(ISERROR(MATCH(H$1,INDIRECT("Table!A"&amp;$AF136):INDIRECT("Table!" &amp; $AR$159 &amp; $AF136),0)),"",INDIRECT(CONCATENATE("Table!",ADDRESS($AB136,MATCH(H$1,INDIRECT("Table!A" &amp; $AF136):INDIRECT("Table!" &amp; $AR$159 &amp; $AF136),0)))))</f>
        <v>19606.5</v>
      </c>
      <c r="I136" s="35">
        <f ca="1">IF(ISERROR(MATCH(I$1,INDIRECT("Table!A"&amp;$AF136):INDIRECT("Table!" &amp; $AR$159 &amp; $AF136),0)),"",INDIRECT(CONCATENATE("Table!",ADDRESS($AB136,MATCH(I$1,INDIRECT("Table!A" &amp; $AF136):INDIRECT("Table!" &amp; $AR$159 &amp; $AF136),0)))))</f>
        <v>115456.5</v>
      </c>
      <c r="J136" s="35">
        <f ca="1">IF(ISERROR(MATCH(J$1,INDIRECT("Table!A"&amp;$AF136):INDIRECT("Table!" &amp; $AR$159 &amp; $AF136),0)),"",INDIRECT(CONCATENATE("Table!",ADDRESS($AB136,MATCH(J$1,INDIRECT("Table!A" &amp; $AF136):INDIRECT("Table!" &amp; $AR$159 &amp; $AF136),0)))))</f>
        <v>29211.599999999999</v>
      </c>
      <c r="K136" s="35">
        <f ca="1">IF(ISERROR(MATCH(K$1,INDIRECT("Table!A"&amp;$AF136):INDIRECT("Table!" &amp; $AR$159 &amp; $AF136),0)),"",INDIRECT(CONCATENATE("Table!",ADDRESS($AB136,MATCH(K$1,INDIRECT("Table!A" &amp; $AF136):INDIRECT("Table!" &amp; $AR$159 &amp; $AF136),0)))))</f>
        <v>64.2</v>
      </c>
      <c r="L136" s="35">
        <f ca="1">IF(ISERROR(MATCH(L$1,INDIRECT("Table!A"&amp;$AF136):INDIRECT("Table!" &amp; $AR$159 &amp; $AF136),0)),"",INDIRECT(CONCATENATE("Table!",ADDRESS($AB136,MATCH(L$1,INDIRECT("Table!A" &amp; $AF136):INDIRECT("Table!" &amp; $AR$159 &amp; $AF136),0)))))</f>
        <v>78097.7</v>
      </c>
      <c r="M136" s="35">
        <f ca="1">IF(ISERROR(MATCH(M$1,INDIRECT("Table!A"&amp;$AF136):INDIRECT("Table!" &amp; $AR$159 &amp; $AF136),0)),"",INDIRECT(CONCATENATE("Table!",ADDRESS($AB136,MATCH(M$1,INDIRECT("Table!A" &amp; $AF136):INDIRECT("Table!" &amp; $AR$159 &amp; $AF136),0)))))</f>
        <v>22920.5</v>
      </c>
      <c r="N136" s="35" t="str">
        <f ca="1">IF(ISERROR(MATCH(N$1,INDIRECT("Table!A"&amp;$AF136):INDIRECT("Table!" &amp; $AR$188 &amp; $AF136),0)),"",INDIRECT(CONCATENATE("Table!",ADDRESS($AB136,MATCH(N$1,INDIRECT("Table!A" &amp; $AF136):INDIRECT("Table!" &amp; $AR$188 &amp; $AF136),0)))))</f>
        <v/>
      </c>
      <c r="O136" s="35">
        <f ca="1">IF(ISERROR(MATCH(O$1,INDIRECT("Table!A"&amp;$AN136):INDIRECT("Table!" &amp; $AR$159 &amp; $AN136),0)),"",INDIRECT(CONCATENATE("Table!",ADDRESS($AJ136,MATCH(O$1,INDIRECT("Table!A" &amp; $AN136):INDIRECT("Table!" &amp; $AR$159 &amp; $AN136),0)))))</f>
        <v>115816.8</v>
      </c>
      <c r="P136" s="35">
        <f ca="1">IF(ISERROR(MATCH(P$1,INDIRECT("Table!A"&amp;$AN136):INDIRECT("Table!" &amp; $AR$159 &amp; $AN136),0)),"",INDIRECT(CONCATENATE("Table!",ADDRESS($AJ136,MATCH(P$1,INDIRECT("Table!A" &amp; $AN136):INDIRECT("Table!" &amp; $AR$159 &amp; $AN136),0)))))</f>
        <v>79968.7</v>
      </c>
      <c r="Q136" s="35">
        <f ca="1">IF(ISERROR(MATCH(Q$1,INDIRECT("Table!A"&amp;$AN136):INDIRECT("Table!" &amp; $AR$159 &amp; $AN136),0)),"",INDIRECT(CONCATENATE("Table!",ADDRESS($AJ136,MATCH(Q$1,INDIRECT("Table!A" &amp; $AN136):INDIRECT("Table!" &amp; $AR$159 &amp; $AN136),0)))))</f>
        <v>79968.7</v>
      </c>
      <c r="R136" s="35">
        <f ca="1">IF(ISERROR(MATCH(R$1,INDIRECT("Table!A"&amp;$AN136):INDIRECT("Table!" &amp; $AR$159 &amp; $AN136),0)),"",INDIRECT(CONCATENATE("Table!",ADDRESS($AJ136,MATCH(R$1,INDIRECT("Table!A" &amp; $AN136):INDIRECT("Table!" &amp; $AR$159 &amp; $AN136),0)))))</f>
        <v>154422.39999999999</v>
      </c>
      <c r="S136" s="35">
        <f ca="1">IF(ISERROR(MATCH(S$1,INDIRECT("Table!A"&amp;$AN136):INDIRECT("Table!" &amp; $AR$159 &amp; $AN136),0)),"",INDIRECT(CONCATENATE("Table!",ADDRESS($AJ136,MATCH(S$1,INDIRECT("Table!A" &amp; $AN136):INDIRECT("Table!" &amp; $AR$159 &amp; $AN136),0)))))</f>
        <v>121331.8</v>
      </c>
      <c r="T136" s="35">
        <f ca="1">IF(ISERROR(MATCH(T$1,INDIRECT("Table!A"&amp;$AN136):INDIRECT("Table!" &amp; $AR$159 &amp; $AN136),0)),"",INDIRECT(CONCATENATE("Table!",ADDRESS($AJ136,MATCH(T$1,INDIRECT("Table!A" &amp; $AN136):INDIRECT("Table!" &amp; $AR$159 &amp; $AN136),0)))))</f>
        <v>110071.9</v>
      </c>
      <c r="U136" s="35">
        <f ca="1">IF(ISERROR(MATCH(U$1,INDIRECT("Table!A"&amp;$AN136):INDIRECT("Table!" &amp; $AR$159 &amp; $AN136),0)),"",INDIRECT(CONCATENATE("Table!",ADDRESS($AJ136,MATCH(U$1,INDIRECT("Table!A" &amp; $AN136):INDIRECT("Table!" &amp; $AR$159 &amp; $AN136),0)))))</f>
        <v>121331.8</v>
      </c>
      <c r="V136" s="35">
        <f ca="1">IF(ISERROR(MATCH(V$1,INDIRECT("Table!A"&amp;$AN136):INDIRECT("Table!" &amp; $AR$159 &amp; $AN136),0)),"",INDIRECT(CONCATENATE("Table!",ADDRESS($AJ136,MATCH(V$1,INDIRECT("Table!A" &amp; $AN136):INDIRECT("Table!" &amp; $AR$159 &amp; $AN136),0)))))</f>
        <v>170967.6</v>
      </c>
      <c r="W136" s="35">
        <f ca="1">IF(ISERROR(MATCH(W$1,INDIRECT("Table!A"&amp;$AN136):INDIRECT("Table!" &amp; $AR$159 &amp; $AN136),0)),"",INDIRECT(CONCATENATE("Table!",ADDRESS($AJ136,MATCH(W$1,INDIRECT("Table!A" &amp; $AN136):INDIRECT("Table!" &amp; $AR$159 &amp; $AN136),0)))))</f>
        <v>54921</v>
      </c>
      <c r="X136" s="35">
        <f ca="1">IF(ISERROR(MATCH(X$1,INDIRECT("Table!A"&amp;$AN136):INDIRECT("Table!" &amp; $AR$159 &amp; $AN136),0)),"",INDIRECT(CONCATENATE("Table!",ADDRESS($AJ136,MATCH(X$1,INDIRECT("Table!A" &amp; $AN136):INDIRECT("Table!" &amp; $AR$159 &amp; $AN136),0)))))</f>
        <v>60665.9</v>
      </c>
      <c r="Y136" s="35">
        <f ca="1">IF(ISERROR(MATCH(Y$1,INDIRECT("Table!A"&amp;$AN136):INDIRECT("Table!" &amp; $AR$159 &amp; $AN136),0)),"",INDIRECT(CONCATENATE("Table!",ADDRESS($AJ136,MATCH(Y$1,INDIRECT("Table!A" &amp; $AN136):INDIRECT("Table!" &amp; $AR$159 &amp; $AN136),0)))))</f>
        <v>176482.7</v>
      </c>
      <c r="Z136" s="35">
        <f ca="1">IF(ISERROR(MATCH(Z$1,INDIRECT("Table!A"&amp;$AN136):INDIRECT("Table!" &amp; $AR$159 &amp; $AN136),0)),"",INDIRECT(CONCATENATE("Table!",ADDRESS($AJ136,MATCH(Z$1,INDIRECT("Table!A" &amp; $AN136):INDIRECT("Table!" &amp; $AR$159 &amp; $AN136),0)))))</f>
        <v>54921</v>
      </c>
      <c r="AA136" s="12"/>
      <c r="AB136" s="12">
        <f>MATCH($A136,Table!$A:$A,0)+$AD$2-1</f>
        <v>1950</v>
      </c>
      <c r="AF136" s="31">
        <f>MATCH($A136,Table!$A:$A,0)+$AH$2-1</f>
        <v>1948</v>
      </c>
      <c r="AJ136" s="12">
        <f>MATCH($A136,Table!$A:$A,0)+$AL$2-1</f>
        <v>1949</v>
      </c>
      <c r="AN136" s="31">
        <f>MATCH($A136,Table!$A:$A,0)+$AH$2-1</f>
        <v>1948</v>
      </c>
      <c r="AR136" s="139" t="s">
        <v>118</v>
      </c>
    </row>
    <row r="137" spans="1:44">
      <c r="A137" s="5">
        <v>40952</v>
      </c>
      <c r="B137" s="35">
        <f ca="1">IF(ISERROR(MATCH(B$1,INDIRECT("Table!A"&amp;$AF137):INDIRECT("Table!" &amp; $AR$159 &amp; $AF137),0)),"",INDIRECT(CONCATENATE("Table!",ADDRESS($AB137,MATCH(B$1,INDIRECT("Table!A" &amp; $AF137):INDIRECT("Table!" &amp; $AR$159 &amp; $AF137),0)))))</f>
        <v>92584.9</v>
      </c>
      <c r="C137" s="35">
        <f ca="1">IF(ISERROR(MATCH(C$1,INDIRECT("Table!A"&amp;$AF137):INDIRECT("Table!" &amp; $AR$159 &amp; $AF137),0)),"",INDIRECT(CONCATENATE("Table!",ADDRESS($AB137,MATCH(C$1,INDIRECT("Table!A" &amp; $AF137):INDIRECT("Table!" &amp; $AR$159 &amp; $AF137),0)))))</f>
        <v>66037.899999999994</v>
      </c>
      <c r="D137" s="35">
        <f ca="1">IF(ISERROR(MATCH(D$1,INDIRECT("Table!A"&amp;$AF137):INDIRECT("Table!" &amp; $AR$159 &amp; $AF137),0)),"",INDIRECT(CONCATENATE("Table!",ADDRESS($AB137,MATCH(D$1,INDIRECT("Table!A" &amp; $AF137):INDIRECT("Table!" &amp; $AR$159 &amp; $AF137),0)))))</f>
        <v>67415.600000000006</v>
      </c>
      <c r="E137" s="35">
        <f ca="1">IF(ISERROR(MATCH(E$1,INDIRECT("Table!A"&amp;$AF137):INDIRECT("Table!" &amp; $AR$159 &amp; $AF137),0)),"",INDIRECT(CONCATENATE("Table!",ADDRESS($AB137,MATCH(E$1,INDIRECT("Table!A" &amp; $AF137):INDIRECT("Table!" &amp; $AR$159 &amp; $AF137),0)))))</f>
        <v>128727.8</v>
      </c>
      <c r="F137" s="35">
        <f ca="1">IF(ISERROR(MATCH(F$1,INDIRECT("Table!A"&amp;$AF137):INDIRECT("Table!" &amp; $AR$159 &amp; $AF137),0)),"",INDIRECT(CONCATENATE("Table!",ADDRESS($AB137,MATCH(F$1,INDIRECT("Table!A" &amp; $AF137):INDIRECT("Table!" &amp; $AR$159 &amp; $AF137),0)))))</f>
        <v>96</v>
      </c>
      <c r="G137" s="35">
        <f ca="1">IF(ISERROR(MATCH(G$1,INDIRECT("Table!A"&amp;$AF137):INDIRECT("Table!" &amp; $AR$159 &amp; $AF137),0)),"",INDIRECT(CONCATENATE("Table!",ADDRESS($AB137,MATCH(G$1,INDIRECT("Table!A" &amp; $AF137):INDIRECT("Table!" &amp; $AR$159 &amp; $AF137),0)))))</f>
        <v>25497.3</v>
      </c>
      <c r="H137" s="35">
        <f ca="1">IF(ISERROR(MATCH(H$1,INDIRECT("Table!A"&amp;$AF137):INDIRECT("Table!" &amp; $AR$159 &amp; $AF137),0)),"",INDIRECT(CONCATENATE("Table!",ADDRESS($AB137,MATCH(H$1,INDIRECT("Table!A" &amp; $AF137):INDIRECT("Table!" &amp; $AR$159 &amp; $AF137),0)))))</f>
        <v>19604.099999999999</v>
      </c>
      <c r="I137" s="35">
        <f ca="1">IF(ISERROR(MATCH(I$1,INDIRECT("Table!A"&amp;$AF137):INDIRECT("Table!" &amp; $AR$159 &amp; $AF137),0)),"",INDIRECT(CONCATENATE("Table!",ADDRESS($AB137,MATCH(I$1,INDIRECT("Table!A" &amp; $AF137):INDIRECT("Table!" &amp; $AR$159 &amp; $AF137),0)))))</f>
        <v>115358.6</v>
      </c>
      <c r="J137" s="35">
        <f ca="1">IF(ISERROR(MATCH(J$1,INDIRECT("Table!A"&amp;$AF137):INDIRECT("Table!" &amp; $AR$159 &amp; $AF137),0)),"",INDIRECT(CONCATENATE("Table!",ADDRESS($AB137,MATCH(J$1,INDIRECT("Table!A" &amp; $AF137):INDIRECT("Table!" &amp; $AR$159 &amp; $AF137),0)))))</f>
        <v>29206.400000000001</v>
      </c>
      <c r="K137" s="35">
        <f ca="1">IF(ISERROR(MATCH(K$1,INDIRECT("Table!A"&amp;$AF137):INDIRECT("Table!" &amp; $AR$159 &amp; $AF137),0)),"",INDIRECT(CONCATENATE("Table!",ADDRESS($AB137,MATCH(K$1,INDIRECT("Table!A" &amp; $AF137):INDIRECT("Table!" &amp; $AR$159 &amp; $AF137),0)))))</f>
        <v>64.2</v>
      </c>
      <c r="L137" s="35">
        <f ca="1">IF(ISERROR(MATCH(L$1,INDIRECT("Table!A"&amp;$AF137):INDIRECT("Table!" &amp; $AR$159 &amp; $AF137),0)),"",INDIRECT(CONCATENATE("Table!",ADDRESS($AB137,MATCH(L$1,INDIRECT("Table!A" &amp; $AF137):INDIRECT("Table!" &amp; $AR$159 &amp; $AF137),0)))))</f>
        <v>78091.899999999994</v>
      </c>
      <c r="M137" s="35">
        <f ca="1">IF(ISERROR(MATCH(M$1,INDIRECT("Table!A"&amp;$AF137):INDIRECT("Table!" &amp; $AR$159 &amp; $AF137),0)),"",INDIRECT(CONCATENATE("Table!",ADDRESS($AB137,MATCH(M$1,INDIRECT("Table!A" &amp; $AF137):INDIRECT("Table!" &amp; $AR$159 &amp; $AF137),0)))))</f>
        <v>22920</v>
      </c>
      <c r="N137" s="35" t="str">
        <f ca="1">IF(ISERROR(MATCH(N$1,INDIRECT("Table!A"&amp;$AF137):INDIRECT("Table!" &amp; $AR$188 &amp; $AF137),0)),"",INDIRECT(CONCATENATE("Table!",ADDRESS($AB137,MATCH(N$1,INDIRECT("Table!A" &amp; $AF137):INDIRECT("Table!" &amp; $AR$188 &amp; $AF137),0)))))</f>
        <v/>
      </c>
      <c r="O137" s="35">
        <f ca="1">IF(ISERROR(MATCH(O$1,INDIRECT("Table!A"&amp;$AN137):INDIRECT("Table!" &amp; $AR$159 &amp; $AN137),0)),"",INDIRECT(CONCATENATE("Table!",ADDRESS($AJ137,MATCH(O$1,INDIRECT("Table!A" &amp; $AN137):INDIRECT("Table!" &amp; $AR$159 &amp; $AN137),0)))))</f>
        <v>115816.8</v>
      </c>
      <c r="P137" s="35">
        <f ca="1">IF(ISERROR(MATCH(P$1,INDIRECT("Table!A"&amp;$AN137):INDIRECT("Table!" &amp; $AR$159 &amp; $AN137),0)),"",INDIRECT(CONCATENATE("Table!",ADDRESS($AJ137,MATCH(P$1,INDIRECT("Table!A" &amp; $AN137):INDIRECT("Table!" &amp; $AR$159 &amp; $AN137),0)))))</f>
        <v>79968.7</v>
      </c>
      <c r="Q137" s="35">
        <f ca="1">IF(ISERROR(MATCH(Q$1,INDIRECT("Table!A"&amp;$AN137):INDIRECT("Table!" &amp; $AR$159 &amp; $AN137),0)),"",INDIRECT(CONCATENATE("Table!",ADDRESS($AJ137,MATCH(Q$1,INDIRECT("Table!A" &amp; $AN137):INDIRECT("Table!" &amp; $AR$159 &amp; $AN137),0)))))</f>
        <v>79968.7</v>
      </c>
      <c r="R137" s="35">
        <f ca="1">IF(ISERROR(MATCH(R$1,INDIRECT("Table!A"&amp;$AN137):INDIRECT("Table!" &amp; $AR$159 &amp; $AN137),0)),"",INDIRECT(CONCATENATE("Table!",ADDRESS($AJ137,MATCH(R$1,INDIRECT("Table!A" &amp; $AN137):INDIRECT("Table!" &amp; $AR$159 &amp; $AN137),0)))))</f>
        <v>154422.39999999999</v>
      </c>
      <c r="S137" s="35">
        <f ca="1">IF(ISERROR(MATCH(S$1,INDIRECT("Table!A"&amp;$AN137):INDIRECT("Table!" &amp; $AR$159 &amp; $AN137),0)),"",INDIRECT(CONCATENATE("Table!",ADDRESS($AJ137,MATCH(S$1,INDIRECT("Table!A" &amp; $AN137):INDIRECT("Table!" &amp; $AR$159 &amp; $AN137),0)))))</f>
        <v>121331.8</v>
      </c>
      <c r="T137" s="35">
        <f ca="1">IF(ISERROR(MATCH(T$1,INDIRECT("Table!A"&amp;$AN137):INDIRECT("Table!" &amp; $AR$159 &amp; $AN137),0)),"",INDIRECT(CONCATENATE("Table!",ADDRESS($AJ137,MATCH(T$1,INDIRECT("Table!A" &amp; $AN137):INDIRECT("Table!" &amp; $AR$159 &amp; $AN137),0)))))</f>
        <v>110071.9</v>
      </c>
      <c r="U137" s="35">
        <f ca="1">IF(ISERROR(MATCH(U$1,INDIRECT("Table!A"&amp;$AN137):INDIRECT("Table!" &amp; $AR$159 &amp; $AN137),0)),"",INDIRECT(CONCATENATE("Table!",ADDRESS($AJ137,MATCH(U$1,INDIRECT("Table!A" &amp; $AN137):INDIRECT("Table!" &amp; $AR$159 &amp; $AN137),0)))))</f>
        <v>121331.8</v>
      </c>
      <c r="V137" s="35">
        <f ca="1">IF(ISERROR(MATCH(V$1,INDIRECT("Table!A"&amp;$AN137):INDIRECT("Table!" &amp; $AR$159 &amp; $AN137),0)),"",INDIRECT(CONCATENATE("Table!",ADDRESS($AJ137,MATCH(V$1,INDIRECT("Table!A" &amp; $AN137):INDIRECT("Table!" &amp; $AR$159 &amp; $AN137),0)))))</f>
        <v>170967.6</v>
      </c>
      <c r="W137" s="35">
        <f ca="1">IF(ISERROR(MATCH(W$1,INDIRECT("Table!A"&amp;$AN137):INDIRECT("Table!" &amp; $AR$159 &amp; $AN137),0)),"",INDIRECT(CONCATENATE("Table!",ADDRESS($AJ137,MATCH(W$1,INDIRECT("Table!A" &amp; $AN137):INDIRECT("Table!" &amp; $AR$159 &amp; $AN137),0)))))</f>
        <v>54921</v>
      </c>
      <c r="X137" s="35">
        <f ca="1">IF(ISERROR(MATCH(X$1,INDIRECT("Table!A"&amp;$AN137):INDIRECT("Table!" &amp; $AR$159 &amp; $AN137),0)),"",INDIRECT(CONCATENATE("Table!",ADDRESS($AJ137,MATCH(X$1,INDIRECT("Table!A" &amp; $AN137):INDIRECT("Table!" &amp; $AR$159 &amp; $AN137),0)))))</f>
        <v>60665.9</v>
      </c>
      <c r="Y137" s="35">
        <f ca="1">IF(ISERROR(MATCH(Y$1,INDIRECT("Table!A"&amp;$AN137):INDIRECT("Table!" &amp; $AR$159 &amp; $AN137),0)),"",INDIRECT(CONCATENATE("Table!",ADDRESS($AJ137,MATCH(Y$1,INDIRECT("Table!A" &amp; $AN137):INDIRECT("Table!" &amp; $AR$159 &amp; $AN137),0)))))</f>
        <v>176482.7</v>
      </c>
      <c r="Z137" s="35">
        <f ca="1">IF(ISERROR(MATCH(Z$1,INDIRECT("Table!A"&amp;$AN137):INDIRECT("Table!" &amp; $AR$159 &amp; $AN137),0)),"",INDIRECT(CONCATENATE("Table!",ADDRESS($AJ137,MATCH(Z$1,INDIRECT("Table!A" &amp; $AN137):INDIRECT("Table!" &amp; $AR$159 &amp; $AN137),0)))))</f>
        <v>54921</v>
      </c>
      <c r="AA137" s="12"/>
      <c r="AB137" s="12">
        <f>MATCH($A137,Table!$A:$A,0)+$AD$2-1</f>
        <v>1963</v>
      </c>
      <c r="AF137" s="31">
        <f>MATCH($A137,Table!$A:$A,0)+$AH$2-1</f>
        <v>1961</v>
      </c>
      <c r="AJ137" s="12">
        <f>MATCH($A137,Table!$A:$A,0)+$AL$2-1</f>
        <v>1962</v>
      </c>
      <c r="AN137" s="31">
        <f>MATCH($A137,Table!$A:$A,0)+$AH$2-1</f>
        <v>1961</v>
      </c>
      <c r="AR137" s="136" t="s">
        <v>118</v>
      </c>
    </row>
    <row r="138" spans="1:44">
      <c r="A138" s="5">
        <v>40949</v>
      </c>
      <c r="B138" s="35">
        <f ca="1">IF(ISERROR(MATCH(B$1,INDIRECT("Table!A"&amp;$AF138):INDIRECT("Table!" &amp; $AR$159 &amp; $AF138),0)),"",INDIRECT(CONCATENATE("Table!",ADDRESS($AB138,MATCH(B$1,INDIRECT("Table!A" &amp; $AF138):INDIRECT("Table!" &amp; $AR$159 &amp; $AF138),0)))))</f>
        <v>92218.9</v>
      </c>
      <c r="C138" s="35">
        <f ca="1">IF(ISERROR(MATCH(C$1,INDIRECT("Table!A"&amp;$AF138):INDIRECT("Table!" &amp; $AR$159 &amp; $AF138),0)),"",INDIRECT(CONCATENATE("Table!",ADDRESS($AB138,MATCH(C$1,INDIRECT("Table!A" &amp; $AF138):INDIRECT("Table!" &amp; $AR$159 &amp; $AF138),0)))))</f>
        <v>66009.5</v>
      </c>
      <c r="D138" s="35">
        <f ca="1">IF(ISERROR(MATCH(D$1,INDIRECT("Table!A"&amp;$AF138):INDIRECT("Table!" &amp; $AR$159 &amp; $AF138),0)),"",INDIRECT(CONCATENATE("Table!",ADDRESS($AB138,MATCH(D$1,INDIRECT("Table!A" &amp; $AF138):INDIRECT("Table!" &amp; $AR$159 &amp; $AF138),0)))))</f>
        <v>67392.7</v>
      </c>
      <c r="E138" s="35">
        <f ca="1">IF(ISERROR(MATCH(E$1,INDIRECT("Table!A"&amp;$AF138):INDIRECT("Table!" &amp; $AR$159 &amp; $AF138),0)),"",INDIRECT(CONCATENATE("Table!",ADDRESS($AB138,MATCH(E$1,INDIRECT("Table!A" &amp; $AF138):INDIRECT("Table!" &amp; $AR$159 &amp; $AF138),0)))))</f>
        <v>128302.1</v>
      </c>
      <c r="F138" s="35">
        <f ca="1">IF(ISERROR(MATCH(F$1,INDIRECT("Table!A"&amp;$AF138):INDIRECT("Table!" &amp; $AR$159 &amp; $AF138),0)),"",INDIRECT(CONCATENATE("Table!",ADDRESS($AB138,MATCH(F$1,INDIRECT("Table!A" &amp; $AF138):INDIRECT("Table!" &amp; $AR$159 &amp; $AF138),0)))))</f>
        <v>96</v>
      </c>
      <c r="G138" s="35">
        <f ca="1">IF(ISERROR(MATCH(G$1,INDIRECT("Table!A"&amp;$AF138):INDIRECT("Table!" &amp; $AR$159 &amp; $AF138),0)),"",INDIRECT(CONCATENATE("Table!",ADDRESS($AB138,MATCH(G$1,INDIRECT("Table!A" &amp; $AF138):INDIRECT("Table!" &amp; $AR$159 &amp; $AF138),0)))))</f>
        <v>24114.5</v>
      </c>
      <c r="H138" s="35">
        <f ca="1">IF(ISERROR(MATCH(H$1,INDIRECT("Table!A"&amp;$AF138):INDIRECT("Table!" &amp; $AR$159 &amp; $AF138),0)),"",INDIRECT(CONCATENATE("Table!",ADDRESS($AB138,MATCH(H$1,INDIRECT("Table!A" &amp; $AF138):INDIRECT("Table!" &amp; $AR$159 &amp; $AF138),0)))))</f>
        <v>19548.5</v>
      </c>
      <c r="I138" s="35">
        <f ca="1">IF(ISERROR(MATCH(I$1,INDIRECT("Table!A"&amp;$AF138):INDIRECT("Table!" &amp; $AR$159 &amp; $AF138),0)),"",INDIRECT(CONCATENATE("Table!",ADDRESS($AB138,MATCH(I$1,INDIRECT("Table!A" &amp; $AF138):INDIRECT("Table!" &amp; $AR$159 &amp; $AF138),0)))))</f>
        <v>115126.8</v>
      </c>
      <c r="J138" s="35">
        <f ca="1">IF(ISERROR(MATCH(J$1,INDIRECT("Table!A"&amp;$AF138):INDIRECT("Table!" &amp; $AR$159 &amp; $AF138),0)),"",INDIRECT(CONCATENATE("Table!",ADDRESS($AB138,MATCH(J$1,INDIRECT("Table!A" &amp; $AF138):INDIRECT("Table!" &amp; $AR$159 &amp; $AF138),0)))))</f>
        <v>28901.9</v>
      </c>
      <c r="K138" s="35">
        <f ca="1">IF(ISERROR(MATCH(K$1,INDIRECT("Table!A"&amp;$AF138):INDIRECT("Table!" &amp; $AR$159 &amp; $AF138),0)),"",INDIRECT(CONCATENATE("Table!",ADDRESS($AB138,MATCH(K$1,INDIRECT("Table!A" &amp; $AF138):INDIRECT("Table!" &amp; $AR$159 &amp; $AF138),0)))))</f>
        <v>63.1</v>
      </c>
      <c r="L138" s="35">
        <f ca="1">IF(ISERROR(MATCH(L$1,INDIRECT("Table!A"&amp;$AF138):INDIRECT("Table!" &amp; $AR$159 &amp; $AF138),0)),"",INDIRECT(CONCATENATE("Table!",ADDRESS($AB138,MATCH(L$1,INDIRECT("Table!A" &amp; $AF138):INDIRECT("Table!" &amp; $AR$159 &amp; $AF138),0)))))</f>
        <v>77980.3</v>
      </c>
      <c r="M138" s="35">
        <f ca="1">IF(ISERROR(MATCH(M$1,INDIRECT("Table!A"&amp;$AF138):INDIRECT("Table!" &amp; $AR$159 &amp; $AF138),0)),"",INDIRECT(CONCATENATE("Table!",ADDRESS($AB138,MATCH(M$1,INDIRECT("Table!A" &amp; $AF138):INDIRECT("Table!" &amp; $AR$159 &amp; $AF138),0)))))</f>
        <v>22919.8</v>
      </c>
      <c r="N138" s="35" t="str">
        <f ca="1">IF(ISERROR(MATCH(N$1,INDIRECT("Table!A"&amp;$AF138):INDIRECT("Table!" &amp; $AR$188 &amp; $AF138),0)),"",INDIRECT(CONCATENATE("Table!",ADDRESS($AB138,MATCH(N$1,INDIRECT("Table!A" &amp; $AF138):INDIRECT("Table!" &amp; $AR$188 &amp; $AF138),0)))))</f>
        <v/>
      </c>
      <c r="O138" s="35">
        <f ca="1">IF(ISERROR(MATCH(O$1,INDIRECT("Table!A"&amp;$AN138):INDIRECT("Table!" &amp; $AR$159 &amp; $AN138),0)),"",INDIRECT(CONCATENATE("Table!",ADDRESS($AJ138,MATCH(O$1,INDIRECT("Table!A" &amp; $AN138):INDIRECT("Table!" &amp; $AR$159 &amp; $AN138),0)))))</f>
        <v>115816.8</v>
      </c>
      <c r="P138" s="35">
        <f ca="1">IF(ISERROR(MATCH(P$1,INDIRECT("Table!A"&amp;$AN138):INDIRECT("Table!" &amp; $AR$159 &amp; $AN138),0)),"",INDIRECT(CONCATENATE("Table!",ADDRESS($AJ138,MATCH(P$1,INDIRECT("Table!A" &amp; $AN138):INDIRECT("Table!" &amp; $AR$159 &amp; $AN138),0)))))</f>
        <v>79968.7</v>
      </c>
      <c r="Q138" s="35">
        <f ca="1">IF(ISERROR(MATCH(Q$1,INDIRECT("Table!A"&amp;$AN138):INDIRECT("Table!" &amp; $AR$159 &amp; $AN138),0)),"",INDIRECT(CONCATENATE("Table!",ADDRESS($AJ138,MATCH(Q$1,INDIRECT("Table!A" &amp; $AN138):INDIRECT("Table!" &amp; $AR$159 &amp; $AN138),0)))))</f>
        <v>79968.7</v>
      </c>
      <c r="R138" s="35">
        <f ca="1">IF(ISERROR(MATCH(R$1,INDIRECT("Table!A"&amp;$AN138):INDIRECT("Table!" &amp; $AR$159 &amp; $AN138),0)),"",INDIRECT(CONCATENATE("Table!",ADDRESS($AJ138,MATCH(R$1,INDIRECT("Table!A" &amp; $AN138):INDIRECT("Table!" &amp; $AR$159 &amp; $AN138),0)))))</f>
        <v>154422.39999999999</v>
      </c>
      <c r="S138" s="35">
        <f ca="1">IF(ISERROR(MATCH(S$1,INDIRECT("Table!A"&amp;$AN138):INDIRECT("Table!" &amp; $AR$159 &amp; $AN138),0)),"",INDIRECT(CONCATENATE("Table!",ADDRESS($AJ138,MATCH(S$1,INDIRECT("Table!A" &amp; $AN138):INDIRECT("Table!" &amp; $AR$159 &amp; $AN138),0)))))</f>
        <v>121331.8</v>
      </c>
      <c r="T138" s="35">
        <f ca="1">IF(ISERROR(MATCH(T$1,INDIRECT("Table!A"&amp;$AN138):INDIRECT("Table!" &amp; $AR$159 &amp; $AN138),0)),"",INDIRECT(CONCATENATE("Table!",ADDRESS($AJ138,MATCH(T$1,INDIRECT("Table!A" &amp; $AN138):INDIRECT("Table!" &amp; $AR$159 &amp; $AN138),0)))))</f>
        <v>110071.9</v>
      </c>
      <c r="U138" s="35">
        <f ca="1">IF(ISERROR(MATCH(U$1,INDIRECT("Table!A"&amp;$AN138):INDIRECT("Table!" &amp; $AR$159 &amp; $AN138),0)),"",INDIRECT(CONCATENATE("Table!",ADDRESS($AJ138,MATCH(U$1,INDIRECT("Table!A" &amp; $AN138):INDIRECT("Table!" &amp; $AR$159 &amp; $AN138),0)))))</f>
        <v>121331.8</v>
      </c>
      <c r="V138" s="35">
        <f ca="1">IF(ISERROR(MATCH(V$1,INDIRECT("Table!A"&amp;$AN138):INDIRECT("Table!" &amp; $AR$159 &amp; $AN138),0)),"",INDIRECT(CONCATENATE("Table!",ADDRESS($AJ138,MATCH(V$1,INDIRECT("Table!A" &amp; $AN138):INDIRECT("Table!" &amp; $AR$159 &amp; $AN138),0)))))</f>
        <v>170967.6</v>
      </c>
      <c r="W138" s="35">
        <f ca="1">IF(ISERROR(MATCH(W$1,INDIRECT("Table!A"&amp;$AN138):INDIRECT("Table!" &amp; $AR$159 &amp; $AN138),0)),"",INDIRECT(CONCATENATE("Table!",ADDRESS($AJ138,MATCH(W$1,INDIRECT("Table!A" &amp; $AN138):INDIRECT("Table!" &amp; $AR$159 &amp; $AN138),0)))))</f>
        <v>54921</v>
      </c>
      <c r="X138" s="35">
        <f ca="1">IF(ISERROR(MATCH(X$1,INDIRECT("Table!A"&amp;$AN138):INDIRECT("Table!" &amp; $AR$159 &amp; $AN138),0)),"",INDIRECT(CONCATENATE("Table!",ADDRESS($AJ138,MATCH(X$1,INDIRECT("Table!A" &amp; $AN138):INDIRECT("Table!" &amp; $AR$159 &amp; $AN138),0)))))</f>
        <v>60665.9</v>
      </c>
      <c r="Y138" s="35">
        <f ca="1">IF(ISERROR(MATCH(Y$1,INDIRECT("Table!A"&amp;$AN138):INDIRECT("Table!" &amp; $AR$159 &amp; $AN138),0)),"",INDIRECT(CONCATENATE("Table!",ADDRESS($AJ138,MATCH(Y$1,INDIRECT("Table!A" &amp; $AN138):INDIRECT("Table!" &amp; $AR$159 &amp; $AN138),0)))))</f>
        <v>176482.7</v>
      </c>
      <c r="Z138" s="35">
        <f ca="1">IF(ISERROR(MATCH(Z$1,INDIRECT("Table!A"&amp;$AN138):INDIRECT("Table!" &amp; $AR$159 &amp; $AN138),0)),"",INDIRECT(CONCATENATE("Table!",ADDRESS($AJ138,MATCH(Z$1,INDIRECT("Table!A" &amp; $AN138):INDIRECT("Table!" &amp; $AR$159 &amp; $AN138),0)))))</f>
        <v>54921</v>
      </c>
      <c r="AA138" s="12"/>
      <c r="AB138" s="12">
        <f>MATCH($A138,Table!$A:$A,0)+$AD$2-1</f>
        <v>1976</v>
      </c>
      <c r="AF138" s="31">
        <f>MATCH($A138,Table!$A:$A,0)+$AH$2-1</f>
        <v>1974</v>
      </c>
      <c r="AJ138" s="12">
        <f>MATCH($A138,Table!$A:$A,0)+$AL$2-1</f>
        <v>1975</v>
      </c>
      <c r="AN138" s="31">
        <f>MATCH($A138,Table!$A:$A,0)+$AH$2-1</f>
        <v>1974</v>
      </c>
      <c r="AR138" s="135" t="s">
        <v>118</v>
      </c>
    </row>
    <row r="139" spans="1:44">
      <c r="A139" s="5">
        <v>40948</v>
      </c>
      <c r="B139" s="35">
        <f ca="1">IF(ISERROR(MATCH(B$1,INDIRECT("Table!A"&amp;$AF139):INDIRECT("Table!" &amp; $AR$159 &amp; $AF139),0)),"",INDIRECT(CONCATENATE("Table!",ADDRESS($AB139,MATCH(B$1,INDIRECT("Table!A" &amp; $AF139):INDIRECT("Table!" &amp; $AR$159 &amp; $AF139),0)))))</f>
        <v>92218.9</v>
      </c>
      <c r="C139" s="35">
        <f ca="1">IF(ISERROR(MATCH(C$1,INDIRECT("Table!A"&amp;$AF139):INDIRECT("Table!" &amp; $AR$159 &amp; $AF139),0)),"",INDIRECT(CONCATENATE("Table!",ADDRESS($AB139,MATCH(C$1,INDIRECT("Table!A" &amp; $AF139):INDIRECT("Table!" &amp; $AR$159 &amp; $AF139),0)))))</f>
        <v>66009.5</v>
      </c>
      <c r="D139" s="35">
        <f ca="1">IF(ISERROR(MATCH(D$1,INDIRECT("Table!A"&amp;$AF139):INDIRECT("Table!" &amp; $AR$159 &amp; $AF139),0)),"",INDIRECT(CONCATENATE("Table!",ADDRESS($AB139,MATCH(D$1,INDIRECT("Table!A" &amp; $AF139):INDIRECT("Table!" &amp; $AR$159 &amp; $AF139),0)))))</f>
        <v>67387.199999999997</v>
      </c>
      <c r="E139" s="35">
        <f ca="1">IF(ISERROR(MATCH(E$1,INDIRECT("Table!A"&amp;$AF139):INDIRECT("Table!" &amp; $AR$159 &amp; $AF139),0)),"",INDIRECT(CONCATENATE("Table!",ADDRESS($AB139,MATCH(E$1,INDIRECT("Table!A" &amp; $AF139):INDIRECT("Table!" &amp; $AR$159 &amp; $AF139),0)))))</f>
        <v>128149.8</v>
      </c>
      <c r="F139" s="35">
        <f ca="1">IF(ISERROR(MATCH(F$1,INDIRECT("Table!A"&amp;$AF139):INDIRECT("Table!" &amp; $AR$159 &amp; $AF139),0)),"",INDIRECT(CONCATENATE("Table!",ADDRESS($AB139,MATCH(F$1,INDIRECT("Table!A" &amp; $AF139):INDIRECT("Table!" &amp; $AR$159 &amp; $AF139),0)))))</f>
        <v>94.3</v>
      </c>
      <c r="G139" s="35">
        <f ca="1">IF(ISERROR(MATCH(G$1,INDIRECT("Table!A"&amp;$AF139):INDIRECT("Table!" &amp; $AR$159 &amp; $AF139),0)),"",INDIRECT(CONCATENATE("Table!",ADDRESS($AB139,MATCH(G$1,INDIRECT("Table!A" &amp; $AF139):INDIRECT("Table!" &amp; $AR$159 &amp; $AF139),0)))))</f>
        <v>24044.2</v>
      </c>
      <c r="H139" s="35">
        <f ca="1">IF(ISERROR(MATCH(H$1,INDIRECT("Table!A"&amp;$AF139):INDIRECT("Table!" &amp; $AR$159 &amp; $AF139),0)),"",INDIRECT(CONCATENATE("Table!",ADDRESS($AB139,MATCH(H$1,INDIRECT("Table!A" &amp; $AF139):INDIRECT("Table!" &amp; $AR$159 &amp; $AF139),0)))))</f>
        <v>19548.099999999999</v>
      </c>
      <c r="I139" s="35">
        <f ca="1">IF(ISERROR(MATCH(I$1,INDIRECT("Table!A"&amp;$AF139):INDIRECT("Table!" &amp; $AR$159 &amp; $AF139),0)),"",INDIRECT(CONCATENATE("Table!",ADDRESS($AB139,MATCH(I$1,INDIRECT("Table!A" &amp; $AF139):INDIRECT("Table!" &amp; $AR$159 &amp; $AF139),0)))))</f>
        <v>115078.9</v>
      </c>
      <c r="J139" s="35">
        <f ca="1">IF(ISERROR(MATCH(J$1,INDIRECT("Table!A"&amp;$AF139):INDIRECT("Table!" &amp; $AR$159 &amp; $AF139),0)),"",INDIRECT(CONCATENATE("Table!",ADDRESS($AB139,MATCH(J$1,INDIRECT("Table!A" &amp; $AF139):INDIRECT("Table!" &amp; $AR$159 &amp; $AF139),0)))))</f>
        <v>28896.400000000001</v>
      </c>
      <c r="K139" s="35">
        <f ca="1">IF(ISERROR(MATCH(K$1,INDIRECT("Table!A"&amp;$AF139):INDIRECT("Table!" &amp; $AR$159 &amp; $AF139),0)),"",INDIRECT(CONCATENATE("Table!",ADDRESS($AB139,MATCH(K$1,INDIRECT("Table!A" &amp; $AF139):INDIRECT("Table!" &amp; $AR$159 &amp; $AF139),0)))))</f>
        <v>62.2</v>
      </c>
      <c r="L139" s="35">
        <f ca="1">IF(ISERROR(MATCH(L$1,INDIRECT("Table!A"&amp;$AF139):INDIRECT("Table!" &amp; $AR$159 &amp; $AF139),0)),"",INDIRECT(CONCATENATE("Table!",ADDRESS($AB139,MATCH(L$1,INDIRECT("Table!A" &amp; $AF139):INDIRECT("Table!" &amp; $AR$159 &amp; $AF139),0)))))</f>
        <v>77978.5</v>
      </c>
      <c r="M139" s="35">
        <f ca="1">IF(ISERROR(MATCH(M$1,INDIRECT("Table!A"&amp;$AF139):INDIRECT("Table!" &amp; $AR$159 &amp; $AF139),0)),"",INDIRECT(CONCATENATE("Table!",ADDRESS($AB139,MATCH(M$1,INDIRECT("Table!A" &amp; $AF139):INDIRECT("Table!" &amp; $AR$159 &amp; $AF139),0)))))</f>
        <v>22919.3</v>
      </c>
      <c r="N139" s="35" t="str">
        <f ca="1">IF(ISERROR(MATCH(N$1,INDIRECT("Table!A"&amp;$AF139):INDIRECT("Table!" &amp; $AR$188 &amp; $AF139),0)),"",INDIRECT(CONCATENATE("Table!",ADDRESS($AB139,MATCH(N$1,INDIRECT("Table!A" &amp; $AF139):INDIRECT("Table!" &amp; $AR$188 &amp; $AF139),0)))))</f>
        <v/>
      </c>
      <c r="O139" s="35">
        <f ca="1">IF(ISERROR(MATCH(O$1,INDIRECT("Table!A"&amp;$AN139):INDIRECT("Table!" &amp; $AR$159 &amp; $AN139),0)),"",INDIRECT(CONCATENATE("Table!",ADDRESS($AJ139,MATCH(O$1,INDIRECT("Table!A" &amp; $AN139):INDIRECT("Table!" &amp; $AR$159 &amp; $AN139),0)))))</f>
        <v>115816.8</v>
      </c>
      <c r="P139" s="35">
        <f ca="1">IF(ISERROR(MATCH(P$1,INDIRECT("Table!A"&amp;$AN139):INDIRECT("Table!" &amp; $AR$159 &amp; $AN139),0)),"",INDIRECT(CONCATENATE("Table!",ADDRESS($AJ139,MATCH(P$1,INDIRECT("Table!A" &amp; $AN139):INDIRECT("Table!" &amp; $AR$159 &amp; $AN139),0)))))</f>
        <v>79968.7</v>
      </c>
      <c r="Q139" s="35">
        <f ca="1">IF(ISERROR(MATCH(Q$1,INDIRECT("Table!A"&amp;$AN139):INDIRECT("Table!" &amp; $AR$159 &amp; $AN139),0)),"",INDIRECT(CONCATENATE("Table!",ADDRESS($AJ139,MATCH(Q$1,INDIRECT("Table!A" &amp; $AN139):INDIRECT("Table!" &amp; $AR$159 &amp; $AN139),0)))))</f>
        <v>79968.7</v>
      </c>
      <c r="R139" s="35">
        <f ca="1">IF(ISERROR(MATCH(R$1,INDIRECT("Table!A"&amp;$AN139):INDIRECT("Table!" &amp; $AR$159 &amp; $AN139),0)),"",INDIRECT(CONCATENATE("Table!",ADDRESS($AJ139,MATCH(R$1,INDIRECT("Table!A" &amp; $AN139):INDIRECT("Table!" &amp; $AR$159 &amp; $AN139),0)))))</f>
        <v>154422.39999999999</v>
      </c>
      <c r="S139" s="35">
        <f ca="1">IF(ISERROR(MATCH(S$1,INDIRECT("Table!A"&amp;$AN139):INDIRECT("Table!" &amp; $AR$159 &amp; $AN139),0)),"",INDIRECT(CONCATENATE("Table!",ADDRESS($AJ139,MATCH(S$1,INDIRECT("Table!A" &amp; $AN139):INDIRECT("Table!" &amp; $AR$159 &amp; $AN139),0)))))</f>
        <v>121331.8</v>
      </c>
      <c r="T139" s="35">
        <f ca="1">IF(ISERROR(MATCH(T$1,INDIRECT("Table!A"&amp;$AN139):INDIRECT("Table!" &amp; $AR$159 &amp; $AN139),0)),"",INDIRECT(CONCATENATE("Table!",ADDRESS($AJ139,MATCH(T$1,INDIRECT("Table!A" &amp; $AN139):INDIRECT("Table!" &amp; $AR$159 &amp; $AN139),0)))))</f>
        <v>110071.9</v>
      </c>
      <c r="U139" s="35">
        <f ca="1">IF(ISERROR(MATCH(U$1,INDIRECT("Table!A"&amp;$AN139):INDIRECT("Table!" &amp; $AR$159 &amp; $AN139),0)),"",INDIRECT(CONCATENATE("Table!",ADDRESS($AJ139,MATCH(U$1,INDIRECT("Table!A" &amp; $AN139):INDIRECT("Table!" &amp; $AR$159 &amp; $AN139),0)))))</f>
        <v>121331.8</v>
      </c>
      <c r="V139" s="35">
        <f ca="1">IF(ISERROR(MATCH(V$1,INDIRECT("Table!A"&amp;$AN139):INDIRECT("Table!" &amp; $AR$159 &amp; $AN139),0)),"",INDIRECT(CONCATENATE("Table!",ADDRESS($AJ139,MATCH(V$1,INDIRECT("Table!A" &amp; $AN139):INDIRECT("Table!" &amp; $AR$159 &amp; $AN139),0)))))</f>
        <v>170967.6</v>
      </c>
      <c r="W139" s="35">
        <f ca="1">IF(ISERROR(MATCH(W$1,INDIRECT("Table!A"&amp;$AN139):INDIRECT("Table!" &amp; $AR$159 &amp; $AN139),0)),"",INDIRECT(CONCATENATE("Table!",ADDRESS($AJ139,MATCH(W$1,INDIRECT("Table!A" &amp; $AN139):INDIRECT("Table!" &amp; $AR$159 &amp; $AN139),0)))))</f>
        <v>54921</v>
      </c>
      <c r="X139" s="35">
        <f ca="1">IF(ISERROR(MATCH(X$1,INDIRECT("Table!A"&amp;$AN139):INDIRECT("Table!" &amp; $AR$159 &amp; $AN139),0)),"",INDIRECT(CONCATENATE("Table!",ADDRESS($AJ139,MATCH(X$1,INDIRECT("Table!A" &amp; $AN139):INDIRECT("Table!" &amp; $AR$159 &amp; $AN139),0)))))</f>
        <v>60665.9</v>
      </c>
      <c r="Y139" s="35">
        <f ca="1">IF(ISERROR(MATCH(Y$1,INDIRECT("Table!A"&amp;$AN139):INDIRECT("Table!" &amp; $AR$159 &amp; $AN139),0)),"",INDIRECT(CONCATENATE("Table!",ADDRESS($AJ139,MATCH(Y$1,INDIRECT("Table!A" &amp; $AN139):INDIRECT("Table!" &amp; $AR$159 &amp; $AN139),0)))))</f>
        <v>176482.7</v>
      </c>
      <c r="Z139" s="35">
        <f ca="1">IF(ISERROR(MATCH(Z$1,INDIRECT("Table!A"&amp;$AN139):INDIRECT("Table!" &amp; $AR$159 &amp; $AN139),0)),"",INDIRECT(CONCATENATE("Table!",ADDRESS($AJ139,MATCH(Z$1,INDIRECT("Table!A" &amp; $AN139):INDIRECT("Table!" &amp; $AR$159 &amp; $AN139),0)))))</f>
        <v>54921</v>
      </c>
      <c r="AA139" s="12"/>
      <c r="AB139" s="12">
        <f>MATCH($A139,Table!$A:$A,0)+$AD$2-1</f>
        <v>1989</v>
      </c>
      <c r="AF139" s="31">
        <f>MATCH($A139,Table!$A:$A,0)+$AH$2-1</f>
        <v>1987</v>
      </c>
      <c r="AJ139" s="12">
        <f>MATCH($A139,Table!$A:$A,0)+$AL$2-1</f>
        <v>1988</v>
      </c>
      <c r="AN139" s="31">
        <f>MATCH($A139,Table!$A:$A,0)+$AH$2-1</f>
        <v>1987</v>
      </c>
      <c r="AR139" s="134" t="s">
        <v>118</v>
      </c>
    </row>
    <row r="140" spans="1:44">
      <c r="A140" s="5">
        <v>40947</v>
      </c>
      <c r="B140" s="35">
        <f ca="1">IF(ISERROR(MATCH(B$1,INDIRECT("Table!A"&amp;$AF140):INDIRECT("Table!" &amp; $AR$159 &amp; $AF140),0)),"",INDIRECT(CONCATENATE("Table!",ADDRESS($AB140,MATCH(B$1,INDIRECT("Table!A" &amp; $AF140):INDIRECT("Table!" &amp; $AR$159 &amp; $AF140),0)))))</f>
        <v>92077.6</v>
      </c>
      <c r="C140" s="35">
        <f ca="1">IF(ISERROR(MATCH(C$1,INDIRECT("Table!A"&amp;$AF140):INDIRECT("Table!" &amp; $AR$159 &amp; $AF140),0)),"",INDIRECT(CONCATENATE("Table!",ADDRESS($AB140,MATCH(C$1,INDIRECT("Table!A" &amp; $AF140):INDIRECT("Table!" &amp; $AR$159 &amp; $AF140),0)))))</f>
        <v>65942.3</v>
      </c>
      <c r="D140" s="35">
        <f ca="1">IF(ISERROR(MATCH(D$1,INDIRECT("Table!A"&amp;$AF140):INDIRECT("Table!" &amp; $AR$159 &amp; $AF140),0)),"",INDIRECT(CONCATENATE("Table!",ADDRESS($AB140,MATCH(D$1,INDIRECT("Table!A" &amp; $AF140):INDIRECT("Table!" &amp; $AR$159 &amp; $AF140),0)))))</f>
        <v>67320</v>
      </c>
      <c r="E140" s="35">
        <f ca="1">IF(ISERROR(MATCH(E$1,INDIRECT("Table!A"&amp;$AF140):INDIRECT("Table!" &amp; $AR$159 &amp; $AF140),0)),"",INDIRECT(CONCATENATE("Table!",ADDRESS($AB140,MATCH(E$1,INDIRECT("Table!A" &amp; $AF140):INDIRECT("Table!" &amp; $AR$159 &amp; $AF140),0)))))</f>
        <v>127937.1</v>
      </c>
      <c r="F140" s="35">
        <f ca="1">IF(ISERROR(MATCH(F$1,INDIRECT("Table!A"&amp;$AF140):INDIRECT("Table!" &amp; $AR$159 &amp; $AF140),0)),"",INDIRECT(CONCATENATE("Table!",ADDRESS($AB140,MATCH(F$1,INDIRECT("Table!A" &amp; $AF140):INDIRECT("Table!" &amp; $AR$159 &amp; $AF140),0)))))</f>
        <v>92.8</v>
      </c>
      <c r="G140" s="35">
        <f ca="1">IF(ISERROR(MATCH(G$1,INDIRECT("Table!A"&amp;$AF140):INDIRECT("Table!" &amp; $AR$159 &amp; $AF140),0)),"",INDIRECT(CONCATENATE("Table!",ADDRESS($AB140,MATCH(G$1,INDIRECT("Table!A" &amp; $AF140):INDIRECT("Table!" &amp; $AR$159 &amp; $AF140),0)))))</f>
        <v>23880</v>
      </c>
      <c r="H140" s="35">
        <f ca="1">IF(ISERROR(MATCH(H$1,INDIRECT("Table!A"&amp;$AF140):INDIRECT("Table!" &amp; $AR$159 &amp; $AF140),0)),"",INDIRECT(CONCATENATE("Table!",ADDRESS($AB140,MATCH(H$1,INDIRECT("Table!A" &amp; $AF140):INDIRECT("Table!" &amp; $AR$159 &amp; $AF140),0)))))</f>
        <v>19547.099999999999</v>
      </c>
      <c r="I140" s="35">
        <f ca="1">IF(ISERROR(MATCH(I$1,INDIRECT("Table!A"&amp;$AF140):INDIRECT("Table!" &amp; $AR$159 &amp; $AF140),0)),"",INDIRECT(CONCATENATE("Table!",ADDRESS($AB140,MATCH(I$1,INDIRECT("Table!A" &amp; $AF140):INDIRECT("Table!" &amp; $AR$159 &amp; $AF140),0)))))</f>
        <v>113862.7</v>
      </c>
      <c r="J140" s="35">
        <f ca="1">IF(ISERROR(MATCH(J$1,INDIRECT("Table!A"&amp;$AF140):INDIRECT("Table!" &amp; $AR$159 &amp; $AF140),0)),"",INDIRECT(CONCATENATE("Table!",ADDRESS($AB140,MATCH(J$1,INDIRECT("Table!A" &amp; $AF140):INDIRECT("Table!" &amp; $AR$159 &amp; $AF140),0)))))</f>
        <v>28892</v>
      </c>
      <c r="K140" s="35">
        <f ca="1">IF(ISERROR(MATCH(K$1,INDIRECT("Table!A"&amp;$AF140):INDIRECT("Table!" &amp; $AR$159 &amp; $AF140),0)),"",INDIRECT(CONCATENATE("Table!",ADDRESS($AB140,MATCH(K$1,INDIRECT("Table!A" &amp; $AF140):INDIRECT("Table!" &amp; $AR$159 &amp; $AF140),0)))))</f>
        <v>61.5</v>
      </c>
      <c r="L140" s="35">
        <f ca="1">IF(ISERROR(MATCH(L$1,INDIRECT("Table!A"&amp;$AF140):INDIRECT("Table!" &amp; $AR$159 &amp; $AF140),0)),"",INDIRECT(CONCATENATE("Table!",ADDRESS($AB140,MATCH(L$1,INDIRECT("Table!A" &amp; $AF140):INDIRECT("Table!" &amp; $AR$159 &amp; $AF140),0)))))</f>
        <v>77976.600000000006</v>
      </c>
      <c r="M140" s="35">
        <f ca="1">IF(ISERROR(MATCH(M$1,INDIRECT("Table!A"&amp;$AF140):INDIRECT("Table!" &amp; $AR$159 &amp; $AF140),0)),"",INDIRECT(CONCATENATE("Table!",ADDRESS($AB140,MATCH(M$1,INDIRECT("Table!A" &amp; $AF140):INDIRECT("Table!" &amp; $AR$159 &amp; $AF140),0)))))</f>
        <v>22919.1</v>
      </c>
      <c r="N140" s="35" t="str">
        <f ca="1">IF(ISERROR(MATCH(N$1,INDIRECT("Table!A"&amp;$AF140):INDIRECT("Table!" &amp; $AR$188 &amp; $AF140),0)),"",INDIRECT(CONCATENATE("Table!",ADDRESS($AB140,MATCH(N$1,INDIRECT("Table!A" &amp; $AF140):INDIRECT("Table!" &amp; $AR$188 &amp; $AF140),0)))))</f>
        <v/>
      </c>
      <c r="O140" s="35">
        <f ca="1">IF(ISERROR(MATCH(O$1,INDIRECT("Table!A"&amp;$AN140):INDIRECT("Table!" &amp; $AR$159 &amp; $AN140),0)),"",INDIRECT(CONCATENATE("Table!",ADDRESS($AJ140,MATCH(O$1,INDIRECT("Table!A" &amp; $AN140):INDIRECT("Table!" &amp; $AR$159 &amp; $AN140),0)))))</f>
        <v>115816.8</v>
      </c>
      <c r="P140" s="35">
        <f ca="1">IF(ISERROR(MATCH(P$1,INDIRECT("Table!A"&amp;$AN140):INDIRECT("Table!" &amp; $AR$159 &amp; $AN140),0)),"",INDIRECT(CONCATENATE("Table!",ADDRESS($AJ140,MATCH(P$1,INDIRECT("Table!A" &amp; $AN140):INDIRECT("Table!" &amp; $AR$159 &amp; $AN140),0)))))</f>
        <v>79968.7</v>
      </c>
      <c r="Q140" s="35">
        <f ca="1">IF(ISERROR(MATCH(Q$1,INDIRECT("Table!A"&amp;$AN140):INDIRECT("Table!" &amp; $AR$159 &amp; $AN140),0)),"",INDIRECT(CONCATENATE("Table!",ADDRESS($AJ140,MATCH(Q$1,INDIRECT("Table!A" &amp; $AN140):INDIRECT("Table!" &amp; $AR$159 &amp; $AN140),0)))))</f>
        <v>79968.7</v>
      </c>
      <c r="R140" s="35">
        <f ca="1">IF(ISERROR(MATCH(R$1,INDIRECT("Table!A"&amp;$AN140):INDIRECT("Table!" &amp; $AR$159 &amp; $AN140),0)),"",INDIRECT(CONCATENATE("Table!",ADDRESS($AJ140,MATCH(R$1,INDIRECT("Table!A" &amp; $AN140):INDIRECT("Table!" &amp; $AR$159 &amp; $AN140),0)))))</f>
        <v>154422.39999999999</v>
      </c>
      <c r="S140" s="35">
        <f ca="1">IF(ISERROR(MATCH(S$1,INDIRECT("Table!A"&amp;$AN140):INDIRECT("Table!" &amp; $AR$159 &amp; $AN140),0)),"",INDIRECT(CONCATENATE("Table!",ADDRESS($AJ140,MATCH(S$1,INDIRECT("Table!A" &amp; $AN140):INDIRECT("Table!" &amp; $AR$159 &amp; $AN140),0)))))</f>
        <v>121331.8</v>
      </c>
      <c r="T140" s="35">
        <f ca="1">IF(ISERROR(MATCH(T$1,INDIRECT("Table!A"&amp;$AN140):INDIRECT("Table!" &amp; $AR$159 &amp; $AN140),0)),"",INDIRECT(CONCATENATE("Table!",ADDRESS($AJ140,MATCH(T$1,INDIRECT("Table!A" &amp; $AN140):INDIRECT("Table!" &amp; $AR$159 &amp; $AN140),0)))))</f>
        <v>110071.9</v>
      </c>
      <c r="U140" s="35">
        <f ca="1">IF(ISERROR(MATCH(U$1,INDIRECT("Table!A"&amp;$AN140):INDIRECT("Table!" &amp; $AR$159 &amp; $AN140),0)),"",INDIRECT(CONCATENATE("Table!",ADDRESS($AJ140,MATCH(U$1,INDIRECT("Table!A" &amp; $AN140):INDIRECT("Table!" &amp; $AR$159 &amp; $AN140),0)))))</f>
        <v>121331.8</v>
      </c>
      <c r="V140" s="35">
        <f ca="1">IF(ISERROR(MATCH(V$1,INDIRECT("Table!A"&amp;$AN140):INDIRECT("Table!" &amp; $AR$159 &amp; $AN140),0)),"",INDIRECT(CONCATENATE("Table!",ADDRESS($AJ140,MATCH(V$1,INDIRECT("Table!A" &amp; $AN140):INDIRECT("Table!" &amp; $AR$159 &amp; $AN140),0)))))</f>
        <v>170967.6</v>
      </c>
      <c r="W140" s="35">
        <f ca="1">IF(ISERROR(MATCH(W$1,INDIRECT("Table!A"&amp;$AN140):INDIRECT("Table!" &amp; $AR$159 &amp; $AN140),0)),"",INDIRECT(CONCATENATE("Table!",ADDRESS($AJ140,MATCH(W$1,INDIRECT("Table!A" &amp; $AN140):INDIRECT("Table!" &amp; $AR$159 &amp; $AN140),0)))))</f>
        <v>54921</v>
      </c>
      <c r="X140" s="35">
        <f ca="1">IF(ISERROR(MATCH(X$1,INDIRECT("Table!A"&amp;$AN140):INDIRECT("Table!" &amp; $AR$159 &amp; $AN140),0)),"",INDIRECT(CONCATENATE("Table!",ADDRESS($AJ140,MATCH(X$1,INDIRECT("Table!A" &amp; $AN140):INDIRECT("Table!" &amp; $AR$159 &amp; $AN140),0)))))</f>
        <v>60665.9</v>
      </c>
      <c r="Y140" s="35">
        <f ca="1">IF(ISERROR(MATCH(Y$1,INDIRECT("Table!A"&amp;$AN140):INDIRECT("Table!" &amp; $AR$159 &amp; $AN140),0)),"",INDIRECT(CONCATENATE("Table!",ADDRESS($AJ140,MATCH(Y$1,INDIRECT("Table!A" &amp; $AN140):INDIRECT("Table!" &amp; $AR$159 &amp; $AN140),0)))))</f>
        <v>176482.7</v>
      </c>
      <c r="Z140" s="35">
        <f ca="1">IF(ISERROR(MATCH(Z$1,INDIRECT("Table!A"&amp;$AN140):INDIRECT("Table!" &amp; $AR$159 &amp; $AN140),0)),"",INDIRECT(CONCATENATE("Table!",ADDRESS($AJ140,MATCH(Z$1,INDIRECT("Table!A" &amp; $AN140):INDIRECT("Table!" &amp; $AR$159 &amp; $AN140),0)))))</f>
        <v>54921</v>
      </c>
      <c r="AA140" s="12"/>
      <c r="AB140" s="12">
        <f>MATCH($A140,Table!$A:$A,0)+$AD$2-1</f>
        <v>2002</v>
      </c>
      <c r="AF140" s="31">
        <f>MATCH($A140,Table!$A:$A,0)+$AH$2-1</f>
        <v>2000</v>
      </c>
      <c r="AJ140" s="12">
        <f>MATCH($A140,Table!$A:$A,0)+$AL$2-1</f>
        <v>2001</v>
      </c>
      <c r="AN140" s="31">
        <f>MATCH($A140,Table!$A:$A,0)+$AH$2-1</f>
        <v>2000</v>
      </c>
      <c r="AR140" s="133" t="s">
        <v>118</v>
      </c>
    </row>
    <row r="141" spans="1:44">
      <c r="A141" s="5">
        <v>40946</v>
      </c>
      <c r="B141" s="35">
        <f ca="1">IF(ISERROR(MATCH(B$1,INDIRECT("Table!A"&amp;$AF141):INDIRECT("Table!" &amp; $AR$159 &amp; $AF141),0)),"",INDIRECT(CONCATENATE("Table!",ADDRESS($AB141,MATCH(B$1,INDIRECT("Table!A" &amp; $AF141):INDIRECT("Table!" &amp; $AR$159 &amp; $AF141),0)))))</f>
        <v>92019.9</v>
      </c>
      <c r="C141" s="35">
        <f ca="1">IF(ISERROR(MATCH(C$1,INDIRECT("Table!A"&amp;$AF141):INDIRECT("Table!" &amp; $AR$159 &amp; $AF141),0)),"",INDIRECT(CONCATENATE("Table!",ADDRESS($AB141,MATCH(C$1,INDIRECT("Table!A" &amp; $AF141):INDIRECT("Table!" &amp; $AR$159 &amp; $AF141),0)))))</f>
        <v>65940</v>
      </c>
      <c r="D141" s="35">
        <f ca="1">IF(ISERROR(MATCH(D$1,INDIRECT("Table!A"&amp;$AF141):INDIRECT("Table!" &amp; $AR$159 &amp; $AF141),0)),"",INDIRECT(CONCATENATE("Table!",ADDRESS($AB141,MATCH(D$1,INDIRECT("Table!A" &amp; $AF141):INDIRECT("Table!" &amp; $AR$159 &amp; $AF141),0)))))</f>
        <v>67317.600000000006</v>
      </c>
      <c r="E141" s="35">
        <f ca="1">IF(ISERROR(MATCH(E$1,INDIRECT("Table!A"&amp;$AF141):INDIRECT("Table!" &amp; $AR$159 &amp; $AF141),0)),"",INDIRECT(CONCATENATE("Table!",ADDRESS($AB141,MATCH(E$1,INDIRECT("Table!A" &amp; $AF141):INDIRECT("Table!" &amp; $AR$159 &amp; $AF141),0)))))</f>
        <v>127586.7</v>
      </c>
      <c r="F141" s="35">
        <f ca="1">IF(ISERROR(MATCH(F$1,INDIRECT("Table!A"&amp;$AF141):INDIRECT("Table!" &amp; $AR$159 &amp; $AF141),0)),"",INDIRECT(CONCATENATE("Table!",ADDRESS($AB141,MATCH(F$1,INDIRECT("Table!A" &amp; $AF141):INDIRECT("Table!" &amp; $AR$159 &amp; $AF141),0)))))</f>
        <v>91.5</v>
      </c>
      <c r="G141" s="35">
        <f ca="1">IF(ISERROR(MATCH(G$1,INDIRECT("Table!A"&amp;$AF141):INDIRECT("Table!" &amp; $AR$159 &amp; $AF141),0)),"",INDIRECT(CONCATENATE("Table!",ADDRESS($AB141,MATCH(G$1,INDIRECT("Table!A" &amp; $AF141):INDIRECT("Table!" &amp; $AR$159 &amp; $AF141),0)))))</f>
        <v>23670</v>
      </c>
      <c r="H141" s="35">
        <f ca="1">IF(ISERROR(MATCH(H$1,INDIRECT("Table!A"&amp;$AF141):INDIRECT("Table!" &amp; $AR$159 &amp; $AF141),0)),"",INDIRECT(CONCATENATE("Table!",ADDRESS($AB141,MATCH(H$1,INDIRECT("Table!A" &amp; $AF141):INDIRECT("Table!" &amp; $AR$159 &amp; $AF141),0)))))</f>
        <v>19546.7</v>
      </c>
      <c r="I141" s="35">
        <f ca="1">IF(ISERROR(MATCH(I$1,INDIRECT("Table!A"&amp;$AF141):INDIRECT("Table!" &amp; $AR$159 &amp; $AF141),0)),"",INDIRECT(CONCATENATE("Table!",ADDRESS($AB141,MATCH(I$1,INDIRECT("Table!A" &amp; $AF141):INDIRECT("Table!" &amp; $AR$159 &amp; $AF141),0)))))</f>
        <v>113738.1</v>
      </c>
      <c r="J141" s="35">
        <f ca="1">IF(ISERROR(MATCH(J$1,INDIRECT("Table!A"&amp;$AF141):INDIRECT("Table!" &amp; $AR$159 &amp; $AF141),0)),"",INDIRECT(CONCATENATE("Table!",ADDRESS($AB141,MATCH(J$1,INDIRECT("Table!A" &amp; $AF141):INDIRECT("Table!" &amp; $AR$159 &amp; $AF141),0)))))</f>
        <v>28888.7</v>
      </c>
      <c r="K141" s="35">
        <f ca="1">IF(ISERROR(MATCH(K$1,INDIRECT("Table!A"&amp;$AF141):INDIRECT("Table!" &amp; $AR$159 &amp; $AF141),0)),"",INDIRECT(CONCATENATE("Table!",ADDRESS($AB141,MATCH(K$1,INDIRECT("Table!A" &amp; $AF141):INDIRECT("Table!" &amp; $AR$159 &amp; $AF141),0)))))</f>
        <v>60.9</v>
      </c>
      <c r="L141" s="35">
        <f ca="1">IF(ISERROR(MATCH(L$1,INDIRECT("Table!A"&amp;$AF141):INDIRECT("Table!" &amp; $AR$159 &amp; $AF141),0)),"",INDIRECT(CONCATENATE("Table!",ADDRESS($AB141,MATCH(L$1,INDIRECT("Table!A" &amp; $AF141):INDIRECT("Table!" &amp; $AR$159 &amp; $AF141),0)))))</f>
        <v>77971.7</v>
      </c>
      <c r="M141" s="35">
        <f ca="1">IF(ISERROR(MATCH(M$1,INDIRECT("Table!A"&amp;$AF141):INDIRECT("Table!" &amp; $AR$159 &amp; $AF141),0)),"",INDIRECT(CONCATENATE("Table!",ADDRESS($AB141,MATCH(M$1,INDIRECT("Table!A" &amp; $AF141):INDIRECT("Table!" &amp; $AR$159 &amp; $AF141),0)))))</f>
        <v>22917.1</v>
      </c>
      <c r="N141" s="35" t="str">
        <f ca="1">IF(ISERROR(MATCH(N$1,INDIRECT("Table!A"&amp;$AF141):INDIRECT("Table!" &amp; $AR$188 &amp; $AF141),0)),"",INDIRECT(CONCATENATE("Table!",ADDRESS($AB141,MATCH(N$1,INDIRECT("Table!A" &amp; $AF141):INDIRECT("Table!" &amp; $AR$188 &amp; $AF141),0)))))</f>
        <v/>
      </c>
      <c r="O141" s="35">
        <f ca="1">IF(ISERROR(MATCH(O$1,INDIRECT("Table!A"&amp;$AN141):INDIRECT("Table!" &amp; $AR$159 &amp; $AN141),0)),"",INDIRECT(CONCATENATE("Table!",ADDRESS($AJ141,MATCH(O$1,INDIRECT("Table!A" &amp; $AN141):INDIRECT("Table!" &amp; $AR$159 &amp; $AN141),0)))))</f>
        <v>115816.8</v>
      </c>
      <c r="P141" s="35">
        <f ca="1">IF(ISERROR(MATCH(P$1,INDIRECT("Table!A"&amp;$AN141):INDIRECT("Table!" &amp; $AR$159 &amp; $AN141),0)),"",INDIRECT(CONCATENATE("Table!",ADDRESS($AJ141,MATCH(P$1,INDIRECT("Table!A" &amp; $AN141):INDIRECT("Table!" &amp; $AR$159 &amp; $AN141),0)))))</f>
        <v>79968.7</v>
      </c>
      <c r="Q141" s="35">
        <f ca="1">IF(ISERROR(MATCH(Q$1,INDIRECT("Table!A"&amp;$AN141):INDIRECT("Table!" &amp; $AR$159 &amp; $AN141),0)),"",INDIRECT(CONCATENATE("Table!",ADDRESS($AJ141,MATCH(Q$1,INDIRECT("Table!A" &amp; $AN141):INDIRECT("Table!" &amp; $AR$159 &amp; $AN141),0)))))</f>
        <v>79968.7</v>
      </c>
      <c r="R141" s="35">
        <f ca="1">IF(ISERROR(MATCH(R$1,INDIRECT("Table!A"&amp;$AN141):INDIRECT("Table!" &amp; $AR$159 &amp; $AN141),0)),"",INDIRECT(CONCATENATE("Table!",ADDRESS($AJ141,MATCH(R$1,INDIRECT("Table!A" &amp; $AN141):INDIRECT("Table!" &amp; $AR$159 &amp; $AN141),0)))))</f>
        <v>154422.39999999999</v>
      </c>
      <c r="S141" s="35">
        <f ca="1">IF(ISERROR(MATCH(S$1,INDIRECT("Table!A"&amp;$AN141):INDIRECT("Table!" &amp; $AR$159 &amp; $AN141),0)),"",INDIRECT(CONCATENATE("Table!",ADDRESS($AJ141,MATCH(S$1,INDIRECT("Table!A" &amp; $AN141):INDIRECT("Table!" &amp; $AR$159 &amp; $AN141),0)))))</f>
        <v>121331.8</v>
      </c>
      <c r="T141" s="35">
        <f ca="1">IF(ISERROR(MATCH(T$1,INDIRECT("Table!A"&amp;$AN141):INDIRECT("Table!" &amp; $AR$159 &amp; $AN141),0)),"",INDIRECT(CONCATENATE("Table!",ADDRESS($AJ141,MATCH(T$1,INDIRECT("Table!A" &amp; $AN141):INDIRECT("Table!" &amp; $AR$159 &amp; $AN141),0)))))</f>
        <v>110071.9</v>
      </c>
      <c r="U141" s="35">
        <f ca="1">IF(ISERROR(MATCH(U$1,INDIRECT("Table!A"&amp;$AN141):INDIRECT("Table!" &amp; $AR$159 &amp; $AN141),0)),"",INDIRECT(CONCATENATE("Table!",ADDRESS($AJ141,MATCH(U$1,INDIRECT("Table!A" &amp; $AN141):INDIRECT("Table!" &amp; $AR$159 &amp; $AN141),0)))))</f>
        <v>121331.8</v>
      </c>
      <c r="V141" s="35">
        <f ca="1">IF(ISERROR(MATCH(V$1,INDIRECT("Table!A"&amp;$AN141):INDIRECT("Table!" &amp; $AR$159 &amp; $AN141),0)),"",INDIRECT(CONCATENATE("Table!",ADDRESS($AJ141,MATCH(V$1,INDIRECT("Table!A" &amp; $AN141):INDIRECT("Table!" &amp; $AR$159 &amp; $AN141),0)))))</f>
        <v>170967.6</v>
      </c>
      <c r="W141" s="35">
        <f ca="1">IF(ISERROR(MATCH(W$1,INDIRECT("Table!A"&amp;$AN141):INDIRECT("Table!" &amp; $AR$159 &amp; $AN141),0)),"",INDIRECT(CONCATENATE("Table!",ADDRESS($AJ141,MATCH(W$1,INDIRECT("Table!A" &amp; $AN141):INDIRECT("Table!" &amp; $AR$159 &amp; $AN141),0)))))</f>
        <v>54921</v>
      </c>
      <c r="X141" s="35">
        <f ca="1">IF(ISERROR(MATCH(X$1,INDIRECT("Table!A"&amp;$AN141):INDIRECT("Table!" &amp; $AR$159 &amp; $AN141),0)),"",INDIRECT(CONCATENATE("Table!",ADDRESS($AJ141,MATCH(X$1,INDIRECT("Table!A" &amp; $AN141):INDIRECT("Table!" &amp; $AR$159 &amp; $AN141),0)))))</f>
        <v>60665.9</v>
      </c>
      <c r="Y141" s="35">
        <f ca="1">IF(ISERROR(MATCH(Y$1,INDIRECT("Table!A"&amp;$AN141):INDIRECT("Table!" &amp; $AR$159 &amp; $AN141),0)),"",INDIRECT(CONCATENATE("Table!",ADDRESS($AJ141,MATCH(Y$1,INDIRECT("Table!A" &amp; $AN141):INDIRECT("Table!" &amp; $AR$159 &amp; $AN141),0)))))</f>
        <v>176482.7</v>
      </c>
      <c r="Z141" s="35">
        <f ca="1">IF(ISERROR(MATCH(Z$1,INDIRECT("Table!A"&amp;$AN141):INDIRECT("Table!" &amp; $AR$159 &amp; $AN141),0)),"",INDIRECT(CONCATENATE("Table!",ADDRESS($AJ141,MATCH(Z$1,INDIRECT("Table!A" &amp; $AN141):INDIRECT("Table!" &amp; $AR$159 &amp; $AN141),0)))))</f>
        <v>54921</v>
      </c>
      <c r="AA141" s="12"/>
      <c r="AB141" s="12">
        <f>MATCH($A141,Table!$A:$A,0)+$AD$2-1</f>
        <v>2015</v>
      </c>
      <c r="AF141" s="31">
        <f>MATCH($A141,Table!$A:$A,0)+$AH$2-1</f>
        <v>2013</v>
      </c>
      <c r="AJ141" s="12">
        <f>MATCH($A141,Table!$A:$A,0)+$AL$2-1</f>
        <v>2014</v>
      </c>
      <c r="AN141" s="31">
        <f>MATCH($A141,Table!$A:$A,0)+$AH$2-1</f>
        <v>2013</v>
      </c>
      <c r="AR141" s="132" t="s">
        <v>118</v>
      </c>
    </row>
    <row r="142" spans="1:44">
      <c r="A142" s="5">
        <v>40945</v>
      </c>
      <c r="B142" s="35">
        <f ca="1">IF(ISERROR(MATCH(B$1,INDIRECT("Table!A"&amp;$AF142):INDIRECT("Table!" &amp; $AR$159 &amp; $AF142),0)),"",INDIRECT(CONCATENATE("Table!",ADDRESS($AB142,MATCH(B$1,INDIRECT("Table!A" &amp; $AF142):INDIRECT("Table!" &amp; $AR$159 &amp; $AF142),0)))))</f>
        <v>92017.2</v>
      </c>
      <c r="C142" s="35">
        <f ca="1">IF(ISERROR(MATCH(C$1,INDIRECT("Table!A"&amp;$AF142):INDIRECT("Table!" &amp; $AR$159 &amp; $AF142),0)),"",INDIRECT(CONCATENATE("Table!",ADDRESS($AB142,MATCH(C$1,INDIRECT("Table!A" &amp; $AF142):INDIRECT("Table!" &amp; $AR$159 &amp; $AF142),0)))))</f>
        <v>65937</v>
      </c>
      <c r="D142" s="35">
        <f ca="1">IF(ISERROR(MATCH(D$1,INDIRECT("Table!A"&amp;$AF142):INDIRECT("Table!" &amp; $AR$159 &amp; $AF142),0)),"",INDIRECT(CONCATENATE("Table!",ADDRESS($AB142,MATCH(D$1,INDIRECT("Table!A" &amp; $AF142):INDIRECT("Table!" &amp; $AR$159 &amp; $AF142),0)))))</f>
        <v>67314.7</v>
      </c>
      <c r="E142" s="35">
        <f ca="1">IF(ISERROR(MATCH(E$1,INDIRECT("Table!A"&amp;$AF142):INDIRECT("Table!" &amp; $AR$159 &amp; $AF142),0)),"",INDIRECT(CONCATENATE("Table!",ADDRESS($AB142,MATCH(E$1,INDIRECT("Table!A" &amp; $AF142):INDIRECT("Table!" &amp; $AR$159 &amp; $AF142),0)))))</f>
        <v>127391.4</v>
      </c>
      <c r="F142" s="35">
        <f ca="1">IF(ISERROR(MATCH(F$1,INDIRECT("Table!A"&amp;$AF142):INDIRECT("Table!" &amp; $AR$159 &amp; $AF142),0)),"",INDIRECT(CONCATENATE("Table!",ADDRESS($AB142,MATCH(F$1,INDIRECT("Table!A" &amp; $AF142):INDIRECT("Table!" &amp; $AR$159 &amp; $AF142),0)))))</f>
        <v>90.2</v>
      </c>
      <c r="G142" s="35">
        <f ca="1">IF(ISERROR(MATCH(G$1,INDIRECT("Table!A"&amp;$AF142):INDIRECT("Table!" &amp; $AR$159 &amp; $AF142),0)),"",INDIRECT(CONCATENATE("Table!",ADDRESS($AB142,MATCH(G$1,INDIRECT("Table!A" &amp; $AF142):INDIRECT("Table!" &amp; $AR$159 &amp; $AF142),0)))))</f>
        <v>23353.200000000001</v>
      </c>
      <c r="H142" s="35">
        <f ca="1">IF(ISERROR(MATCH(H$1,INDIRECT("Table!A"&amp;$AF142):INDIRECT("Table!" &amp; $AR$159 &amp; $AF142),0)),"",INDIRECT(CONCATENATE("Table!",ADDRESS($AB142,MATCH(H$1,INDIRECT("Table!A" &amp; $AF142):INDIRECT("Table!" &amp; $AR$159 &amp; $AF142),0)))))</f>
        <v>19544.5</v>
      </c>
      <c r="I142" s="35">
        <f ca="1">IF(ISERROR(MATCH(I$1,INDIRECT("Table!A"&amp;$AF142):INDIRECT("Table!" &amp; $AR$159 &amp; $AF142),0)),"",INDIRECT(CONCATENATE("Table!",ADDRESS($AB142,MATCH(I$1,INDIRECT("Table!A" &amp; $AF142):INDIRECT("Table!" &amp; $AR$159 &amp; $AF142),0)))))</f>
        <v>112754.7</v>
      </c>
      <c r="J142" s="35">
        <f ca="1">IF(ISERROR(MATCH(J$1,INDIRECT("Table!A"&amp;$AF142):INDIRECT("Table!" &amp; $AR$159 &amp; $AF142),0)),"",INDIRECT(CONCATENATE("Table!",ADDRESS($AB142,MATCH(J$1,INDIRECT("Table!A" &amp; $AF142):INDIRECT("Table!" &amp; $AR$159 &amp; $AF142),0)))))</f>
        <v>28874.799999999999</v>
      </c>
      <c r="K142" s="35">
        <f ca="1">IF(ISERROR(MATCH(K$1,INDIRECT("Table!A"&amp;$AF142):INDIRECT("Table!" &amp; $AR$159 &amp; $AF142),0)),"",INDIRECT(CONCATENATE("Table!",ADDRESS($AB142,MATCH(K$1,INDIRECT("Table!A" &amp; $AF142):INDIRECT("Table!" &amp; $AR$159 &amp; $AF142),0)))))</f>
        <v>60.3</v>
      </c>
      <c r="L142" s="35">
        <f ca="1">IF(ISERROR(MATCH(L$1,INDIRECT("Table!A"&amp;$AF142):INDIRECT("Table!" &amp; $AR$159 &amp; $AF142),0)),"",INDIRECT(CONCATENATE("Table!",ADDRESS($AB142,MATCH(L$1,INDIRECT("Table!A" &amp; $AF142):INDIRECT("Table!" &amp; $AR$159 &amp; $AF142),0)))))</f>
        <v>77967.399999999994</v>
      </c>
      <c r="M142" s="35">
        <f ca="1">IF(ISERROR(MATCH(M$1,INDIRECT("Table!A"&amp;$AF142):INDIRECT("Table!" &amp; $AR$159 &amp; $AF142),0)),"",INDIRECT(CONCATENATE("Table!",ADDRESS($AB142,MATCH(M$1,INDIRECT("Table!A" &amp; $AF142):INDIRECT("Table!" &amp; $AR$159 &amp; $AF142),0)))))</f>
        <v>22917.1</v>
      </c>
      <c r="N142" s="35" t="str">
        <f ca="1">IF(ISERROR(MATCH(N$1,INDIRECT("Table!A"&amp;$AF142):INDIRECT("Table!" &amp; $AR$188 &amp; $AF142),0)),"",INDIRECT(CONCATENATE("Table!",ADDRESS($AB142,MATCH(N$1,INDIRECT("Table!A" &amp; $AF142):INDIRECT("Table!" &amp; $AR$188 &amp; $AF142),0)))))</f>
        <v/>
      </c>
      <c r="O142" s="35">
        <f ca="1">IF(ISERROR(MATCH(O$1,INDIRECT("Table!A"&amp;$AN142):INDIRECT("Table!" &amp; $AR$159 &amp; $AN142),0)),"",INDIRECT(CONCATENATE("Table!",ADDRESS($AJ142,MATCH(O$1,INDIRECT("Table!A" &amp; $AN142):INDIRECT("Table!" &amp; $AR$159 &amp; $AN142),0)))))</f>
        <v>115816.8</v>
      </c>
      <c r="P142" s="35">
        <f ca="1">IF(ISERROR(MATCH(P$1,INDIRECT("Table!A"&amp;$AN142):INDIRECT("Table!" &amp; $AR$159 &amp; $AN142),0)),"",INDIRECT(CONCATENATE("Table!",ADDRESS($AJ142,MATCH(P$1,INDIRECT("Table!A" &amp; $AN142):INDIRECT("Table!" &amp; $AR$159 &amp; $AN142),0)))))</f>
        <v>79968.7</v>
      </c>
      <c r="Q142" s="35">
        <f ca="1">IF(ISERROR(MATCH(Q$1,INDIRECT("Table!A"&amp;$AN142):INDIRECT("Table!" &amp; $AR$159 &amp; $AN142),0)),"",INDIRECT(CONCATENATE("Table!",ADDRESS($AJ142,MATCH(Q$1,INDIRECT("Table!A" &amp; $AN142):INDIRECT("Table!" &amp; $AR$159 &amp; $AN142),0)))))</f>
        <v>79968.7</v>
      </c>
      <c r="R142" s="35">
        <f ca="1">IF(ISERROR(MATCH(R$1,INDIRECT("Table!A"&amp;$AN142):INDIRECT("Table!" &amp; $AR$159 &amp; $AN142),0)),"",INDIRECT(CONCATENATE("Table!",ADDRESS($AJ142,MATCH(R$1,INDIRECT("Table!A" &amp; $AN142):INDIRECT("Table!" &amp; $AR$159 &amp; $AN142),0)))))</f>
        <v>154422.39999999999</v>
      </c>
      <c r="S142" s="35">
        <f ca="1">IF(ISERROR(MATCH(S$1,INDIRECT("Table!A"&amp;$AN142):INDIRECT("Table!" &amp; $AR$159 &amp; $AN142),0)),"",INDIRECT(CONCATENATE("Table!",ADDRESS($AJ142,MATCH(S$1,INDIRECT("Table!A" &amp; $AN142):INDIRECT("Table!" &amp; $AR$159 &amp; $AN142),0)))))</f>
        <v>121331.8</v>
      </c>
      <c r="T142" s="35">
        <f ca="1">IF(ISERROR(MATCH(T$1,INDIRECT("Table!A"&amp;$AN142):INDIRECT("Table!" &amp; $AR$159 &amp; $AN142),0)),"",INDIRECT(CONCATENATE("Table!",ADDRESS($AJ142,MATCH(T$1,INDIRECT("Table!A" &amp; $AN142):INDIRECT("Table!" &amp; $AR$159 &amp; $AN142),0)))))</f>
        <v>110071.9</v>
      </c>
      <c r="U142" s="35">
        <f ca="1">IF(ISERROR(MATCH(U$1,INDIRECT("Table!A"&amp;$AN142):INDIRECT("Table!" &amp; $AR$159 &amp; $AN142),0)),"",INDIRECT(CONCATENATE("Table!",ADDRESS($AJ142,MATCH(U$1,INDIRECT("Table!A" &amp; $AN142):INDIRECT("Table!" &amp; $AR$159 &amp; $AN142),0)))))</f>
        <v>121331.8</v>
      </c>
      <c r="V142" s="35">
        <f ca="1">IF(ISERROR(MATCH(V$1,INDIRECT("Table!A"&amp;$AN142):INDIRECT("Table!" &amp; $AR$159 &amp; $AN142),0)),"",INDIRECT(CONCATENATE("Table!",ADDRESS($AJ142,MATCH(V$1,INDIRECT("Table!A" &amp; $AN142):INDIRECT("Table!" &amp; $AR$159 &amp; $AN142),0)))))</f>
        <v>170967.6</v>
      </c>
      <c r="W142" s="35">
        <f ca="1">IF(ISERROR(MATCH(W$1,INDIRECT("Table!A"&amp;$AN142):INDIRECT("Table!" &amp; $AR$159 &amp; $AN142),0)),"",INDIRECT(CONCATENATE("Table!",ADDRESS($AJ142,MATCH(W$1,INDIRECT("Table!A" &amp; $AN142):INDIRECT("Table!" &amp; $AR$159 &amp; $AN142),0)))))</f>
        <v>54921</v>
      </c>
      <c r="X142" s="35">
        <f ca="1">IF(ISERROR(MATCH(X$1,INDIRECT("Table!A"&amp;$AN142):INDIRECT("Table!" &amp; $AR$159 &amp; $AN142),0)),"",INDIRECT(CONCATENATE("Table!",ADDRESS($AJ142,MATCH(X$1,INDIRECT("Table!A" &amp; $AN142):INDIRECT("Table!" &amp; $AR$159 &amp; $AN142),0)))))</f>
        <v>60665.9</v>
      </c>
      <c r="Y142" s="35">
        <f ca="1">IF(ISERROR(MATCH(Y$1,INDIRECT("Table!A"&amp;$AN142):INDIRECT("Table!" &amp; $AR$159 &amp; $AN142),0)),"",INDIRECT(CONCATENATE("Table!",ADDRESS($AJ142,MATCH(Y$1,INDIRECT("Table!A" &amp; $AN142):INDIRECT("Table!" &amp; $AR$159 &amp; $AN142),0)))))</f>
        <v>176482.7</v>
      </c>
      <c r="Z142" s="35">
        <f ca="1">IF(ISERROR(MATCH(Z$1,INDIRECT("Table!A"&amp;$AN142):INDIRECT("Table!" &amp; $AR$159 &amp; $AN142),0)),"",INDIRECT(CONCATENATE("Table!",ADDRESS($AJ142,MATCH(Z$1,INDIRECT("Table!A" &amp; $AN142):INDIRECT("Table!" &amp; $AR$159 &amp; $AN142),0)))))</f>
        <v>54921</v>
      </c>
      <c r="AA142" s="12"/>
      <c r="AB142" s="12">
        <f>MATCH($A142,Table!$A:$A,0)+$AD$2-1</f>
        <v>2028</v>
      </c>
      <c r="AF142" s="31">
        <f>MATCH($A142,Table!$A:$A,0)+$AH$2-1</f>
        <v>2026</v>
      </c>
      <c r="AJ142" s="12">
        <f>MATCH($A142,Table!$A:$A,0)+$AL$2-1</f>
        <v>2027</v>
      </c>
      <c r="AN142" s="31">
        <f>MATCH($A142,Table!$A:$A,0)+$AH$2-1</f>
        <v>2026</v>
      </c>
      <c r="AR142" s="131" t="s">
        <v>118</v>
      </c>
    </row>
    <row r="143" spans="1:44">
      <c r="A143" s="5">
        <v>40941</v>
      </c>
      <c r="B143" s="35">
        <f ca="1">IF(ISERROR(MATCH(B$1,INDIRECT("Table!A"&amp;$AF143):INDIRECT("Table!" &amp; $AR$159 &amp; $AF143),0)),"",INDIRECT(CONCATENATE("Table!",ADDRESS($AB143,MATCH(B$1,INDIRECT("Table!A" &amp; $AF143):INDIRECT("Table!" &amp; $AR$159 &amp; $AF143),0)))))</f>
        <v>91286.1</v>
      </c>
      <c r="C143" s="35">
        <f ca="1">IF(ISERROR(MATCH(C$1,INDIRECT("Table!A"&amp;$AF143):INDIRECT("Table!" &amp; $AR$159 &amp; $AF143),0)),"",INDIRECT(CONCATENATE("Table!",ADDRESS($AB143,MATCH(C$1,INDIRECT("Table!A" &amp; $AF143):INDIRECT("Table!" &amp; $AR$159 &amp; $AF143),0)))))</f>
        <v>65905.100000000006</v>
      </c>
      <c r="D143" s="35">
        <f ca="1">IF(ISERROR(MATCH(D$1,INDIRECT("Table!A"&amp;$AF143):INDIRECT("Table!" &amp; $AR$159 &amp; $AF143),0)),"",INDIRECT(CONCATENATE("Table!",ADDRESS($AB143,MATCH(D$1,INDIRECT("Table!A" &amp; $AF143):INDIRECT("Table!" &amp; $AR$159 &amp; $AF143),0)))))</f>
        <v>67282.899999999994</v>
      </c>
      <c r="E143" s="35">
        <f ca="1">IF(ISERROR(MATCH(E$1,INDIRECT("Table!A"&amp;$AF143):INDIRECT("Table!" &amp; $AR$159 &amp; $AF143),0)),"",INDIRECT(CONCATENATE("Table!",ADDRESS($AB143,MATCH(E$1,INDIRECT("Table!A" &amp; $AF143):INDIRECT("Table!" &amp; $AR$159 &amp; $AF143),0)))))</f>
        <v>126695.1</v>
      </c>
      <c r="F143" s="35">
        <f ca="1">IF(ISERROR(MATCH(F$1,INDIRECT("Table!A"&amp;$AF143):INDIRECT("Table!" &amp; $AR$159 &amp; $AF143),0)),"",INDIRECT(CONCATENATE("Table!",ADDRESS($AB143,MATCH(F$1,INDIRECT("Table!A" &amp; $AF143):INDIRECT("Table!" &amp; $AR$159 &amp; $AF143),0)))))</f>
        <v>87.9</v>
      </c>
      <c r="G143" s="35">
        <f ca="1">IF(ISERROR(MATCH(G$1,INDIRECT("Table!A"&amp;$AF143):INDIRECT("Table!" &amp; $AR$159 &amp; $AF143),0)),"",INDIRECT(CONCATENATE("Table!",ADDRESS($AB143,MATCH(G$1,INDIRECT("Table!A" &amp; $AF143):INDIRECT("Table!" &amp; $AR$159 &amp; $AF143),0)))))</f>
        <v>23091.599999999999</v>
      </c>
      <c r="H143" s="35">
        <f ca="1">IF(ISERROR(MATCH(H$1,INDIRECT("Table!A"&amp;$AF143):INDIRECT("Table!" &amp; $AR$159 &amp; $AF143),0)),"",INDIRECT(CONCATENATE("Table!",ADDRESS($AB143,MATCH(H$1,INDIRECT("Table!A" &amp; $AF143):INDIRECT("Table!" &amp; $AR$159 &amp; $AF143),0)))))</f>
        <v>19537.599999999999</v>
      </c>
      <c r="I143" s="35">
        <f ca="1">IF(ISERROR(MATCH(I$1,INDIRECT("Table!A"&amp;$AF143):INDIRECT("Table!" &amp; $AR$159 &amp; $AF143),0)),"",INDIRECT(CONCATENATE("Table!",ADDRESS($AB143,MATCH(I$1,INDIRECT("Table!A" &amp; $AF143):INDIRECT("Table!" &amp; $AR$159 &amp; $AF143),0)))))</f>
        <v>112037.9</v>
      </c>
      <c r="J143" s="35">
        <f ca="1">IF(ISERROR(MATCH(J$1,INDIRECT("Table!A"&amp;$AF143):INDIRECT("Table!" &amp; $AR$159 &amp; $AF143),0)),"",INDIRECT(CONCATENATE("Table!",ADDRESS($AB143,MATCH(J$1,INDIRECT("Table!A" &amp; $AF143):INDIRECT("Table!" &amp; $AR$159 &amp; $AF143),0)))))</f>
        <v>28631.5</v>
      </c>
      <c r="K143" s="35">
        <f ca="1">IF(ISERROR(MATCH(K$1,INDIRECT("Table!A"&amp;$AF143):INDIRECT("Table!" &amp; $AR$159 &amp; $AF143),0)),"",INDIRECT(CONCATENATE("Table!",ADDRESS($AB143,MATCH(K$1,INDIRECT("Table!A" &amp; $AF143):INDIRECT("Table!" &amp; $AR$159 &amp; $AF143),0)))))</f>
        <v>59.1</v>
      </c>
      <c r="L143" s="35">
        <f ca="1">IF(ISERROR(MATCH(L$1,INDIRECT("Table!A"&amp;$AF143):INDIRECT("Table!" &amp; $AR$159 &amp; $AF143),0)),"",INDIRECT(CONCATENATE("Table!",ADDRESS($AB143,MATCH(L$1,INDIRECT("Table!A" &amp; $AF143):INDIRECT("Table!" &amp; $AR$159 &amp; $AF143),0)))))</f>
        <v>77953.5</v>
      </c>
      <c r="M143" s="35">
        <f ca="1">IF(ISERROR(MATCH(M$1,INDIRECT("Table!A"&amp;$AF143):INDIRECT("Table!" &amp; $AR$159 &amp; $AF143),0)),"",INDIRECT(CONCATENATE("Table!",ADDRESS($AB143,MATCH(M$1,INDIRECT("Table!A" &amp; $AF143):INDIRECT("Table!" &amp; $AR$159 &amp; $AF143),0)))))</f>
        <v>22916.9</v>
      </c>
      <c r="N143" s="35" t="str">
        <f ca="1">IF(ISERROR(MATCH(N$1,INDIRECT("Table!A"&amp;$AF143):INDIRECT("Table!" &amp; $AR$188 &amp; $AF143),0)),"",INDIRECT(CONCATENATE("Table!",ADDRESS($AB143,MATCH(N$1,INDIRECT("Table!A" &amp; $AF143):INDIRECT("Table!" &amp; $AR$188 &amp; $AF143),0)))))</f>
        <v/>
      </c>
      <c r="O143" s="35">
        <f ca="1">IF(ISERROR(MATCH(O$1,INDIRECT("Table!A"&amp;$AN143):INDIRECT("Table!" &amp; $AR$159 &amp; $AN143),0)),"",INDIRECT(CONCATENATE("Table!",ADDRESS($AJ143,MATCH(O$1,INDIRECT("Table!A" &amp; $AN143):INDIRECT("Table!" &amp; $AR$159 &amp; $AN143),0)))))</f>
        <v>115816.8</v>
      </c>
      <c r="P143" s="35">
        <f ca="1">IF(ISERROR(MATCH(P$1,INDIRECT("Table!A"&amp;$AN143):INDIRECT("Table!" &amp; $AR$159 &amp; $AN143),0)),"",INDIRECT(CONCATENATE("Table!",ADDRESS($AJ143,MATCH(P$1,INDIRECT("Table!A" &amp; $AN143):INDIRECT("Table!" &amp; $AR$159 &amp; $AN143),0)))))</f>
        <v>79968.7</v>
      </c>
      <c r="Q143" s="35">
        <f ca="1">IF(ISERROR(MATCH(Q$1,INDIRECT("Table!A"&amp;$AN143):INDIRECT("Table!" &amp; $AR$159 &amp; $AN143),0)),"",INDIRECT(CONCATENATE("Table!",ADDRESS($AJ143,MATCH(Q$1,INDIRECT("Table!A" &amp; $AN143):INDIRECT("Table!" &amp; $AR$159 &amp; $AN143),0)))))</f>
        <v>79968.7</v>
      </c>
      <c r="R143" s="35">
        <f ca="1">IF(ISERROR(MATCH(R$1,INDIRECT("Table!A"&amp;$AN143):INDIRECT("Table!" &amp; $AR$159 &amp; $AN143),0)),"",INDIRECT(CONCATENATE("Table!",ADDRESS($AJ143,MATCH(R$1,INDIRECT("Table!A" &amp; $AN143):INDIRECT("Table!" &amp; $AR$159 &amp; $AN143),0)))))</f>
        <v>154422.39999999999</v>
      </c>
      <c r="S143" s="35">
        <f ca="1">IF(ISERROR(MATCH(S$1,INDIRECT("Table!A"&amp;$AN143):INDIRECT("Table!" &amp; $AR$159 &amp; $AN143),0)),"",INDIRECT(CONCATENATE("Table!",ADDRESS($AJ143,MATCH(S$1,INDIRECT("Table!A" &amp; $AN143):INDIRECT("Table!" &amp; $AR$159 &amp; $AN143),0)))))</f>
        <v>121331.8</v>
      </c>
      <c r="T143" s="35">
        <f ca="1">IF(ISERROR(MATCH(T$1,INDIRECT("Table!A"&amp;$AN143):INDIRECT("Table!" &amp; $AR$159 &amp; $AN143),0)),"",INDIRECT(CONCATENATE("Table!",ADDRESS($AJ143,MATCH(T$1,INDIRECT("Table!A" &amp; $AN143):INDIRECT("Table!" &amp; $AR$159 &amp; $AN143),0)))))</f>
        <v>110071.9</v>
      </c>
      <c r="U143" s="35">
        <f ca="1">IF(ISERROR(MATCH(U$1,INDIRECT("Table!A"&amp;$AN143):INDIRECT("Table!" &amp; $AR$159 &amp; $AN143),0)),"",INDIRECT(CONCATENATE("Table!",ADDRESS($AJ143,MATCH(U$1,INDIRECT("Table!A" &amp; $AN143):INDIRECT("Table!" &amp; $AR$159 &amp; $AN143),0)))))</f>
        <v>121331.8</v>
      </c>
      <c r="V143" s="35">
        <f ca="1">IF(ISERROR(MATCH(V$1,INDIRECT("Table!A"&amp;$AN143):INDIRECT("Table!" &amp; $AR$159 &amp; $AN143),0)),"",INDIRECT(CONCATENATE("Table!",ADDRESS($AJ143,MATCH(V$1,INDIRECT("Table!A" &amp; $AN143):INDIRECT("Table!" &amp; $AR$159 &amp; $AN143),0)))))</f>
        <v>170967.6</v>
      </c>
      <c r="W143" s="35">
        <f ca="1">IF(ISERROR(MATCH(W$1,INDIRECT("Table!A"&amp;$AN143):INDIRECT("Table!" &amp; $AR$159 &amp; $AN143),0)),"",INDIRECT(CONCATENATE("Table!",ADDRESS($AJ143,MATCH(W$1,INDIRECT("Table!A" &amp; $AN143):INDIRECT("Table!" &amp; $AR$159 &amp; $AN143),0)))))</f>
        <v>54921</v>
      </c>
      <c r="X143" s="35">
        <f ca="1">IF(ISERROR(MATCH(X$1,INDIRECT("Table!A"&amp;$AN143):INDIRECT("Table!" &amp; $AR$159 &amp; $AN143),0)),"",INDIRECT(CONCATENATE("Table!",ADDRESS($AJ143,MATCH(X$1,INDIRECT("Table!A" &amp; $AN143):INDIRECT("Table!" &amp; $AR$159 &amp; $AN143),0)))))</f>
        <v>60665.9</v>
      </c>
      <c r="Y143" s="35">
        <f ca="1">IF(ISERROR(MATCH(Y$1,INDIRECT("Table!A"&amp;$AN143):INDIRECT("Table!" &amp; $AR$159 &amp; $AN143),0)),"",INDIRECT(CONCATENATE("Table!",ADDRESS($AJ143,MATCH(Y$1,INDIRECT("Table!A" &amp; $AN143):INDIRECT("Table!" &amp; $AR$159 &amp; $AN143),0)))))</f>
        <v>176482.7</v>
      </c>
      <c r="Z143" s="35">
        <f ca="1">IF(ISERROR(MATCH(Z$1,INDIRECT("Table!A"&amp;$AN143):INDIRECT("Table!" &amp; $AR$159 &amp; $AN143),0)),"",INDIRECT(CONCATENATE("Table!",ADDRESS($AJ143,MATCH(Z$1,INDIRECT("Table!A" &amp; $AN143):INDIRECT("Table!" &amp; $AR$159 &amp; $AN143),0)))))</f>
        <v>54921</v>
      </c>
      <c r="AA143" s="12"/>
      <c r="AB143" s="12">
        <f>MATCH($A143,Table!$A:$A,0)+$AD$2-1</f>
        <v>2041</v>
      </c>
      <c r="AF143" s="31">
        <f>MATCH($A143,Table!$A:$A,0)+$AH$2-1</f>
        <v>2039</v>
      </c>
      <c r="AJ143" s="12">
        <f>MATCH($A143,Table!$A:$A,0)+$AL$2-1</f>
        <v>2040</v>
      </c>
      <c r="AN143" s="31">
        <f>MATCH($A143,Table!$A:$A,0)+$AH$2-1</f>
        <v>2039</v>
      </c>
      <c r="AR143" s="130" t="s">
        <v>118</v>
      </c>
    </row>
    <row r="144" spans="1:44">
      <c r="A144" s="5">
        <v>40940</v>
      </c>
      <c r="B144" s="35">
        <f ca="1">IF(ISERROR(MATCH(B$1,INDIRECT("Table!A"&amp;$AF144):INDIRECT("Table!" &amp; $AR$159 &amp; $AF144),0)),"",INDIRECT(CONCATENATE("Table!",ADDRESS($AB144,MATCH(B$1,INDIRECT("Table!A" &amp; $AF144):INDIRECT("Table!" &amp; $AR$159 &amp; $AF144),0)))))</f>
        <v>91042.9</v>
      </c>
      <c r="C144" s="35">
        <f ca="1">IF(ISERROR(MATCH(C$1,INDIRECT("Table!A"&amp;$AF144):INDIRECT("Table!" &amp; $AR$159 &amp; $AF144),0)),"",INDIRECT(CONCATENATE("Table!",ADDRESS($AB144,MATCH(C$1,INDIRECT("Table!A" &amp; $AF144):INDIRECT("Table!" &amp; $AR$159 &amp; $AF144),0)))))</f>
        <v>65815.5</v>
      </c>
      <c r="D144" s="35">
        <f ca="1">IF(ISERROR(MATCH(D$1,INDIRECT("Table!A"&amp;$AF144):INDIRECT("Table!" &amp; $AR$159 &amp; $AF144),0)),"",INDIRECT(CONCATENATE("Table!",ADDRESS($AB144,MATCH(D$1,INDIRECT("Table!A" &amp; $AF144):INDIRECT("Table!" &amp; $AR$159 &amp; $AF144),0)))))</f>
        <v>67195.8</v>
      </c>
      <c r="E144" s="35">
        <f ca="1">IF(ISERROR(MATCH(E$1,INDIRECT("Table!A"&amp;$AF144):INDIRECT("Table!" &amp; $AR$159 &amp; $AF144),0)),"",INDIRECT(CONCATENATE("Table!",ADDRESS($AB144,MATCH(E$1,INDIRECT("Table!A" &amp; $AF144):INDIRECT("Table!" &amp; $AR$159 &amp; $AF144),0)))))</f>
        <v>126506.1</v>
      </c>
      <c r="F144" s="35">
        <f ca="1">IF(ISERROR(MATCH(F$1,INDIRECT("Table!A"&amp;$AF144):INDIRECT("Table!" &amp; $AR$159 &amp; $AF144),0)),"",INDIRECT(CONCATENATE("Table!",ADDRESS($AB144,MATCH(F$1,INDIRECT("Table!A" &amp; $AF144):INDIRECT("Table!" &amp; $AR$159 &amp; $AF144),0)))))</f>
        <v>87.9</v>
      </c>
      <c r="G144" s="35">
        <f ca="1">IF(ISERROR(MATCH(G$1,INDIRECT("Table!A"&amp;$AF144):INDIRECT("Table!" &amp; $AR$159 &amp; $AF144),0)),"",INDIRECT(CONCATENATE("Table!",ADDRESS($AB144,MATCH(G$1,INDIRECT("Table!A" &amp; $AF144):INDIRECT("Table!" &amp; $AR$159 &amp; $AF144),0)))))</f>
        <v>23083.9</v>
      </c>
      <c r="H144" s="35">
        <f ca="1">IF(ISERROR(MATCH(H$1,INDIRECT("Table!A"&amp;$AF144):INDIRECT("Table!" &amp; $AR$159 &amp; $AF144),0)),"",INDIRECT(CONCATENATE("Table!",ADDRESS($AB144,MATCH(H$1,INDIRECT("Table!A" &amp; $AF144):INDIRECT("Table!" &amp; $AR$159 &amp; $AF144),0)))))</f>
        <v>19536.599999999999</v>
      </c>
      <c r="I144" s="35">
        <f ca="1">IF(ISERROR(MATCH(I$1,INDIRECT("Table!A"&amp;$AF144):INDIRECT("Table!" &amp; $AR$159 &amp; $AF144),0)),"",INDIRECT(CONCATENATE("Table!",ADDRESS($AB144,MATCH(I$1,INDIRECT("Table!A" &amp; $AF144):INDIRECT("Table!" &amp; $AR$159 &amp; $AF144),0)))))</f>
        <v>111876.1</v>
      </c>
      <c r="J144" s="35">
        <f ca="1">IF(ISERROR(MATCH(J$1,INDIRECT("Table!A"&amp;$AF144):INDIRECT("Table!" &amp; $AR$159 &amp; $AF144),0)),"",INDIRECT(CONCATENATE("Table!",ADDRESS($AB144,MATCH(J$1,INDIRECT("Table!A" &amp; $AF144):INDIRECT("Table!" &amp; $AR$159 &amp; $AF144),0)))))</f>
        <v>28630.2</v>
      </c>
      <c r="K144" s="35">
        <f ca="1">IF(ISERROR(MATCH(K$1,INDIRECT("Table!A"&amp;$AF144):INDIRECT("Table!" &amp; $AR$159 &amp; $AF144),0)),"",INDIRECT(CONCATENATE("Table!",ADDRESS($AB144,MATCH(K$1,INDIRECT("Table!A" &amp; $AF144):INDIRECT("Table!" &amp; $AR$159 &amp; $AF144),0)))))</f>
        <v>59.1</v>
      </c>
      <c r="L144" s="35">
        <f ca="1">IF(ISERROR(MATCH(L$1,INDIRECT("Table!A"&amp;$AF144):INDIRECT("Table!" &amp; $AR$159 &amp; $AF144),0)),"",INDIRECT(CONCATENATE("Table!",ADDRESS($AB144,MATCH(L$1,INDIRECT("Table!A" &amp; $AF144):INDIRECT("Table!" &amp; $AR$159 &amp; $AF144),0)))))</f>
        <v>77940.7</v>
      </c>
      <c r="M144" s="35">
        <f ca="1">IF(ISERROR(MATCH(M$1,INDIRECT("Table!A"&amp;$AF144):INDIRECT("Table!" &amp; $AR$159 &amp; $AF144),0)),"",INDIRECT(CONCATENATE("Table!",ADDRESS($AB144,MATCH(M$1,INDIRECT("Table!A" &amp; $AF144):INDIRECT("Table!" &amp; $AR$159 &amp; $AF144),0)))))</f>
        <v>22911.5</v>
      </c>
      <c r="N144" s="35" t="str">
        <f ca="1">IF(ISERROR(MATCH(N$1,INDIRECT("Table!A"&amp;$AF144):INDIRECT("Table!" &amp; $AR$188 &amp; $AF144),0)),"",INDIRECT(CONCATENATE("Table!",ADDRESS($AB144,MATCH(N$1,INDIRECT("Table!A" &amp; $AF144):INDIRECT("Table!" &amp; $AR$188 &amp; $AF144),0)))))</f>
        <v/>
      </c>
      <c r="O144" s="35">
        <f ca="1">IF(ISERROR(MATCH(O$1,INDIRECT("Table!A"&amp;$AN144):INDIRECT("Table!" &amp; $AR$159 &amp; $AN144),0)),"",INDIRECT(CONCATENATE("Table!",ADDRESS($AJ144,MATCH(O$1,INDIRECT("Table!A" &amp; $AN144):INDIRECT("Table!" &amp; $AR$159 &amp; $AN144),0)))))</f>
        <v>115816.8</v>
      </c>
      <c r="P144" s="35">
        <f ca="1">IF(ISERROR(MATCH(P$1,INDIRECT("Table!A"&amp;$AN144):INDIRECT("Table!" &amp; $AR$159 &amp; $AN144),0)),"",INDIRECT(CONCATENATE("Table!",ADDRESS($AJ144,MATCH(P$1,INDIRECT("Table!A" &amp; $AN144):INDIRECT("Table!" &amp; $AR$159 &amp; $AN144),0)))))</f>
        <v>79968.7</v>
      </c>
      <c r="Q144" s="35">
        <f ca="1">IF(ISERROR(MATCH(Q$1,INDIRECT("Table!A"&amp;$AN144):INDIRECT("Table!" &amp; $AR$159 &amp; $AN144),0)),"",INDIRECT(CONCATENATE("Table!",ADDRESS($AJ144,MATCH(Q$1,INDIRECT("Table!A" &amp; $AN144):INDIRECT("Table!" &amp; $AR$159 &amp; $AN144),0)))))</f>
        <v>79968.7</v>
      </c>
      <c r="R144" s="35">
        <f ca="1">IF(ISERROR(MATCH(R$1,INDIRECT("Table!A"&amp;$AN144):INDIRECT("Table!" &amp; $AR$159 &amp; $AN144),0)),"",INDIRECT(CONCATENATE("Table!",ADDRESS($AJ144,MATCH(R$1,INDIRECT("Table!A" &amp; $AN144):INDIRECT("Table!" &amp; $AR$159 &amp; $AN144),0)))))</f>
        <v>154422.39999999999</v>
      </c>
      <c r="S144" s="35">
        <f ca="1">IF(ISERROR(MATCH(S$1,INDIRECT("Table!A"&amp;$AN144):INDIRECT("Table!" &amp; $AR$159 &amp; $AN144),0)),"",INDIRECT(CONCATENATE("Table!",ADDRESS($AJ144,MATCH(S$1,INDIRECT("Table!A" &amp; $AN144):INDIRECT("Table!" &amp; $AR$159 &amp; $AN144),0)))))</f>
        <v>121331.8</v>
      </c>
      <c r="T144" s="35">
        <f ca="1">IF(ISERROR(MATCH(T$1,INDIRECT("Table!A"&amp;$AN144):INDIRECT("Table!" &amp; $AR$159 &amp; $AN144),0)),"",INDIRECT(CONCATENATE("Table!",ADDRESS($AJ144,MATCH(T$1,INDIRECT("Table!A" &amp; $AN144):INDIRECT("Table!" &amp; $AR$159 &amp; $AN144),0)))))</f>
        <v>110071.9</v>
      </c>
      <c r="U144" s="35">
        <f ca="1">IF(ISERROR(MATCH(U$1,INDIRECT("Table!A"&amp;$AN144):INDIRECT("Table!" &amp; $AR$159 &amp; $AN144),0)),"",INDIRECT(CONCATENATE("Table!",ADDRESS($AJ144,MATCH(U$1,INDIRECT("Table!A" &amp; $AN144):INDIRECT("Table!" &amp; $AR$159 &amp; $AN144),0)))))</f>
        <v>121331.8</v>
      </c>
      <c r="V144" s="35">
        <f ca="1">IF(ISERROR(MATCH(V$1,INDIRECT("Table!A"&amp;$AN144):INDIRECT("Table!" &amp; $AR$159 &amp; $AN144),0)),"",INDIRECT(CONCATENATE("Table!",ADDRESS($AJ144,MATCH(V$1,INDIRECT("Table!A" &amp; $AN144):INDIRECT("Table!" &amp; $AR$159 &amp; $AN144),0)))))</f>
        <v>170967.6</v>
      </c>
      <c r="W144" s="35">
        <f ca="1">IF(ISERROR(MATCH(W$1,INDIRECT("Table!A"&amp;$AN144):INDIRECT("Table!" &amp; $AR$159 &amp; $AN144),0)),"",INDIRECT(CONCATENATE("Table!",ADDRESS($AJ144,MATCH(W$1,INDIRECT("Table!A" &amp; $AN144):INDIRECT("Table!" &amp; $AR$159 &amp; $AN144),0)))))</f>
        <v>54921</v>
      </c>
      <c r="X144" s="35">
        <f ca="1">IF(ISERROR(MATCH(X$1,INDIRECT("Table!A"&amp;$AN144):INDIRECT("Table!" &amp; $AR$159 &amp; $AN144),0)),"",INDIRECT(CONCATENATE("Table!",ADDRESS($AJ144,MATCH(X$1,INDIRECT("Table!A" &amp; $AN144):INDIRECT("Table!" &amp; $AR$159 &amp; $AN144),0)))))</f>
        <v>60665.9</v>
      </c>
      <c r="Y144" s="35">
        <f ca="1">IF(ISERROR(MATCH(Y$1,INDIRECT("Table!A"&amp;$AN144):INDIRECT("Table!" &amp; $AR$159 &amp; $AN144),0)),"",INDIRECT(CONCATENATE("Table!",ADDRESS($AJ144,MATCH(Y$1,INDIRECT("Table!A" &amp; $AN144):INDIRECT("Table!" &amp; $AR$159 &amp; $AN144),0)))))</f>
        <v>176482.7</v>
      </c>
      <c r="Z144" s="35">
        <f ca="1">IF(ISERROR(MATCH(Z$1,INDIRECT("Table!A"&amp;$AN144):INDIRECT("Table!" &amp; $AR$159 &amp; $AN144),0)),"",INDIRECT(CONCATENATE("Table!",ADDRESS($AJ144,MATCH(Z$1,INDIRECT("Table!A" &amp; $AN144):INDIRECT("Table!" &amp; $AR$159 &amp; $AN144),0)))))</f>
        <v>54921</v>
      </c>
      <c r="AA144" s="12"/>
      <c r="AB144" s="12">
        <f>MATCH($A144,Table!$A:$A,0)+$AD$2-1</f>
        <v>2054</v>
      </c>
      <c r="AF144" s="31">
        <f>MATCH($A144,Table!$A:$A,0)+$AH$2-1</f>
        <v>2052</v>
      </c>
      <c r="AJ144" s="12">
        <f>MATCH($A144,Table!$A:$A,0)+$AL$2-1</f>
        <v>2053</v>
      </c>
      <c r="AN144" s="31">
        <f>MATCH($A144,Table!$A:$A,0)+$AH$2-1</f>
        <v>2052</v>
      </c>
      <c r="AR144" s="129" t="s">
        <v>118</v>
      </c>
    </row>
    <row r="145" spans="1:44">
      <c r="A145" s="5">
        <v>40939</v>
      </c>
      <c r="B145" s="35">
        <f ca="1">IF(ISERROR(MATCH(B$1,INDIRECT("Table!A"&amp;$AF145):INDIRECT("Table!" &amp; $AR$159 &amp; $AF145),0)),"",INDIRECT(CONCATENATE("Table!",ADDRESS($AB145,MATCH(B$1,INDIRECT("Table!A" &amp; $AF145):INDIRECT("Table!" &amp; $AR$159 &amp; $AF145),0)))))</f>
        <v>91010.5</v>
      </c>
      <c r="C145" s="35">
        <f ca="1">IF(ISERROR(MATCH(C$1,INDIRECT("Table!A"&amp;$AF145):INDIRECT("Table!" &amp; $AR$159 &amp; $AF145),0)),"",INDIRECT(CONCATENATE("Table!",ADDRESS($AB145,MATCH(C$1,INDIRECT("Table!A" &amp; $AF145):INDIRECT("Table!" &amp; $AR$159 &amp; $AF145),0)))))</f>
        <v>65693.600000000006</v>
      </c>
      <c r="D145" s="35">
        <f ca="1">IF(ISERROR(MATCH(D$1,INDIRECT("Table!A"&amp;$AF145):INDIRECT("Table!" &amp; $AR$159 &amp; $AF145),0)),"",INDIRECT(CONCATENATE("Table!",ADDRESS($AB145,MATCH(D$1,INDIRECT("Table!A" &amp; $AF145):INDIRECT("Table!" &amp; $AR$159 &amp; $AF145),0)))))</f>
        <v>67071.399999999994</v>
      </c>
      <c r="E145" s="35">
        <f ca="1">IF(ISERROR(MATCH(E$1,INDIRECT("Table!A"&amp;$AF145):INDIRECT("Table!" &amp; $AR$159 &amp; $AF145),0)),"",INDIRECT(CONCATENATE("Table!",ADDRESS($AB145,MATCH(E$1,INDIRECT("Table!A" &amp; $AF145):INDIRECT("Table!" &amp; $AR$159 &amp; $AF145),0)))))</f>
        <v>126302</v>
      </c>
      <c r="F145" s="35">
        <f ca="1">IF(ISERROR(MATCH(F$1,INDIRECT("Table!A"&amp;$AF145):INDIRECT("Table!" &amp; $AR$159 &amp; $AF145),0)),"",INDIRECT(CONCATENATE("Table!",ADDRESS($AB145,MATCH(F$1,INDIRECT("Table!A" &amp; $AF145):INDIRECT("Table!" &amp; $AR$159 &amp; $AF145),0)))))</f>
        <v>87.9</v>
      </c>
      <c r="G145" s="35">
        <f ca="1">IF(ISERROR(MATCH(G$1,INDIRECT("Table!A"&amp;$AF145):INDIRECT("Table!" &amp; $AR$159 &amp; $AF145),0)),"",INDIRECT(CONCATENATE("Table!",ADDRESS($AB145,MATCH(G$1,INDIRECT("Table!A" &amp; $AF145):INDIRECT("Table!" &amp; $AR$159 &amp; $AF145),0)))))</f>
        <v>22659.599999999999</v>
      </c>
      <c r="H145" s="35">
        <f ca="1">IF(ISERROR(MATCH(H$1,INDIRECT("Table!A"&amp;$AF145):INDIRECT("Table!" &amp; $AR$159 &amp; $AF145),0)),"",INDIRECT(CONCATENATE("Table!",ADDRESS($AB145,MATCH(H$1,INDIRECT("Table!A" &amp; $AF145):INDIRECT("Table!" &amp; $AR$159 &amp; $AF145),0)))))</f>
        <v>19536.2</v>
      </c>
      <c r="I145" s="35">
        <f ca="1">IF(ISERROR(MATCH(I$1,INDIRECT("Table!A"&amp;$AF145):INDIRECT("Table!" &amp; $AR$159 &amp; $AF145),0)),"",INDIRECT(CONCATENATE("Table!",ADDRESS($AB145,MATCH(I$1,INDIRECT("Table!A" &amp; $AF145):INDIRECT("Table!" &amp; $AR$159 &amp; $AF145),0)))))</f>
        <v>111220.7</v>
      </c>
      <c r="J145" s="35">
        <f ca="1">IF(ISERROR(MATCH(J$1,INDIRECT("Table!A"&amp;$AF145):INDIRECT("Table!" &amp; $AR$159 &amp; $AF145),0)),"",INDIRECT(CONCATENATE("Table!",ADDRESS($AB145,MATCH(J$1,INDIRECT("Table!A" &amp; $AF145):INDIRECT("Table!" &amp; $AR$159 &amp; $AF145),0)))))</f>
        <v>28627.8</v>
      </c>
      <c r="K145" s="35">
        <f ca="1">IF(ISERROR(MATCH(K$1,INDIRECT("Table!A"&amp;$AF145):INDIRECT("Table!" &amp; $AR$159 &amp; $AF145),0)),"",INDIRECT(CONCATENATE("Table!",ADDRESS($AB145,MATCH(K$1,INDIRECT("Table!A" &amp; $AF145):INDIRECT("Table!" &amp; $AR$159 &amp; $AF145),0)))))</f>
        <v>59.1</v>
      </c>
      <c r="L145" s="35">
        <f ca="1">IF(ISERROR(MATCH(L$1,INDIRECT("Table!A"&amp;$AF145):INDIRECT("Table!" &amp; $AR$159 &amp; $AF145),0)),"",INDIRECT(CONCATENATE("Table!",ADDRESS($AB145,MATCH(L$1,INDIRECT("Table!A" &amp; $AF145):INDIRECT("Table!" &amp; $AR$159 &amp; $AF145),0)))))</f>
        <v>77939.8</v>
      </c>
      <c r="M145" s="35">
        <f ca="1">IF(ISERROR(MATCH(M$1,INDIRECT("Table!A"&amp;$AF145):INDIRECT("Table!" &amp; $AR$159 &amp; $AF145),0)),"",INDIRECT(CONCATENATE("Table!",ADDRESS($AB145,MATCH(M$1,INDIRECT("Table!A" &amp; $AF145):INDIRECT("Table!" &amp; $AR$159 &amp; $AF145),0)))))</f>
        <v>22911.4</v>
      </c>
      <c r="N145" s="35" t="str">
        <f ca="1">IF(ISERROR(MATCH(N$1,INDIRECT("Table!A"&amp;$AF145):INDIRECT("Table!" &amp; $AR$188 &amp; $AF145),0)),"",INDIRECT(CONCATENATE("Table!",ADDRESS($AB145,MATCH(N$1,INDIRECT("Table!A" &amp; $AF145):INDIRECT("Table!" &amp; $AR$188 &amp; $AF145),0)))))</f>
        <v/>
      </c>
      <c r="O145" s="35">
        <f ca="1">IF(ISERROR(MATCH(O$1,INDIRECT("Table!A"&amp;$AN145):INDIRECT("Table!" &amp; $AR$159 &amp; $AN145),0)),"",INDIRECT(CONCATENATE("Table!",ADDRESS($AJ145,MATCH(O$1,INDIRECT("Table!A" &amp; $AN145):INDIRECT("Table!" &amp; $AR$159 &amp; $AN145),0)))))</f>
        <v>115816.8</v>
      </c>
      <c r="P145" s="35">
        <f ca="1">IF(ISERROR(MATCH(P$1,INDIRECT("Table!A"&amp;$AN145):INDIRECT("Table!" &amp; $AR$159 &amp; $AN145),0)),"",INDIRECT(CONCATENATE("Table!",ADDRESS($AJ145,MATCH(P$1,INDIRECT("Table!A" &amp; $AN145):INDIRECT("Table!" &amp; $AR$159 &amp; $AN145),0)))))</f>
        <v>79968.7</v>
      </c>
      <c r="Q145" s="35">
        <f ca="1">IF(ISERROR(MATCH(Q$1,INDIRECT("Table!A"&amp;$AN145):INDIRECT("Table!" &amp; $AR$159 &amp; $AN145),0)),"",INDIRECT(CONCATENATE("Table!",ADDRESS($AJ145,MATCH(Q$1,INDIRECT("Table!A" &amp; $AN145):INDIRECT("Table!" &amp; $AR$159 &amp; $AN145),0)))))</f>
        <v>79968.7</v>
      </c>
      <c r="R145" s="35">
        <f ca="1">IF(ISERROR(MATCH(R$1,INDIRECT("Table!A"&amp;$AN145):INDIRECT("Table!" &amp; $AR$159 &amp; $AN145),0)),"",INDIRECT(CONCATENATE("Table!",ADDRESS($AJ145,MATCH(R$1,INDIRECT("Table!A" &amp; $AN145):INDIRECT("Table!" &amp; $AR$159 &amp; $AN145),0)))))</f>
        <v>154422.39999999999</v>
      </c>
      <c r="S145" s="35">
        <f ca="1">IF(ISERROR(MATCH(S$1,INDIRECT("Table!A"&amp;$AN145):INDIRECT("Table!" &amp; $AR$159 &amp; $AN145),0)),"",INDIRECT(CONCATENATE("Table!",ADDRESS($AJ145,MATCH(S$1,INDIRECT("Table!A" &amp; $AN145):INDIRECT("Table!" &amp; $AR$159 &amp; $AN145),0)))))</f>
        <v>121331.8</v>
      </c>
      <c r="T145" s="35">
        <f ca="1">IF(ISERROR(MATCH(T$1,INDIRECT("Table!A"&amp;$AN145):INDIRECT("Table!" &amp; $AR$159 &amp; $AN145),0)),"",INDIRECT(CONCATENATE("Table!",ADDRESS($AJ145,MATCH(T$1,INDIRECT("Table!A" &amp; $AN145):INDIRECT("Table!" &amp; $AR$159 &amp; $AN145),0)))))</f>
        <v>110071.9</v>
      </c>
      <c r="U145" s="35">
        <f ca="1">IF(ISERROR(MATCH(U$1,INDIRECT("Table!A"&amp;$AN145):INDIRECT("Table!" &amp; $AR$159 &amp; $AN145),0)),"",INDIRECT(CONCATENATE("Table!",ADDRESS($AJ145,MATCH(U$1,INDIRECT("Table!A" &amp; $AN145):INDIRECT("Table!" &amp; $AR$159 &amp; $AN145),0)))))</f>
        <v>121331.8</v>
      </c>
      <c r="V145" s="35">
        <f ca="1">IF(ISERROR(MATCH(V$1,INDIRECT("Table!A"&amp;$AN145):INDIRECT("Table!" &amp; $AR$159 &amp; $AN145),0)),"",INDIRECT(CONCATENATE("Table!",ADDRESS($AJ145,MATCH(V$1,INDIRECT("Table!A" &amp; $AN145):INDIRECT("Table!" &amp; $AR$159 &amp; $AN145),0)))))</f>
        <v>170967.6</v>
      </c>
      <c r="W145" s="35">
        <f ca="1">IF(ISERROR(MATCH(W$1,INDIRECT("Table!A"&amp;$AN145):INDIRECT("Table!" &amp; $AR$159 &amp; $AN145),0)),"",INDIRECT(CONCATENATE("Table!",ADDRESS($AJ145,MATCH(W$1,INDIRECT("Table!A" &amp; $AN145):INDIRECT("Table!" &amp; $AR$159 &amp; $AN145),0)))))</f>
        <v>54921</v>
      </c>
      <c r="X145" s="35">
        <f ca="1">IF(ISERROR(MATCH(X$1,INDIRECT("Table!A"&amp;$AN145):INDIRECT("Table!" &amp; $AR$159 &amp; $AN145),0)),"",INDIRECT(CONCATENATE("Table!",ADDRESS($AJ145,MATCH(X$1,INDIRECT("Table!A" &amp; $AN145):INDIRECT("Table!" &amp; $AR$159 &amp; $AN145),0)))))</f>
        <v>60665.9</v>
      </c>
      <c r="Y145" s="35">
        <f ca="1">IF(ISERROR(MATCH(Y$1,INDIRECT("Table!A"&amp;$AN145):INDIRECT("Table!" &amp; $AR$159 &amp; $AN145),0)),"",INDIRECT(CONCATENATE("Table!",ADDRESS($AJ145,MATCH(Y$1,INDIRECT("Table!A" &amp; $AN145):INDIRECT("Table!" &amp; $AR$159 &amp; $AN145),0)))))</f>
        <v>176482.7</v>
      </c>
      <c r="Z145" s="35">
        <f ca="1">IF(ISERROR(MATCH(Z$1,INDIRECT("Table!A"&amp;$AN145):INDIRECT("Table!" &amp; $AR$159 &amp; $AN145),0)),"",INDIRECT(CONCATENATE("Table!",ADDRESS($AJ145,MATCH(Z$1,INDIRECT("Table!A" &amp; $AN145):INDIRECT("Table!" &amp; $AR$159 &amp; $AN145),0)))))</f>
        <v>54921</v>
      </c>
      <c r="AA145" s="12"/>
      <c r="AB145" s="12">
        <f>MATCH($A145,Table!$A:$A,0)+$AD$2-1</f>
        <v>2067</v>
      </c>
      <c r="AF145" s="31">
        <f>MATCH($A145,Table!$A:$A,0)+$AH$2-1</f>
        <v>2065</v>
      </c>
      <c r="AJ145" s="12">
        <f>MATCH($A145,Table!$A:$A,0)+$AL$2-1</f>
        <v>2066</v>
      </c>
      <c r="AN145" s="31">
        <f>MATCH($A145,Table!$A:$A,0)+$AH$2-1</f>
        <v>2065</v>
      </c>
      <c r="AR145" s="128" t="s">
        <v>118</v>
      </c>
    </row>
    <row r="146" spans="1:44">
      <c r="A146" s="5">
        <v>40938</v>
      </c>
      <c r="B146" s="35">
        <f ca="1">IF(ISERROR(MATCH(B$1,INDIRECT("Table!A"&amp;$AF146):INDIRECT("Table!" &amp; $AR$159 &amp; $AF146),0)),"",INDIRECT(CONCATENATE("Table!",ADDRESS($AB146,MATCH(B$1,INDIRECT("Table!A" &amp; $AF146):INDIRECT("Table!" &amp; $AR$159 &amp; $AF146),0)))))</f>
        <v>90999.1</v>
      </c>
      <c r="C146" s="35">
        <f ca="1">IF(ISERROR(MATCH(C$1,INDIRECT("Table!A"&amp;$AF146):INDIRECT("Table!" &amp; $AR$159 &amp; $AF146),0)),"",INDIRECT(CONCATENATE("Table!",ADDRESS($AB146,MATCH(C$1,INDIRECT("Table!A" &amp; $AF146):INDIRECT("Table!" &amp; $AR$159 &amp; $AF146),0)))))</f>
        <v>65675.8</v>
      </c>
      <c r="D146" s="35">
        <f ca="1">IF(ISERROR(MATCH(D$1,INDIRECT("Table!A"&amp;$AF146):INDIRECT("Table!" &amp; $AR$159 &amp; $AF146),0)),"",INDIRECT(CONCATENATE("Table!",ADDRESS($AB146,MATCH(D$1,INDIRECT("Table!A" &amp; $AF146):INDIRECT("Table!" &amp; $AR$159 &amp; $AF146),0)))))</f>
        <v>67053.600000000006</v>
      </c>
      <c r="E146" s="35">
        <f ca="1">IF(ISERROR(MATCH(E$1,INDIRECT("Table!A"&amp;$AF146):INDIRECT("Table!" &amp; $AR$159 &amp; $AF146),0)),"",INDIRECT(CONCATENATE("Table!",ADDRESS($AB146,MATCH(E$1,INDIRECT("Table!A" &amp; $AF146):INDIRECT("Table!" &amp; $AR$159 &amp; $AF146),0)))))</f>
        <v>126095.8</v>
      </c>
      <c r="F146" s="35">
        <f ca="1">IF(ISERROR(MATCH(F$1,INDIRECT("Table!A"&amp;$AF146):INDIRECT("Table!" &amp; $AR$159 &amp; $AF146),0)),"",INDIRECT(CONCATENATE("Table!",ADDRESS($AB146,MATCH(F$1,INDIRECT("Table!A" &amp; $AF146):INDIRECT("Table!" &amp; $AR$159 &amp; $AF146),0)))))</f>
        <v>87.9</v>
      </c>
      <c r="G146" s="35">
        <f ca="1">IF(ISERROR(MATCH(G$1,INDIRECT("Table!A"&amp;$AF146):INDIRECT("Table!" &amp; $AR$159 &amp; $AF146),0)),"",INDIRECT(CONCATENATE("Table!",ADDRESS($AB146,MATCH(G$1,INDIRECT("Table!A" &amp; $AF146):INDIRECT("Table!" &amp; $AR$159 &amp; $AF146),0)))))</f>
        <v>20191.3</v>
      </c>
      <c r="H146" s="35">
        <f ca="1">IF(ISERROR(MATCH(H$1,INDIRECT("Table!A"&amp;$AF146):INDIRECT("Table!" &amp; $AR$159 &amp; $AF146),0)),"",INDIRECT(CONCATENATE("Table!",ADDRESS($AB146,MATCH(H$1,INDIRECT("Table!A" &amp; $AF146):INDIRECT("Table!" &amp; $AR$159 &amp; $AF146),0)))))</f>
        <v>19536</v>
      </c>
      <c r="I146" s="35">
        <f ca="1">IF(ISERROR(MATCH(I$1,INDIRECT("Table!A"&amp;$AF146):INDIRECT("Table!" &amp; $AR$159 &amp; $AF146),0)),"",INDIRECT(CONCATENATE("Table!",ADDRESS($AB146,MATCH(I$1,INDIRECT("Table!A" &amp; $AF146):INDIRECT("Table!" &amp; $AR$159 &amp; $AF146),0)))))</f>
        <v>110913.1</v>
      </c>
      <c r="J146" s="35">
        <f ca="1">IF(ISERROR(MATCH(J$1,INDIRECT("Table!A"&amp;$AF146):INDIRECT("Table!" &amp; $AR$159 &amp; $AF146),0)),"",INDIRECT(CONCATENATE("Table!",ADDRESS($AB146,MATCH(J$1,INDIRECT("Table!A" &amp; $AF146):INDIRECT("Table!" &amp; $AR$159 &amp; $AF146),0)))))</f>
        <v>26402.2</v>
      </c>
      <c r="K146" s="35">
        <f ca="1">IF(ISERROR(MATCH(K$1,INDIRECT("Table!A"&amp;$AF146):INDIRECT("Table!" &amp; $AR$159 &amp; $AF146),0)),"",INDIRECT(CONCATENATE("Table!",ADDRESS($AB146,MATCH(K$1,INDIRECT("Table!A" &amp; $AF146):INDIRECT("Table!" &amp; $AR$159 &amp; $AF146),0)))))</f>
        <v>59.1</v>
      </c>
      <c r="L146" s="35">
        <f ca="1">IF(ISERROR(MATCH(L$1,INDIRECT("Table!A"&amp;$AF146):INDIRECT("Table!" &amp; $AR$159 &amp; $AF146),0)),"",INDIRECT(CONCATENATE("Table!",ADDRESS($AB146,MATCH(L$1,INDIRECT("Table!A" &amp; $AF146):INDIRECT("Table!" &amp; $AR$159 &amp; $AF146),0)))))</f>
        <v>77934.3</v>
      </c>
      <c r="M146" s="35">
        <f ca="1">IF(ISERROR(MATCH(M$1,INDIRECT("Table!A"&amp;$AF146):INDIRECT("Table!" &amp; $AR$159 &amp; $AF146),0)),"",INDIRECT(CONCATENATE("Table!",ADDRESS($AB146,MATCH(M$1,INDIRECT("Table!A" &amp; $AF146):INDIRECT("Table!" &amp; $AR$159 &amp; $AF146),0)))))</f>
        <v>22908.9</v>
      </c>
      <c r="N146" s="35" t="str">
        <f ca="1">IF(ISERROR(MATCH(N$1,INDIRECT("Table!A"&amp;$AF146):INDIRECT("Table!" &amp; $AR$188 &amp; $AF146),0)),"",INDIRECT(CONCATENATE("Table!",ADDRESS($AB146,MATCH(N$1,INDIRECT("Table!A" &amp; $AF146):INDIRECT("Table!" &amp; $AR$188 &amp; $AF146),0)))))</f>
        <v/>
      </c>
      <c r="O146" s="35">
        <f ca="1">IF(ISERROR(MATCH(O$1,INDIRECT("Table!A"&amp;$AN146):INDIRECT("Table!" &amp; $AR$159 &amp; $AN146),0)),"",INDIRECT(CONCATENATE("Table!",ADDRESS($AJ146,MATCH(O$1,INDIRECT("Table!A" &amp; $AN146):INDIRECT("Table!" &amp; $AR$159 &amp; $AN146),0)))))</f>
        <v>115816.8</v>
      </c>
      <c r="P146" s="35">
        <f ca="1">IF(ISERROR(MATCH(P$1,INDIRECT("Table!A"&amp;$AN146):INDIRECT("Table!" &amp; $AR$159 &amp; $AN146),0)),"",INDIRECT(CONCATENATE("Table!",ADDRESS($AJ146,MATCH(P$1,INDIRECT("Table!A" &amp; $AN146):INDIRECT("Table!" &amp; $AR$159 &amp; $AN146),0)))))</f>
        <v>79968.7</v>
      </c>
      <c r="Q146" s="35">
        <f ca="1">IF(ISERROR(MATCH(Q$1,INDIRECT("Table!A"&amp;$AN146):INDIRECT("Table!" &amp; $AR$159 &amp; $AN146),0)),"",INDIRECT(CONCATENATE("Table!",ADDRESS($AJ146,MATCH(Q$1,INDIRECT("Table!A" &amp; $AN146):INDIRECT("Table!" &amp; $AR$159 &amp; $AN146),0)))))</f>
        <v>79968.7</v>
      </c>
      <c r="R146" s="35">
        <f ca="1">IF(ISERROR(MATCH(R$1,INDIRECT("Table!A"&amp;$AN146):INDIRECT("Table!" &amp; $AR$159 &amp; $AN146),0)),"",INDIRECT(CONCATENATE("Table!",ADDRESS($AJ146,MATCH(R$1,INDIRECT("Table!A" &amp; $AN146):INDIRECT("Table!" &amp; $AR$159 &amp; $AN146),0)))))</f>
        <v>154422.39999999999</v>
      </c>
      <c r="S146" s="35">
        <f ca="1">IF(ISERROR(MATCH(S$1,INDIRECT("Table!A"&amp;$AN146):INDIRECT("Table!" &amp; $AR$159 &amp; $AN146),0)),"",INDIRECT(CONCATENATE("Table!",ADDRESS($AJ146,MATCH(S$1,INDIRECT("Table!A" &amp; $AN146):INDIRECT("Table!" &amp; $AR$159 &amp; $AN146),0)))))</f>
        <v>121331.8</v>
      </c>
      <c r="T146" s="35">
        <f ca="1">IF(ISERROR(MATCH(T$1,INDIRECT("Table!A"&amp;$AN146):INDIRECT("Table!" &amp; $AR$159 &amp; $AN146),0)),"",INDIRECT(CONCATENATE("Table!",ADDRESS($AJ146,MATCH(T$1,INDIRECT("Table!A" &amp; $AN146):INDIRECT("Table!" &amp; $AR$159 &amp; $AN146),0)))))</f>
        <v>110071.9</v>
      </c>
      <c r="U146" s="35">
        <f ca="1">IF(ISERROR(MATCH(U$1,INDIRECT("Table!A"&amp;$AN146):INDIRECT("Table!" &amp; $AR$159 &amp; $AN146),0)),"",INDIRECT(CONCATENATE("Table!",ADDRESS($AJ146,MATCH(U$1,INDIRECT("Table!A" &amp; $AN146):INDIRECT("Table!" &amp; $AR$159 &amp; $AN146),0)))))</f>
        <v>121331.8</v>
      </c>
      <c r="V146" s="35">
        <f ca="1">IF(ISERROR(MATCH(V$1,INDIRECT("Table!A"&amp;$AN146):INDIRECT("Table!" &amp; $AR$159 &amp; $AN146),0)),"",INDIRECT(CONCATENATE("Table!",ADDRESS($AJ146,MATCH(V$1,INDIRECT("Table!A" &amp; $AN146):INDIRECT("Table!" &amp; $AR$159 &amp; $AN146),0)))))</f>
        <v>170967.6</v>
      </c>
      <c r="W146" s="35">
        <f ca="1">IF(ISERROR(MATCH(W$1,INDIRECT("Table!A"&amp;$AN146):INDIRECT("Table!" &amp; $AR$159 &amp; $AN146),0)),"",INDIRECT(CONCATENATE("Table!",ADDRESS($AJ146,MATCH(W$1,INDIRECT("Table!A" &amp; $AN146):INDIRECT("Table!" &amp; $AR$159 &amp; $AN146),0)))))</f>
        <v>54921</v>
      </c>
      <c r="X146" s="35">
        <f ca="1">IF(ISERROR(MATCH(X$1,INDIRECT("Table!A"&amp;$AN146):INDIRECT("Table!" &amp; $AR$159 &amp; $AN146),0)),"",INDIRECT(CONCATENATE("Table!",ADDRESS($AJ146,MATCH(X$1,INDIRECT("Table!A" &amp; $AN146):INDIRECT("Table!" &amp; $AR$159 &amp; $AN146),0)))))</f>
        <v>60665.9</v>
      </c>
      <c r="Y146" s="35">
        <f ca="1">IF(ISERROR(MATCH(Y$1,INDIRECT("Table!A"&amp;$AN146):INDIRECT("Table!" &amp; $AR$159 &amp; $AN146),0)),"",INDIRECT(CONCATENATE("Table!",ADDRESS($AJ146,MATCH(Y$1,INDIRECT("Table!A" &amp; $AN146):INDIRECT("Table!" &amp; $AR$159 &amp; $AN146),0)))))</f>
        <v>176482.7</v>
      </c>
      <c r="Z146" s="35">
        <f ca="1">IF(ISERROR(MATCH(Z$1,INDIRECT("Table!A"&amp;$AN146):INDIRECT("Table!" &amp; $AR$159 &amp; $AN146),0)),"",INDIRECT(CONCATENATE("Table!",ADDRESS($AJ146,MATCH(Z$1,INDIRECT("Table!A" &amp; $AN146):INDIRECT("Table!" &amp; $AR$159 &amp; $AN146),0)))))</f>
        <v>54921</v>
      </c>
      <c r="AA146" s="12"/>
      <c r="AB146" s="12">
        <f>MATCH($A146,Table!$A:$A,0)+$AD$2-1</f>
        <v>2080</v>
      </c>
      <c r="AF146" s="31">
        <f>MATCH($A146,Table!$A:$A,0)+$AH$2-1</f>
        <v>2078</v>
      </c>
      <c r="AJ146" s="12">
        <f>MATCH($A146,Table!$A:$A,0)+$AL$2-1</f>
        <v>2079</v>
      </c>
      <c r="AN146" s="31">
        <f>MATCH($A146,Table!$A:$A,0)+$AH$2-1</f>
        <v>2078</v>
      </c>
      <c r="AR146" s="127" t="s">
        <v>118</v>
      </c>
    </row>
    <row r="147" spans="1:44">
      <c r="A147" s="5">
        <v>40934</v>
      </c>
      <c r="B147" s="35">
        <f ca="1">IF(ISERROR(MATCH(B$1,INDIRECT("Table!A"&amp;$AF147):INDIRECT("Table!" &amp; $AR$159 &amp; $AF147),0)),"",INDIRECT(CONCATENATE("Table!",ADDRESS($AB147,MATCH(B$1,INDIRECT("Table!A" &amp; $AF147):INDIRECT("Table!" &amp; $AR$159 &amp; $AF147),0)))))</f>
        <v>90543.1</v>
      </c>
      <c r="C147" s="35">
        <f ca="1">IF(ISERROR(MATCH(C$1,INDIRECT("Table!A"&amp;$AF147):INDIRECT("Table!" &amp; $AR$159 &amp; $AF147),0)),"",INDIRECT(CONCATENATE("Table!",ADDRESS($AB147,MATCH(C$1,INDIRECT("Table!A" &amp; $AF147):INDIRECT("Table!" &amp; $AR$159 &amp; $AF147),0)))))</f>
        <v>65654.600000000006</v>
      </c>
      <c r="D147" s="35">
        <f ca="1">IF(ISERROR(MATCH(D$1,INDIRECT("Table!A"&amp;$AF147):INDIRECT("Table!" &amp; $AR$159 &amp; $AF147),0)),"",INDIRECT(CONCATENATE("Table!",ADDRESS($AB147,MATCH(D$1,INDIRECT("Table!A" &amp; $AF147):INDIRECT("Table!" &amp; $AR$159 &amp; $AF147),0)))))</f>
        <v>67032.399999999994</v>
      </c>
      <c r="E147" s="35">
        <f ca="1">IF(ISERROR(MATCH(E$1,INDIRECT("Table!A"&amp;$AF147):INDIRECT("Table!" &amp; $AR$159 &amp; $AF147),0)),"",INDIRECT(CONCATENATE("Table!",ADDRESS($AB147,MATCH(E$1,INDIRECT("Table!A" &amp; $AF147):INDIRECT("Table!" &amp; $AR$159 &amp; $AF147),0)))))</f>
        <v>125509.6</v>
      </c>
      <c r="F147" s="35">
        <f ca="1">IF(ISERROR(MATCH(F$1,INDIRECT("Table!A"&amp;$AF147):INDIRECT("Table!" &amp; $AR$159 &amp; $AF147),0)),"",INDIRECT(CONCATENATE("Table!",ADDRESS($AB147,MATCH(F$1,INDIRECT("Table!A" &amp; $AF147):INDIRECT("Table!" &amp; $AR$159 &amp; $AF147),0)))))</f>
        <v>87.9</v>
      </c>
      <c r="G147" s="35">
        <f ca="1">IF(ISERROR(MATCH(G$1,INDIRECT("Table!A"&amp;$AF147):INDIRECT("Table!" &amp; $AR$159 &amp; $AF147),0)),"",INDIRECT(CONCATENATE("Table!",ADDRESS($AB147,MATCH(G$1,INDIRECT("Table!A" &amp; $AF147):INDIRECT("Table!" &amp; $AR$159 &amp; $AF147),0)))))</f>
        <v>14710.9</v>
      </c>
      <c r="H147" s="35">
        <f ca="1">IF(ISERROR(MATCH(H$1,INDIRECT("Table!A"&amp;$AF147):INDIRECT("Table!" &amp; $AR$159 &amp; $AF147),0)),"",INDIRECT(CONCATENATE("Table!",ADDRESS($AB147,MATCH(H$1,INDIRECT("Table!A" &amp; $AF147):INDIRECT("Table!" &amp; $AR$159 &amp; $AF147),0)))))</f>
        <v>19535.099999999999</v>
      </c>
      <c r="I147" s="35">
        <f ca="1">IF(ISERROR(MATCH(I$1,INDIRECT("Table!A"&amp;$AF147):INDIRECT("Table!" &amp; $AR$159 &amp; $AF147),0)),"",INDIRECT(CONCATENATE("Table!",ADDRESS($AB147,MATCH(I$1,INDIRECT("Table!A" &amp; $AF147):INDIRECT("Table!" &amp; $AR$159 &amp; $AF147),0)))))</f>
        <v>110696</v>
      </c>
      <c r="J147" s="35">
        <f ca="1">IF(ISERROR(MATCH(J$1,INDIRECT("Table!A"&amp;$AF147):INDIRECT("Table!" &amp; $AR$159 &amp; $AF147),0)),"",INDIRECT(CONCATENATE("Table!",ADDRESS($AB147,MATCH(J$1,INDIRECT("Table!A" &amp; $AF147):INDIRECT("Table!" &amp; $AR$159 &amp; $AF147),0)))))</f>
        <v>26390.6</v>
      </c>
      <c r="K147" s="35">
        <f ca="1">IF(ISERROR(MATCH(K$1,INDIRECT("Table!A"&amp;$AF147):INDIRECT("Table!" &amp; $AR$159 &amp; $AF147),0)),"",INDIRECT(CONCATENATE("Table!",ADDRESS($AB147,MATCH(K$1,INDIRECT("Table!A" &amp; $AF147):INDIRECT("Table!" &amp; $AR$159 &amp; $AF147),0)))))</f>
        <v>59.1</v>
      </c>
      <c r="L147" s="35">
        <f ca="1">IF(ISERROR(MATCH(L$1,INDIRECT("Table!A"&amp;$AF147):INDIRECT("Table!" &amp; $AR$159 &amp; $AF147),0)),"",INDIRECT(CONCATENATE("Table!",ADDRESS($AB147,MATCH(L$1,INDIRECT("Table!A" &amp; $AF147):INDIRECT("Table!" &amp; $AR$159 &amp; $AF147),0)))))</f>
        <v>77931.899999999994</v>
      </c>
      <c r="M147" s="35">
        <f ca="1">IF(ISERROR(MATCH(M$1,INDIRECT("Table!A"&amp;$AF147):INDIRECT("Table!" &amp; $AR$159 &amp; $AF147),0)),"",INDIRECT(CONCATENATE("Table!",ADDRESS($AB147,MATCH(M$1,INDIRECT("Table!A" &amp; $AF147):INDIRECT("Table!" &amp; $AR$159 &amp; $AF147),0)))))</f>
        <v>22908.6</v>
      </c>
      <c r="N147" s="35" t="str">
        <f ca="1">IF(ISERROR(MATCH(N$1,INDIRECT("Table!A"&amp;$AF147):INDIRECT("Table!" &amp; $AR$188 &amp; $AF147),0)),"",INDIRECT(CONCATENATE("Table!",ADDRESS($AB147,MATCH(N$1,INDIRECT("Table!A" &amp; $AF147):INDIRECT("Table!" &amp; $AR$188 &amp; $AF147),0)))))</f>
        <v/>
      </c>
      <c r="O147" s="35">
        <f ca="1">IF(ISERROR(MATCH(O$1,INDIRECT("Table!A"&amp;$AN147):INDIRECT("Table!" &amp; $AR$159 &amp; $AN147),0)),"",INDIRECT(CONCATENATE("Table!",ADDRESS($AJ147,MATCH(O$1,INDIRECT("Table!A" &amp; $AN147):INDIRECT("Table!" &amp; $AR$159 &amp; $AN147),0)))))</f>
        <v>115816.8</v>
      </c>
      <c r="P147" s="35">
        <f ca="1">IF(ISERROR(MATCH(P$1,INDIRECT("Table!A"&amp;$AN147):INDIRECT("Table!" &amp; $AR$159 &amp; $AN147),0)),"",INDIRECT(CONCATENATE("Table!",ADDRESS($AJ147,MATCH(P$1,INDIRECT("Table!A" &amp; $AN147):INDIRECT("Table!" &amp; $AR$159 &amp; $AN147),0)))))</f>
        <v>79968.7</v>
      </c>
      <c r="Q147" s="35">
        <f ca="1">IF(ISERROR(MATCH(Q$1,INDIRECT("Table!A"&amp;$AN147):INDIRECT("Table!" &amp; $AR$159 &amp; $AN147),0)),"",INDIRECT(CONCATENATE("Table!",ADDRESS($AJ147,MATCH(Q$1,INDIRECT("Table!A" &amp; $AN147):INDIRECT("Table!" &amp; $AR$159 &amp; $AN147),0)))))</f>
        <v>79968.7</v>
      </c>
      <c r="R147" s="35">
        <f ca="1">IF(ISERROR(MATCH(R$1,INDIRECT("Table!A"&amp;$AN147):INDIRECT("Table!" &amp; $AR$159 &amp; $AN147),0)),"",INDIRECT(CONCATENATE("Table!",ADDRESS($AJ147,MATCH(R$1,INDIRECT("Table!A" &amp; $AN147):INDIRECT("Table!" &amp; $AR$159 &amp; $AN147),0)))))</f>
        <v>154422.39999999999</v>
      </c>
      <c r="S147" s="35">
        <f ca="1">IF(ISERROR(MATCH(S$1,INDIRECT("Table!A"&amp;$AN147):INDIRECT("Table!" &amp; $AR$159 &amp; $AN147),0)),"",INDIRECT(CONCATENATE("Table!",ADDRESS($AJ147,MATCH(S$1,INDIRECT("Table!A" &amp; $AN147):INDIRECT("Table!" &amp; $AR$159 &amp; $AN147),0)))))</f>
        <v>121331.8</v>
      </c>
      <c r="T147" s="35">
        <f ca="1">IF(ISERROR(MATCH(T$1,INDIRECT("Table!A"&amp;$AN147):INDIRECT("Table!" &amp; $AR$159 &amp; $AN147),0)),"",INDIRECT(CONCATENATE("Table!",ADDRESS($AJ147,MATCH(T$1,INDIRECT("Table!A" &amp; $AN147):INDIRECT("Table!" &amp; $AR$159 &amp; $AN147),0)))))</f>
        <v>110071.9</v>
      </c>
      <c r="U147" s="35">
        <f ca="1">IF(ISERROR(MATCH(U$1,INDIRECT("Table!A"&amp;$AN147):INDIRECT("Table!" &amp; $AR$159 &amp; $AN147),0)),"",INDIRECT(CONCATENATE("Table!",ADDRESS($AJ147,MATCH(U$1,INDIRECT("Table!A" &amp; $AN147):INDIRECT("Table!" &amp; $AR$159 &amp; $AN147),0)))))</f>
        <v>121331.8</v>
      </c>
      <c r="V147" s="35">
        <f ca="1">IF(ISERROR(MATCH(V$1,INDIRECT("Table!A"&amp;$AN147):INDIRECT("Table!" &amp; $AR$159 &amp; $AN147),0)),"",INDIRECT(CONCATENATE("Table!",ADDRESS($AJ147,MATCH(V$1,INDIRECT("Table!A" &amp; $AN147):INDIRECT("Table!" &amp; $AR$159 &amp; $AN147),0)))))</f>
        <v>170967.6</v>
      </c>
      <c r="W147" s="35">
        <f ca="1">IF(ISERROR(MATCH(W$1,INDIRECT("Table!A"&amp;$AN147):INDIRECT("Table!" &amp; $AR$159 &amp; $AN147),0)),"",INDIRECT(CONCATENATE("Table!",ADDRESS($AJ147,MATCH(W$1,INDIRECT("Table!A" &amp; $AN147):INDIRECT("Table!" &amp; $AR$159 &amp; $AN147),0)))))</f>
        <v>54921</v>
      </c>
      <c r="X147" s="35">
        <f ca="1">IF(ISERROR(MATCH(X$1,INDIRECT("Table!A"&amp;$AN147):INDIRECT("Table!" &amp; $AR$159 &amp; $AN147),0)),"",INDIRECT(CONCATENATE("Table!",ADDRESS($AJ147,MATCH(X$1,INDIRECT("Table!A" &amp; $AN147):INDIRECT("Table!" &amp; $AR$159 &amp; $AN147),0)))))</f>
        <v>60665.9</v>
      </c>
      <c r="Y147" s="35">
        <f ca="1">IF(ISERROR(MATCH(Y$1,INDIRECT("Table!A"&amp;$AN147):INDIRECT("Table!" &amp; $AR$159 &amp; $AN147),0)),"",INDIRECT(CONCATENATE("Table!",ADDRESS($AJ147,MATCH(Y$1,INDIRECT("Table!A" &amp; $AN147):INDIRECT("Table!" &amp; $AR$159 &amp; $AN147),0)))))</f>
        <v>176482.7</v>
      </c>
      <c r="Z147" s="35">
        <f ca="1">IF(ISERROR(MATCH(Z$1,INDIRECT("Table!A"&amp;$AN147):INDIRECT("Table!" &amp; $AR$159 &amp; $AN147),0)),"",INDIRECT(CONCATENATE("Table!",ADDRESS($AJ147,MATCH(Z$1,INDIRECT("Table!A" &amp; $AN147):INDIRECT("Table!" &amp; $AR$159 &amp; $AN147),0)))))</f>
        <v>54921</v>
      </c>
      <c r="AA147" s="12"/>
      <c r="AB147" s="12">
        <f>MATCH($A147,Table!$A:$A,0)+$AD$2-1</f>
        <v>2093</v>
      </c>
      <c r="AF147" s="31">
        <f>MATCH($A147,Table!$A:$A,0)+$AH$2-1</f>
        <v>2091</v>
      </c>
      <c r="AJ147" s="12">
        <f>MATCH($A147,Table!$A:$A,0)+$AL$2-1</f>
        <v>2092</v>
      </c>
      <c r="AN147" s="31">
        <f>MATCH($A147,Table!$A:$A,0)+$AH$2-1</f>
        <v>2091</v>
      </c>
      <c r="AR147" s="126" t="s">
        <v>118</v>
      </c>
    </row>
    <row r="148" spans="1:44">
      <c r="A148" s="5">
        <v>40932</v>
      </c>
      <c r="B148" s="35">
        <f ca="1">IF(ISERROR(MATCH(B$1,INDIRECT("Table!A"&amp;$AF148):INDIRECT("Table!" &amp; $AR$159 &amp; $AF148),0)),"",INDIRECT(CONCATENATE("Table!",ADDRESS($AB148,MATCH(B$1,INDIRECT("Table!A" &amp; $AF148):INDIRECT("Table!" &amp; $AR$159 &amp; $AF148),0)))))</f>
        <v>90381.8</v>
      </c>
      <c r="C148" s="35">
        <f ca="1">IF(ISERROR(MATCH(C$1,INDIRECT("Table!A"&amp;$AF148):INDIRECT("Table!" &amp; $AR$159 &amp; $AF148),0)),"",INDIRECT(CONCATENATE("Table!",ADDRESS($AB148,MATCH(C$1,INDIRECT("Table!A" &amp; $AF148):INDIRECT("Table!" &amp; $AR$159 &amp; $AF148),0)))))</f>
        <v>65648.800000000003</v>
      </c>
      <c r="D148" s="35">
        <f ca="1">IF(ISERROR(MATCH(D$1,INDIRECT("Table!A"&amp;$AF148):INDIRECT("Table!" &amp; $AR$159 &amp; $AF148),0)),"",INDIRECT(CONCATENATE("Table!",ADDRESS($AB148,MATCH(D$1,INDIRECT("Table!A" &amp; $AF148):INDIRECT("Table!" &amp; $AR$159 &amp; $AF148),0)))))</f>
        <v>67026.8</v>
      </c>
      <c r="E148" s="35">
        <f ca="1">IF(ISERROR(MATCH(E$1,INDIRECT("Table!A"&amp;$AF148):INDIRECT("Table!" &amp; $AR$159 &amp; $AF148),0)),"",INDIRECT(CONCATENATE("Table!",ADDRESS($AB148,MATCH(E$1,INDIRECT("Table!A" &amp; $AF148):INDIRECT("Table!" &amp; $AR$159 &amp; $AF148),0)))))</f>
        <v>125279.9</v>
      </c>
      <c r="F148" s="35">
        <f ca="1">IF(ISERROR(MATCH(F$1,INDIRECT("Table!A"&amp;$AF148):INDIRECT("Table!" &amp; $AR$159 &amp; $AF148),0)),"",INDIRECT(CONCATENATE("Table!",ADDRESS($AB148,MATCH(F$1,INDIRECT("Table!A" &amp; $AF148):INDIRECT("Table!" &amp; $AR$159 &amp; $AF148),0)))))</f>
        <v>87.9</v>
      </c>
      <c r="G148" s="35">
        <f ca="1">IF(ISERROR(MATCH(G$1,INDIRECT("Table!A"&amp;$AF148):INDIRECT("Table!" &amp; $AR$159 &amp; $AF148),0)),"",INDIRECT(CONCATENATE("Table!",ADDRESS($AB148,MATCH(G$1,INDIRECT("Table!A" &amp; $AF148):INDIRECT("Table!" &amp; $AR$159 &amp; $AF148),0)))))</f>
        <v>14537.2</v>
      </c>
      <c r="H148" s="35">
        <f ca="1">IF(ISERROR(MATCH(H$1,INDIRECT("Table!A"&amp;$AF148):INDIRECT("Table!" &amp; $AR$159 &amp; $AF148),0)),"",INDIRECT(CONCATENATE("Table!",ADDRESS($AB148,MATCH(H$1,INDIRECT("Table!A" &amp; $AF148):INDIRECT("Table!" &amp; $AR$159 &amp; $AF148),0)))))</f>
        <v>19533.099999999999</v>
      </c>
      <c r="I148" s="35">
        <f ca="1">IF(ISERROR(MATCH(I$1,INDIRECT("Table!A"&amp;$AF148):INDIRECT("Table!" &amp; $AR$159 &amp; $AF148),0)),"",INDIRECT(CONCATENATE("Table!",ADDRESS($AB148,MATCH(I$1,INDIRECT("Table!A" &amp; $AF148):INDIRECT("Table!" &amp; $AR$159 &amp; $AF148),0)))))</f>
        <v>110434.2</v>
      </c>
      <c r="J148" s="35">
        <f ca="1">IF(ISERROR(MATCH(J$1,INDIRECT("Table!A"&amp;$AF148):INDIRECT("Table!" &amp; $AR$159 &amp; $AF148),0)),"",INDIRECT(CONCATENATE("Table!",ADDRESS($AB148,MATCH(J$1,INDIRECT("Table!A" &amp; $AF148):INDIRECT("Table!" &amp; $AR$159 &amp; $AF148),0)))))</f>
        <v>26109.3</v>
      </c>
      <c r="K148" s="35">
        <f ca="1">IF(ISERROR(MATCH(K$1,INDIRECT("Table!A"&amp;$AF148):INDIRECT("Table!" &amp; $AR$159 &amp; $AF148),0)),"",INDIRECT(CONCATENATE("Table!",ADDRESS($AB148,MATCH(K$1,INDIRECT("Table!A" &amp; $AF148):INDIRECT("Table!" &amp; $AR$159 &amp; $AF148),0)))))</f>
        <v>59.1</v>
      </c>
      <c r="L148" s="35">
        <f ca="1">IF(ISERROR(MATCH(L$1,INDIRECT("Table!A"&amp;$AF148):INDIRECT("Table!" &amp; $AR$159 &amp; $AF148),0)),"",INDIRECT(CONCATENATE("Table!",ADDRESS($AB148,MATCH(L$1,INDIRECT("Table!A" &amp; $AF148):INDIRECT("Table!" &amp; $AR$159 &amp; $AF148),0)))))</f>
        <v>77652.7</v>
      </c>
      <c r="M148" s="35">
        <f ca="1">IF(ISERROR(MATCH(M$1,INDIRECT("Table!A"&amp;$AF148):INDIRECT("Table!" &amp; $AR$159 &amp; $AF148),0)),"",INDIRECT(CONCATENATE("Table!",ADDRESS($AB148,MATCH(M$1,INDIRECT("Table!A" &amp; $AF148):INDIRECT("Table!" &amp; $AR$159 &amp; $AF148),0)))))</f>
        <v>22771</v>
      </c>
      <c r="N148" s="35" t="str">
        <f ca="1">IF(ISERROR(MATCH(N$1,INDIRECT("Table!A"&amp;$AF148):INDIRECT("Table!" &amp; $AR$188 &amp; $AF148),0)),"",INDIRECT(CONCATENATE("Table!",ADDRESS($AB148,MATCH(N$1,INDIRECT("Table!A" &amp; $AF148):INDIRECT("Table!" &amp; $AR$188 &amp; $AF148),0)))))</f>
        <v/>
      </c>
      <c r="O148" s="35">
        <f ca="1">IF(ISERROR(MATCH(O$1,INDIRECT("Table!A"&amp;$AN148):INDIRECT("Table!" &amp; $AR$159 &amp; $AN148),0)),"",INDIRECT(CONCATENATE("Table!",ADDRESS($AJ148,MATCH(O$1,INDIRECT("Table!A" &amp; $AN148):INDIRECT("Table!" &amp; $AR$159 &amp; $AN148),0)))))</f>
        <v>115816.8</v>
      </c>
      <c r="P148" s="35">
        <f ca="1">IF(ISERROR(MATCH(P$1,INDIRECT("Table!A"&amp;$AN148):INDIRECT("Table!" &amp; $AR$159 &amp; $AN148),0)),"",INDIRECT(CONCATENATE("Table!",ADDRESS($AJ148,MATCH(P$1,INDIRECT("Table!A" &amp; $AN148):INDIRECT("Table!" &amp; $AR$159 &amp; $AN148),0)))))</f>
        <v>79968.7</v>
      </c>
      <c r="Q148" s="35">
        <f ca="1">IF(ISERROR(MATCH(Q$1,INDIRECT("Table!A"&amp;$AN148):INDIRECT("Table!" &amp; $AR$159 &amp; $AN148),0)),"",INDIRECT(CONCATENATE("Table!",ADDRESS($AJ148,MATCH(Q$1,INDIRECT("Table!A" &amp; $AN148):INDIRECT("Table!" &amp; $AR$159 &amp; $AN148),0)))))</f>
        <v>79968.7</v>
      </c>
      <c r="R148" s="35">
        <f ca="1">IF(ISERROR(MATCH(R$1,INDIRECT("Table!A"&amp;$AN148):INDIRECT("Table!" &amp; $AR$159 &amp; $AN148),0)),"",INDIRECT(CONCATENATE("Table!",ADDRESS($AJ148,MATCH(R$1,INDIRECT("Table!A" &amp; $AN148):INDIRECT("Table!" &amp; $AR$159 &amp; $AN148),0)))))</f>
        <v>154422.39999999999</v>
      </c>
      <c r="S148" s="35">
        <f ca="1">IF(ISERROR(MATCH(S$1,INDIRECT("Table!A"&amp;$AN148):INDIRECT("Table!" &amp; $AR$159 &amp; $AN148),0)),"",INDIRECT(CONCATENATE("Table!",ADDRESS($AJ148,MATCH(S$1,INDIRECT("Table!A" &amp; $AN148):INDIRECT("Table!" &amp; $AR$159 &amp; $AN148),0)))))</f>
        <v>121331.8</v>
      </c>
      <c r="T148" s="35">
        <f ca="1">IF(ISERROR(MATCH(T$1,INDIRECT("Table!A"&amp;$AN148):INDIRECT("Table!" &amp; $AR$159 &amp; $AN148),0)),"",INDIRECT(CONCATENATE("Table!",ADDRESS($AJ148,MATCH(T$1,INDIRECT("Table!A" &amp; $AN148):INDIRECT("Table!" &amp; $AR$159 &amp; $AN148),0)))))</f>
        <v>110071.9</v>
      </c>
      <c r="U148" s="35">
        <f ca="1">IF(ISERROR(MATCH(U$1,INDIRECT("Table!A"&amp;$AN148):INDIRECT("Table!" &amp; $AR$159 &amp; $AN148),0)),"",INDIRECT(CONCATENATE("Table!",ADDRESS($AJ148,MATCH(U$1,INDIRECT("Table!A" &amp; $AN148):INDIRECT("Table!" &amp; $AR$159 &amp; $AN148),0)))))</f>
        <v>121331.8</v>
      </c>
      <c r="V148" s="35">
        <f ca="1">IF(ISERROR(MATCH(V$1,INDIRECT("Table!A"&amp;$AN148):INDIRECT("Table!" &amp; $AR$159 &amp; $AN148),0)),"",INDIRECT(CONCATENATE("Table!",ADDRESS($AJ148,MATCH(V$1,INDIRECT("Table!A" &amp; $AN148):INDIRECT("Table!" &amp; $AR$159 &amp; $AN148),0)))))</f>
        <v>170967.6</v>
      </c>
      <c r="W148" s="35">
        <f ca="1">IF(ISERROR(MATCH(W$1,INDIRECT("Table!A"&amp;$AN148):INDIRECT("Table!" &amp; $AR$159 &amp; $AN148),0)),"",INDIRECT(CONCATENATE("Table!",ADDRESS($AJ148,MATCH(W$1,INDIRECT("Table!A" &amp; $AN148):INDIRECT("Table!" &amp; $AR$159 &amp; $AN148),0)))))</f>
        <v>54921</v>
      </c>
      <c r="X148" s="35">
        <f ca="1">IF(ISERROR(MATCH(X$1,INDIRECT("Table!A"&amp;$AN148):INDIRECT("Table!" &amp; $AR$159 &amp; $AN148),0)),"",INDIRECT(CONCATENATE("Table!",ADDRESS($AJ148,MATCH(X$1,INDIRECT("Table!A" &amp; $AN148):INDIRECT("Table!" &amp; $AR$159 &amp; $AN148),0)))))</f>
        <v>60665.9</v>
      </c>
      <c r="Y148" s="35">
        <f ca="1">IF(ISERROR(MATCH(Y$1,INDIRECT("Table!A"&amp;$AN148):INDIRECT("Table!" &amp; $AR$159 &amp; $AN148),0)),"",INDIRECT(CONCATENATE("Table!",ADDRESS($AJ148,MATCH(Y$1,INDIRECT("Table!A" &amp; $AN148):INDIRECT("Table!" &amp; $AR$159 &amp; $AN148),0)))))</f>
        <v>176482.7</v>
      </c>
      <c r="Z148" s="35">
        <f ca="1">IF(ISERROR(MATCH(Z$1,INDIRECT("Table!A"&amp;$AN148):INDIRECT("Table!" &amp; $AR$159 &amp; $AN148),0)),"",INDIRECT(CONCATENATE("Table!",ADDRESS($AJ148,MATCH(Z$1,INDIRECT("Table!A" &amp; $AN148):INDIRECT("Table!" &amp; $AR$159 &amp; $AN148),0)))))</f>
        <v>54921</v>
      </c>
      <c r="AA148" s="12"/>
      <c r="AB148" s="12">
        <f>MATCH($A148,Table!$A:$A,0)+$AD$2-1</f>
        <v>2106</v>
      </c>
      <c r="AF148" s="31">
        <f>MATCH($A148,Table!$A:$A,0)+$AH$2-1</f>
        <v>2104</v>
      </c>
      <c r="AJ148" s="12">
        <f>MATCH($A148,Table!$A:$A,0)+$AL$2-1</f>
        <v>2105</v>
      </c>
      <c r="AN148" s="31">
        <f>MATCH($A148,Table!$A:$A,0)+$AH$2-1</f>
        <v>2104</v>
      </c>
      <c r="AR148" s="125" t="s">
        <v>118</v>
      </c>
    </row>
    <row r="149" spans="1:44">
      <c r="A149" s="5">
        <v>40931</v>
      </c>
      <c r="B149" s="35">
        <f ca="1">IF(ISERROR(MATCH(B$1,INDIRECT("Table!A"&amp;$AF149):INDIRECT("Table!" &amp; $AR$159 &amp; $AF149),0)),"",INDIRECT(CONCATENATE("Table!",ADDRESS($AB149,MATCH(B$1,INDIRECT("Table!A" &amp; $AF149):INDIRECT("Table!" &amp; $AR$159 &amp; $AF149),0)))))</f>
        <v>90341.4</v>
      </c>
      <c r="C149" s="35">
        <f ca="1">IF(ISERROR(MATCH(C$1,INDIRECT("Table!A"&amp;$AF149):INDIRECT("Table!" &amp; $AR$159 &amp; $AF149),0)),"",INDIRECT(CONCATENATE("Table!",ADDRESS($AB149,MATCH(C$1,INDIRECT("Table!A" &amp; $AF149):INDIRECT("Table!" &amp; $AR$159 &amp; $AF149),0)))))</f>
        <v>65646.7</v>
      </c>
      <c r="D149" s="35">
        <f ca="1">IF(ISERROR(MATCH(D$1,INDIRECT("Table!A"&amp;$AF149):INDIRECT("Table!" &amp; $AR$159 &amp; $AF149),0)),"",INDIRECT(CONCATENATE("Table!",ADDRESS($AB149,MATCH(D$1,INDIRECT("Table!A" &amp; $AF149):INDIRECT("Table!" &amp; $AR$159 &amp; $AF149),0)))))</f>
        <v>67024.7</v>
      </c>
      <c r="E149" s="35">
        <f ca="1">IF(ISERROR(MATCH(E$1,INDIRECT("Table!A"&amp;$AF149):INDIRECT("Table!" &amp; $AR$159 &amp; $AF149),0)),"",INDIRECT(CONCATENATE("Table!",ADDRESS($AB149,MATCH(E$1,INDIRECT("Table!A" &amp; $AF149):INDIRECT("Table!" &amp; $AR$159 &amp; $AF149),0)))))</f>
        <v>125062.5</v>
      </c>
      <c r="F149" s="35">
        <f ca="1">IF(ISERROR(MATCH(F$1,INDIRECT("Table!A"&amp;$AF149):INDIRECT("Table!" &amp; $AR$159 &amp; $AF149),0)),"",INDIRECT(CONCATENATE("Table!",ADDRESS($AB149,MATCH(F$1,INDIRECT("Table!A" &amp; $AF149):INDIRECT("Table!" &amp; $AR$159 &amp; $AF149),0)))))</f>
        <v>87.7</v>
      </c>
      <c r="G149" s="35">
        <f ca="1">IF(ISERROR(MATCH(G$1,INDIRECT("Table!A"&amp;$AF149):INDIRECT("Table!" &amp; $AR$159 &amp; $AF149),0)),"",INDIRECT(CONCATENATE("Table!",ADDRESS($AB149,MATCH(G$1,INDIRECT("Table!A" &amp; $AF149):INDIRECT("Table!" &amp; $AR$159 &amp; $AF149),0)))))</f>
        <v>14516.4</v>
      </c>
      <c r="H149" s="35">
        <f ca="1">IF(ISERROR(MATCH(H$1,INDIRECT("Table!A"&amp;$AF149):INDIRECT("Table!" &amp; $AR$159 &amp; $AF149),0)),"",INDIRECT(CONCATENATE("Table!",ADDRESS($AB149,MATCH(H$1,INDIRECT("Table!A" &amp; $AF149):INDIRECT("Table!" &amp; $AR$159 &amp; $AF149),0)))))</f>
        <v>19522.2</v>
      </c>
      <c r="I149" s="35">
        <f ca="1">IF(ISERROR(MATCH(I$1,INDIRECT("Table!A"&amp;$AF149):INDIRECT("Table!" &amp; $AR$159 &amp; $AF149),0)),"",INDIRECT(CONCATENATE("Table!",ADDRESS($AB149,MATCH(I$1,INDIRECT("Table!A" &amp; $AF149):INDIRECT("Table!" &amp; $AR$159 &amp; $AF149),0)))))</f>
        <v>110366.3</v>
      </c>
      <c r="J149" s="35">
        <f ca="1">IF(ISERROR(MATCH(J$1,INDIRECT("Table!A"&amp;$AF149):INDIRECT("Table!" &amp; $AR$159 &amp; $AF149),0)),"",INDIRECT(CONCATENATE("Table!",ADDRESS($AB149,MATCH(J$1,INDIRECT("Table!A" &amp; $AF149):INDIRECT("Table!" &amp; $AR$159 &amp; $AF149),0)))))</f>
        <v>26055.7</v>
      </c>
      <c r="K149" s="35">
        <f ca="1">IF(ISERROR(MATCH(K$1,INDIRECT("Table!A"&amp;$AF149):INDIRECT("Table!" &amp; $AR$159 &amp; $AF149),0)),"",INDIRECT(CONCATENATE("Table!",ADDRESS($AB149,MATCH(K$1,INDIRECT("Table!A" &amp; $AF149):INDIRECT("Table!" &amp; $AR$159 &amp; $AF149),0)))))</f>
        <v>59</v>
      </c>
      <c r="L149" s="35">
        <f ca="1">IF(ISERROR(MATCH(L$1,INDIRECT("Table!A"&amp;$AF149):INDIRECT("Table!" &amp; $AR$159 &amp; $AF149),0)),"",INDIRECT(CONCATENATE("Table!",ADDRESS($AB149,MATCH(L$1,INDIRECT("Table!A" &amp; $AF149):INDIRECT("Table!" &amp; $AR$159 &amp; $AF149),0)))))</f>
        <v>77630.7</v>
      </c>
      <c r="M149" s="35">
        <f ca="1">IF(ISERROR(MATCH(M$1,INDIRECT("Table!A"&amp;$AF149):INDIRECT("Table!" &amp; $AR$159 &amp; $AF149),0)),"",INDIRECT(CONCATENATE("Table!",ADDRESS($AB149,MATCH(M$1,INDIRECT("Table!A" &amp; $AF149):INDIRECT("Table!" &amp; $AR$159 &amp; $AF149),0)))))</f>
        <v>22770.9</v>
      </c>
      <c r="N149" s="35" t="str">
        <f ca="1">IF(ISERROR(MATCH(N$1,INDIRECT("Table!A"&amp;$AF149):INDIRECT("Table!" &amp; $AR$188 &amp; $AF149),0)),"",INDIRECT(CONCATENATE("Table!",ADDRESS($AB149,MATCH(N$1,INDIRECT("Table!A" &amp; $AF149):INDIRECT("Table!" &amp; $AR$188 &amp; $AF149),0)))))</f>
        <v/>
      </c>
      <c r="O149" s="35">
        <f ca="1">IF(ISERROR(MATCH(O$1,INDIRECT("Table!A"&amp;$AN149):INDIRECT("Table!" &amp; $AR$159 &amp; $AN149),0)),"",INDIRECT(CONCATENATE("Table!",ADDRESS($AJ149,MATCH(O$1,INDIRECT("Table!A" &amp; $AN149):INDIRECT("Table!" &amp; $AR$159 &amp; $AN149),0)))))</f>
        <v>115816.8</v>
      </c>
      <c r="P149" s="35">
        <f ca="1">IF(ISERROR(MATCH(P$1,INDIRECT("Table!A"&amp;$AN149):INDIRECT("Table!" &amp; $AR$159 &amp; $AN149),0)),"",INDIRECT(CONCATENATE("Table!",ADDRESS($AJ149,MATCH(P$1,INDIRECT("Table!A" &amp; $AN149):INDIRECT("Table!" &amp; $AR$159 &amp; $AN149),0)))))</f>
        <v>79968.7</v>
      </c>
      <c r="Q149" s="35">
        <f ca="1">IF(ISERROR(MATCH(Q$1,INDIRECT("Table!A"&amp;$AN149):INDIRECT("Table!" &amp; $AR$159 &amp; $AN149),0)),"",INDIRECT(CONCATENATE("Table!",ADDRESS($AJ149,MATCH(Q$1,INDIRECT("Table!A" &amp; $AN149):INDIRECT("Table!" &amp; $AR$159 &amp; $AN149),0)))))</f>
        <v>79968.7</v>
      </c>
      <c r="R149" s="35">
        <f ca="1">IF(ISERROR(MATCH(R$1,INDIRECT("Table!A"&amp;$AN149):INDIRECT("Table!" &amp; $AR$159 &amp; $AN149),0)),"",INDIRECT(CONCATENATE("Table!",ADDRESS($AJ149,MATCH(R$1,INDIRECT("Table!A" &amp; $AN149):INDIRECT("Table!" &amp; $AR$159 &amp; $AN149),0)))))</f>
        <v>154422.39999999999</v>
      </c>
      <c r="S149" s="35">
        <f ca="1">IF(ISERROR(MATCH(S$1,INDIRECT("Table!A"&amp;$AN149):INDIRECT("Table!" &amp; $AR$159 &amp; $AN149),0)),"",INDIRECT(CONCATENATE("Table!",ADDRESS($AJ149,MATCH(S$1,INDIRECT("Table!A" &amp; $AN149):INDIRECT("Table!" &amp; $AR$159 &amp; $AN149),0)))))</f>
        <v>121331.8</v>
      </c>
      <c r="T149" s="35">
        <f ca="1">IF(ISERROR(MATCH(T$1,INDIRECT("Table!A"&amp;$AN149):INDIRECT("Table!" &amp; $AR$159 &amp; $AN149),0)),"",INDIRECT(CONCATENATE("Table!",ADDRESS($AJ149,MATCH(T$1,INDIRECT("Table!A" &amp; $AN149):INDIRECT("Table!" &amp; $AR$159 &amp; $AN149),0)))))</f>
        <v>110071.9</v>
      </c>
      <c r="U149" s="35">
        <f ca="1">IF(ISERROR(MATCH(U$1,INDIRECT("Table!A"&amp;$AN149):INDIRECT("Table!" &amp; $AR$159 &amp; $AN149),0)),"",INDIRECT(CONCATENATE("Table!",ADDRESS($AJ149,MATCH(U$1,INDIRECT("Table!A" &amp; $AN149):INDIRECT("Table!" &amp; $AR$159 &amp; $AN149),0)))))</f>
        <v>121331.8</v>
      </c>
      <c r="V149" s="35">
        <f ca="1">IF(ISERROR(MATCH(V$1,INDIRECT("Table!A"&amp;$AN149):INDIRECT("Table!" &amp; $AR$159 &amp; $AN149),0)),"",INDIRECT(CONCATENATE("Table!",ADDRESS($AJ149,MATCH(V$1,INDIRECT("Table!A" &amp; $AN149):INDIRECT("Table!" &amp; $AR$159 &amp; $AN149),0)))))</f>
        <v>170967.6</v>
      </c>
      <c r="W149" s="35">
        <f ca="1">IF(ISERROR(MATCH(W$1,INDIRECT("Table!A"&amp;$AN149):INDIRECT("Table!" &amp; $AR$159 &amp; $AN149),0)),"",INDIRECT(CONCATENATE("Table!",ADDRESS($AJ149,MATCH(W$1,INDIRECT("Table!A" &amp; $AN149):INDIRECT("Table!" &amp; $AR$159 &amp; $AN149),0)))))</f>
        <v>54921</v>
      </c>
      <c r="X149" s="35">
        <f ca="1">IF(ISERROR(MATCH(X$1,INDIRECT("Table!A"&amp;$AN149):INDIRECT("Table!" &amp; $AR$159 &amp; $AN149),0)),"",INDIRECT(CONCATENATE("Table!",ADDRESS($AJ149,MATCH(X$1,INDIRECT("Table!A" &amp; $AN149):INDIRECT("Table!" &amp; $AR$159 &amp; $AN149),0)))))</f>
        <v>60665.9</v>
      </c>
      <c r="Y149" s="35">
        <f ca="1">IF(ISERROR(MATCH(Y$1,INDIRECT("Table!A"&amp;$AN149):INDIRECT("Table!" &amp; $AR$159 &amp; $AN149),0)),"",INDIRECT(CONCATENATE("Table!",ADDRESS($AJ149,MATCH(Y$1,INDIRECT("Table!A" &amp; $AN149):INDIRECT("Table!" &amp; $AR$159 &amp; $AN149),0)))))</f>
        <v>176482.7</v>
      </c>
      <c r="Z149" s="35">
        <f ca="1">IF(ISERROR(MATCH(Z$1,INDIRECT("Table!A"&amp;$AN149):INDIRECT("Table!" &amp; $AR$159 &amp; $AN149),0)),"",INDIRECT(CONCATENATE("Table!",ADDRESS($AJ149,MATCH(Z$1,INDIRECT("Table!A" &amp; $AN149):INDIRECT("Table!" &amp; $AR$159 &amp; $AN149),0)))))</f>
        <v>54921</v>
      </c>
      <c r="AA149" s="12"/>
      <c r="AB149" s="12">
        <f>MATCH($A149,Table!$A:$A,0)+$AD$2-1</f>
        <v>2119</v>
      </c>
      <c r="AF149" s="31">
        <f>MATCH($A149,Table!$A:$A,0)+$AH$2-1</f>
        <v>2117</v>
      </c>
      <c r="AJ149" s="12">
        <f>MATCH($A149,Table!$A:$A,0)+$AL$2-1</f>
        <v>2118</v>
      </c>
      <c r="AN149" s="31">
        <f>MATCH($A149,Table!$A:$A,0)+$AH$2-1</f>
        <v>2117</v>
      </c>
      <c r="AR149" s="120" t="s">
        <v>118</v>
      </c>
    </row>
    <row r="150" spans="1:44">
      <c r="A150" s="5">
        <v>40928</v>
      </c>
      <c r="B150" s="35">
        <f ca="1">IF(ISERROR(MATCH(B$1,INDIRECT("Table!A"&amp;$AF150):INDIRECT("Table!" &amp; $AR$159 &amp; $AF150),0)),"",INDIRECT(CONCATENATE("Table!",ADDRESS($AB150,MATCH(B$1,INDIRECT("Table!A" &amp; $AF150):INDIRECT("Table!" &amp; $AR$159 &amp; $AF150),0)))))</f>
        <v>90139.6</v>
      </c>
      <c r="C150" s="35">
        <f ca="1">IF(ISERROR(MATCH(C$1,INDIRECT("Table!A"&amp;$AF150):INDIRECT("Table!" &amp; $AR$159 &amp; $AF150),0)),"",INDIRECT(CONCATENATE("Table!",ADDRESS($AB150,MATCH(C$1,INDIRECT("Table!A" &amp; $AF150):INDIRECT("Table!" &amp; $AR$159 &amp; $AF150),0)))))</f>
        <v>65493.7</v>
      </c>
      <c r="D150" s="35">
        <f ca="1">IF(ISERROR(MATCH(D$1,INDIRECT("Table!A"&amp;$AF150):INDIRECT("Table!" &amp; $AR$159 &amp; $AF150),0)),"",INDIRECT(CONCATENATE("Table!",ADDRESS($AB150,MATCH(D$1,INDIRECT("Table!A" &amp; $AF150):INDIRECT("Table!" &amp; $AR$159 &amp; $AF150),0)))))</f>
        <v>66871.899999999994</v>
      </c>
      <c r="E150" s="35">
        <f ca="1">IF(ISERROR(MATCH(E$1,INDIRECT("Table!A"&amp;$AF150):INDIRECT("Table!" &amp; $AR$159 &amp; $AF150),0)),"",INDIRECT(CONCATENATE("Table!",ADDRESS($AB150,MATCH(E$1,INDIRECT("Table!A" &amp; $AF150):INDIRECT("Table!" &amp; $AR$159 &amp; $AF150),0)))))</f>
        <v>124516.2</v>
      </c>
      <c r="F150" s="35">
        <f ca="1">IF(ISERROR(MATCH(F$1,INDIRECT("Table!A"&amp;$AF150):INDIRECT("Table!" &amp; $AR$159 &amp; $AF150),0)),"",INDIRECT(CONCATENATE("Table!",ADDRESS($AB150,MATCH(F$1,INDIRECT("Table!A" &amp; $AF150):INDIRECT("Table!" &amp; $AR$159 &amp; $AF150),0)))))</f>
        <v>86.7</v>
      </c>
      <c r="G150" s="35">
        <f ca="1">IF(ISERROR(MATCH(G$1,INDIRECT("Table!A"&amp;$AF150):INDIRECT("Table!" &amp; $AR$159 &amp; $AF150),0)),"",INDIRECT(CONCATENATE("Table!",ADDRESS($AB150,MATCH(G$1,INDIRECT("Table!A" &amp; $AF150):INDIRECT("Table!" &amp; $AR$159 &amp; $AF150),0)))))</f>
        <v>14350.6</v>
      </c>
      <c r="H150" s="35">
        <f ca="1">IF(ISERROR(MATCH(H$1,INDIRECT("Table!A"&amp;$AF150):INDIRECT("Table!" &amp; $AR$159 &amp; $AF150),0)),"",INDIRECT(CONCATENATE("Table!",ADDRESS($AB150,MATCH(H$1,INDIRECT("Table!A" &amp; $AF150):INDIRECT("Table!" &amp; $AR$159 &amp; $AF150),0)))))</f>
        <v>19376.5</v>
      </c>
      <c r="I150" s="35">
        <f ca="1">IF(ISERROR(MATCH(I$1,INDIRECT("Table!A"&amp;$AF150):INDIRECT("Table!" &amp; $AR$159 &amp; $AF150),0)),"",INDIRECT(CONCATENATE("Table!",ADDRESS($AB150,MATCH(I$1,INDIRECT("Table!A" &amp; $AF150):INDIRECT("Table!" &amp; $AR$159 &amp; $AF150),0)))))</f>
        <v>109870.5</v>
      </c>
      <c r="J150" s="35">
        <f ca="1">IF(ISERROR(MATCH(J$1,INDIRECT("Table!A"&amp;$AF150):INDIRECT("Table!" &amp; $AR$159 &amp; $AF150),0)),"",INDIRECT(CONCATENATE("Table!",ADDRESS($AB150,MATCH(J$1,INDIRECT("Table!A" &amp; $AF150):INDIRECT("Table!" &amp; $AR$159 &amp; $AF150),0)))))</f>
        <v>25994.9</v>
      </c>
      <c r="K150" s="35">
        <f ca="1">IF(ISERROR(MATCH(K$1,INDIRECT("Table!A"&amp;$AF150):INDIRECT("Table!" &amp; $AR$159 &amp; $AF150),0)),"",INDIRECT(CONCATENATE("Table!",ADDRESS($AB150,MATCH(K$1,INDIRECT("Table!A" &amp; $AF150):INDIRECT("Table!" &amp; $AR$159 &amp; $AF150),0)))))</f>
        <v>58.5</v>
      </c>
      <c r="L150" s="35">
        <f ca="1">IF(ISERROR(MATCH(L$1,INDIRECT("Table!A"&amp;$AF150):INDIRECT("Table!" &amp; $AR$159 &amp; $AF150),0)),"",INDIRECT(CONCATENATE("Table!",ADDRESS($AB150,MATCH(L$1,INDIRECT("Table!A" &amp; $AF150):INDIRECT("Table!" &amp; $AR$159 &amp; $AF150),0)))))</f>
        <v>76870</v>
      </c>
      <c r="M150" s="35">
        <f ca="1">IF(ISERROR(MATCH(M$1,INDIRECT("Table!A"&amp;$AF150):INDIRECT("Table!" &amp; $AR$159 &amp; $AF150),0)),"",INDIRECT(CONCATENATE("Table!",ADDRESS($AB150,MATCH(M$1,INDIRECT("Table!A" &amp; $AF150):INDIRECT("Table!" &amp; $AR$159 &amp; $AF150),0)))))</f>
        <v>22770.5</v>
      </c>
      <c r="N150" s="35" t="str">
        <f ca="1">IF(ISERROR(MATCH(N$1,INDIRECT("Table!A"&amp;$AF150):INDIRECT("Table!" &amp; $AR$188 &amp; $AF150),0)),"",INDIRECT(CONCATENATE("Table!",ADDRESS($AB150,MATCH(N$1,INDIRECT("Table!A" &amp; $AF150):INDIRECT("Table!" &amp; $AR$188 &amp; $AF150),0)))))</f>
        <v/>
      </c>
      <c r="O150" s="35">
        <f ca="1">IF(ISERROR(MATCH(O$1,INDIRECT("Table!A"&amp;$AN150):INDIRECT("Table!" &amp; $AR$159 &amp; $AN150),0)),"",INDIRECT(CONCATENATE("Table!",ADDRESS($AJ150,MATCH(O$1,INDIRECT("Table!A" &amp; $AN150):INDIRECT("Table!" &amp; $AR$159 &amp; $AN150),0)))))</f>
        <v>115816.8</v>
      </c>
      <c r="P150" s="35">
        <f ca="1">IF(ISERROR(MATCH(P$1,INDIRECT("Table!A"&amp;$AN150):INDIRECT("Table!" &amp; $AR$159 &amp; $AN150),0)),"",INDIRECT(CONCATENATE("Table!",ADDRESS($AJ150,MATCH(P$1,INDIRECT("Table!A" &amp; $AN150):INDIRECT("Table!" &amp; $AR$159 &amp; $AN150),0)))))</f>
        <v>79968.7</v>
      </c>
      <c r="Q150" s="35">
        <f ca="1">IF(ISERROR(MATCH(Q$1,INDIRECT("Table!A"&amp;$AN150):INDIRECT("Table!" &amp; $AR$159 &amp; $AN150),0)),"",INDIRECT(CONCATENATE("Table!",ADDRESS($AJ150,MATCH(Q$1,INDIRECT("Table!A" &amp; $AN150):INDIRECT("Table!" &amp; $AR$159 &amp; $AN150),0)))))</f>
        <v>79968.7</v>
      </c>
      <c r="R150" s="35">
        <f ca="1">IF(ISERROR(MATCH(R$1,INDIRECT("Table!A"&amp;$AN150):INDIRECT("Table!" &amp; $AR$159 &amp; $AN150),0)),"",INDIRECT(CONCATENATE("Table!",ADDRESS($AJ150,MATCH(R$1,INDIRECT("Table!A" &amp; $AN150):INDIRECT("Table!" &amp; $AR$159 &amp; $AN150),0)))))</f>
        <v>154422.39999999999</v>
      </c>
      <c r="S150" s="35">
        <f ca="1">IF(ISERROR(MATCH(S$1,INDIRECT("Table!A"&amp;$AN150):INDIRECT("Table!" &amp; $AR$159 &amp; $AN150),0)),"",INDIRECT(CONCATENATE("Table!",ADDRESS($AJ150,MATCH(S$1,INDIRECT("Table!A" &amp; $AN150):INDIRECT("Table!" &amp; $AR$159 &amp; $AN150),0)))))</f>
        <v>121331.8</v>
      </c>
      <c r="T150" s="35">
        <f ca="1">IF(ISERROR(MATCH(T$1,INDIRECT("Table!A"&amp;$AN150):INDIRECT("Table!" &amp; $AR$159 &amp; $AN150),0)),"",INDIRECT(CONCATENATE("Table!",ADDRESS($AJ150,MATCH(T$1,INDIRECT("Table!A" &amp; $AN150):INDIRECT("Table!" &amp; $AR$159 &amp; $AN150),0)))))</f>
        <v>110071.9</v>
      </c>
      <c r="U150" s="35">
        <f ca="1">IF(ISERROR(MATCH(U$1,INDIRECT("Table!A"&amp;$AN150):INDIRECT("Table!" &amp; $AR$159 &amp; $AN150),0)),"",INDIRECT(CONCATENATE("Table!",ADDRESS($AJ150,MATCH(U$1,INDIRECT("Table!A" &amp; $AN150):INDIRECT("Table!" &amp; $AR$159 &amp; $AN150),0)))))</f>
        <v>121331.8</v>
      </c>
      <c r="V150" s="35">
        <f ca="1">IF(ISERROR(MATCH(V$1,INDIRECT("Table!A"&amp;$AN150):INDIRECT("Table!" &amp; $AR$159 &amp; $AN150),0)),"",INDIRECT(CONCATENATE("Table!",ADDRESS($AJ150,MATCH(V$1,INDIRECT("Table!A" &amp; $AN150):INDIRECT("Table!" &amp; $AR$159 &amp; $AN150),0)))))</f>
        <v>170967.6</v>
      </c>
      <c r="W150" s="35">
        <f ca="1">IF(ISERROR(MATCH(W$1,INDIRECT("Table!A"&amp;$AN150):INDIRECT("Table!" &amp; $AR$159 &amp; $AN150),0)),"",INDIRECT(CONCATENATE("Table!",ADDRESS($AJ150,MATCH(W$1,INDIRECT("Table!A" &amp; $AN150):INDIRECT("Table!" &amp; $AR$159 &amp; $AN150),0)))))</f>
        <v>54921</v>
      </c>
      <c r="X150" s="35">
        <f ca="1">IF(ISERROR(MATCH(X$1,INDIRECT("Table!A"&amp;$AN150):INDIRECT("Table!" &amp; $AR$159 &amp; $AN150),0)),"",INDIRECT(CONCATENATE("Table!",ADDRESS($AJ150,MATCH(X$1,INDIRECT("Table!A" &amp; $AN150):INDIRECT("Table!" &amp; $AR$159 &amp; $AN150),0)))))</f>
        <v>60665.9</v>
      </c>
      <c r="Y150" s="35">
        <f ca="1">IF(ISERROR(MATCH(Y$1,INDIRECT("Table!A"&amp;$AN150):INDIRECT("Table!" &amp; $AR$159 &amp; $AN150),0)),"",INDIRECT(CONCATENATE("Table!",ADDRESS($AJ150,MATCH(Y$1,INDIRECT("Table!A" &amp; $AN150):INDIRECT("Table!" &amp; $AR$159 &amp; $AN150),0)))))</f>
        <v>176482.7</v>
      </c>
      <c r="Z150" s="35">
        <f ca="1">IF(ISERROR(MATCH(Z$1,INDIRECT("Table!A"&amp;$AN150):INDIRECT("Table!" &amp; $AR$159 &amp; $AN150),0)),"",INDIRECT(CONCATENATE("Table!",ADDRESS($AJ150,MATCH(Z$1,INDIRECT("Table!A" &amp; $AN150):INDIRECT("Table!" &amp; $AR$159 &amp; $AN150),0)))))</f>
        <v>54921</v>
      </c>
      <c r="AA150" s="12"/>
      <c r="AB150" s="12">
        <f>MATCH($A150,Table!$A:$A,0)+$AD$2-1</f>
        <v>2132</v>
      </c>
      <c r="AF150" s="31">
        <f>MATCH($A150,Table!$A:$A,0)+$AH$2-1</f>
        <v>2130</v>
      </c>
      <c r="AJ150" s="12">
        <f>MATCH($A150,Table!$A:$A,0)+$AL$2-1</f>
        <v>2131</v>
      </c>
      <c r="AN150" s="31">
        <f>MATCH($A150,Table!$A:$A,0)+$AH$2-1</f>
        <v>2130</v>
      </c>
      <c r="AR150" s="123" t="s">
        <v>118</v>
      </c>
    </row>
    <row r="151" spans="1:44">
      <c r="A151" s="5">
        <v>40927</v>
      </c>
      <c r="B151" s="35">
        <f ca="1">IF(ISERROR(MATCH(B$1,INDIRECT("Table!A"&amp;$AF151):INDIRECT("Table!" &amp; $AR$159 &amp; $AF151),0)),"",INDIRECT(CONCATENATE("Table!",ADDRESS($AB151,MATCH(B$1,INDIRECT("Table!A" &amp; $AF151):INDIRECT("Table!" &amp; $AR$159 &amp; $AF151),0)))))</f>
        <v>90138.2</v>
      </c>
      <c r="C151" s="35">
        <f ca="1">IF(ISERROR(MATCH(C$1,INDIRECT("Table!A"&amp;$AF151):INDIRECT("Table!" &amp; $AR$159 &amp; $AF151),0)),"",INDIRECT(CONCATENATE("Table!",ADDRESS($AB151,MATCH(C$1,INDIRECT("Table!A" &amp; $AF151):INDIRECT("Table!" &amp; $AR$159 &amp; $AF151),0)))))</f>
        <v>65478.6</v>
      </c>
      <c r="D151" s="35">
        <f ca="1">IF(ISERROR(MATCH(D$1,INDIRECT("Table!A"&amp;$AF151):INDIRECT("Table!" &amp; $AR$159 &amp; $AF151),0)),"",INDIRECT(CONCATENATE("Table!",ADDRESS($AB151,MATCH(D$1,INDIRECT("Table!A" &amp; $AF151):INDIRECT("Table!" &amp; $AR$159 &amp; $AF151),0)))))</f>
        <v>66856.3</v>
      </c>
      <c r="E151" s="35">
        <f ca="1">IF(ISERROR(MATCH(E$1,INDIRECT("Table!A"&amp;$AF151):INDIRECT("Table!" &amp; $AR$159 &amp; $AF151),0)),"",INDIRECT(CONCATENATE("Table!",ADDRESS($AB151,MATCH(E$1,INDIRECT("Table!A" &amp; $AF151):INDIRECT("Table!" &amp; $AR$159 &amp; $AF151),0)))))</f>
        <v>124320.3</v>
      </c>
      <c r="F151" s="35">
        <f ca="1">IF(ISERROR(MATCH(F$1,INDIRECT("Table!A"&amp;$AF151):INDIRECT("Table!" &amp; $AR$159 &amp; $AF151),0)),"",INDIRECT(CONCATENATE("Table!",ADDRESS($AB151,MATCH(F$1,INDIRECT("Table!A" &amp; $AF151):INDIRECT("Table!" &amp; $AR$159 &amp; $AF151),0)))))</f>
        <v>86.6</v>
      </c>
      <c r="G151" s="35">
        <f ca="1">IF(ISERROR(MATCH(G$1,INDIRECT("Table!A"&amp;$AF151):INDIRECT("Table!" &amp; $AR$159 &amp; $AF151),0)),"",INDIRECT(CONCATENATE("Table!",ADDRESS($AB151,MATCH(G$1,INDIRECT("Table!A" &amp; $AF151):INDIRECT("Table!" &amp; $AR$159 &amp; $AF151),0)))))</f>
        <v>13909</v>
      </c>
      <c r="H151" s="35">
        <f ca="1">IF(ISERROR(MATCH(H$1,INDIRECT("Table!A"&amp;$AF151):INDIRECT("Table!" &amp; $AR$159 &amp; $AF151),0)),"",INDIRECT(CONCATENATE("Table!",ADDRESS($AB151,MATCH(H$1,INDIRECT("Table!A" &amp; $AF151):INDIRECT("Table!" &amp; $AR$159 &amp; $AF151),0)))))</f>
        <v>19376.2</v>
      </c>
      <c r="I151" s="35">
        <f ca="1">IF(ISERROR(MATCH(I$1,INDIRECT("Table!A"&amp;$AF151):INDIRECT("Table!" &amp; $AR$159 &amp; $AF151),0)),"",INDIRECT(CONCATENATE("Table!",ADDRESS($AB151,MATCH(I$1,INDIRECT("Table!A" &amp; $AF151):INDIRECT("Table!" &amp; $AR$159 &amp; $AF151),0)))))</f>
        <v>109870.5</v>
      </c>
      <c r="J151" s="35">
        <f ca="1">IF(ISERROR(MATCH(J$1,INDIRECT("Table!A"&amp;$AF151):INDIRECT("Table!" &amp; $AR$159 &amp; $AF151),0)),"",INDIRECT(CONCATENATE("Table!",ADDRESS($AB151,MATCH(J$1,INDIRECT("Table!A" &amp; $AF151):INDIRECT("Table!" &amp; $AR$159 &amp; $AF151),0)))))</f>
        <v>25994.9</v>
      </c>
      <c r="K151" s="35">
        <f ca="1">IF(ISERROR(MATCH(K$1,INDIRECT("Table!A"&amp;$AF151):INDIRECT("Table!" &amp; $AR$159 &amp; $AF151),0)),"",INDIRECT(CONCATENATE("Table!",ADDRESS($AB151,MATCH(K$1,INDIRECT("Table!A" &amp; $AF151):INDIRECT("Table!" &amp; $AR$159 &amp; $AF151),0)))))</f>
        <v>58.5</v>
      </c>
      <c r="L151" s="35">
        <f ca="1">IF(ISERROR(MATCH(L$1,INDIRECT("Table!A"&amp;$AF151):INDIRECT("Table!" &amp; $AR$159 &amp; $AF151),0)),"",INDIRECT(CONCATENATE("Table!",ADDRESS($AB151,MATCH(L$1,INDIRECT("Table!A" &amp; $AF151):INDIRECT("Table!" &amp; $AR$159 &amp; $AF151),0)))))</f>
        <v>76870</v>
      </c>
      <c r="M151" s="35">
        <f ca="1">IF(ISERROR(MATCH(M$1,INDIRECT("Table!A"&amp;$AF151):INDIRECT("Table!" &amp; $AR$159 &amp; $AF151),0)),"",INDIRECT(CONCATENATE("Table!",ADDRESS($AB151,MATCH(M$1,INDIRECT("Table!A" &amp; $AF151):INDIRECT("Table!" &amp; $AR$159 &amp; $AF151),0)))))</f>
        <v>22770.5</v>
      </c>
      <c r="N151" s="35" t="str">
        <f ca="1">IF(ISERROR(MATCH(N$1,INDIRECT("Table!A"&amp;$AF151):INDIRECT("Table!" &amp; $AR$188 &amp; $AF151),0)),"",INDIRECT(CONCATENATE("Table!",ADDRESS($AB151,MATCH(N$1,INDIRECT("Table!A" &amp; $AF151):INDIRECT("Table!" &amp; $AR$188 &amp; $AF151),0)))))</f>
        <v/>
      </c>
      <c r="O151" s="35">
        <f ca="1">IF(ISERROR(MATCH(O$1,INDIRECT("Table!A"&amp;$AN151):INDIRECT("Table!" &amp; $AR$159 &amp; $AN151),0)),"",INDIRECT(CONCATENATE("Table!",ADDRESS($AJ151,MATCH(O$1,INDIRECT("Table!A" &amp; $AN151):INDIRECT("Table!" &amp; $AR$159 &amp; $AN151),0)))))</f>
        <v>115816.8</v>
      </c>
      <c r="P151" s="35">
        <f ca="1">IF(ISERROR(MATCH(P$1,INDIRECT("Table!A"&amp;$AN151):INDIRECT("Table!" &amp; $AR$159 &amp; $AN151),0)),"",INDIRECT(CONCATENATE("Table!",ADDRESS($AJ151,MATCH(P$1,INDIRECT("Table!A" &amp; $AN151):INDIRECT("Table!" &amp; $AR$159 &amp; $AN151),0)))))</f>
        <v>79968.7</v>
      </c>
      <c r="Q151" s="35">
        <f ca="1">IF(ISERROR(MATCH(Q$1,INDIRECT("Table!A"&amp;$AN151):INDIRECT("Table!" &amp; $AR$159 &amp; $AN151),0)),"",INDIRECT(CONCATENATE("Table!",ADDRESS($AJ151,MATCH(Q$1,INDIRECT("Table!A" &amp; $AN151):INDIRECT("Table!" &amp; $AR$159 &amp; $AN151),0)))))</f>
        <v>79968.7</v>
      </c>
      <c r="R151" s="35">
        <f ca="1">IF(ISERROR(MATCH(R$1,INDIRECT("Table!A"&amp;$AN151):INDIRECT("Table!" &amp; $AR$159 &amp; $AN151),0)),"",INDIRECT(CONCATENATE("Table!",ADDRESS($AJ151,MATCH(R$1,INDIRECT("Table!A" &amp; $AN151):INDIRECT("Table!" &amp; $AR$159 &amp; $AN151),0)))))</f>
        <v>154422.39999999999</v>
      </c>
      <c r="S151" s="35">
        <f ca="1">IF(ISERROR(MATCH(S$1,INDIRECT("Table!A"&amp;$AN151):INDIRECT("Table!" &amp; $AR$159 &amp; $AN151),0)),"",INDIRECT(CONCATENATE("Table!",ADDRESS($AJ151,MATCH(S$1,INDIRECT("Table!A" &amp; $AN151):INDIRECT("Table!" &amp; $AR$159 &amp; $AN151),0)))))</f>
        <v>121331.8</v>
      </c>
      <c r="T151" s="35">
        <f ca="1">IF(ISERROR(MATCH(T$1,INDIRECT("Table!A"&amp;$AN151):INDIRECT("Table!" &amp; $AR$159 &amp; $AN151),0)),"",INDIRECT(CONCATENATE("Table!",ADDRESS($AJ151,MATCH(T$1,INDIRECT("Table!A" &amp; $AN151):INDIRECT("Table!" &amp; $AR$159 &amp; $AN151),0)))))</f>
        <v>110071.9</v>
      </c>
      <c r="U151" s="35">
        <f ca="1">IF(ISERROR(MATCH(U$1,INDIRECT("Table!A"&amp;$AN151):INDIRECT("Table!" &amp; $AR$159 &amp; $AN151),0)),"",INDIRECT(CONCATENATE("Table!",ADDRESS($AJ151,MATCH(U$1,INDIRECT("Table!A" &amp; $AN151):INDIRECT("Table!" &amp; $AR$159 &amp; $AN151),0)))))</f>
        <v>121331.8</v>
      </c>
      <c r="V151" s="35">
        <f ca="1">IF(ISERROR(MATCH(V$1,INDIRECT("Table!A"&amp;$AN151):INDIRECT("Table!" &amp; $AR$159 &amp; $AN151),0)),"",INDIRECT(CONCATENATE("Table!",ADDRESS($AJ151,MATCH(V$1,INDIRECT("Table!A" &amp; $AN151):INDIRECT("Table!" &amp; $AR$159 &amp; $AN151),0)))))</f>
        <v>170967.6</v>
      </c>
      <c r="W151" s="35">
        <f ca="1">IF(ISERROR(MATCH(W$1,INDIRECT("Table!A"&amp;$AN151):INDIRECT("Table!" &amp; $AR$159 &amp; $AN151),0)),"",INDIRECT(CONCATENATE("Table!",ADDRESS($AJ151,MATCH(W$1,INDIRECT("Table!A" &amp; $AN151):INDIRECT("Table!" &amp; $AR$159 &amp; $AN151),0)))))</f>
        <v>54921</v>
      </c>
      <c r="X151" s="35">
        <f ca="1">IF(ISERROR(MATCH(X$1,INDIRECT("Table!A"&amp;$AN151):INDIRECT("Table!" &amp; $AR$159 &amp; $AN151),0)),"",INDIRECT(CONCATENATE("Table!",ADDRESS($AJ151,MATCH(X$1,INDIRECT("Table!A" &amp; $AN151):INDIRECT("Table!" &amp; $AR$159 &amp; $AN151),0)))))</f>
        <v>60665.9</v>
      </c>
      <c r="Y151" s="35">
        <f ca="1">IF(ISERROR(MATCH(Y$1,INDIRECT("Table!A"&amp;$AN151):INDIRECT("Table!" &amp; $AR$159 &amp; $AN151),0)),"",INDIRECT(CONCATENATE("Table!",ADDRESS($AJ151,MATCH(Y$1,INDIRECT("Table!A" &amp; $AN151):INDIRECT("Table!" &amp; $AR$159 &amp; $AN151),0)))))</f>
        <v>176482.7</v>
      </c>
      <c r="Z151" s="35">
        <f ca="1">IF(ISERROR(MATCH(Z$1,INDIRECT("Table!A"&amp;$AN151):INDIRECT("Table!" &amp; $AR$159 &amp; $AN151),0)),"",INDIRECT(CONCATENATE("Table!",ADDRESS($AJ151,MATCH(Z$1,INDIRECT("Table!A" &amp; $AN151):INDIRECT("Table!" &amp; $AR$159 &amp; $AN151),0)))))</f>
        <v>54921</v>
      </c>
      <c r="AA151" s="12"/>
      <c r="AB151" s="12">
        <f>MATCH($A151,Table!$A:$A,0)+$AD$2-1</f>
        <v>2145</v>
      </c>
      <c r="AF151" s="31">
        <f>MATCH($A151,Table!$A:$A,0)+$AH$2-1</f>
        <v>2143</v>
      </c>
      <c r="AJ151" s="12">
        <f>MATCH($A151,Table!$A:$A,0)+$AL$2-1</f>
        <v>2144</v>
      </c>
      <c r="AN151" s="31">
        <f>MATCH($A151,Table!$A:$A,0)+$AH$2-1</f>
        <v>2143</v>
      </c>
      <c r="AR151" s="123" t="s">
        <v>118</v>
      </c>
    </row>
    <row r="152" spans="1:44">
      <c r="A152" s="5">
        <v>40926</v>
      </c>
      <c r="B152" s="35">
        <f ca="1">IF(ISERROR(MATCH(B$1,INDIRECT("Table!A"&amp;$AF152):INDIRECT("Table!" &amp; $AR$159 &amp; $AF152),0)),"",INDIRECT(CONCATENATE("Table!",ADDRESS($AB152,MATCH(B$1,INDIRECT("Table!A" &amp; $AF152):INDIRECT("Table!" &amp; $AR$159 &amp; $AF152),0)))))</f>
        <v>89911.5</v>
      </c>
      <c r="C152" s="35">
        <f ca="1">IF(ISERROR(MATCH(C$1,INDIRECT("Table!A"&amp;$AF152):INDIRECT("Table!" &amp; $AR$159 &amp; $AF152),0)),"",INDIRECT(CONCATENATE("Table!",ADDRESS($AB152,MATCH(C$1,INDIRECT("Table!A" &amp; $AF152):INDIRECT("Table!" &amp; $AR$159 &amp; $AF152),0)))))</f>
        <v>65473.7</v>
      </c>
      <c r="D152" s="35">
        <f ca="1">IF(ISERROR(MATCH(D$1,INDIRECT("Table!A"&amp;$AF152):INDIRECT("Table!" &amp; $AR$159 &amp; $AF152),0)),"",INDIRECT(CONCATENATE("Table!",ADDRESS($AB152,MATCH(D$1,INDIRECT("Table!A" &amp; $AF152):INDIRECT("Table!" &amp; $AR$159 &amp; $AF152),0)))))</f>
        <v>66851.399999999994</v>
      </c>
      <c r="E152" s="35">
        <f ca="1">IF(ISERROR(MATCH(E$1,INDIRECT("Table!A"&amp;$AF152):INDIRECT("Table!" &amp; $AR$159 &amp; $AF152),0)),"",INDIRECT(CONCATENATE("Table!",ADDRESS($AB152,MATCH(E$1,INDIRECT("Table!A" &amp; $AF152):INDIRECT("Table!" &amp; $AR$159 &amp; $AF152),0)))))</f>
        <v>124082</v>
      </c>
      <c r="F152" s="35">
        <f ca="1">IF(ISERROR(MATCH(F$1,INDIRECT("Table!A"&amp;$AF152):INDIRECT("Table!" &amp; $AR$159 &amp; $AF152),0)),"",INDIRECT(CONCATENATE("Table!",ADDRESS($AB152,MATCH(F$1,INDIRECT("Table!A" &amp; $AF152):INDIRECT("Table!" &amp; $AR$159 &amp; $AF152),0)))))</f>
        <v>86.6</v>
      </c>
      <c r="G152" s="35">
        <f ca="1">IF(ISERROR(MATCH(G$1,INDIRECT("Table!A"&amp;$AF152):INDIRECT("Table!" &amp; $AR$159 &amp; $AF152),0)),"",INDIRECT(CONCATENATE("Table!",ADDRESS($AB152,MATCH(G$1,INDIRECT("Table!A" &amp; $AF152):INDIRECT("Table!" &amp; $AR$159 &amp; $AF152),0)))))</f>
        <v>13508.5</v>
      </c>
      <c r="H152" s="35">
        <f ca="1">IF(ISERROR(MATCH(H$1,INDIRECT("Table!A"&amp;$AF152):INDIRECT("Table!" &amp; $AR$159 &amp; $AF152),0)),"",INDIRECT(CONCATENATE("Table!",ADDRESS($AB152,MATCH(H$1,INDIRECT("Table!A" &amp; $AF152):INDIRECT("Table!" &amp; $AR$159 &amp; $AF152),0)))))</f>
        <v>19375.900000000001</v>
      </c>
      <c r="I152" s="35">
        <f ca="1">IF(ISERROR(MATCH(I$1,INDIRECT("Table!A"&amp;$AF152):INDIRECT("Table!" &amp; $AR$159 &amp; $AF152),0)),"",INDIRECT(CONCATENATE("Table!",ADDRESS($AB152,MATCH(I$1,INDIRECT("Table!A" &amp; $AF152):INDIRECT("Table!" &amp; $AR$159 &amp; $AF152),0)))))</f>
        <v>109700.8</v>
      </c>
      <c r="J152" s="35">
        <f ca="1">IF(ISERROR(MATCH(J$1,INDIRECT("Table!A"&amp;$AF152):INDIRECT("Table!" &amp; $AR$159 &amp; $AF152),0)),"",INDIRECT(CONCATENATE("Table!",ADDRESS($AB152,MATCH(J$1,INDIRECT("Table!A" &amp; $AF152):INDIRECT("Table!" &amp; $AR$159 &amp; $AF152),0)))))</f>
        <v>25976.400000000001</v>
      </c>
      <c r="K152" s="35">
        <f ca="1">IF(ISERROR(MATCH(K$1,INDIRECT("Table!A"&amp;$AF152):INDIRECT("Table!" &amp; $AR$159 &amp; $AF152),0)),"",INDIRECT(CONCATENATE("Table!",ADDRESS($AB152,MATCH(K$1,INDIRECT("Table!A" &amp; $AF152):INDIRECT("Table!" &amp; $AR$159 &amp; $AF152),0)))))</f>
        <v>58.5</v>
      </c>
      <c r="L152" s="35">
        <f ca="1">IF(ISERROR(MATCH(L$1,INDIRECT("Table!A"&amp;$AF152):INDIRECT("Table!" &amp; $AR$159 &amp; $AF152),0)),"",INDIRECT(CONCATENATE("Table!",ADDRESS($AB152,MATCH(L$1,INDIRECT("Table!A" &amp; $AF152):INDIRECT("Table!" &amp; $AR$159 &amp; $AF152),0)))))</f>
        <v>76869.100000000006</v>
      </c>
      <c r="M152" s="35">
        <f ca="1">IF(ISERROR(MATCH(M$1,INDIRECT("Table!A"&amp;$AF152):INDIRECT("Table!" &amp; $AR$159 &amp; $AF152),0)),"",INDIRECT(CONCATENATE("Table!",ADDRESS($AB152,MATCH(M$1,INDIRECT("Table!A" &amp; $AF152):INDIRECT("Table!" &amp; $AR$159 &amp; $AF152),0)))))</f>
        <v>22770.400000000001</v>
      </c>
      <c r="N152" s="35" t="str">
        <f ca="1">IF(ISERROR(MATCH(N$1,INDIRECT("Table!A"&amp;$AF152):INDIRECT("Table!" &amp; $AR$188 &amp; $AF152),0)),"",INDIRECT(CONCATENATE("Table!",ADDRESS($AB152,MATCH(N$1,INDIRECT("Table!A" &amp; $AF152):INDIRECT("Table!" &amp; $AR$188 &amp; $AF152),0)))))</f>
        <v/>
      </c>
      <c r="O152" s="35">
        <f ca="1">IF(ISERROR(MATCH(O$1,INDIRECT("Table!A"&amp;$AN152):INDIRECT("Table!" &amp; $AR$159 &amp; $AN152),0)),"",INDIRECT(CONCATENATE("Table!",ADDRESS($AJ152,MATCH(O$1,INDIRECT("Table!A" &amp; $AN152):INDIRECT("Table!" &amp; $AR$159 &amp; $AN152),0)))))</f>
        <v>115816.8</v>
      </c>
      <c r="P152" s="35">
        <f ca="1">IF(ISERROR(MATCH(P$1,INDIRECT("Table!A"&amp;$AN152):INDIRECT("Table!" &amp; $AR$159 &amp; $AN152),0)),"",INDIRECT(CONCATENATE("Table!",ADDRESS($AJ152,MATCH(P$1,INDIRECT("Table!A" &amp; $AN152):INDIRECT("Table!" &amp; $AR$159 &amp; $AN152),0)))))</f>
        <v>79968.7</v>
      </c>
      <c r="Q152" s="35">
        <f ca="1">IF(ISERROR(MATCH(Q$1,INDIRECT("Table!A"&amp;$AN152):INDIRECT("Table!" &amp; $AR$159 &amp; $AN152),0)),"",INDIRECT(CONCATENATE("Table!",ADDRESS($AJ152,MATCH(Q$1,INDIRECT("Table!A" &amp; $AN152):INDIRECT("Table!" &amp; $AR$159 &amp; $AN152),0)))))</f>
        <v>79968.7</v>
      </c>
      <c r="R152" s="35">
        <f ca="1">IF(ISERROR(MATCH(R$1,INDIRECT("Table!A"&amp;$AN152):INDIRECT("Table!" &amp; $AR$159 &amp; $AN152),0)),"",INDIRECT(CONCATENATE("Table!",ADDRESS($AJ152,MATCH(R$1,INDIRECT("Table!A" &amp; $AN152):INDIRECT("Table!" &amp; $AR$159 &amp; $AN152),0)))))</f>
        <v>154422.39999999999</v>
      </c>
      <c r="S152" s="35">
        <f ca="1">IF(ISERROR(MATCH(S$1,INDIRECT("Table!A"&amp;$AN152):INDIRECT("Table!" &amp; $AR$159 &amp; $AN152),0)),"",INDIRECT(CONCATENATE("Table!",ADDRESS($AJ152,MATCH(S$1,INDIRECT("Table!A" &amp; $AN152):INDIRECT("Table!" &amp; $AR$159 &amp; $AN152),0)))))</f>
        <v>121331.8</v>
      </c>
      <c r="T152" s="35">
        <f ca="1">IF(ISERROR(MATCH(T$1,INDIRECT("Table!A"&amp;$AN152):INDIRECT("Table!" &amp; $AR$159 &amp; $AN152),0)),"",INDIRECT(CONCATENATE("Table!",ADDRESS($AJ152,MATCH(T$1,INDIRECT("Table!A" &amp; $AN152):INDIRECT("Table!" &amp; $AR$159 &amp; $AN152),0)))))</f>
        <v>110071.9</v>
      </c>
      <c r="U152" s="35">
        <f ca="1">IF(ISERROR(MATCH(U$1,INDIRECT("Table!A"&amp;$AN152):INDIRECT("Table!" &amp; $AR$159 &amp; $AN152),0)),"",INDIRECT(CONCATENATE("Table!",ADDRESS($AJ152,MATCH(U$1,INDIRECT("Table!A" &amp; $AN152):INDIRECT("Table!" &amp; $AR$159 &amp; $AN152),0)))))</f>
        <v>121331.8</v>
      </c>
      <c r="V152" s="35">
        <f ca="1">IF(ISERROR(MATCH(V$1,INDIRECT("Table!A"&amp;$AN152):INDIRECT("Table!" &amp; $AR$159 &amp; $AN152),0)),"",INDIRECT(CONCATENATE("Table!",ADDRESS($AJ152,MATCH(V$1,INDIRECT("Table!A" &amp; $AN152):INDIRECT("Table!" &amp; $AR$159 &amp; $AN152),0)))))</f>
        <v>170967.6</v>
      </c>
      <c r="W152" s="35">
        <f ca="1">IF(ISERROR(MATCH(W$1,INDIRECT("Table!A"&amp;$AN152):INDIRECT("Table!" &amp; $AR$159 &amp; $AN152),0)),"",INDIRECT(CONCATENATE("Table!",ADDRESS($AJ152,MATCH(W$1,INDIRECT("Table!A" &amp; $AN152):INDIRECT("Table!" &amp; $AR$159 &amp; $AN152),0)))))</f>
        <v>54921</v>
      </c>
      <c r="X152" s="35">
        <f ca="1">IF(ISERROR(MATCH(X$1,INDIRECT("Table!A"&amp;$AN152):INDIRECT("Table!" &amp; $AR$159 &amp; $AN152),0)),"",INDIRECT(CONCATENATE("Table!",ADDRESS($AJ152,MATCH(X$1,INDIRECT("Table!A" &amp; $AN152):INDIRECT("Table!" &amp; $AR$159 &amp; $AN152),0)))))</f>
        <v>60665.9</v>
      </c>
      <c r="Y152" s="35">
        <f ca="1">IF(ISERROR(MATCH(Y$1,INDIRECT("Table!A"&amp;$AN152):INDIRECT("Table!" &amp; $AR$159 &amp; $AN152),0)),"",INDIRECT(CONCATENATE("Table!",ADDRESS($AJ152,MATCH(Y$1,INDIRECT("Table!A" &amp; $AN152):INDIRECT("Table!" &amp; $AR$159 &amp; $AN152),0)))))</f>
        <v>176482.7</v>
      </c>
      <c r="Z152" s="35">
        <f ca="1">IF(ISERROR(MATCH(Z$1,INDIRECT("Table!A"&amp;$AN152):INDIRECT("Table!" &amp; $AR$159 &amp; $AN152),0)),"",INDIRECT(CONCATENATE("Table!",ADDRESS($AJ152,MATCH(Z$1,INDIRECT("Table!A" &amp; $AN152):INDIRECT("Table!" &amp; $AR$159 &amp; $AN152),0)))))</f>
        <v>54921</v>
      </c>
      <c r="AA152" s="12"/>
      <c r="AB152" s="12">
        <f>MATCH($A152,Table!$A:$A,0)+$AD$2-1</f>
        <v>2158</v>
      </c>
      <c r="AF152" s="31">
        <f>MATCH($A152,Table!$A:$A,0)+$AH$2-1</f>
        <v>2156</v>
      </c>
      <c r="AJ152" s="12">
        <f>MATCH($A152,Table!$A:$A,0)+$AL$2-1</f>
        <v>2157</v>
      </c>
      <c r="AN152" s="31">
        <f>MATCH($A152,Table!$A:$A,0)+$AH$2-1</f>
        <v>2156</v>
      </c>
      <c r="AR152" s="119" t="s">
        <v>118</v>
      </c>
    </row>
    <row r="153" spans="1:44">
      <c r="A153" s="5">
        <v>40925</v>
      </c>
      <c r="B153" s="35">
        <f ca="1">IF(ISERROR(MATCH(B$1,INDIRECT("Table!A"&amp;$AF153):INDIRECT("Table!" &amp; $AR$159 &amp; $AF153),0)),"",INDIRECT(CONCATENATE("Table!",ADDRESS($AB153,MATCH(B$1,INDIRECT("Table!A" &amp; $AF153):INDIRECT("Table!" &amp; $AR$159 &amp; $AF153),0)))))</f>
        <v>89479.1</v>
      </c>
      <c r="C153" s="35">
        <f ca="1">IF(ISERROR(MATCH(C$1,INDIRECT("Table!A"&amp;$AF153):INDIRECT("Table!" &amp; $AR$159 &amp; $AF153),0)),"",INDIRECT(CONCATENATE("Table!",ADDRESS($AB153,MATCH(C$1,INDIRECT("Table!A" &amp; $AF153):INDIRECT("Table!" &amp; $AR$159 &amp; $AF153),0)))))</f>
        <v>65470.8</v>
      </c>
      <c r="D153" s="35">
        <f ca="1">IF(ISERROR(MATCH(D$1,INDIRECT("Table!A"&amp;$AF153):INDIRECT("Table!" &amp; $AR$159 &amp; $AF153),0)),"",INDIRECT(CONCATENATE("Table!",ADDRESS($AB153,MATCH(D$1,INDIRECT("Table!A" &amp; $AF153):INDIRECT("Table!" &amp; $AR$159 &amp; $AF153),0)))))</f>
        <v>66848.5</v>
      </c>
      <c r="E153" s="35">
        <f ca="1">IF(ISERROR(MATCH(E$1,INDIRECT("Table!A"&amp;$AF153):INDIRECT("Table!" &amp; $AR$159 &amp; $AF153),0)),"",INDIRECT(CONCATENATE("Table!",ADDRESS($AB153,MATCH(E$1,INDIRECT("Table!A" &amp; $AF153):INDIRECT("Table!" &amp; $AR$159 &amp; $AF153),0)))))</f>
        <v>123991.3</v>
      </c>
      <c r="F153" s="35">
        <f ca="1">IF(ISERROR(MATCH(F$1,INDIRECT("Table!A"&amp;$AF153):INDIRECT("Table!" &amp; $AR$159 &amp; $AF153),0)),"",INDIRECT(CONCATENATE("Table!",ADDRESS($AB153,MATCH(F$1,INDIRECT("Table!A" &amp; $AF153):INDIRECT("Table!" &amp; $AR$159 &amp; $AF153),0)))))</f>
        <v>86.6</v>
      </c>
      <c r="G153" s="35">
        <f ca="1">IF(ISERROR(MATCH(G$1,INDIRECT("Table!A"&amp;$AF153):INDIRECT("Table!" &amp; $AR$159 &amp; $AF153),0)),"",INDIRECT(CONCATENATE("Table!",ADDRESS($AB153,MATCH(G$1,INDIRECT("Table!A" &amp; $AF153):INDIRECT("Table!" &amp; $AR$159 &amp; $AF153),0)))))</f>
        <v>13479.4</v>
      </c>
      <c r="H153" s="35">
        <f ca="1">IF(ISERROR(MATCH(H$1,INDIRECT("Table!A"&amp;$AF153):INDIRECT("Table!" &amp; $AR$159 &amp; $AF153),0)),"",INDIRECT(CONCATENATE("Table!",ADDRESS($AB153,MATCH(H$1,INDIRECT("Table!A" &amp; $AF153):INDIRECT("Table!" &amp; $AR$159 &amp; $AF153),0)))))</f>
        <v>19375.599999999999</v>
      </c>
      <c r="I153" s="35">
        <f ca="1">IF(ISERROR(MATCH(I$1,INDIRECT("Table!A"&amp;$AF153):INDIRECT("Table!" &amp; $AR$159 &amp; $AF153),0)),"",INDIRECT(CONCATENATE("Table!",ADDRESS($AB153,MATCH(I$1,INDIRECT("Table!A" &amp; $AF153):INDIRECT("Table!" &amp; $AR$159 &amp; $AF153),0)))))</f>
        <v>109524.2</v>
      </c>
      <c r="J153" s="35">
        <f ca="1">IF(ISERROR(MATCH(J$1,INDIRECT("Table!A"&amp;$AF153):INDIRECT("Table!" &amp; $AR$159 &amp; $AF153),0)),"",INDIRECT(CONCATENATE("Table!",ADDRESS($AB153,MATCH(J$1,INDIRECT("Table!A" &amp; $AF153):INDIRECT("Table!" &amp; $AR$159 &amp; $AF153),0)))))</f>
        <v>25820.2</v>
      </c>
      <c r="K153" s="35">
        <f ca="1">IF(ISERROR(MATCH(K$1,INDIRECT("Table!A"&amp;$AF153):INDIRECT("Table!" &amp; $AR$159 &amp; $AF153),0)),"",INDIRECT(CONCATENATE("Table!",ADDRESS($AB153,MATCH(K$1,INDIRECT("Table!A" &amp; $AF153):INDIRECT("Table!" &amp; $AR$159 &amp; $AF153),0)))))</f>
        <v>58.5</v>
      </c>
      <c r="L153" s="35">
        <f ca="1">IF(ISERROR(MATCH(L$1,INDIRECT("Table!A"&amp;$AF153):INDIRECT("Table!" &amp; $AR$159 &amp; $AF153),0)),"",INDIRECT(CONCATENATE("Table!",ADDRESS($AB153,MATCH(L$1,INDIRECT("Table!A" &amp; $AF153):INDIRECT("Table!" &amp; $AR$159 &amp; $AF153),0)))))</f>
        <v>76768.7</v>
      </c>
      <c r="M153" s="35">
        <f ca="1">IF(ISERROR(MATCH(M$1,INDIRECT("Table!A"&amp;$AF153):INDIRECT("Table!" &amp; $AR$159 &amp; $AF153),0)),"",INDIRECT(CONCATENATE("Table!",ADDRESS($AB153,MATCH(M$1,INDIRECT("Table!A" &amp; $AF153):INDIRECT("Table!" &amp; $AR$159 &amp; $AF153),0)))))</f>
        <v>22770.400000000001</v>
      </c>
      <c r="N153" s="35" t="str">
        <f ca="1">IF(ISERROR(MATCH(N$1,INDIRECT("Table!A"&amp;$AF153):INDIRECT("Table!" &amp; $AR$188 &amp; $AF153),0)),"",INDIRECT(CONCATENATE("Table!",ADDRESS($AB153,MATCH(N$1,INDIRECT("Table!A" &amp; $AF153):INDIRECT("Table!" &amp; $AR$188 &amp; $AF153),0)))))</f>
        <v/>
      </c>
      <c r="O153" s="35">
        <f ca="1">IF(ISERROR(MATCH(O$1,INDIRECT("Table!A"&amp;$AN153):INDIRECT("Table!" &amp; $AR$159 &amp; $AN153),0)),"",INDIRECT(CONCATENATE("Table!",ADDRESS($AJ153,MATCH(O$1,INDIRECT("Table!A" &amp; $AN153):INDIRECT("Table!" &amp; $AR$159 &amp; $AN153),0)))))</f>
        <v>115816.8</v>
      </c>
      <c r="P153" s="35">
        <f ca="1">IF(ISERROR(MATCH(P$1,INDIRECT("Table!A"&amp;$AN153):INDIRECT("Table!" &amp; $AR$159 &amp; $AN153),0)),"",INDIRECT(CONCATENATE("Table!",ADDRESS($AJ153,MATCH(P$1,INDIRECT("Table!A" &amp; $AN153):INDIRECT("Table!" &amp; $AR$159 &amp; $AN153),0)))))</f>
        <v>79968.7</v>
      </c>
      <c r="Q153" s="35">
        <f ca="1">IF(ISERROR(MATCH(Q$1,INDIRECT("Table!A"&amp;$AN153):INDIRECT("Table!" &amp; $AR$159 &amp; $AN153),0)),"",INDIRECT(CONCATENATE("Table!",ADDRESS($AJ153,MATCH(Q$1,INDIRECT("Table!A" &amp; $AN153):INDIRECT("Table!" &amp; $AR$159 &amp; $AN153),0)))))</f>
        <v>79968.7</v>
      </c>
      <c r="R153" s="35">
        <f ca="1">IF(ISERROR(MATCH(R$1,INDIRECT("Table!A"&amp;$AN153):INDIRECT("Table!" &amp; $AR$159 &amp; $AN153),0)),"",INDIRECT(CONCATENATE("Table!",ADDRESS($AJ153,MATCH(R$1,INDIRECT("Table!A" &amp; $AN153):INDIRECT("Table!" &amp; $AR$159 &amp; $AN153),0)))))</f>
        <v>154422.39999999999</v>
      </c>
      <c r="S153" s="35">
        <f ca="1">IF(ISERROR(MATCH(S$1,INDIRECT("Table!A"&amp;$AN153):INDIRECT("Table!" &amp; $AR$159 &amp; $AN153),0)),"",INDIRECT(CONCATENATE("Table!",ADDRESS($AJ153,MATCH(S$1,INDIRECT("Table!A" &amp; $AN153):INDIRECT("Table!" &amp; $AR$159 &amp; $AN153),0)))))</f>
        <v>121331.8</v>
      </c>
      <c r="T153" s="35">
        <f ca="1">IF(ISERROR(MATCH(T$1,INDIRECT("Table!A"&amp;$AN153):INDIRECT("Table!" &amp; $AR$159 &amp; $AN153),0)),"",INDIRECT(CONCATENATE("Table!",ADDRESS($AJ153,MATCH(T$1,INDIRECT("Table!A" &amp; $AN153):INDIRECT("Table!" &amp; $AR$159 &amp; $AN153),0)))))</f>
        <v>110071.9</v>
      </c>
      <c r="U153" s="35">
        <f ca="1">IF(ISERROR(MATCH(U$1,INDIRECT("Table!A"&amp;$AN153):INDIRECT("Table!" &amp; $AR$159 &amp; $AN153),0)),"",INDIRECT(CONCATENATE("Table!",ADDRESS($AJ153,MATCH(U$1,INDIRECT("Table!A" &amp; $AN153):INDIRECT("Table!" &amp; $AR$159 &amp; $AN153),0)))))</f>
        <v>121331.8</v>
      </c>
      <c r="V153" s="35">
        <f ca="1">IF(ISERROR(MATCH(V$1,INDIRECT("Table!A"&amp;$AN153):INDIRECT("Table!" &amp; $AR$159 &amp; $AN153),0)),"",INDIRECT(CONCATENATE("Table!",ADDRESS($AJ153,MATCH(V$1,INDIRECT("Table!A" &amp; $AN153):INDIRECT("Table!" &amp; $AR$159 &amp; $AN153),0)))))</f>
        <v>170967.6</v>
      </c>
      <c r="W153" s="35">
        <f ca="1">IF(ISERROR(MATCH(W$1,INDIRECT("Table!A"&amp;$AN153):INDIRECT("Table!" &amp; $AR$159 &amp; $AN153),0)),"",INDIRECT(CONCATENATE("Table!",ADDRESS($AJ153,MATCH(W$1,INDIRECT("Table!A" &amp; $AN153):INDIRECT("Table!" &amp; $AR$159 &amp; $AN153),0)))))</f>
        <v>54921</v>
      </c>
      <c r="X153" s="35">
        <f ca="1">IF(ISERROR(MATCH(X$1,INDIRECT("Table!A"&amp;$AN153):INDIRECT("Table!" &amp; $AR$159 &amp; $AN153),0)),"",INDIRECT(CONCATENATE("Table!",ADDRESS($AJ153,MATCH(X$1,INDIRECT("Table!A" &amp; $AN153):INDIRECT("Table!" &amp; $AR$159 &amp; $AN153),0)))))</f>
        <v>60665.9</v>
      </c>
      <c r="Y153" s="35">
        <f ca="1">IF(ISERROR(MATCH(Y$1,INDIRECT("Table!A"&amp;$AN153):INDIRECT("Table!" &amp; $AR$159 &amp; $AN153),0)),"",INDIRECT(CONCATENATE("Table!",ADDRESS($AJ153,MATCH(Y$1,INDIRECT("Table!A" &amp; $AN153):INDIRECT("Table!" &amp; $AR$159 &amp; $AN153),0)))))</f>
        <v>176482.7</v>
      </c>
      <c r="Z153" s="35">
        <f ca="1">IF(ISERROR(MATCH(Z$1,INDIRECT("Table!A"&amp;$AN153):INDIRECT("Table!" &amp; $AR$159 &amp; $AN153),0)),"",INDIRECT(CONCATENATE("Table!",ADDRESS($AJ153,MATCH(Z$1,INDIRECT("Table!A" &amp; $AN153):INDIRECT("Table!" &amp; $AR$159 &amp; $AN153),0)))))</f>
        <v>54921</v>
      </c>
      <c r="AA153" s="12"/>
      <c r="AB153" s="12">
        <f>MATCH($A153,Table!$A:$A,0)+$AD$2-1</f>
        <v>2171</v>
      </c>
      <c r="AF153" s="31">
        <f>MATCH($A153,Table!$A:$A,0)+$AH$2-1</f>
        <v>2169</v>
      </c>
      <c r="AJ153" s="12">
        <f>MATCH($A153,Table!$A:$A,0)+$AL$2-1</f>
        <v>2170</v>
      </c>
      <c r="AN153" s="31">
        <f>MATCH($A153,Table!$A:$A,0)+$AH$2-1</f>
        <v>2169</v>
      </c>
      <c r="AR153" s="118" t="s">
        <v>118</v>
      </c>
    </row>
    <row r="154" spans="1:44">
      <c r="A154" s="5">
        <v>40924</v>
      </c>
      <c r="B154" s="35">
        <f ca="1">IF(ISERROR(MATCH(B$1,INDIRECT("Table!A"&amp;$AF154):INDIRECT("Table!" &amp; $AR$159 &amp; $AF154),0)),"",INDIRECT(CONCATENATE("Table!",ADDRESS($AB154,MATCH(B$1,INDIRECT("Table!A" &amp; $AF154):INDIRECT("Table!" &amp; $AR$159 &amp; $AF154),0)))))</f>
        <v>89425.600000000006</v>
      </c>
      <c r="C154" s="35">
        <f ca="1">IF(ISERROR(MATCH(C$1,INDIRECT("Table!A"&amp;$AF154):INDIRECT("Table!" &amp; $AR$159 &amp; $AF154),0)),"",INDIRECT(CONCATENATE("Table!",ADDRESS($AB154,MATCH(C$1,INDIRECT("Table!A" &amp; $AF154):INDIRECT("Table!" &amp; $AR$159 &amp; $AF154),0)))))</f>
        <v>65469.3</v>
      </c>
      <c r="D154" s="35">
        <f ca="1">IF(ISERROR(MATCH(D$1,INDIRECT("Table!A"&amp;$AF154):INDIRECT("Table!" &amp; $AR$159 &amp; $AF154),0)),"",INDIRECT(CONCATENATE("Table!",ADDRESS($AB154,MATCH(D$1,INDIRECT("Table!A" &amp; $AF154):INDIRECT("Table!" &amp; $AR$159 &amp; $AF154),0)))))</f>
        <v>66847</v>
      </c>
      <c r="E154" s="35">
        <f ca="1">IF(ISERROR(MATCH(E$1,INDIRECT("Table!A"&amp;$AF154):INDIRECT("Table!" &amp; $AR$159 &amp; $AF154),0)),"",INDIRECT(CONCATENATE("Table!",ADDRESS($AB154,MATCH(E$1,INDIRECT("Table!A" &amp; $AF154):INDIRECT("Table!" &amp; $AR$159 &amp; $AF154),0)))))</f>
        <v>123865.3</v>
      </c>
      <c r="F154" s="35">
        <f ca="1">IF(ISERROR(MATCH(F$1,INDIRECT("Table!A"&amp;$AF154):INDIRECT("Table!" &amp; $AR$159 &amp; $AF154),0)),"",INDIRECT(CONCATENATE("Table!",ADDRESS($AB154,MATCH(F$1,INDIRECT("Table!A" &amp; $AF154):INDIRECT("Table!" &amp; $AR$159 &amp; $AF154),0)))))</f>
        <v>86.6</v>
      </c>
      <c r="G154" s="35">
        <f ca="1">IF(ISERROR(MATCH(G$1,INDIRECT("Table!A"&amp;$AF154):INDIRECT("Table!" &amp; $AR$159 &amp; $AF154),0)),"",INDIRECT(CONCATENATE("Table!",ADDRESS($AB154,MATCH(G$1,INDIRECT("Table!A" &amp; $AF154):INDIRECT("Table!" &amp; $AR$159 &amp; $AF154),0)))))</f>
        <v>13454.1</v>
      </c>
      <c r="H154" s="35">
        <f ca="1">IF(ISERROR(MATCH(H$1,INDIRECT("Table!A"&amp;$AF154):INDIRECT("Table!" &amp; $AR$159 &amp; $AF154),0)),"",INDIRECT(CONCATENATE("Table!",ADDRESS($AB154,MATCH(H$1,INDIRECT("Table!A" &amp; $AF154):INDIRECT("Table!" &amp; $AR$159 &amp; $AF154),0)))))</f>
        <v>19322.7</v>
      </c>
      <c r="I154" s="35">
        <f ca="1">IF(ISERROR(MATCH(I$1,INDIRECT("Table!A"&amp;$AF154):INDIRECT("Table!" &amp; $AR$159 &amp; $AF154),0)),"",INDIRECT(CONCATENATE("Table!",ADDRESS($AB154,MATCH(I$1,INDIRECT("Table!A" &amp; $AF154):INDIRECT("Table!" &amp; $AR$159 &amp; $AF154),0)))))</f>
        <v>109470.5</v>
      </c>
      <c r="J154" s="35">
        <f ca="1">IF(ISERROR(MATCH(J$1,INDIRECT("Table!A"&amp;$AF154):INDIRECT("Table!" &amp; $AR$159 &amp; $AF154),0)),"",INDIRECT(CONCATENATE("Table!",ADDRESS($AB154,MATCH(J$1,INDIRECT("Table!A" &amp; $AF154):INDIRECT("Table!" &amp; $AR$159 &amp; $AF154),0)))))</f>
        <v>25812.2</v>
      </c>
      <c r="K154" s="35">
        <f ca="1">IF(ISERROR(MATCH(K$1,INDIRECT("Table!A"&amp;$AF154):INDIRECT("Table!" &amp; $AR$159 &amp; $AF154),0)),"",INDIRECT(CONCATENATE("Table!",ADDRESS($AB154,MATCH(K$1,INDIRECT("Table!A" &amp; $AF154):INDIRECT("Table!" &amp; $AR$159 &amp; $AF154),0)))))</f>
        <v>58.5</v>
      </c>
      <c r="L154" s="35">
        <f ca="1">IF(ISERROR(MATCH(L$1,INDIRECT("Table!A"&amp;$AF154):INDIRECT("Table!" &amp; $AR$159 &amp; $AF154),0)),"",INDIRECT(CONCATENATE("Table!",ADDRESS($AB154,MATCH(L$1,INDIRECT("Table!A" &amp; $AF154):INDIRECT("Table!" &amp; $AR$159 &amp; $AF154),0)))))</f>
        <v>76762.2</v>
      </c>
      <c r="M154" s="35">
        <f ca="1">IF(ISERROR(MATCH(M$1,INDIRECT("Table!A"&amp;$AF154):INDIRECT("Table!" &amp; $AR$159 &amp; $AF154),0)),"",INDIRECT(CONCATENATE("Table!",ADDRESS($AB154,MATCH(M$1,INDIRECT("Table!A" &amp; $AF154):INDIRECT("Table!" &amp; $AR$159 &amp; $AF154),0)))))</f>
        <v>22770.3</v>
      </c>
      <c r="N154" s="35" t="str">
        <f ca="1">IF(ISERROR(MATCH(N$1,INDIRECT("Table!A"&amp;$AF154):INDIRECT("Table!" &amp; $AR$188 &amp; $AF154),0)),"",INDIRECT(CONCATENATE("Table!",ADDRESS($AB154,MATCH(N$1,INDIRECT("Table!A" &amp; $AF154):INDIRECT("Table!" &amp; $AR$188 &amp; $AF154),0)))))</f>
        <v/>
      </c>
      <c r="O154" s="35">
        <f ca="1">IF(ISERROR(MATCH(O$1,INDIRECT("Table!A"&amp;$AN154):INDIRECT("Table!" &amp; $AR$159 &amp; $AN154),0)),"",INDIRECT(CONCATENATE("Table!",ADDRESS($AJ154,MATCH(O$1,INDIRECT("Table!A" &amp; $AN154):INDIRECT("Table!" &amp; $AR$159 &amp; $AN154),0)))))</f>
        <v>115816.8</v>
      </c>
      <c r="P154" s="35">
        <f ca="1">IF(ISERROR(MATCH(P$1,INDIRECT("Table!A"&amp;$AN154):INDIRECT("Table!" &amp; $AR$159 &amp; $AN154),0)),"",INDIRECT(CONCATENATE("Table!",ADDRESS($AJ154,MATCH(P$1,INDIRECT("Table!A" &amp; $AN154):INDIRECT("Table!" &amp; $AR$159 &amp; $AN154),0)))))</f>
        <v>79968.7</v>
      </c>
      <c r="Q154" s="35">
        <f ca="1">IF(ISERROR(MATCH(Q$1,INDIRECT("Table!A"&amp;$AN154):INDIRECT("Table!" &amp; $AR$159 &amp; $AN154),0)),"",INDIRECT(CONCATENATE("Table!",ADDRESS($AJ154,MATCH(Q$1,INDIRECT("Table!A" &amp; $AN154):INDIRECT("Table!" &amp; $AR$159 &amp; $AN154),0)))))</f>
        <v>79968.7</v>
      </c>
      <c r="R154" s="35">
        <f ca="1">IF(ISERROR(MATCH(R$1,INDIRECT("Table!A"&amp;$AN154):INDIRECT("Table!" &amp; $AR$159 &amp; $AN154),0)),"",INDIRECT(CONCATENATE("Table!",ADDRESS($AJ154,MATCH(R$1,INDIRECT("Table!A" &amp; $AN154):INDIRECT("Table!" &amp; $AR$159 &amp; $AN154),0)))))</f>
        <v>154422.39999999999</v>
      </c>
      <c r="S154" s="35">
        <f ca="1">IF(ISERROR(MATCH(S$1,INDIRECT("Table!A"&amp;$AN154):INDIRECT("Table!" &amp; $AR$159 &amp; $AN154),0)),"",INDIRECT(CONCATENATE("Table!",ADDRESS($AJ154,MATCH(S$1,INDIRECT("Table!A" &amp; $AN154):INDIRECT("Table!" &amp; $AR$159 &amp; $AN154),0)))))</f>
        <v>121331.8</v>
      </c>
      <c r="T154" s="35">
        <f ca="1">IF(ISERROR(MATCH(T$1,INDIRECT("Table!A"&amp;$AN154):INDIRECT("Table!" &amp; $AR$159 &amp; $AN154),0)),"",INDIRECT(CONCATENATE("Table!",ADDRESS($AJ154,MATCH(T$1,INDIRECT("Table!A" &amp; $AN154):INDIRECT("Table!" &amp; $AR$159 &amp; $AN154),0)))))</f>
        <v>110071.9</v>
      </c>
      <c r="U154" s="35">
        <f ca="1">IF(ISERROR(MATCH(U$1,INDIRECT("Table!A"&amp;$AN154):INDIRECT("Table!" &amp; $AR$159 &amp; $AN154),0)),"",INDIRECT(CONCATENATE("Table!",ADDRESS($AJ154,MATCH(U$1,INDIRECT("Table!A" &amp; $AN154):INDIRECT("Table!" &amp; $AR$159 &amp; $AN154),0)))))</f>
        <v>121331.8</v>
      </c>
      <c r="V154" s="35">
        <f ca="1">IF(ISERROR(MATCH(V$1,INDIRECT("Table!A"&amp;$AN154):INDIRECT("Table!" &amp; $AR$159 &amp; $AN154),0)),"",INDIRECT(CONCATENATE("Table!",ADDRESS($AJ154,MATCH(V$1,INDIRECT("Table!A" &amp; $AN154):INDIRECT("Table!" &amp; $AR$159 &amp; $AN154),0)))))</f>
        <v>170967.6</v>
      </c>
      <c r="W154" s="35">
        <f ca="1">IF(ISERROR(MATCH(W$1,INDIRECT("Table!A"&amp;$AN154):INDIRECT("Table!" &amp; $AR$159 &amp; $AN154),0)),"",INDIRECT(CONCATENATE("Table!",ADDRESS($AJ154,MATCH(W$1,INDIRECT("Table!A" &amp; $AN154):INDIRECT("Table!" &amp; $AR$159 &amp; $AN154),0)))))</f>
        <v>54921</v>
      </c>
      <c r="X154" s="35">
        <f ca="1">IF(ISERROR(MATCH(X$1,INDIRECT("Table!A"&amp;$AN154):INDIRECT("Table!" &amp; $AR$159 &amp; $AN154),0)),"",INDIRECT(CONCATENATE("Table!",ADDRESS($AJ154,MATCH(X$1,INDIRECT("Table!A" &amp; $AN154):INDIRECT("Table!" &amp; $AR$159 &amp; $AN154),0)))))</f>
        <v>60665.9</v>
      </c>
      <c r="Y154" s="35">
        <f ca="1">IF(ISERROR(MATCH(Y$1,INDIRECT("Table!A"&amp;$AN154):INDIRECT("Table!" &amp; $AR$159 &amp; $AN154),0)),"",INDIRECT(CONCATENATE("Table!",ADDRESS($AJ154,MATCH(Y$1,INDIRECT("Table!A" &amp; $AN154):INDIRECT("Table!" &amp; $AR$159 &amp; $AN154),0)))))</f>
        <v>176482.7</v>
      </c>
      <c r="Z154" s="35">
        <f ca="1">IF(ISERROR(MATCH(Z$1,INDIRECT("Table!A"&amp;$AN154):INDIRECT("Table!" &amp; $AR$159 &amp; $AN154),0)),"",INDIRECT(CONCATENATE("Table!",ADDRESS($AJ154,MATCH(Z$1,INDIRECT("Table!A" &amp; $AN154):INDIRECT("Table!" &amp; $AR$159 &amp; $AN154),0)))))</f>
        <v>54921</v>
      </c>
      <c r="AA154" s="12"/>
      <c r="AB154" s="12">
        <f>MATCH($A154,Table!$A:$A,0)+$AD$2-1</f>
        <v>2184</v>
      </c>
      <c r="AF154" s="31">
        <f>MATCH($A154,Table!$A:$A,0)+$AH$2-1</f>
        <v>2182</v>
      </c>
      <c r="AJ154" s="12">
        <f>MATCH($A154,Table!$A:$A,0)+$AL$2-1</f>
        <v>2183</v>
      </c>
      <c r="AN154" s="31">
        <f>MATCH($A154,Table!$A:$A,0)+$AH$2-1</f>
        <v>2182</v>
      </c>
      <c r="AR154" s="117" t="s">
        <v>118</v>
      </c>
    </row>
    <row r="155" spans="1:44">
      <c r="A155" s="5">
        <v>40921</v>
      </c>
      <c r="B155" s="35">
        <f ca="1">IF(ISERROR(MATCH(B$1,INDIRECT("Table!A"&amp;$AF155):INDIRECT("Table!" &amp; $AR$159 &amp; $AF155),0)),"",INDIRECT(CONCATENATE("Table!",ADDRESS($AB155,MATCH(B$1,INDIRECT("Table!A" &amp; $AF155):INDIRECT("Table!" &amp; $AR$159 &amp; $AF155),0)))))</f>
        <v>89217.1</v>
      </c>
      <c r="C155" s="35">
        <f ca="1">IF(ISERROR(MATCH(C$1,INDIRECT("Table!A"&amp;$AF155):INDIRECT("Table!" &amp; $AR$159 &amp; $AF155),0)),"",INDIRECT(CONCATENATE("Table!",ADDRESS($AB155,MATCH(C$1,INDIRECT("Table!A" &amp; $AF155):INDIRECT("Table!" &amp; $AR$159 &amp; $AF155),0)))))</f>
        <v>65460.4</v>
      </c>
      <c r="D155" s="35">
        <f ca="1">IF(ISERROR(MATCH(D$1,INDIRECT("Table!A"&amp;$AF155):INDIRECT("Table!" &amp; $AR$159 &amp; $AF155),0)),"",INDIRECT(CONCATENATE("Table!",ADDRESS($AB155,MATCH(D$1,INDIRECT("Table!A" &amp; $AF155):INDIRECT("Table!" &amp; $AR$159 &amp; $AF155),0)))))</f>
        <v>66838.399999999994</v>
      </c>
      <c r="E155" s="35">
        <f ca="1">IF(ISERROR(MATCH(E$1,INDIRECT("Table!A"&amp;$AF155):INDIRECT("Table!" &amp; $AR$159 &amp; $AF155),0)),"",INDIRECT(CONCATENATE("Table!",ADDRESS($AB155,MATCH(E$1,INDIRECT("Table!A" &amp; $AF155):INDIRECT("Table!" &amp; $AR$159 &amp; $AF155),0)))))</f>
        <v>123423.2</v>
      </c>
      <c r="F155" s="35">
        <f ca="1">IF(ISERROR(MATCH(F$1,INDIRECT("Table!A"&amp;$AF155):INDIRECT("Table!" &amp; $AR$159 &amp; $AF155),0)),"",INDIRECT(CONCATENATE("Table!",ADDRESS($AB155,MATCH(F$1,INDIRECT("Table!A" &amp; $AF155):INDIRECT("Table!" &amp; $AR$159 &amp; $AF155),0)))))</f>
        <v>84.1</v>
      </c>
      <c r="G155" s="35">
        <f ca="1">IF(ISERROR(MATCH(G$1,INDIRECT("Table!A"&amp;$AF155):INDIRECT("Table!" &amp; $AR$159 &amp; $AF155),0)),"",INDIRECT(CONCATENATE("Table!",ADDRESS($AB155,MATCH(G$1,INDIRECT("Table!A" &amp; $AF155):INDIRECT("Table!" &amp; $AR$159 &amp; $AF155),0)))))</f>
        <v>13407.7</v>
      </c>
      <c r="H155" s="35">
        <f ca="1">IF(ISERROR(MATCH(H$1,INDIRECT("Table!A"&amp;$AF155):INDIRECT("Table!" &amp; $AR$159 &amp; $AF155),0)),"",INDIRECT(CONCATENATE("Table!",ADDRESS($AB155,MATCH(H$1,INDIRECT("Table!A" &amp; $AF155):INDIRECT("Table!" &amp; $AR$159 &amp; $AF155),0)))))</f>
        <v>19300.8</v>
      </c>
      <c r="I155" s="35">
        <f ca="1">IF(ISERROR(MATCH(I$1,INDIRECT("Table!A"&amp;$AF155):INDIRECT("Table!" &amp; $AR$159 &amp; $AF155),0)),"",INDIRECT(CONCATENATE("Table!",ADDRESS($AB155,MATCH(I$1,INDIRECT("Table!A" &amp; $AF155):INDIRECT("Table!" &amp; $AR$159 &amp; $AF155),0)))))</f>
        <v>109336.9</v>
      </c>
      <c r="J155" s="35">
        <f ca="1">IF(ISERROR(MATCH(J$1,INDIRECT("Table!A"&amp;$AF155):INDIRECT("Table!" &amp; $AR$159 &amp; $AF155),0)),"",INDIRECT(CONCATENATE("Table!",ADDRESS($AB155,MATCH(J$1,INDIRECT("Table!A" &amp; $AF155):INDIRECT("Table!" &amp; $AR$159 &amp; $AF155),0)))))</f>
        <v>25683.7</v>
      </c>
      <c r="K155" s="35">
        <f ca="1">IF(ISERROR(MATCH(K$1,INDIRECT("Table!A"&amp;$AF155):INDIRECT("Table!" &amp; $AR$159 &amp; $AF155),0)),"",INDIRECT(CONCATENATE("Table!",ADDRESS($AB155,MATCH(K$1,INDIRECT("Table!A" &amp; $AF155):INDIRECT("Table!" &amp; $AR$159 &amp; $AF155),0)))))</f>
        <v>57.2</v>
      </c>
      <c r="L155" s="35">
        <f ca="1">IF(ISERROR(MATCH(L$1,INDIRECT("Table!A"&amp;$AF155):INDIRECT("Table!" &amp; $AR$159 &amp; $AF155),0)),"",INDIRECT(CONCATENATE("Table!",ADDRESS($AB155,MATCH(L$1,INDIRECT("Table!A" &amp; $AF155):INDIRECT("Table!" &amp; $AR$159 &amp; $AF155),0)))))</f>
        <v>76714.2</v>
      </c>
      <c r="M155" s="35">
        <f ca="1">IF(ISERROR(MATCH(M$1,INDIRECT("Table!A"&amp;$AF155):INDIRECT("Table!" &amp; $AR$159 &amp; $AF155),0)),"",INDIRECT(CONCATENATE("Table!",ADDRESS($AB155,MATCH(M$1,INDIRECT("Table!A" &amp; $AF155):INDIRECT("Table!" &amp; $AR$159 &amp; $AF155),0)))))</f>
        <v>22768.2</v>
      </c>
      <c r="N155" s="35" t="str">
        <f ca="1">IF(ISERROR(MATCH(N$1,INDIRECT("Table!A"&amp;$AF155):INDIRECT("Table!" &amp; $AR$188 &amp; $AF155),0)),"",INDIRECT(CONCATENATE("Table!",ADDRESS($AB155,MATCH(N$1,INDIRECT("Table!A" &amp; $AF155):INDIRECT("Table!" &amp; $AR$188 &amp; $AF155),0)))))</f>
        <v/>
      </c>
      <c r="O155" s="35">
        <f ca="1">IF(ISERROR(MATCH(O$1,INDIRECT("Table!A"&amp;$AN155):INDIRECT("Table!" &amp; $AR$159 &amp; $AN155),0)),"",INDIRECT(CONCATENATE("Table!",ADDRESS($AJ155,MATCH(O$1,INDIRECT("Table!A" &amp; $AN155):INDIRECT("Table!" &amp; $AR$159 &amp; $AN155),0)))))</f>
        <v>115816.8</v>
      </c>
      <c r="P155" s="35">
        <f ca="1">IF(ISERROR(MATCH(P$1,INDIRECT("Table!A"&amp;$AN155):INDIRECT("Table!" &amp; $AR$159 &amp; $AN155),0)),"",INDIRECT(CONCATENATE("Table!",ADDRESS($AJ155,MATCH(P$1,INDIRECT("Table!A" &amp; $AN155):INDIRECT("Table!" &amp; $AR$159 &amp; $AN155),0)))))</f>
        <v>79968.7</v>
      </c>
      <c r="Q155" s="35">
        <f ca="1">IF(ISERROR(MATCH(Q$1,INDIRECT("Table!A"&amp;$AN155):INDIRECT("Table!" &amp; $AR$159 &amp; $AN155),0)),"",INDIRECT(CONCATENATE("Table!",ADDRESS($AJ155,MATCH(Q$1,INDIRECT("Table!A" &amp; $AN155):INDIRECT("Table!" &amp; $AR$159 &amp; $AN155),0)))))</f>
        <v>79968.7</v>
      </c>
      <c r="R155" s="35">
        <f ca="1">IF(ISERROR(MATCH(R$1,INDIRECT("Table!A"&amp;$AN155):INDIRECT("Table!" &amp; $AR$159 &amp; $AN155),0)),"",INDIRECT(CONCATENATE("Table!",ADDRESS($AJ155,MATCH(R$1,INDIRECT("Table!A" &amp; $AN155):INDIRECT("Table!" &amp; $AR$159 &amp; $AN155),0)))))</f>
        <v>154422.39999999999</v>
      </c>
      <c r="S155" s="35">
        <f ca="1">IF(ISERROR(MATCH(S$1,INDIRECT("Table!A"&amp;$AN155):INDIRECT("Table!" &amp; $AR$159 &amp; $AN155),0)),"",INDIRECT(CONCATENATE("Table!",ADDRESS($AJ155,MATCH(S$1,INDIRECT("Table!A" &amp; $AN155):INDIRECT("Table!" &amp; $AR$159 &amp; $AN155),0)))))</f>
        <v>121331.8</v>
      </c>
      <c r="T155" s="35">
        <f ca="1">IF(ISERROR(MATCH(T$1,INDIRECT("Table!A"&amp;$AN155):INDIRECT("Table!" &amp; $AR$159 &amp; $AN155),0)),"",INDIRECT(CONCATENATE("Table!",ADDRESS($AJ155,MATCH(T$1,INDIRECT("Table!A" &amp; $AN155):INDIRECT("Table!" &amp; $AR$159 &amp; $AN155),0)))))</f>
        <v>110071.9</v>
      </c>
      <c r="U155" s="35">
        <f ca="1">IF(ISERROR(MATCH(U$1,INDIRECT("Table!A"&amp;$AN155):INDIRECT("Table!" &amp; $AR$159 &amp; $AN155),0)),"",INDIRECT(CONCATENATE("Table!",ADDRESS($AJ155,MATCH(U$1,INDIRECT("Table!A" &amp; $AN155):INDIRECT("Table!" &amp; $AR$159 &amp; $AN155),0)))))</f>
        <v>121331.8</v>
      </c>
      <c r="V155" s="35">
        <f ca="1">IF(ISERROR(MATCH(V$1,INDIRECT("Table!A"&amp;$AN155):INDIRECT("Table!" &amp; $AR$159 &amp; $AN155),0)),"",INDIRECT(CONCATENATE("Table!",ADDRESS($AJ155,MATCH(V$1,INDIRECT("Table!A" &amp; $AN155):INDIRECT("Table!" &amp; $AR$159 &amp; $AN155),0)))))</f>
        <v>170967.6</v>
      </c>
      <c r="W155" s="35">
        <f ca="1">IF(ISERROR(MATCH(W$1,INDIRECT("Table!A"&amp;$AN155):INDIRECT("Table!" &amp; $AR$159 &amp; $AN155),0)),"",INDIRECT(CONCATENATE("Table!",ADDRESS($AJ155,MATCH(W$1,INDIRECT("Table!A" &amp; $AN155):INDIRECT("Table!" &amp; $AR$159 &amp; $AN155),0)))))</f>
        <v>54921</v>
      </c>
      <c r="X155" s="35">
        <f ca="1">IF(ISERROR(MATCH(X$1,INDIRECT("Table!A"&amp;$AN155):INDIRECT("Table!" &amp; $AR$159 &amp; $AN155),0)),"",INDIRECT(CONCATENATE("Table!",ADDRESS($AJ155,MATCH(X$1,INDIRECT("Table!A" &amp; $AN155):INDIRECT("Table!" &amp; $AR$159 &amp; $AN155),0)))))</f>
        <v>60665.9</v>
      </c>
      <c r="Y155" s="35">
        <f ca="1">IF(ISERROR(MATCH(Y$1,INDIRECT("Table!A"&amp;$AN155):INDIRECT("Table!" &amp; $AR$159 &amp; $AN155),0)),"",INDIRECT(CONCATENATE("Table!",ADDRESS($AJ155,MATCH(Y$1,INDIRECT("Table!A" &amp; $AN155):INDIRECT("Table!" &amp; $AR$159 &amp; $AN155),0)))))</f>
        <v>176482.7</v>
      </c>
      <c r="Z155" s="35">
        <f ca="1">IF(ISERROR(MATCH(Z$1,INDIRECT("Table!A"&amp;$AN155):INDIRECT("Table!" &amp; $AR$159 &amp; $AN155),0)),"",INDIRECT(CONCATENATE("Table!",ADDRESS($AJ155,MATCH(Z$1,INDIRECT("Table!A" &amp; $AN155):INDIRECT("Table!" &amp; $AR$159 &amp; $AN155),0)))))</f>
        <v>54921</v>
      </c>
      <c r="AA155" s="12"/>
      <c r="AB155" s="12">
        <f>MATCH($A155,Table!$A:$A,0)+$AD$2-1</f>
        <v>2197</v>
      </c>
      <c r="AF155" s="31">
        <f>MATCH($A155,Table!$A:$A,0)+$AH$2-1</f>
        <v>2195</v>
      </c>
      <c r="AJ155" s="12">
        <f>MATCH($A155,Table!$A:$A,0)+$AL$2-1</f>
        <v>2196</v>
      </c>
      <c r="AN155" s="31">
        <f>MATCH($A155,Table!$A:$A,0)+$AH$2-1</f>
        <v>2195</v>
      </c>
      <c r="AR155" s="116" t="s">
        <v>118</v>
      </c>
    </row>
    <row r="156" spans="1:44">
      <c r="A156" s="5">
        <v>40920</v>
      </c>
      <c r="B156" s="35">
        <f ca="1">IF(ISERROR(MATCH(B$1,INDIRECT("Table!A"&amp;$AF156):INDIRECT("Table!" &amp; $AR$159 &amp; $AF156),0)),"",INDIRECT(CONCATENATE("Table!",ADDRESS($AB156,MATCH(B$1,INDIRECT("Table!A" &amp; $AF156):INDIRECT("Table!" &amp; $AR$159 &amp; $AF156),0)))))</f>
        <v>89211.4</v>
      </c>
      <c r="C156" s="35">
        <f ca="1">IF(ISERROR(MATCH(C$1,INDIRECT("Table!A"&amp;$AF156):INDIRECT("Table!" &amp; $AR$159 &amp; $AF156),0)),"",INDIRECT(CONCATENATE("Table!",ADDRESS($AB156,MATCH(C$1,INDIRECT("Table!A" &amp; $AF156):INDIRECT("Table!" &amp; $AR$159 &amp; $AF156),0)))))</f>
        <v>65453.9</v>
      </c>
      <c r="D156" s="35">
        <f ca="1">IF(ISERROR(MATCH(D$1,INDIRECT("Table!A"&amp;$AF156):INDIRECT("Table!" &amp; $AR$159 &amp; $AF156),0)),"",INDIRECT(CONCATENATE("Table!",ADDRESS($AB156,MATCH(D$1,INDIRECT("Table!A" &amp; $AF156):INDIRECT("Table!" &amp; $AR$159 &amp; $AF156),0)))))</f>
        <v>66831.8</v>
      </c>
      <c r="E156" s="35">
        <f ca="1">IF(ISERROR(MATCH(E$1,INDIRECT("Table!A"&amp;$AF156):INDIRECT("Table!" &amp; $AR$159 &amp; $AF156),0)),"",INDIRECT(CONCATENATE("Table!",ADDRESS($AB156,MATCH(E$1,INDIRECT("Table!A" &amp; $AF156):INDIRECT("Table!" &amp; $AR$159 &amp; $AF156),0)))))</f>
        <v>123185.8</v>
      </c>
      <c r="F156" s="35">
        <f ca="1">IF(ISERROR(MATCH(F$1,INDIRECT("Table!A"&amp;$AF156):INDIRECT("Table!" &amp; $AR$159 &amp; $AF156),0)),"",INDIRECT(CONCATENATE("Table!",ADDRESS($AB156,MATCH(F$1,INDIRECT("Table!A" &amp; $AF156):INDIRECT("Table!" &amp; $AR$159 &amp; $AF156),0)))))</f>
        <v>82.4</v>
      </c>
      <c r="G156" s="35">
        <f ca="1">IF(ISERROR(MATCH(G$1,INDIRECT("Table!A"&amp;$AF156):INDIRECT("Table!" &amp; $AR$159 &amp; $AF156),0)),"",INDIRECT(CONCATENATE("Table!",ADDRESS($AB156,MATCH(G$1,INDIRECT("Table!A" &amp; $AF156):INDIRECT("Table!" &amp; $AR$159 &amp; $AF156),0)))))</f>
        <v>13342.7</v>
      </c>
      <c r="H156" s="35">
        <f ca="1">IF(ISERROR(MATCH(H$1,INDIRECT("Table!A"&amp;$AF156):INDIRECT("Table!" &amp; $AR$159 &amp; $AF156),0)),"",INDIRECT(CONCATENATE("Table!",ADDRESS($AB156,MATCH(H$1,INDIRECT("Table!A" &amp; $AF156):INDIRECT("Table!" &amp; $AR$159 &amp; $AF156),0)))))</f>
        <v>19291.900000000001</v>
      </c>
      <c r="I156" s="35">
        <f ca="1">IF(ISERROR(MATCH(I$1,INDIRECT("Table!A"&amp;$AF156):INDIRECT("Table!" &amp; $AR$159 &amp; $AF156),0)),"",INDIRECT(CONCATENATE("Table!",ADDRESS($AB156,MATCH(I$1,INDIRECT("Table!A" &amp; $AF156):INDIRECT("Table!" &amp; $AR$159 &amp; $AF156),0)))))</f>
        <v>109285.2</v>
      </c>
      <c r="J156" s="35">
        <f ca="1">IF(ISERROR(MATCH(J$1,INDIRECT("Table!A"&amp;$AF156):INDIRECT("Table!" &amp; $AR$159 &amp; $AF156),0)),"",INDIRECT(CONCATENATE("Table!",ADDRESS($AB156,MATCH(J$1,INDIRECT("Table!A" &amp; $AF156):INDIRECT("Table!" &amp; $AR$159 &amp; $AF156),0)))))</f>
        <v>25573.9</v>
      </c>
      <c r="K156" s="35">
        <f ca="1">IF(ISERROR(MATCH(K$1,INDIRECT("Table!A"&amp;$AF156):INDIRECT("Table!" &amp; $AR$159 &amp; $AF156),0)),"",INDIRECT(CONCATENATE("Table!",ADDRESS($AB156,MATCH(K$1,INDIRECT("Table!A" &amp; $AF156):INDIRECT("Table!" &amp; $AR$159 &amp; $AF156),0)))))</f>
        <v>56.4</v>
      </c>
      <c r="L156" s="35">
        <f ca="1">IF(ISERROR(MATCH(L$1,INDIRECT("Table!A"&amp;$AF156):INDIRECT("Table!" &amp; $AR$159 &amp; $AF156),0)),"",INDIRECT(CONCATENATE("Table!",ADDRESS($AB156,MATCH(L$1,INDIRECT("Table!A" &amp; $AF156):INDIRECT("Table!" &amp; $AR$159 &amp; $AF156),0)))))</f>
        <v>76691.899999999994</v>
      </c>
      <c r="M156" s="35">
        <f ca="1">IF(ISERROR(MATCH(M$1,INDIRECT("Table!A"&amp;$AF156):INDIRECT("Table!" &amp; $AR$159 &amp; $AF156),0)),"",INDIRECT(CONCATENATE("Table!",ADDRESS($AB156,MATCH(M$1,INDIRECT("Table!A" &amp; $AF156):INDIRECT("Table!" &amp; $AR$159 &amp; $AF156),0)))))</f>
        <v>22766</v>
      </c>
      <c r="N156" s="35" t="str">
        <f ca="1">IF(ISERROR(MATCH(N$1,INDIRECT("Table!A"&amp;$AF156):INDIRECT("Table!" &amp; $AR$188 &amp; $AF156),0)),"",INDIRECT(CONCATENATE("Table!",ADDRESS($AB156,MATCH(N$1,INDIRECT("Table!A" &amp; $AF156):INDIRECT("Table!" &amp; $AR$188 &amp; $AF156),0)))))</f>
        <v/>
      </c>
      <c r="O156" s="35">
        <f ca="1">IF(ISERROR(MATCH(O$1,INDIRECT("Table!A"&amp;$AN156):INDIRECT("Table!" &amp; $AR$159 &amp; $AN156),0)),"",INDIRECT(CONCATENATE("Table!",ADDRESS($AJ156,MATCH(O$1,INDIRECT("Table!A" &amp; $AN156):INDIRECT("Table!" &amp; $AR$159 &amp; $AN156),0)))))</f>
        <v>115816.8</v>
      </c>
      <c r="P156" s="35">
        <f ca="1">IF(ISERROR(MATCH(P$1,INDIRECT("Table!A"&amp;$AN156):INDIRECT("Table!" &amp; $AR$159 &amp; $AN156),0)),"",INDIRECT(CONCATENATE("Table!",ADDRESS($AJ156,MATCH(P$1,INDIRECT("Table!A" &amp; $AN156):INDIRECT("Table!" &amp; $AR$159 &amp; $AN156),0)))))</f>
        <v>79968.7</v>
      </c>
      <c r="Q156" s="35">
        <f ca="1">IF(ISERROR(MATCH(Q$1,INDIRECT("Table!A"&amp;$AN156):INDIRECT("Table!" &amp; $AR$159 &amp; $AN156),0)),"",INDIRECT(CONCATENATE("Table!",ADDRESS($AJ156,MATCH(Q$1,INDIRECT("Table!A" &amp; $AN156):INDIRECT("Table!" &amp; $AR$159 &amp; $AN156),0)))))</f>
        <v>79968.7</v>
      </c>
      <c r="R156" s="35">
        <f ca="1">IF(ISERROR(MATCH(R$1,INDIRECT("Table!A"&amp;$AN156):INDIRECT("Table!" &amp; $AR$159 &amp; $AN156),0)),"",INDIRECT(CONCATENATE("Table!",ADDRESS($AJ156,MATCH(R$1,INDIRECT("Table!A" &amp; $AN156):INDIRECT("Table!" &amp; $AR$159 &amp; $AN156),0)))))</f>
        <v>154422.39999999999</v>
      </c>
      <c r="S156" s="35">
        <f ca="1">IF(ISERROR(MATCH(S$1,INDIRECT("Table!A"&amp;$AN156):INDIRECT("Table!" &amp; $AR$159 &amp; $AN156),0)),"",INDIRECT(CONCATENATE("Table!",ADDRESS($AJ156,MATCH(S$1,INDIRECT("Table!A" &amp; $AN156):INDIRECT("Table!" &amp; $AR$159 &amp; $AN156),0)))))</f>
        <v>121331.8</v>
      </c>
      <c r="T156" s="35">
        <f ca="1">IF(ISERROR(MATCH(T$1,INDIRECT("Table!A"&amp;$AN156):INDIRECT("Table!" &amp; $AR$159 &amp; $AN156),0)),"",INDIRECT(CONCATENATE("Table!",ADDRESS($AJ156,MATCH(T$1,INDIRECT("Table!A" &amp; $AN156):INDIRECT("Table!" &amp; $AR$159 &amp; $AN156),0)))))</f>
        <v>110071.9</v>
      </c>
      <c r="U156" s="35">
        <f ca="1">IF(ISERROR(MATCH(U$1,INDIRECT("Table!A"&amp;$AN156):INDIRECT("Table!" &amp; $AR$159 &amp; $AN156),0)),"",INDIRECT(CONCATENATE("Table!",ADDRESS($AJ156,MATCH(U$1,INDIRECT("Table!A" &amp; $AN156):INDIRECT("Table!" &amp; $AR$159 &amp; $AN156),0)))))</f>
        <v>121331.8</v>
      </c>
      <c r="V156" s="35">
        <f ca="1">IF(ISERROR(MATCH(V$1,INDIRECT("Table!A"&amp;$AN156):INDIRECT("Table!" &amp; $AR$159 &amp; $AN156),0)),"",INDIRECT(CONCATENATE("Table!",ADDRESS($AJ156,MATCH(V$1,INDIRECT("Table!A" &amp; $AN156):INDIRECT("Table!" &amp; $AR$159 &amp; $AN156),0)))))</f>
        <v>170967.6</v>
      </c>
      <c r="W156" s="35">
        <f ca="1">IF(ISERROR(MATCH(W$1,INDIRECT("Table!A"&amp;$AN156):INDIRECT("Table!" &amp; $AR$159 &amp; $AN156),0)),"",INDIRECT(CONCATENATE("Table!",ADDRESS($AJ156,MATCH(W$1,INDIRECT("Table!A" &amp; $AN156):INDIRECT("Table!" &amp; $AR$159 &amp; $AN156),0)))))</f>
        <v>54921</v>
      </c>
      <c r="X156" s="35">
        <f ca="1">IF(ISERROR(MATCH(X$1,INDIRECT("Table!A"&amp;$AN156):INDIRECT("Table!" &amp; $AR$159 &amp; $AN156),0)),"",INDIRECT(CONCATENATE("Table!",ADDRESS($AJ156,MATCH(X$1,INDIRECT("Table!A" &amp; $AN156):INDIRECT("Table!" &amp; $AR$159 &amp; $AN156),0)))))</f>
        <v>60665.9</v>
      </c>
      <c r="Y156" s="35">
        <f ca="1">IF(ISERROR(MATCH(Y$1,INDIRECT("Table!A"&amp;$AN156):INDIRECT("Table!" &amp; $AR$159 &amp; $AN156),0)),"",INDIRECT(CONCATENATE("Table!",ADDRESS($AJ156,MATCH(Y$1,INDIRECT("Table!A" &amp; $AN156):INDIRECT("Table!" &amp; $AR$159 &amp; $AN156),0)))))</f>
        <v>176482.7</v>
      </c>
      <c r="Z156" s="35">
        <f ca="1">IF(ISERROR(MATCH(Z$1,INDIRECT("Table!A"&amp;$AN156):INDIRECT("Table!" &amp; $AR$159 &amp; $AN156),0)),"",INDIRECT(CONCATENATE("Table!",ADDRESS($AJ156,MATCH(Z$1,INDIRECT("Table!A" &amp; $AN156):INDIRECT("Table!" &amp; $AR$159 &amp; $AN156),0)))))</f>
        <v>54921</v>
      </c>
      <c r="AA156" s="12"/>
      <c r="AB156" s="12">
        <f>MATCH($A156,Table!$A:$A,0)+$AD$2-1</f>
        <v>2210</v>
      </c>
      <c r="AF156" s="31">
        <f>MATCH($A156,Table!$A:$A,0)+$AH$2-1</f>
        <v>2208</v>
      </c>
      <c r="AJ156" s="12">
        <f>MATCH($A156,Table!$A:$A,0)+$AL$2-1</f>
        <v>2209</v>
      </c>
      <c r="AN156" s="31">
        <f>MATCH($A156,Table!$A:$A,0)+$AH$2-1</f>
        <v>2208</v>
      </c>
      <c r="AR156" s="115" t="s">
        <v>118</v>
      </c>
    </row>
    <row r="157" spans="1:44">
      <c r="A157" s="5">
        <v>40919</v>
      </c>
      <c r="B157" s="35">
        <f ca="1">IF(ISERROR(MATCH(B$1,INDIRECT("Table!A"&amp;$AF157):INDIRECT("Table!" &amp; $AR$159 &amp; $AF157),0)),"",INDIRECT(CONCATENATE("Table!",ADDRESS($AB157,MATCH(B$1,INDIRECT("Table!A" &amp; $AF157):INDIRECT("Table!" &amp; $AR$159 &amp; $AF157),0)))))</f>
        <v>89168.2</v>
      </c>
      <c r="C157" s="35">
        <f ca="1">IF(ISERROR(MATCH(C$1,INDIRECT("Table!A"&amp;$AF157):INDIRECT("Table!" &amp; $AR$159 &amp; $AF157),0)),"",INDIRECT(CONCATENATE("Table!",ADDRESS($AB157,MATCH(C$1,INDIRECT("Table!A" &amp; $AF157):INDIRECT("Table!" &amp; $AR$159 &amp; $AF157),0)))))</f>
        <v>65398.3</v>
      </c>
      <c r="D157" s="35">
        <f ca="1">IF(ISERROR(MATCH(D$1,INDIRECT("Table!A"&amp;$AF157):INDIRECT("Table!" &amp; $AR$159 &amp; $AF157),0)),"",INDIRECT(CONCATENATE("Table!",ADDRESS($AB157,MATCH(D$1,INDIRECT("Table!A" &amp; $AF157):INDIRECT("Table!" &amp; $AR$159 &amp; $AF157),0)))))</f>
        <v>66776.100000000006</v>
      </c>
      <c r="E157" s="35">
        <f ca="1">IF(ISERROR(MATCH(E$1,INDIRECT("Table!A"&amp;$AF157):INDIRECT("Table!" &amp; $AR$159 &amp; $AF157),0)),"",INDIRECT(CONCATENATE("Table!",ADDRESS($AB157,MATCH(E$1,INDIRECT("Table!A" &amp; $AF157):INDIRECT("Table!" &amp; $AR$159 &amp; $AF157),0)))))</f>
        <v>123071.4</v>
      </c>
      <c r="F157" s="35">
        <f ca="1">IF(ISERROR(MATCH(F$1,INDIRECT("Table!A"&amp;$AF157):INDIRECT("Table!" &amp; $AR$159 &amp; $AF157),0)),"",INDIRECT(CONCATENATE("Table!",ADDRESS($AB157,MATCH(F$1,INDIRECT("Table!A" &amp; $AF157):INDIRECT("Table!" &amp; $AR$159 &amp; $AF157),0)))))</f>
        <v>80.8</v>
      </c>
      <c r="G157" s="35">
        <f ca="1">IF(ISERROR(MATCH(G$1,INDIRECT("Table!A"&amp;$AF157):INDIRECT("Table!" &amp; $AR$159 &amp; $AF157),0)),"",INDIRECT(CONCATENATE("Table!",ADDRESS($AB157,MATCH(G$1,INDIRECT("Table!A" &amp; $AF157):INDIRECT("Table!" &amp; $AR$159 &amp; $AF157),0)))))</f>
        <v>13205.5</v>
      </c>
      <c r="H157" s="35">
        <f ca="1">IF(ISERROR(MATCH(H$1,INDIRECT("Table!A"&amp;$AF157):INDIRECT("Table!" &amp; $AR$159 &amp; $AF157),0)),"",INDIRECT(CONCATENATE("Table!",ADDRESS($AB157,MATCH(H$1,INDIRECT("Table!A" &amp; $AF157):INDIRECT("Table!" &amp; $AR$159 &amp; $AF157),0)))))</f>
        <v>19290</v>
      </c>
      <c r="I157" s="35">
        <f ca="1">IF(ISERROR(MATCH(I$1,INDIRECT("Table!A"&amp;$AF157):INDIRECT("Table!" &amp; $AR$159 &amp; $AF157),0)),"",INDIRECT(CONCATENATE("Table!",ADDRESS($AB157,MATCH(I$1,INDIRECT("Table!A" &amp; $AF157):INDIRECT("Table!" &amp; $AR$159 &amp; $AF157),0)))))</f>
        <v>109247.9</v>
      </c>
      <c r="J157" s="35">
        <f ca="1">IF(ISERROR(MATCH(J$1,INDIRECT("Table!A"&amp;$AF157):INDIRECT("Table!" &amp; $AR$159 &amp; $AF157),0)),"",INDIRECT(CONCATENATE("Table!",ADDRESS($AB157,MATCH(J$1,INDIRECT("Table!A" &amp; $AF157):INDIRECT("Table!" &amp; $AR$159 &amp; $AF157),0)))))</f>
        <v>25545</v>
      </c>
      <c r="K157" s="35">
        <f ca="1">IF(ISERROR(MATCH(K$1,INDIRECT("Table!A"&amp;$AF157):INDIRECT("Table!" &amp; $AR$159 &amp; $AF157),0)),"",INDIRECT(CONCATENATE("Table!",ADDRESS($AB157,MATCH(K$1,INDIRECT("Table!A" &amp; $AF157):INDIRECT("Table!" &amp; $AR$159 &amp; $AF157),0)))))</f>
        <v>55.6</v>
      </c>
      <c r="L157" s="35">
        <f ca="1">IF(ISERROR(MATCH(L$1,INDIRECT("Table!A"&amp;$AF157):INDIRECT("Table!" &amp; $AR$159 &amp; $AF157),0)),"",INDIRECT(CONCATENATE("Table!",ADDRESS($AB157,MATCH(L$1,INDIRECT("Table!A" &amp; $AF157):INDIRECT("Table!" &amp; $AR$159 &amp; $AF157),0)))))</f>
        <v>76688.399999999994</v>
      </c>
      <c r="M157" s="35">
        <f ca="1">IF(ISERROR(MATCH(M$1,INDIRECT("Table!A"&amp;$AF157):INDIRECT("Table!" &amp; $AR$159 &amp; $AF157),0)),"",INDIRECT(CONCATENATE("Table!",ADDRESS($AB157,MATCH(M$1,INDIRECT("Table!A" &amp; $AF157):INDIRECT("Table!" &amp; $AR$159 &amp; $AF157),0)))))</f>
        <v>22765.9</v>
      </c>
      <c r="N157" s="35" t="str">
        <f ca="1">IF(ISERROR(MATCH(N$1,INDIRECT("Table!A"&amp;$AF157):INDIRECT("Table!" &amp; $AR$188 &amp; $AF157),0)),"",INDIRECT(CONCATENATE("Table!",ADDRESS($AB157,MATCH(N$1,INDIRECT("Table!A" &amp; $AF157):INDIRECT("Table!" &amp; $AR$188 &amp; $AF157),0)))))</f>
        <v/>
      </c>
      <c r="O157" s="35">
        <f ca="1">IF(ISERROR(MATCH(O$1,INDIRECT("Table!A"&amp;$AN157):INDIRECT("Table!" &amp; $AR$159 &amp; $AN157),0)),"",INDIRECT(CONCATENATE("Table!",ADDRESS($AJ157,MATCH(O$1,INDIRECT("Table!A" &amp; $AN157):INDIRECT("Table!" &amp; $AR$159 &amp; $AN157),0)))))</f>
        <v>115816.8</v>
      </c>
      <c r="P157" s="35">
        <f ca="1">IF(ISERROR(MATCH(P$1,INDIRECT("Table!A"&amp;$AN157):INDIRECT("Table!" &amp; $AR$159 &amp; $AN157),0)),"",INDIRECT(CONCATENATE("Table!",ADDRESS($AJ157,MATCH(P$1,INDIRECT("Table!A" &amp; $AN157):INDIRECT("Table!" &amp; $AR$159 &amp; $AN157),0)))))</f>
        <v>79968.7</v>
      </c>
      <c r="Q157" s="35">
        <f ca="1">IF(ISERROR(MATCH(Q$1,INDIRECT("Table!A"&amp;$AN157):INDIRECT("Table!" &amp; $AR$159 &amp; $AN157),0)),"",INDIRECT(CONCATENATE("Table!",ADDRESS($AJ157,MATCH(Q$1,INDIRECT("Table!A" &amp; $AN157):INDIRECT("Table!" &amp; $AR$159 &amp; $AN157),0)))))</f>
        <v>79968.7</v>
      </c>
      <c r="R157" s="35">
        <f ca="1">IF(ISERROR(MATCH(R$1,INDIRECT("Table!A"&amp;$AN157):INDIRECT("Table!" &amp; $AR$159 &amp; $AN157),0)),"",INDIRECT(CONCATENATE("Table!",ADDRESS($AJ157,MATCH(R$1,INDIRECT("Table!A" &amp; $AN157):INDIRECT("Table!" &amp; $AR$159 &amp; $AN157),0)))))</f>
        <v>154422.39999999999</v>
      </c>
      <c r="S157" s="35">
        <f ca="1">IF(ISERROR(MATCH(S$1,INDIRECT("Table!A"&amp;$AN157):INDIRECT("Table!" &amp; $AR$159 &amp; $AN157),0)),"",INDIRECT(CONCATENATE("Table!",ADDRESS($AJ157,MATCH(S$1,INDIRECT("Table!A" &amp; $AN157):INDIRECT("Table!" &amp; $AR$159 &amp; $AN157),0)))))</f>
        <v>121331.8</v>
      </c>
      <c r="T157" s="35">
        <f ca="1">IF(ISERROR(MATCH(T$1,INDIRECT("Table!A"&amp;$AN157):INDIRECT("Table!" &amp; $AR$159 &amp; $AN157),0)),"",INDIRECT(CONCATENATE("Table!",ADDRESS($AJ157,MATCH(T$1,INDIRECT("Table!A" &amp; $AN157):INDIRECT("Table!" &amp; $AR$159 &amp; $AN157),0)))))</f>
        <v>110071.9</v>
      </c>
      <c r="U157" s="35">
        <f ca="1">IF(ISERROR(MATCH(U$1,INDIRECT("Table!A"&amp;$AN157):INDIRECT("Table!" &amp; $AR$159 &amp; $AN157),0)),"",INDIRECT(CONCATENATE("Table!",ADDRESS($AJ157,MATCH(U$1,INDIRECT("Table!A" &amp; $AN157):INDIRECT("Table!" &amp; $AR$159 &amp; $AN157),0)))))</f>
        <v>121331.8</v>
      </c>
      <c r="V157" s="35">
        <f ca="1">IF(ISERROR(MATCH(V$1,INDIRECT("Table!A"&amp;$AN157):INDIRECT("Table!" &amp; $AR$159 &amp; $AN157),0)),"",INDIRECT(CONCATENATE("Table!",ADDRESS($AJ157,MATCH(V$1,INDIRECT("Table!A" &amp; $AN157):INDIRECT("Table!" &amp; $AR$159 &amp; $AN157),0)))))</f>
        <v>170967.6</v>
      </c>
      <c r="W157" s="35">
        <f ca="1">IF(ISERROR(MATCH(W$1,INDIRECT("Table!A"&amp;$AN157):INDIRECT("Table!" &amp; $AR$159 &amp; $AN157),0)),"",INDIRECT(CONCATENATE("Table!",ADDRESS($AJ157,MATCH(W$1,INDIRECT("Table!A" &amp; $AN157):INDIRECT("Table!" &amp; $AR$159 &amp; $AN157),0)))))</f>
        <v>54921</v>
      </c>
      <c r="X157" s="35">
        <f ca="1">IF(ISERROR(MATCH(X$1,INDIRECT("Table!A"&amp;$AN157):INDIRECT("Table!" &amp; $AR$159 &amp; $AN157),0)),"",INDIRECT(CONCATENATE("Table!",ADDRESS($AJ157,MATCH(X$1,INDIRECT("Table!A" &amp; $AN157):INDIRECT("Table!" &amp; $AR$159 &amp; $AN157),0)))))</f>
        <v>60665.9</v>
      </c>
      <c r="Y157" s="35">
        <f ca="1">IF(ISERROR(MATCH(Y$1,INDIRECT("Table!A"&amp;$AN157):INDIRECT("Table!" &amp; $AR$159 &amp; $AN157),0)),"",INDIRECT(CONCATENATE("Table!",ADDRESS($AJ157,MATCH(Y$1,INDIRECT("Table!A" &amp; $AN157):INDIRECT("Table!" &amp; $AR$159 &amp; $AN157),0)))))</f>
        <v>176482.7</v>
      </c>
      <c r="Z157" s="35">
        <f ca="1">IF(ISERROR(MATCH(Z$1,INDIRECT("Table!A"&amp;$AN157):INDIRECT("Table!" &amp; $AR$159 &amp; $AN157),0)),"",INDIRECT(CONCATENATE("Table!",ADDRESS($AJ157,MATCH(Z$1,INDIRECT("Table!A" &amp; $AN157):INDIRECT("Table!" &amp; $AR$159 &amp; $AN157),0)))))</f>
        <v>54921</v>
      </c>
      <c r="AA157" s="12"/>
      <c r="AB157" s="12">
        <f>MATCH($A157,Table!$A:$A,0)+$AD$2-1</f>
        <v>2223</v>
      </c>
      <c r="AF157" s="31">
        <f>MATCH($A157,Table!$A:$A,0)+$AH$2-1</f>
        <v>2221</v>
      </c>
      <c r="AJ157" s="12">
        <f>MATCH($A157,Table!$A:$A,0)+$AL$2-1</f>
        <v>2222</v>
      </c>
      <c r="AN157" s="31">
        <f>MATCH($A157,Table!$A:$A,0)+$AH$2-1</f>
        <v>2221</v>
      </c>
      <c r="AR157" s="114" t="s">
        <v>118</v>
      </c>
    </row>
    <row r="158" spans="1:44">
      <c r="A158" s="5">
        <v>40918</v>
      </c>
      <c r="B158" s="35">
        <f ca="1">IF(ISERROR(MATCH(B$1,INDIRECT("Table!A"&amp;$AF158):INDIRECT("Table!" &amp; $AR$159 &amp; $AF158),0)),"",INDIRECT(CONCATENATE("Table!",ADDRESS($AB158,MATCH(B$1,INDIRECT("Table!A" &amp; $AF158):INDIRECT("Table!" &amp; $AR$159 &amp; $AF158),0)))))</f>
        <v>89147</v>
      </c>
      <c r="C158" s="35">
        <f ca="1">IF(ISERROR(MATCH(C$1,INDIRECT("Table!A"&amp;$AF158):INDIRECT("Table!" &amp; $AR$159 &amp; $AF158),0)),"",INDIRECT(CONCATENATE("Table!",ADDRESS($AB158,MATCH(C$1,INDIRECT("Table!A" &amp; $AF158):INDIRECT("Table!" &amp; $AR$159 &amp; $AF158),0)))))</f>
        <v>65396.5</v>
      </c>
      <c r="D158" s="35">
        <f ca="1">IF(ISERROR(MATCH(D$1,INDIRECT("Table!A"&amp;$AF158):INDIRECT("Table!" &amp; $AR$159 &amp; $AF158),0)),"",INDIRECT(CONCATENATE("Table!",ADDRESS($AB158,MATCH(D$1,INDIRECT("Table!A" &amp; $AF158):INDIRECT("Table!" &amp; $AR$159 &amp; $AF158),0)))))</f>
        <v>66774.399999999994</v>
      </c>
      <c r="E158" s="35">
        <f ca="1">IF(ISERROR(MATCH(E$1,INDIRECT("Table!A"&amp;$AF158):INDIRECT("Table!" &amp; $AR$159 &amp; $AF158),0)),"",INDIRECT(CONCATENATE("Table!",ADDRESS($AB158,MATCH(E$1,INDIRECT("Table!A" &amp; $AF158):INDIRECT("Table!" &amp; $AR$159 &amp; $AF158),0)))))</f>
        <v>122984.2</v>
      </c>
      <c r="F158" s="35">
        <f ca="1">IF(ISERROR(MATCH(F$1,INDIRECT("Table!A"&amp;$AF158):INDIRECT("Table!" &amp; $AR$159 &amp; $AF158),0)),"",INDIRECT(CONCATENATE("Table!",ADDRESS($AB158,MATCH(F$1,INDIRECT("Table!A" &amp; $AF158):INDIRECT("Table!" &amp; $AR$159 &amp; $AF158),0)))))</f>
        <v>79.2</v>
      </c>
      <c r="G158" s="35">
        <f ca="1">IF(ISERROR(MATCH(G$1,INDIRECT("Table!A"&amp;$AF158):INDIRECT("Table!" &amp; $AR$159 &amp; $AF158),0)),"",INDIRECT(CONCATENATE("Table!",ADDRESS($AB158,MATCH(G$1,INDIRECT("Table!A" &amp; $AF158):INDIRECT("Table!" &amp; $AR$159 &amp; $AF158),0)))))</f>
        <v>12968.6</v>
      </c>
      <c r="H158" s="35">
        <f ca="1">IF(ISERROR(MATCH(H$1,INDIRECT("Table!A"&amp;$AF158):INDIRECT("Table!" &amp; $AR$159 &amp; $AF158),0)),"",INDIRECT(CONCATENATE("Table!",ADDRESS($AB158,MATCH(H$1,INDIRECT("Table!A" &amp; $AF158):INDIRECT("Table!" &amp; $AR$159 &amp; $AF158),0)))))</f>
        <v>19247</v>
      </c>
      <c r="I158" s="35">
        <f ca="1">IF(ISERROR(MATCH(I$1,INDIRECT("Table!A"&amp;$AF158):INDIRECT("Table!" &amp; $AR$159 &amp; $AF158),0)),"",INDIRECT(CONCATENATE("Table!",ADDRESS($AB158,MATCH(I$1,INDIRECT("Table!A" &amp; $AF158):INDIRECT("Table!" &amp; $AR$159 &amp; $AF158),0)))))</f>
        <v>109184.5</v>
      </c>
      <c r="J158" s="35">
        <f ca="1">IF(ISERROR(MATCH(J$1,INDIRECT("Table!A"&amp;$AF158):INDIRECT("Table!" &amp; $AR$159 &amp; $AF158),0)),"",INDIRECT(CONCATENATE("Table!",ADDRESS($AB158,MATCH(J$1,INDIRECT("Table!A" &amp; $AF158):INDIRECT("Table!" &amp; $AR$159 &amp; $AF158),0)))))</f>
        <v>25545</v>
      </c>
      <c r="K158" s="35">
        <f ca="1">IF(ISERROR(MATCH(K$1,INDIRECT("Table!A"&amp;$AF158):INDIRECT("Table!" &amp; $AR$159 &amp; $AF158),0)),"",INDIRECT(CONCATENATE("Table!",ADDRESS($AB158,MATCH(K$1,INDIRECT("Table!A" &amp; $AF158):INDIRECT("Table!" &amp; $AR$159 &amp; $AF158),0)))))</f>
        <v>54.9</v>
      </c>
      <c r="L158" s="35">
        <f ca="1">IF(ISERROR(MATCH(L$1,INDIRECT("Table!A"&amp;$AF158):INDIRECT("Table!" &amp; $AR$159 &amp; $AF158),0)),"",INDIRECT(CONCATENATE("Table!",ADDRESS($AB158,MATCH(L$1,INDIRECT("Table!A" &amp; $AF158):INDIRECT("Table!" &amp; $AR$159 &amp; $AF158),0)))))</f>
        <v>76601.7</v>
      </c>
      <c r="M158" s="35">
        <f ca="1">IF(ISERROR(MATCH(M$1,INDIRECT("Table!A"&amp;$AF158):INDIRECT("Table!" &amp; $AR$159 &amp; $AF158),0)),"",INDIRECT(CONCATENATE("Table!",ADDRESS($AB158,MATCH(M$1,INDIRECT("Table!A" &amp; $AF158):INDIRECT("Table!" &amp; $AR$159 &amp; $AF158),0)))))</f>
        <v>22765.5</v>
      </c>
      <c r="N158" s="35" t="str">
        <f ca="1">IF(ISERROR(MATCH(N$1,INDIRECT("Table!A"&amp;$AF158):INDIRECT("Table!" &amp; $AR$188 &amp; $AF158),0)),"",INDIRECT(CONCATENATE("Table!",ADDRESS($AB158,MATCH(N$1,INDIRECT("Table!A" &amp; $AF158):INDIRECT("Table!" &amp; $AR$188 &amp; $AF158),0)))))</f>
        <v/>
      </c>
      <c r="O158" s="35">
        <f ca="1">IF(ISERROR(MATCH(O$1,INDIRECT("Table!A"&amp;$AN158):INDIRECT("Table!" &amp; $AR$159 &amp; $AN158),0)),"",INDIRECT(CONCATENATE("Table!",ADDRESS($AJ158,MATCH(O$1,INDIRECT("Table!A" &amp; $AN158):INDIRECT("Table!" &amp; $AR$159 &amp; $AN158),0)))))</f>
        <v>115816.8</v>
      </c>
      <c r="P158" s="35">
        <f ca="1">IF(ISERROR(MATCH(P$1,INDIRECT("Table!A"&amp;$AN158):INDIRECT("Table!" &amp; $AR$159 &amp; $AN158),0)),"",INDIRECT(CONCATENATE("Table!",ADDRESS($AJ158,MATCH(P$1,INDIRECT("Table!A" &amp; $AN158):INDIRECT("Table!" &amp; $AR$159 &amp; $AN158),0)))))</f>
        <v>79968.7</v>
      </c>
      <c r="Q158" s="35">
        <f ca="1">IF(ISERROR(MATCH(Q$1,INDIRECT("Table!A"&amp;$AN158):INDIRECT("Table!" &amp; $AR$159 &amp; $AN158),0)),"",INDIRECT(CONCATENATE("Table!",ADDRESS($AJ158,MATCH(Q$1,INDIRECT("Table!A" &amp; $AN158):INDIRECT("Table!" &amp; $AR$159 &amp; $AN158),0)))))</f>
        <v>79968.7</v>
      </c>
      <c r="R158" s="35">
        <f ca="1">IF(ISERROR(MATCH(R$1,INDIRECT("Table!A"&amp;$AN158):INDIRECT("Table!" &amp; $AR$159 &amp; $AN158),0)),"",INDIRECT(CONCATENATE("Table!",ADDRESS($AJ158,MATCH(R$1,INDIRECT("Table!A" &amp; $AN158):INDIRECT("Table!" &amp; $AR$159 &amp; $AN158),0)))))</f>
        <v>154422.39999999999</v>
      </c>
      <c r="S158" s="35">
        <f ca="1">IF(ISERROR(MATCH(S$1,INDIRECT("Table!A"&amp;$AN158):INDIRECT("Table!" &amp; $AR$159 &amp; $AN158),0)),"",INDIRECT(CONCATENATE("Table!",ADDRESS($AJ158,MATCH(S$1,INDIRECT("Table!A" &amp; $AN158):INDIRECT("Table!" &amp; $AR$159 &amp; $AN158),0)))))</f>
        <v>121331.8</v>
      </c>
      <c r="T158" s="35">
        <f ca="1">IF(ISERROR(MATCH(T$1,INDIRECT("Table!A"&amp;$AN158):INDIRECT("Table!" &amp; $AR$159 &amp; $AN158),0)),"",INDIRECT(CONCATENATE("Table!",ADDRESS($AJ158,MATCH(T$1,INDIRECT("Table!A" &amp; $AN158):INDIRECT("Table!" &amp; $AR$159 &amp; $AN158),0)))))</f>
        <v>110071.9</v>
      </c>
      <c r="U158" s="35">
        <f ca="1">IF(ISERROR(MATCH(U$1,INDIRECT("Table!A"&amp;$AN158):INDIRECT("Table!" &amp; $AR$159 &amp; $AN158),0)),"",INDIRECT(CONCATENATE("Table!",ADDRESS($AJ158,MATCH(U$1,INDIRECT("Table!A" &amp; $AN158):INDIRECT("Table!" &amp; $AR$159 &amp; $AN158),0)))))</f>
        <v>121331.8</v>
      </c>
      <c r="V158" s="35">
        <f ca="1">IF(ISERROR(MATCH(V$1,INDIRECT("Table!A"&amp;$AN158):INDIRECT("Table!" &amp; $AR$159 &amp; $AN158),0)),"",INDIRECT(CONCATENATE("Table!",ADDRESS($AJ158,MATCH(V$1,INDIRECT("Table!A" &amp; $AN158):INDIRECT("Table!" &amp; $AR$159 &amp; $AN158),0)))))</f>
        <v>170967.6</v>
      </c>
      <c r="W158" s="35">
        <f ca="1">IF(ISERROR(MATCH(W$1,INDIRECT("Table!A"&amp;$AN158):INDIRECT("Table!" &amp; $AR$159 &amp; $AN158),0)),"",INDIRECT(CONCATENATE("Table!",ADDRESS($AJ158,MATCH(W$1,INDIRECT("Table!A" &amp; $AN158):INDIRECT("Table!" &amp; $AR$159 &amp; $AN158),0)))))</f>
        <v>54921</v>
      </c>
      <c r="X158" s="35">
        <f ca="1">IF(ISERROR(MATCH(X$1,INDIRECT("Table!A"&amp;$AN158):INDIRECT("Table!" &amp; $AR$159 &amp; $AN158),0)),"",INDIRECT(CONCATENATE("Table!",ADDRESS($AJ158,MATCH(X$1,INDIRECT("Table!A" &amp; $AN158):INDIRECT("Table!" &amp; $AR$159 &amp; $AN158),0)))))</f>
        <v>60665.9</v>
      </c>
      <c r="Y158" s="35">
        <f ca="1">IF(ISERROR(MATCH(Y$1,INDIRECT("Table!A"&amp;$AN158):INDIRECT("Table!" &amp; $AR$159 &amp; $AN158),0)),"",INDIRECT(CONCATENATE("Table!",ADDRESS($AJ158,MATCH(Y$1,INDIRECT("Table!A" &amp; $AN158):INDIRECT("Table!" &amp; $AR$159 &amp; $AN158),0)))))</f>
        <v>176482.7</v>
      </c>
      <c r="Z158" s="35">
        <f ca="1">IF(ISERROR(MATCH(Z$1,INDIRECT("Table!A"&amp;$AN158):INDIRECT("Table!" &amp; $AR$159 &amp; $AN158),0)),"",INDIRECT(CONCATENATE("Table!",ADDRESS($AJ158,MATCH(Z$1,INDIRECT("Table!A" &amp; $AN158):INDIRECT("Table!" &amp; $AR$159 &amp; $AN158),0)))))</f>
        <v>54921</v>
      </c>
      <c r="AA158" s="12"/>
      <c r="AB158" s="12">
        <f>MATCH($A158,Table!$A:$A,0)+$AD$2-1</f>
        <v>2236</v>
      </c>
      <c r="AF158" s="31">
        <f>MATCH($A158,Table!$A:$A,0)+$AH$2-1</f>
        <v>2234</v>
      </c>
      <c r="AJ158" s="12">
        <f>MATCH($A158,Table!$A:$A,0)+$AL$2-1</f>
        <v>2235</v>
      </c>
      <c r="AN158" s="31">
        <f>MATCH($A158,Table!$A:$A,0)+$AH$2-1</f>
        <v>2234</v>
      </c>
      <c r="AR158" s="113" t="s">
        <v>118</v>
      </c>
    </row>
    <row r="159" spans="1:44">
      <c r="A159" s="5">
        <v>40917</v>
      </c>
      <c r="B159" s="35">
        <f ca="1">IF(ISERROR(MATCH(B$1,INDIRECT("Table!A"&amp;$AF159):INDIRECT("Table!" &amp; $AR$159 &amp; $AF159),0)),"",INDIRECT(CONCATENATE("Table!",ADDRESS($AB159,MATCH(B$1,INDIRECT("Table!A" &amp; $AF159):INDIRECT("Table!" &amp; $AR$159 &amp; $AF159),0)))))</f>
        <v>89011.1</v>
      </c>
      <c r="C159" s="35">
        <f ca="1">IF(ISERROR(MATCH(C$1,INDIRECT("Table!A"&amp;$AF159):INDIRECT("Table!" &amp; $AR$159 &amp; $AF159),0)),"",INDIRECT(CONCATENATE("Table!",ADDRESS($AB159,MATCH(C$1,INDIRECT("Table!A" &amp; $AF159):INDIRECT("Table!" &amp; $AR$159 &amp; $AF159),0)))))</f>
        <v>65353.7</v>
      </c>
      <c r="D159" s="35">
        <f ca="1">IF(ISERROR(MATCH(D$1,INDIRECT("Table!A"&amp;$AF159):INDIRECT("Table!" &amp; $AR$159 &amp; $AF159),0)),"",INDIRECT(CONCATENATE("Table!",ADDRESS($AB159,MATCH(D$1,INDIRECT("Table!A" &amp; $AF159):INDIRECT("Table!" &amp; $AR$159 &amp; $AF159),0)))))</f>
        <v>66731.5</v>
      </c>
      <c r="E159" s="35">
        <f ca="1">IF(ISERROR(MATCH(E$1,INDIRECT("Table!A"&amp;$AF159):INDIRECT("Table!" &amp; $AR$159 &amp; $AF159),0)),"",INDIRECT(CONCATENATE("Table!",ADDRESS($AB159,MATCH(E$1,INDIRECT("Table!A" &amp; $AF159):INDIRECT("Table!" &amp; $AR$159 &amp; $AF159),0)))))</f>
        <v>122880.1</v>
      </c>
      <c r="F159" s="35">
        <f ca="1">IF(ISERROR(MATCH(F$1,INDIRECT("Table!A"&amp;$AF159):INDIRECT("Table!" &amp; $AR$159 &amp; $AF159),0)),"",INDIRECT(CONCATENATE("Table!",ADDRESS($AB159,MATCH(F$1,INDIRECT("Table!A" &amp; $AF159):INDIRECT("Table!" &amp; $AR$159 &amp; $AF159),0)))))</f>
        <v>77.7</v>
      </c>
      <c r="G159" s="35">
        <f ca="1">IF(ISERROR(MATCH(G$1,INDIRECT("Table!A"&amp;$AF159):INDIRECT("Table!" &amp; $AR$159 &amp; $AF159),0)),"",INDIRECT(CONCATENATE("Table!",ADDRESS($AB159,MATCH(G$1,INDIRECT("Table!A" &amp; $AF159):INDIRECT("Table!" &amp; $AR$159 &amp; $AF159),0)))))</f>
        <v>12918.2</v>
      </c>
      <c r="H159" s="35">
        <f ca="1">IF(ISERROR(MATCH(H$1,INDIRECT("Table!A"&amp;$AF159):INDIRECT("Table!" &amp; $AR$159 &amp; $AF159),0)),"",INDIRECT(CONCATENATE("Table!",ADDRESS($AB159,MATCH(H$1,INDIRECT("Table!A" &amp; $AF159):INDIRECT("Table!" &amp; $AR$159 &amp; $AF159),0)))))</f>
        <v>19246.599999999999</v>
      </c>
      <c r="I159" s="35">
        <f ca="1">IF(ISERROR(MATCH(I$1,INDIRECT("Table!A"&amp;$AF159):INDIRECT("Table!" &amp; $AR$159 &amp; $AF159),0)),"",INDIRECT(CONCATENATE("Table!",ADDRESS($AB159,MATCH(I$1,INDIRECT("Table!A" &amp; $AF159):INDIRECT("Table!" &amp; $AR$159 &amp; $AF159),0)))))</f>
        <v>109143.5</v>
      </c>
      <c r="J159" s="35">
        <f ca="1">IF(ISERROR(MATCH(J$1,INDIRECT("Table!A"&amp;$AF159):INDIRECT("Table!" &amp; $AR$159 &amp; $AF159),0)),"",INDIRECT(CONCATENATE("Table!",ADDRESS($AB159,MATCH(J$1,INDIRECT("Table!A" &amp; $AF159):INDIRECT("Table!" &amp; $AR$159 &amp; $AF159),0)))))</f>
        <v>25545</v>
      </c>
      <c r="K159" s="35">
        <f ca="1">IF(ISERROR(MATCH(K$1,INDIRECT("Table!A"&amp;$AF159):INDIRECT("Table!" &amp; $AR$159 &amp; $AF159),0)),"",INDIRECT(CONCATENATE("Table!",ADDRESS($AB159,MATCH(K$1,INDIRECT("Table!A" &amp; $AF159):INDIRECT("Table!" &amp; $AR$159 &amp; $AF159),0)))))</f>
        <v>54.1</v>
      </c>
      <c r="L159" s="35">
        <f ca="1">IF(ISERROR(MATCH(L$1,INDIRECT("Table!A"&amp;$AF159):INDIRECT("Table!" &amp; $AR$159 &amp; $AF159),0)),"",INDIRECT(CONCATENATE("Table!",ADDRESS($AB159,MATCH(L$1,INDIRECT("Table!A" &amp; $AF159):INDIRECT("Table!" &amp; $AR$159 &amp; $AF159),0)))))</f>
        <v>76600.899999999994</v>
      </c>
      <c r="M159" s="35">
        <f ca="1">IF(ISERROR(MATCH(M$1,INDIRECT("Table!A"&amp;$AF159):INDIRECT("Table!" &amp; $AR$159 &amp; $AF159),0)),"",INDIRECT(CONCATENATE("Table!",ADDRESS($AB159,MATCH(M$1,INDIRECT("Table!A" &amp; $AF159):INDIRECT("Table!" &amp; $AR$159 &amp; $AF159),0)))))</f>
        <v>22765.5</v>
      </c>
      <c r="N159" s="35" t="str">
        <f ca="1">IF(ISERROR(MATCH(N$1,INDIRECT("Table!A"&amp;$AF159):INDIRECT("Table!" &amp; $AR$188 &amp; $AF159),0)),"",INDIRECT(CONCATENATE("Table!",ADDRESS($AB159,MATCH(N$1,INDIRECT("Table!A" &amp; $AF159):INDIRECT("Table!" &amp; $AR$188 &amp; $AF159),0)))))</f>
        <v/>
      </c>
      <c r="O159" s="35">
        <f ca="1">IF(ISERROR(MATCH(O$1,INDIRECT("Table!A"&amp;$AN159):INDIRECT("Table!" &amp; $AR$159 &amp; $AN159),0)),"",INDIRECT(CONCATENATE("Table!",ADDRESS($AJ159,MATCH(O$1,INDIRECT("Table!A" &amp; $AN159):INDIRECT("Table!" &amp; $AR$159 &amp; $AN159),0)))))</f>
        <v>115816.8</v>
      </c>
      <c r="P159" s="35">
        <f ca="1">IF(ISERROR(MATCH(P$1,INDIRECT("Table!A"&amp;$AN159):INDIRECT("Table!" &amp; $AR$159 &amp; $AN159),0)),"",INDIRECT(CONCATENATE("Table!",ADDRESS($AJ159,MATCH(P$1,INDIRECT("Table!A" &amp; $AN159):INDIRECT("Table!" &amp; $AR$159 &amp; $AN159),0)))))</f>
        <v>79968.7</v>
      </c>
      <c r="Q159" s="35">
        <f ca="1">IF(ISERROR(MATCH(Q$1,INDIRECT("Table!A"&amp;$AN159):INDIRECT("Table!" &amp; $AR$159 &amp; $AN159),0)),"",INDIRECT(CONCATENATE("Table!",ADDRESS($AJ159,MATCH(Q$1,INDIRECT("Table!A" &amp; $AN159):INDIRECT("Table!" &amp; $AR$159 &amp; $AN159),0)))))</f>
        <v>79968.7</v>
      </c>
      <c r="R159" s="35">
        <f ca="1">IF(ISERROR(MATCH(R$1,INDIRECT("Table!A"&amp;$AN159):INDIRECT("Table!" &amp; $AR$159 &amp; $AN159),0)),"",INDIRECT(CONCATENATE("Table!",ADDRESS($AJ159,MATCH(R$1,INDIRECT("Table!A" &amp; $AN159):INDIRECT("Table!" &amp; $AR$159 &amp; $AN159),0)))))</f>
        <v>154422.39999999999</v>
      </c>
      <c r="S159" s="35">
        <f ca="1">IF(ISERROR(MATCH(S$1,INDIRECT("Table!A"&amp;$AN159):INDIRECT("Table!" &amp; $AR$159 &amp; $AN159),0)),"",INDIRECT(CONCATENATE("Table!",ADDRESS($AJ159,MATCH(S$1,INDIRECT("Table!A" &amp; $AN159):INDIRECT("Table!" &amp; $AR$159 &amp; $AN159),0)))))</f>
        <v>121331.8</v>
      </c>
      <c r="T159" s="35">
        <f ca="1">IF(ISERROR(MATCH(T$1,INDIRECT("Table!A"&amp;$AN159):INDIRECT("Table!" &amp; $AR$159 &amp; $AN159),0)),"",INDIRECT(CONCATENATE("Table!",ADDRESS($AJ159,MATCH(T$1,INDIRECT("Table!A" &amp; $AN159):INDIRECT("Table!" &amp; $AR$159 &amp; $AN159),0)))))</f>
        <v>110071.9</v>
      </c>
      <c r="U159" s="35">
        <f ca="1">IF(ISERROR(MATCH(U$1,INDIRECT("Table!A"&amp;$AN159):INDIRECT("Table!" &amp; $AR$159 &amp; $AN159),0)),"",INDIRECT(CONCATENATE("Table!",ADDRESS($AJ159,MATCH(U$1,INDIRECT("Table!A" &amp; $AN159):INDIRECT("Table!" &amp; $AR$159 &amp; $AN159),0)))))</f>
        <v>121331.8</v>
      </c>
      <c r="V159" s="35">
        <f ca="1">IF(ISERROR(MATCH(V$1,INDIRECT("Table!A"&amp;$AN159):INDIRECT("Table!" &amp; $AR$159 &amp; $AN159),0)),"",INDIRECT(CONCATENATE("Table!",ADDRESS($AJ159,MATCH(V$1,INDIRECT("Table!A" &amp; $AN159):INDIRECT("Table!" &amp; $AR$159 &amp; $AN159),0)))))</f>
        <v>170967.6</v>
      </c>
      <c r="W159" s="35">
        <f ca="1">IF(ISERROR(MATCH(W$1,INDIRECT("Table!A"&amp;$AN159):INDIRECT("Table!" &amp; $AR$159 &amp; $AN159),0)),"",INDIRECT(CONCATENATE("Table!",ADDRESS($AJ159,MATCH(W$1,INDIRECT("Table!A" &amp; $AN159):INDIRECT("Table!" &amp; $AR$159 &amp; $AN159),0)))))</f>
        <v>54921</v>
      </c>
      <c r="X159" s="35">
        <f ca="1">IF(ISERROR(MATCH(X$1,INDIRECT("Table!A"&amp;$AN159):INDIRECT("Table!" &amp; $AR$159 &amp; $AN159),0)),"",INDIRECT(CONCATENATE("Table!",ADDRESS($AJ159,MATCH(X$1,INDIRECT("Table!A" &amp; $AN159):INDIRECT("Table!" &amp; $AR$159 &amp; $AN159),0)))))</f>
        <v>60665.9</v>
      </c>
      <c r="Y159" s="35">
        <f ca="1">IF(ISERROR(MATCH(Y$1,INDIRECT("Table!A"&amp;$AN159):INDIRECT("Table!" &amp; $AR$159 &amp; $AN159),0)),"",INDIRECT(CONCATENATE("Table!",ADDRESS($AJ159,MATCH(Y$1,INDIRECT("Table!A" &amp; $AN159):INDIRECT("Table!" &amp; $AR$159 &amp; $AN159),0)))))</f>
        <v>176482.7</v>
      </c>
      <c r="Z159" s="35">
        <f ca="1">IF(ISERROR(MATCH(Z$1,INDIRECT("Table!A"&amp;$AN159):INDIRECT("Table!" &amp; $AR$159 &amp; $AN159),0)),"",INDIRECT(CONCATENATE("Table!",ADDRESS($AJ159,MATCH(Z$1,INDIRECT("Table!A" &amp; $AN159):INDIRECT("Table!" &amp; $AR$159 &amp; $AN159),0)))))</f>
        <v>54921</v>
      </c>
      <c r="AA159" s="12"/>
      <c r="AB159" s="12">
        <f>MATCH($A159,Table!$A:$A,0)+$AD$2-1</f>
        <v>2249</v>
      </c>
      <c r="AF159" s="31">
        <f>MATCH($A159,Table!$A:$A,0)+$AH$2-1</f>
        <v>2247</v>
      </c>
      <c r="AJ159" s="12">
        <f>MATCH($A159,Table!$A:$A,0)+$AL$2-1</f>
        <v>2248</v>
      </c>
      <c r="AN159" s="31">
        <f>MATCH($A159,Table!$A:$A,0)+$AH$2-1</f>
        <v>2247</v>
      </c>
      <c r="AR159" s="41" t="s">
        <v>118</v>
      </c>
    </row>
    <row r="160" spans="1:44">
      <c r="A160" s="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12"/>
      <c r="AB160" s="12"/>
      <c r="AF160" s="31"/>
      <c r="AJ160" s="12"/>
      <c r="AN160" s="31"/>
      <c r="AR160" s="94"/>
    </row>
    <row r="161" spans="1:44">
      <c r="A161" s="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c r="AA161" s="12"/>
      <c r="AB161" s="12"/>
      <c r="AF161" s="31"/>
      <c r="AJ161" s="12"/>
      <c r="AN161" s="31"/>
      <c r="AR161" s="62"/>
    </row>
    <row r="162" spans="1:44">
      <c r="A162" s="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c r="AA162" s="12"/>
      <c r="AB162" s="12"/>
      <c r="AF162" s="31"/>
      <c r="AJ162" s="12"/>
      <c r="AN162" s="31"/>
      <c r="AR162" s="61"/>
    </row>
    <row r="163" spans="1:44">
      <c r="A163" s="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c r="AA163" s="12"/>
      <c r="AB163" s="12"/>
      <c r="AF163" s="31"/>
      <c r="AJ163" s="12"/>
      <c r="AN163" s="31"/>
      <c r="AR163" s="60"/>
    </row>
    <row r="164" spans="1:44">
      <c r="A164" s="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c r="AA164" s="12"/>
      <c r="AB164" s="12"/>
      <c r="AF164" s="31"/>
      <c r="AJ164" s="12"/>
      <c r="AN164" s="31"/>
      <c r="AR164" s="59"/>
    </row>
    <row r="165" spans="1:44">
      <c r="A165" s="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12"/>
      <c r="AB165" s="12"/>
      <c r="AF165" s="31"/>
      <c r="AJ165" s="12"/>
      <c r="AN165" s="31"/>
      <c r="AR165" s="58"/>
    </row>
    <row r="166" spans="1:44">
      <c r="A166" s="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c r="AA166" s="12"/>
      <c r="AB166" s="12"/>
      <c r="AF166" s="31"/>
      <c r="AJ166" s="12"/>
      <c r="AN166" s="31"/>
      <c r="AR166" s="57"/>
    </row>
    <row r="167" spans="1:44">
      <c r="A167" s="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12"/>
      <c r="AB167" s="12"/>
      <c r="AF167" s="31"/>
      <c r="AJ167" s="12"/>
      <c r="AN167" s="31"/>
      <c r="AR167" s="56"/>
    </row>
    <row r="168" spans="1:44">
      <c r="A168" s="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c r="AA168" s="12"/>
      <c r="AB168" s="12"/>
      <c r="AF168" s="31"/>
      <c r="AJ168" s="12"/>
      <c r="AN168" s="31"/>
      <c r="AR168" s="56"/>
    </row>
    <row r="169" spans="1:44">
      <c r="A169" s="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c r="AA169" s="12"/>
      <c r="AB169" s="12"/>
      <c r="AF169" s="31"/>
      <c r="AJ169" s="12"/>
      <c r="AN169" s="31"/>
      <c r="AR169" s="55"/>
    </row>
    <row r="170" spans="1:44">
      <c r="A170" s="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12"/>
      <c r="AB170" s="12"/>
      <c r="AF170" s="31"/>
      <c r="AJ170" s="12"/>
      <c r="AN170" s="31"/>
      <c r="AR170" s="54"/>
    </row>
    <row r="171" spans="1:44">
      <c r="A171" s="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c r="AA171" s="12"/>
      <c r="AB171" s="12"/>
      <c r="AF171" s="31"/>
      <c r="AJ171" s="12"/>
      <c r="AN171" s="31"/>
      <c r="AR171" s="54"/>
    </row>
    <row r="172" spans="1:44">
      <c r="A172" s="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12"/>
      <c r="AB172" s="12"/>
      <c r="AF172" s="31"/>
      <c r="AJ172" s="12"/>
      <c r="AN172" s="31"/>
      <c r="AR172" s="53"/>
    </row>
    <row r="173" spans="1:44">
      <c r="A173" s="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12"/>
      <c r="AB173" s="12"/>
      <c r="AF173" s="31"/>
      <c r="AJ173" s="12"/>
      <c r="AN173" s="31"/>
      <c r="AR173" s="52"/>
    </row>
    <row r="174" spans="1:44">
      <c r="A174" s="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12"/>
      <c r="AB174" s="12"/>
      <c r="AF174" s="31"/>
      <c r="AJ174" s="12"/>
      <c r="AN174" s="31"/>
      <c r="AR174" s="51"/>
    </row>
    <row r="175" spans="1:44">
      <c r="A175" s="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c r="AA175" s="12"/>
      <c r="AB175" s="12"/>
      <c r="AF175" s="31"/>
      <c r="AJ175" s="12"/>
      <c r="AN175" s="31"/>
      <c r="AR175" s="50"/>
    </row>
    <row r="176" spans="1:44">
      <c r="A176" s="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c r="AA176" s="12"/>
      <c r="AB176" s="12"/>
      <c r="AF176" s="31"/>
      <c r="AJ176" s="12"/>
      <c r="AN176" s="31"/>
      <c r="AR176" s="47"/>
    </row>
    <row r="177" spans="1:44">
      <c r="A177" s="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c r="AA177" s="12"/>
      <c r="AB177" s="12"/>
      <c r="AF177" s="31"/>
      <c r="AJ177" s="12"/>
      <c r="AN177" s="31"/>
      <c r="AR177" s="44"/>
    </row>
    <row r="178" spans="1:44">
      <c r="A178" s="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c r="AA178" s="12"/>
      <c r="AB178" s="12"/>
      <c r="AF178" s="31"/>
      <c r="AJ178" s="12"/>
      <c r="AN178" s="31"/>
      <c r="AR178" s="42"/>
    </row>
    <row r="179" spans="1:44">
      <c r="A179" s="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c r="AA179" s="12"/>
      <c r="AB179" s="12"/>
      <c r="AF179" s="31"/>
      <c r="AJ179" s="12"/>
      <c r="AN179" s="31"/>
      <c r="AR179" s="39"/>
    </row>
    <row r="180" spans="1:44">
      <c r="A180" s="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12"/>
      <c r="AB180" s="12"/>
      <c r="AF180" s="31"/>
      <c r="AJ180" s="12"/>
      <c r="AN180" s="31"/>
      <c r="AR180" s="39"/>
    </row>
    <row r="181" spans="1:44">
      <c r="A181" s="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12"/>
      <c r="AB181" s="12"/>
      <c r="AF181" s="31"/>
      <c r="AJ181" s="12"/>
      <c r="AN181" s="31"/>
      <c r="AR181" s="39"/>
    </row>
    <row r="182" spans="1:44">
      <c r="A182" s="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12"/>
      <c r="AB182" s="12"/>
      <c r="AF182" s="31"/>
      <c r="AJ182" s="12"/>
      <c r="AN182" s="31"/>
      <c r="AR182" s="39"/>
    </row>
    <row r="183" spans="1:44">
      <c r="A183" s="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12"/>
      <c r="AB183" s="12"/>
      <c r="AF183" s="31"/>
      <c r="AJ183" s="12"/>
      <c r="AN183" s="31"/>
      <c r="AR183" s="39"/>
    </row>
    <row r="184" spans="1:44">
      <c r="A184" s="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12"/>
      <c r="AB184" s="12"/>
      <c r="AF184" s="31"/>
      <c r="AJ184" s="12"/>
      <c r="AN184" s="31"/>
      <c r="AR184" s="39"/>
    </row>
    <row r="185" spans="1:44">
      <c r="A185" s="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12"/>
      <c r="AB185" s="12"/>
      <c r="AF185" s="31"/>
      <c r="AJ185" s="12"/>
      <c r="AN185" s="31"/>
      <c r="AR185" s="39"/>
    </row>
    <row r="186" spans="1:44">
      <c r="A186" s="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12"/>
      <c r="AB186" s="12"/>
      <c r="AF186" s="31"/>
      <c r="AJ186" s="12"/>
      <c r="AN186" s="31"/>
      <c r="AR186" s="39"/>
    </row>
    <row r="187" spans="1:44">
      <c r="A187" s="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12"/>
      <c r="AB187" s="12"/>
      <c r="AF187" s="31"/>
      <c r="AJ187" s="12"/>
      <c r="AN187" s="31"/>
      <c r="AR187" s="39"/>
    </row>
    <row r="188" spans="1:44">
      <c r="A188" s="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12"/>
      <c r="AB188" s="12"/>
      <c r="AF188" s="31"/>
      <c r="AJ188" s="12"/>
      <c r="AN188" s="31"/>
      <c r="AR188" s="39"/>
    </row>
    <row r="189" spans="1:44">
      <c r="A189" s="5"/>
      <c r="B189" s="35"/>
      <c r="C189" s="35"/>
      <c r="D189" s="35"/>
      <c r="E189" s="35"/>
      <c r="F189" s="35"/>
      <c r="G189" s="35"/>
      <c r="H189" s="35"/>
      <c r="I189" s="35"/>
      <c r="J189" s="35"/>
      <c r="K189" s="35"/>
      <c r="L189" s="35"/>
      <c r="M189" s="35"/>
      <c r="N189" s="19"/>
      <c r="O189" s="35"/>
      <c r="P189" s="35"/>
      <c r="Q189" s="35"/>
      <c r="R189" s="35"/>
      <c r="S189" s="35"/>
      <c r="T189" s="35"/>
      <c r="U189" s="35"/>
      <c r="V189" s="35"/>
      <c r="W189" s="35"/>
      <c r="X189" s="35"/>
      <c r="Y189" s="35"/>
      <c r="Z189" s="35"/>
      <c r="AA189" s="12"/>
      <c r="AB189" s="12"/>
      <c r="AF189" s="31"/>
      <c r="AJ189" s="12"/>
      <c r="AN189" s="31"/>
      <c r="AR189" s="39"/>
    </row>
    <row r="190" spans="1:44">
      <c r="A190" s="5"/>
      <c r="B190" s="35"/>
      <c r="C190" s="35"/>
      <c r="D190" s="35"/>
      <c r="E190" s="35"/>
      <c r="F190" s="35"/>
      <c r="G190" s="35"/>
      <c r="H190" s="35"/>
      <c r="I190" s="35"/>
      <c r="J190" s="35"/>
      <c r="K190" s="35"/>
      <c r="L190" s="35"/>
      <c r="M190" s="35"/>
      <c r="N190" s="19"/>
      <c r="O190" s="35"/>
      <c r="P190" s="35"/>
      <c r="Q190" s="35"/>
      <c r="R190" s="35"/>
      <c r="S190" s="35"/>
      <c r="T190" s="35"/>
      <c r="U190" s="35"/>
      <c r="V190" s="35"/>
      <c r="W190" s="35"/>
      <c r="X190" s="35"/>
      <c r="Y190" s="35"/>
      <c r="Z190" s="35"/>
      <c r="AA190" s="12"/>
      <c r="AB190" s="12"/>
      <c r="AF190" s="31"/>
      <c r="AJ190" s="12"/>
      <c r="AN190" s="31"/>
    </row>
    <row r="191" spans="1:44">
      <c r="A191" s="5"/>
      <c r="B191" s="35"/>
      <c r="C191" s="35"/>
      <c r="D191" s="35"/>
      <c r="E191" s="35"/>
      <c r="F191" s="35"/>
      <c r="G191" s="35"/>
      <c r="H191" s="35"/>
      <c r="I191" s="35"/>
      <c r="J191" s="35"/>
      <c r="K191" s="35"/>
      <c r="L191" s="35"/>
      <c r="M191" s="35"/>
      <c r="N191" s="19"/>
      <c r="O191" s="35"/>
      <c r="P191" s="35"/>
      <c r="Q191" s="35"/>
      <c r="R191" s="35"/>
      <c r="S191" s="35"/>
      <c r="T191" s="35"/>
      <c r="U191" s="35"/>
      <c r="V191" s="35"/>
      <c r="W191" s="35"/>
      <c r="X191" s="35"/>
      <c r="Y191" s="35"/>
      <c r="Z191" s="35"/>
      <c r="AA191" s="12"/>
      <c r="AB191" s="12"/>
      <c r="AF191" s="31"/>
      <c r="AJ191" s="12"/>
      <c r="AN191" s="31"/>
    </row>
    <row r="192" spans="1:44">
      <c r="A192" s="5"/>
      <c r="B192" s="35"/>
      <c r="C192" s="35"/>
      <c r="D192" s="35"/>
      <c r="E192" s="35"/>
      <c r="F192" s="35"/>
      <c r="G192" s="35"/>
      <c r="H192" s="35"/>
      <c r="I192" s="35"/>
      <c r="J192" s="35"/>
      <c r="K192" s="35"/>
      <c r="L192" s="35"/>
      <c r="M192" s="35"/>
      <c r="N192" s="19"/>
      <c r="O192" s="35"/>
      <c r="P192" s="35"/>
      <c r="Q192" s="35"/>
      <c r="R192" s="35"/>
      <c r="S192" s="35"/>
      <c r="T192" s="35"/>
      <c r="U192" s="35"/>
      <c r="V192" s="35"/>
      <c r="W192" s="35"/>
      <c r="X192" s="35"/>
      <c r="Y192" s="35"/>
      <c r="Z192" s="35"/>
      <c r="AA192" s="12"/>
      <c r="AB192" s="12"/>
      <c r="AF192" s="31"/>
      <c r="AJ192" s="12"/>
      <c r="AN192" s="31"/>
    </row>
    <row r="193" spans="1:40">
      <c r="A193" s="5"/>
      <c r="B193" s="35"/>
      <c r="C193" s="35"/>
      <c r="D193" s="35"/>
      <c r="E193" s="35"/>
      <c r="F193" s="35"/>
      <c r="G193" s="35"/>
      <c r="H193" s="35"/>
      <c r="I193" s="35"/>
      <c r="J193" s="35"/>
      <c r="K193" s="35"/>
      <c r="L193" s="35"/>
      <c r="M193" s="35"/>
      <c r="N193" s="19"/>
      <c r="O193" s="35"/>
      <c r="P193" s="35"/>
      <c r="Q193" s="35"/>
      <c r="R193" s="35"/>
      <c r="S193" s="35"/>
      <c r="T193" s="35"/>
      <c r="U193" s="35"/>
      <c r="V193" s="35"/>
      <c r="W193" s="35"/>
      <c r="X193" s="35"/>
      <c r="Y193" s="35"/>
      <c r="Z193" s="35"/>
      <c r="AA193" s="12"/>
      <c r="AB193" s="12"/>
      <c r="AF193" s="31"/>
      <c r="AJ193" s="12"/>
      <c r="AN193" s="31"/>
    </row>
    <row r="194" spans="1:40">
      <c r="A194" s="5"/>
      <c r="B194" s="35"/>
      <c r="C194" s="35"/>
      <c r="D194" s="35"/>
      <c r="E194" s="35"/>
      <c r="F194" s="35"/>
      <c r="G194" s="35"/>
      <c r="H194" s="35"/>
      <c r="I194" s="35"/>
      <c r="J194" s="35"/>
      <c r="K194" s="35"/>
      <c r="L194" s="35"/>
      <c r="M194" s="35"/>
      <c r="N194" s="19"/>
      <c r="O194" s="35"/>
      <c r="P194" s="35"/>
      <c r="Q194" s="35"/>
      <c r="R194" s="35"/>
      <c r="S194" s="35"/>
      <c r="T194" s="35"/>
      <c r="U194" s="35"/>
      <c r="V194" s="35"/>
      <c r="W194" s="35"/>
      <c r="X194" s="35"/>
      <c r="Y194" s="35"/>
      <c r="Z194" s="35"/>
      <c r="AA194" s="12"/>
      <c r="AB194" s="12"/>
      <c r="AF194" s="31"/>
      <c r="AJ194" s="12"/>
      <c r="AN194" s="31"/>
    </row>
    <row r="195" spans="1:40">
      <c r="A195" s="5"/>
      <c r="B195" s="35"/>
      <c r="C195" s="35"/>
      <c r="D195" s="35"/>
      <c r="E195" s="35"/>
      <c r="F195" s="35"/>
      <c r="G195" s="35"/>
      <c r="H195" s="35"/>
      <c r="I195" s="35"/>
      <c r="J195" s="35"/>
      <c r="K195" s="35"/>
      <c r="L195" s="35"/>
      <c r="M195" s="35"/>
      <c r="N195" s="19"/>
      <c r="O195" s="35"/>
      <c r="P195" s="35"/>
      <c r="Q195" s="35"/>
      <c r="R195" s="35"/>
      <c r="S195" s="35"/>
      <c r="T195" s="35"/>
      <c r="U195" s="35"/>
      <c r="V195" s="35"/>
      <c r="W195" s="35"/>
      <c r="X195" s="35"/>
      <c r="Y195" s="35"/>
      <c r="Z195" s="35"/>
      <c r="AA195" s="12"/>
      <c r="AB195" s="12"/>
      <c r="AF195" s="31"/>
      <c r="AJ195" s="12"/>
      <c r="AN195" s="31"/>
    </row>
    <row r="196" spans="1:40">
      <c r="A196" s="5"/>
      <c r="B196" s="35"/>
      <c r="C196" s="35"/>
      <c r="D196" s="35"/>
      <c r="E196" s="35"/>
      <c r="F196" s="35"/>
      <c r="G196" s="35"/>
      <c r="H196" s="35"/>
      <c r="I196" s="35"/>
      <c r="J196" s="35"/>
      <c r="K196" s="35"/>
      <c r="L196" s="35"/>
      <c r="M196" s="35"/>
      <c r="N196" s="19"/>
      <c r="O196" s="35"/>
      <c r="P196" s="35"/>
      <c r="Q196" s="35"/>
      <c r="R196" s="35"/>
      <c r="S196" s="35"/>
      <c r="T196" s="35"/>
      <c r="U196" s="35"/>
      <c r="V196" s="35"/>
      <c r="W196" s="35"/>
      <c r="X196" s="35"/>
      <c r="Y196" s="35"/>
      <c r="Z196" s="35"/>
      <c r="AA196" s="12"/>
      <c r="AB196" s="12"/>
      <c r="AF196" s="31"/>
      <c r="AJ196" s="12"/>
      <c r="AN196" s="31"/>
    </row>
    <row r="197" spans="1:40">
      <c r="A197" s="5"/>
      <c r="B197" s="35"/>
      <c r="C197" s="35"/>
      <c r="D197" s="35"/>
      <c r="E197" s="35"/>
      <c r="F197" s="35"/>
      <c r="G197" s="35"/>
      <c r="H197" s="35"/>
      <c r="I197" s="35"/>
      <c r="J197" s="35"/>
      <c r="K197" s="35"/>
      <c r="L197" s="35"/>
      <c r="M197" s="35"/>
      <c r="N197" s="19"/>
      <c r="O197" s="35"/>
      <c r="P197" s="35"/>
      <c r="Q197" s="35"/>
      <c r="R197" s="35"/>
      <c r="S197" s="35"/>
      <c r="T197" s="35"/>
      <c r="U197" s="35"/>
      <c r="V197" s="35"/>
      <c r="W197" s="35"/>
      <c r="X197" s="35"/>
      <c r="Y197" s="35"/>
      <c r="Z197" s="35"/>
      <c r="AA197" s="12"/>
      <c r="AB197" s="12"/>
      <c r="AF197" s="31"/>
      <c r="AJ197" s="12"/>
      <c r="AN197" s="31"/>
    </row>
    <row r="198" spans="1:40">
      <c r="A198" s="5"/>
      <c r="B198" s="35"/>
      <c r="C198" s="35"/>
      <c r="D198" s="35"/>
      <c r="E198" s="35"/>
      <c r="F198" s="35"/>
      <c r="G198" s="35"/>
      <c r="H198" s="35"/>
      <c r="I198" s="35"/>
      <c r="J198" s="35"/>
      <c r="K198" s="35"/>
      <c r="L198" s="35"/>
      <c r="M198" s="35"/>
      <c r="N198" s="19"/>
      <c r="O198" s="35"/>
      <c r="P198" s="35"/>
      <c r="Q198" s="35"/>
      <c r="R198" s="35"/>
      <c r="S198" s="35"/>
      <c r="T198" s="35"/>
      <c r="U198" s="35"/>
      <c r="V198" s="35"/>
      <c r="W198" s="35"/>
      <c r="X198" s="35"/>
      <c r="Y198" s="35"/>
      <c r="Z198" s="35"/>
      <c r="AA198" s="12"/>
      <c r="AB198" s="12"/>
      <c r="AF198" s="31"/>
      <c r="AJ198" s="12"/>
      <c r="AN198" s="31"/>
    </row>
    <row r="199" spans="1:40">
      <c r="A199" s="5"/>
      <c r="B199" s="35"/>
      <c r="C199" s="35"/>
      <c r="D199" s="35"/>
      <c r="E199" s="35"/>
      <c r="F199" s="35"/>
      <c r="G199" s="35"/>
      <c r="H199" s="35"/>
      <c r="I199" s="35"/>
      <c r="J199" s="35"/>
      <c r="K199" s="35"/>
      <c r="L199" s="35"/>
      <c r="M199" s="35"/>
      <c r="N199" s="19"/>
      <c r="O199" s="35"/>
      <c r="P199" s="35"/>
      <c r="Q199" s="35"/>
      <c r="R199" s="35"/>
      <c r="S199" s="35"/>
      <c r="T199" s="35"/>
      <c r="U199" s="35"/>
      <c r="V199" s="35"/>
      <c r="W199" s="35"/>
      <c r="X199" s="35"/>
      <c r="Y199" s="35"/>
      <c r="Z199" s="35"/>
      <c r="AA199" s="12"/>
      <c r="AB199" s="12"/>
      <c r="AF199" s="31"/>
      <c r="AJ199" s="12"/>
      <c r="AN199" s="31"/>
    </row>
    <row r="200" spans="1:40">
      <c r="A200" s="5"/>
      <c r="B200" s="35"/>
      <c r="C200" s="35"/>
      <c r="D200" s="35"/>
      <c r="E200" s="35"/>
      <c r="F200" s="35"/>
      <c r="G200" s="35"/>
      <c r="H200" s="35"/>
      <c r="I200" s="35"/>
      <c r="J200" s="35"/>
      <c r="K200" s="35"/>
      <c r="L200" s="35"/>
      <c r="M200" s="35"/>
      <c r="N200" s="19"/>
      <c r="O200" s="35"/>
      <c r="P200" s="35"/>
      <c r="Q200" s="35"/>
      <c r="R200" s="35"/>
      <c r="S200" s="35"/>
      <c r="T200" s="35"/>
      <c r="U200" s="35"/>
      <c r="V200" s="35"/>
      <c r="W200" s="35"/>
      <c r="X200" s="35"/>
      <c r="Y200" s="35"/>
      <c r="Z200" s="35"/>
      <c r="AA200" s="12"/>
      <c r="AB200" s="12"/>
      <c r="AF200" s="31"/>
      <c r="AJ200" s="12"/>
      <c r="AN200" s="31"/>
    </row>
    <row r="201" spans="1:40">
      <c r="A201" s="5"/>
      <c r="B201" s="35"/>
      <c r="C201" s="35"/>
      <c r="D201" s="35"/>
      <c r="E201" s="35"/>
      <c r="F201" s="35"/>
      <c r="G201" s="35"/>
      <c r="H201" s="35"/>
      <c r="I201" s="35"/>
      <c r="J201" s="35"/>
      <c r="K201" s="35"/>
      <c r="L201" s="35"/>
      <c r="M201" s="35"/>
      <c r="N201" s="19"/>
      <c r="O201" s="35"/>
      <c r="P201" s="35"/>
      <c r="Q201" s="35"/>
      <c r="R201" s="35"/>
      <c r="S201" s="35"/>
      <c r="T201" s="35"/>
      <c r="U201" s="35"/>
      <c r="V201" s="35"/>
      <c r="W201" s="35"/>
      <c r="X201" s="35"/>
      <c r="Y201" s="35"/>
      <c r="Z201" s="35"/>
      <c r="AA201" s="12"/>
      <c r="AB201" s="12"/>
      <c r="AF201" s="31"/>
      <c r="AJ201" s="12"/>
      <c r="AN201" s="31"/>
    </row>
    <row r="202" spans="1:40">
      <c r="A202" s="5"/>
      <c r="B202" s="35"/>
      <c r="C202" s="35"/>
      <c r="D202" s="35"/>
      <c r="E202" s="35"/>
      <c r="F202" s="35"/>
      <c r="G202" s="35"/>
      <c r="H202" s="35"/>
      <c r="I202" s="35"/>
      <c r="J202" s="35"/>
      <c r="K202" s="35"/>
      <c r="L202" s="35"/>
      <c r="M202" s="35"/>
      <c r="N202" s="19"/>
      <c r="O202" s="35"/>
      <c r="P202" s="35"/>
      <c r="Q202" s="35"/>
      <c r="R202" s="35"/>
      <c r="S202" s="35"/>
      <c r="T202" s="35"/>
      <c r="U202" s="35"/>
      <c r="V202" s="35"/>
      <c r="W202" s="35"/>
      <c r="X202" s="35"/>
      <c r="Y202" s="35"/>
      <c r="Z202" s="35"/>
      <c r="AA202" s="12"/>
      <c r="AB202" s="12"/>
      <c r="AF202" s="31"/>
      <c r="AJ202" s="12"/>
      <c r="AN202" s="31"/>
    </row>
    <row r="203" spans="1:40">
      <c r="A203" s="5"/>
      <c r="B203" s="35"/>
      <c r="C203" s="35"/>
      <c r="D203" s="35"/>
      <c r="E203" s="35"/>
      <c r="F203" s="35"/>
      <c r="G203" s="35"/>
      <c r="H203" s="35"/>
      <c r="I203" s="35"/>
      <c r="J203" s="35"/>
      <c r="K203" s="35"/>
      <c r="L203" s="35"/>
      <c r="M203" s="35"/>
      <c r="N203" s="19"/>
      <c r="O203" s="35"/>
      <c r="P203" s="35"/>
      <c r="Q203" s="35"/>
      <c r="R203" s="35"/>
      <c r="S203" s="35"/>
      <c r="T203" s="35"/>
      <c r="U203" s="35"/>
      <c r="V203" s="35"/>
      <c r="W203" s="35"/>
      <c r="X203" s="35"/>
      <c r="Y203" s="35"/>
      <c r="Z203" s="35"/>
      <c r="AA203" s="12"/>
      <c r="AB203" s="12"/>
      <c r="AF203" s="31"/>
      <c r="AJ203" s="12"/>
      <c r="AN203" s="31"/>
    </row>
    <row r="204" spans="1:40">
      <c r="A204" s="5"/>
      <c r="B204" s="35"/>
      <c r="C204" s="35"/>
      <c r="D204" s="35"/>
      <c r="E204" s="35"/>
      <c r="F204" s="35"/>
      <c r="G204" s="35"/>
      <c r="H204" s="35"/>
      <c r="I204" s="35"/>
      <c r="J204" s="35"/>
      <c r="K204" s="35"/>
      <c r="L204" s="35"/>
      <c r="M204" s="35"/>
      <c r="N204" s="19"/>
      <c r="O204" s="35"/>
      <c r="P204" s="35"/>
      <c r="Q204" s="35"/>
      <c r="R204" s="35"/>
      <c r="S204" s="35"/>
      <c r="T204" s="35"/>
      <c r="U204" s="35"/>
      <c r="V204" s="35"/>
      <c r="W204" s="35"/>
      <c r="X204" s="35"/>
      <c r="Y204" s="35"/>
      <c r="Z204" s="35"/>
      <c r="AA204" s="12"/>
      <c r="AB204" s="12"/>
      <c r="AF204" s="31"/>
      <c r="AJ204" s="12"/>
      <c r="AN204" s="31"/>
    </row>
    <row r="205" spans="1:40">
      <c r="A205" s="5"/>
      <c r="B205" s="35"/>
      <c r="C205" s="35"/>
      <c r="D205" s="35"/>
      <c r="E205" s="35"/>
      <c r="F205" s="35"/>
      <c r="G205" s="35"/>
      <c r="H205" s="35"/>
      <c r="I205" s="35"/>
      <c r="J205" s="35"/>
      <c r="K205" s="35"/>
      <c r="L205" s="35"/>
      <c r="M205" s="35"/>
      <c r="N205" s="19"/>
      <c r="O205" s="35"/>
      <c r="P205" s="35"/>
      <c r="Q205" s="35"/>
      <c r="R205" s="35"/>
      <c r="S205" s="35"/>
      <c r="T205" s="35"/>
      <c r="U205" s="35"/>
      <c r="V205" s="35"/>
      <c r="W205" s="35"/>
      <c r="X205" s="35"/>
      <c r="Y205" s="35"/>
      <c r="Z205" s="35"/>
      <c r="AA205" s="12"/>
      <c r="AB205" s="12"/>
      <c r="AF205" s="31"/>
      <c r="AJ205" s="12"/>
      <c r="AN205" s="31"/>
    </row>
    <row r="206" spans="1:40">
      <c r="A206" s="5"/>
      <c r="B206" s="35"/>
      <c r="C206" s="35"/>
      <c r="D206" s="35"/>
      <c r="E206" s="35"/>
      <c r="F206" s="35"/>
      <c r="G206" s="35"/>
      <c r="H206" s="35"/>
      <c r="I206" s="35"/>
      <c r="J206" s="35"/>
      <c r="K206" s="35"/>
      <c r="L206" s="35"/>
      <c r="M206" s="35"/>
      <c r="N206" s="19"/>
      <c r="O206" s="35"/>
      <c r="P206" s="35"/>
      <c r="Q206" s="35"/>
      <c r="R206" s="35"/>
      <c r="S206" s="35"/>
      <c r="T206" s="35"/>
      <c r="U206" s="35"/>
      <c r="V206" s="35"/>
      <c r="W206" s="35"/>
      <c r="X206" s="35"/>
      <c r="Y206" s="35"/>
      <c r="Z206" s="35"/>
      <c r="AA206" s="12"/>
      <c r="AB206" s="12"/>
      <c r="AF206" s="31"/>
      <c r="AJ206" s="12"/>
      <c r="AN206" s="31"/>
    </row>
    <row r="207" spans="1:40">
      <c r="A207" s="5"/>
      <c r="B207" s="35"/>
      <c r="C207" s="35"/>
      <c r="D207" s="35"/>
      <c r="E207" s="35"/>
      <c r="F207" s="35"/>
      <c r="G207" s="35"/>
      <c r="H207" s="35"/>
      <c r="I207" s="35"/>
      <c r="J207" s="35"/>
      <c r="K207" s="35"/>
      <c r="L207" s="35"/>
      <c r="M207" s="35"/>
      <c r="N207" s="19"/>
      <c r="O207" s="35"/>
      <c r="P207" s="35"/>
      <c r="Q207" s="35"/>
      <c r="R207" s="35"/>
      <c r="S207" s="35"/>
      <c r="T207" s="35"/>
      <c r="U207" s="35"/>
      <c r="V207" s="35"/>
      <c r="W207" s="35"/>
      <c r="X207" s="35"/>
      <c r="Y207" s="35"/>
      <c r="Z207" s="35"/>
      <c r="AA207" s="12"/>
      <c r="AB207" s="12"/>
      <c r="AF207" s="31"/>
      <c r="AJ207" s="12"/>
      <c r="AN207" s="31"/>
    </row>
    <row r="208" spans="1:40">
      <c r="A208" s="5"/>
      <c r="B208" s="35"/>
      <c r="C208" s="35"/>
      <c r="D208" s="35"/>
      <c r="E208" s="35"/>
      <c r="F208" s="35"/>
      <c r="G208" s="35"/>
      <c r="H208" s="35"/>
      <c r="I208" s="35"/>
      <c r="J208" s="35"/>
      <c r="K208" s="35"/>
      <c r="L208" s="35"/>
      <c r="M208" s="35"/>
      <c r="N208" s="19"/>
      <c r="O208" s="35"/>
      <c r="P208" s="35"/>
      <c r="Q208" s="35"/>
      <c r="R208" s="35"/>
      <c r="S208" s="35"/>
      <c r="T208" s="35"/>
      <c r="U208" s="35"/>
      <c r="V208" s="35"/>
      <c r="W208" s="35"/>
      <c r="X208" s="35"/>
      <c r="Y208" s="35"/>
      <c r="Z208" s="35"/>
      <c r="AA208" s="12"/>
      <c r="AB208" s="12"/>
      <c r="AF208" s="31"/>
      <c r="AJ208" s="12"/>
      <c r="AN208" s="31"/>
    </row>
    <row r="209" spans="1:40">
      <c r="A209" s="5"/>
      <c r="B209" s="35"/>
      <c r="C209" s="35"/>
      <c r="D209" s="35"/>
      <c r="E209" s="35"/>
      <c r="F209" s="35"/>
      <c r="G209" s="35"/>
      <c r="H209" s="35"/>
      <c r="I209" s="35"/>
      <c r="J209" s="35"/>
      <c r="K209" s="35"/>
      <c r="L209" s="35"/>
      <c r="M209" s="35"/>
      <c r="N209" s="19"/>
      <c r="O209" s="35"/>
      <c r="P209" s="35"/>
      <c r="Q209" s="35"/>
      <c r="R209" s="35"/>
      <c r="S209" s="35"/>
      <c r="T209" s="35"/>
      <c r="U209" s="35"/>
      <c r="V209" s="35"/>
      <c r="W209" s="35"/>
      <c r="X209" s="35"/>
      <c r="Y209" s="35"/>
      <c r="Z209" s="35"/>
      <c r="AA209" s="12"/>
      <c r="AB209" s="12"/>
      <c r="AF209" s="31"/>
      <c r="AJ209" s="12"/>
      <c r="AN209" s="31"/>
    </row>
    <row r="210" spans="1:40">
      <c r="A210" s="5"/>
      <c r="B210" s="35"/>
      <c r="C210" s="35"/>
      <c r="D210" s="35"/>
      <c r="E210" s="35"/>
      <c r="F210" s="35"/>
      <c r="G210" s="35"/>
      <c r="H210" s="35"/>
      <c r="I210" s="35"/>
      <c r="J210" s="35"/>
      <c r="K210" s="35"/>
      <c r="L210" s="35"/>
      <c r="M210" s="35"/>
      <c r="N210" s="19"/>
      <c r="O210" s="35"/>
      <c r="P210" s="35"/>
      <c r="Q210" s="35"/>
      <c r="R210" s="35"/>
      <c r="S210" s="35"/>
      <c r="T210" s="35"/>
      <c r="U210" s="35"/>
      <c r="V210" s="35"/>
      <c r="W210" s="35"/>
      <c r="X210" s="35"/>
      <c r="Y210" s="35"/>
      <c r="Z210" s="35"/>
      <c r="AA210" s="12"/>
      <c r="AB210" s="12"/>
      <c r="AF210" s="31"/>
      <c r="AJ210" s="12"/>
      <c r="AN210" s="31"/>
    </row>
    <row r="211" spans="1:40">
      <c r="A211" s="5"/>
      <c r="B211" s="35"/>
      <c r="C211" s="35"/>
      <c r="D211" s="35"/>
      <c r="E211" s="35"/>
      <c r="F211" s="35"/>
      <c r="G211" s="35"/>
      <c r="H211" s="35"/>
      <c r="I211" s="35"/>
      <c r="J211" s="35"/>
      <c r="K211" s="35"/>
      <c r="L211" s="35"/>
      <c r="M211" s="35"/>
      <c r="N211" s="19"/>
      <c r="O211" s="35"/>
      <c r="P211" s="35"/>
      <c r="Q211" s="35"/>
      <c r="R211" s="35"/>
      <c r="S211" s="35"/>
      <c r="T211" s="35"/>
      <c r="U211" s="35"/>
      <c r="V211" s="35"/>
      <c r="W211" s="35"/>
      <c r="X211" s="35"/>
      <c r="Y211" s="35"/>
      <c r="Z211" s="35"/>
      <c r="AA211" s="12"/>
      <c r="AB211" s="12"/>
      <c r="AF211" s="31"/>
      <c r="AJ211" s="12"/>
      <c r="AN211" s="31"/>
    </row>
    <row r="212" spans="1:40">
      <c r="A212" s="5"/>
      <c r="B212" s="35"/>
      <c r="C212" s="35"/>
      <c r="D212" s="35"/>
      <c r="E212" s="35"/>
      <c r="F212" s="35"/>
      <c r="G212" s="35"/>
      <c r="H212" s="35"/>
      <c r="I212" s="35"/>
      <c r="J212" s="35"/>
      <c r="K212" s="35"/>
      <c r="L212" s="35"/>
      <c r="M212" s="35"/>
      <c r="N212" s="19"/>
      <c r="O212" s="35"/>
      <c r="P212" s="35"/>
      <c r="Q212" s="35"/>
      <c r="R212" s="35"/>
      <c r="S212" s="35"/>
      <c r="T212" s="35"/>
      <c r="U212" s="35"/>
      <c r="V212" s="35"/>
      <c r="W212" s="35"/>
      <c r="X212" s="35"/>
      <c r="Y212" s="35"/>
      <c r="Z212" s="35"/>
      <c r="AA212" s="12"/>
      <c r="AB212" s="12"/>
      <c r="AF212" s="31"/>
      <c r="AJ212" s="12"/>
      <c r="AN212" s="31"/>
    </row>
    <row r="213" spans="1:40">
      <c r="A213" s="5"/>
      <c r="B213" s="35"/>
      <c r="C213" s="35"/>
      <c r="D213" s="35"/>
      <c r="E213" s="35"/>
      <c r="F213" s="35"/>
      <c r="G213" s="35"/>
      <c r="H213" s="35"/>
      <c r="I213" s="35"/>
      <c r="J213" s="35"/>
      <c r="K213" s="35"/>
      <c r="L213" s="35"/>
      <c r="M213" s="35"/>
      <c r="N213" s="19"/>
      <c r="O213" s="35"/>
      <c r="P213" s="35"/>
      <c r="Q213" s="35"/>
      <c r="R213" s="35"/>
      <c r="S213" s="35"/>
      <c r="T213" s="35"/>
      <c r="U213" s="35"/>
      <c r="V213" s="35"/>
      <c r="W213" s="35"/>
      <c r="X213" s="35"/>
      <c r="Y213" s="35"/>
      <c r="Z213" s="35"/>
      <c r="AA213" s="12"/>
      <c r="AB213" s="12"/>
      <c r="AF213" s="31"/>
      <c r="AJ213" s="12"/>
      <c r="AN213" s="31"/>
    </row>
    <row r="214" spans="1:40">
      <c r="A214" s="5"/>
      <c r="B214" s="35"/>
      <c r="C214" s="35"/>
      <c r="D214" s="35"/>
      <c r="E214" s="35"/>
      <c r="F214" s="35"/>
      <c r="G214" s="35"/>
      <c r="H214" s="35"/>
      <c r="I214" s="35"/>
      <c r="J214" s="35"/>
      <c r="K214" s="35"/>
      <c r="L214" s="35"/>
      <c r="M214" s="35"/>
      <c r="N214" s="19"/>
      <c r="O214" s="35"/>
      <c r="P214" s="35"/>
      <c r="Q214" s="35"/>
      <c r="R214" s="35"/>
      <c r="S214" s="35"/>
      <c r="T214" s="35"/>
      <c r="U214" s="35"/>
      <c r="V214" s="35"/>
      <c r="W214" s="35"/>
      <c r="X214" s="35"/>
      <c r="Y214" s="35"/>
      <c r="Z214" s="35"/>
      <c r="AA214" s="12"/>
      <c r="AB214" s="12"/>
      <c r="AF214" s="31"/>
      <c r="AJ214" s="12"/>
      <c r="AN214" s="31"/>
    </row>
    <row r="215" spans="1:40">
      <c r="A215" s="5"/>
      <c r="B215" s="35"/>
      <c r="C215" s="35"/>
      <c r="D215" s="35"/>
      <c r="E215" s="35"/>
      <c r="F215" s="35"/>
      <c r="G215" s="35"/>
      <c r="H215" s="35"/>
      <c r="I215" s="35"/>
      <c r="J215" s="35"/>
      <c r="K215" s="35"/>
      <c r="L215" s="35"/>
      <c r="M215" s="35"/>
      <c r="N215" s="19"/>
      <c r="O215" s="35"/>
      <c r="P215" s="35"/>
      <c r="Q215" s="35"/>
      <c r="R215" s="35"/>
      <c r="S215" s="35"/>
      <c r="T215" s="35"/>
      <c r="U215" s="35"/>
      <c r="V215" s="35"/>
      <c r="W215" s="35"/>
      <c r="X215" s="35"/>
      <c r="Y215" s="35"/>
      <c r="Z215" s="35"/>
      <c r="AA215" s="12"/>
      <c r="AB215" s="12"/>
      <c r="AF215" s="31"/>
      <c r="AJ215" s="12"/>
      <c r="AN215" s="31"/>
    </row>
    <row r="216" spans="1:40">
      <c r="A216" s="5"/>
      <c r="B216" s="35"/>
      <c r="C216" s="35"/>
      <c r="D216" s="35"/>
      <c r="E216" s="35"/>
      <c r="F216" s="35"/>
      <c r="G216" s="35"/>
      <c r="H216" s="35"/>
      <c r="I216" s="35"/>
      <c r="J216" s="35"/>
      <c r="K216" s="35"/>
      <c r="L216" s="35"/>
      <c r="M216" s="35"/>
      <c r="N216" s="19"/>
      <c r="O216" s="35"/>
      <c r="P216" s="35"/>
      <c r="Q216" s="35"/>
      <c r="R216" s="35"/>
      <c r="S216" s="35"/>
      <c r="T216" s="35"/>
      <c r="U216" s="35"/>
      <c r="V216" s="35"/>
      <c r="W216" s="35"/>
      <c r="X216" s="35"/>
      <c r="Y216" s="35"/>
      <c r="Z216" s="35"/>
      <c r="AA216" s="12"/>
      <c r="AB216" s="12"/>
      <c r="AF216" s="31"/>
      <c r="AJ216" s="12"/>
      <c r="AN216" s="31"/>
    </row>
    <row r="217" spans="1:40">
      <c r="A217" s="5"/>
      <c r="B217" s="35"/>
      <c r="C217" s="35"/>
      <c r="D217" s="35"/>
      <c r="E217" s="35"/>
      <c r="F217" s="35"/>
      <c r="G217" s="35"/>
      <c r="H217" s="35"/>
      <c r="I217" s="35"/>
      <c r="J217" s="35"/>
      <c r="K217" s="35"/>
      <c r="L217" s="35"/>
      <c r="M217" s="35"/>
      <c r="N217" s="19"/>
      <c r="O217" s="35"/>
      <c r="P217" s="35"/>
      <c r="Q217" s="35"/>
      <c r="R217" s="35"/>
      <c r="S217" s="35"/>
      <c r="T217" s="35"/>
      <c r="U217" s="35"/>
      <c r="V217" s="35"/>
      <c r="W217" s="35"/>
      <c r="X217" s="35"/>
      <c r="Y217" s="35"/>
      <c r="Z217" s="35"/>
      <c r="AA217" s="12"/>
      <c r="AB217" s="12"/>
      <c r="AF217" s="31"/>
      <c r="AJ217" s="12"/>
      <c r="AN217" s="31"/>
    </row>
    <row r="218" spans="1:40">
      <c r="A218" s="5"/>
      <c r="B218" s="35"/>
      <c r="C218" s="35"/>
      <c r="D218" s="35"/>
      <c r="E218" s="35"/>
      <c r="F218" s="35"/>
      <c r="G218" s="35"/>
      <c r="H218" s="35"/>
      <c r="I218" s="35"/>
      <c r="J218" s="35"/>
      <c r="K218" s="35"/>
      <c r="L218" s="35"/>
      <c r="M218" s="35"/>
      <c r="N218" s="19"/>
      <c r="O218" s="35"/>
      <c r="P218" s="35"/>
      <c r="Q218" s="35"/>
      <c r="R218" s="35"/>
      <c r="S218" s="35"/>
      <c r="T218" s="35"/>
      <c r="U218" s="35"/>
      <c r="V218" s="35"/>
      <c r="W218" s="35"/>
      <c r="X218" s="35"/>
      <c r="Y218" s="35"/>
      <c r="Z218" s="35"/>
      <c r="AA218" s="12"/>
      <c r="AB218" s="12"/>
      <c r="AF218" s="31"/>
      <c r="AJ218" s="12"/>
      <c r="AN218" s="31"/>
    </row>
    <row r="219" spans="1:40">
      <c r="A219" s="5"/>
      <c r="B219" s="35"/>
      <c r="C219" s="35"/>
      <c r="D219" s="35"/>
      <c r="E219" s="35"/>
      <c r="F219" s="35"/>
      <c r="G219" s="35"/>
      <c r="H219" s="35"/>
      <c r="I219" s="35"/>
      <c r="J219" s="35"/>
      <c r="K219" s="35"/>
      <c r="L219" s="35"/>
      <c r="M219" s="35"/>
      <c r="N219" s="19"/>
      <c r="O219" s="35"/>
      <c r="P219" s="35"/>
      <c r="Q219" s="35"/>
      <c r="R219" s="35"/>
      <c r="S219" s="35"/>
      <c r="T219" s="35"/>
      <c r="U219" s="35"/>
      <c r="V219" s="35"/>
      <c r="W219" s="35"/>
      <c r="X219" s="35"/>
      <c r="Y219" s="35"/>
      <c r="Z219" s="35"/>
      <c r="AA219" s="12"/>
      <c r="AB219" s="12"/>
      <c r="AF219" s="31"/>
      <c r="AJ219" s="12"/>
      <c r="AN219" s="31"/>
    </row>
    <row r="220" spans="1:40">
      <c r="A220" s="5"/>
      <c r="B220" s="35"/>
      <c r="C220" s="35"/>
      <c r="D220" s="35"/>
      <c r="E220" s="35"/>
      <c r="F220" s="35"/>
      <c r="G220" s="35"/>
      <c r="H220" s="35"/>
      <c r="I220" s="35"/>
      <c r="J220" s="35"/>
      <c r="K220" s="35"/>
      <c r="L220" s="35"/>
      <c r="M220" s="35"/>
      <c r="N220" s="19"/>
      <c r="O220" s="35"/>
      <c r="P220" s="35"/>
      <c r="Q220" s="35"/>
      <c r="R220" s="35"/>
      <c r="S220" s="35"/>
      <c r="T220" s="35"/>
      <c r="U220" s="35"/>
      <c r="V220" s="35"/>
      <c r="W220" s="35"/>
      <c r="X220" s="35"/>
      <c r="Y220" s="35"/>
      <c r="Z220" s="35"/>
      <c r="AA220" s="12"/>
      <c r="AB220" s="12"/>
      <c r="AF220" s="31"/>
      <c r="AJ220" s="12"/>
      <c r="AN220" s="31"/>
    </row>
    <row r="221" spans="1:40">
      <c r="A221" s="5"/>
      <c r="B221" s="35"/>
      <c r="C221" s="35"/>
      <c r="D221" s="35"/>
      <c r="E221" s="35"/>
      <c r="F221" s="35"/>
      <c r="G221" s="35"/>
      <c r="H221" s="35"/>
      <c r="I221" s="35"/>
      <c r="J221" s="35"/>
      <c r="K221" s="35"/>
      <c r="L221" s="35"/>
      <c r="M221" s="35"/>
      <c r="N221" s="19"/>
      <c r="O221" s="35"/>
      <c r="P221" s="35"/>
      <c r="Q221" s="35"/>
      <c r="R221" s="35"/>
      <c r="S221" s="35"/>
      <c r="T221" s="35"/>
      <c r="U221" s="35"/>
      <c r="V221" s="35"/>
      <c r="W221" s="35"/>
      <c r="X221" s="35"/>
      <c r="Y221" s="35"/>
      <c r="Z221" s="35"/>
      <c r="AA221" s="12"/>
      <c r="AB221" s="12"/>
      <c r="AF221" s="31"/>
      <c r="AJ221" s="12"/>
      <c r="AN221" s="31"/>
    </row>
    <row r="222" spans="1:40">
      <c r="A222" s="5"/>
      <c r="B222" s="35"/>
      <c r="C222" s="35"/>
      <c r="D222" s="35"/>
      <c r="E222" s="35"/>
      <c r="F222" s="35"/>
      <c r="G222" s="35"/>
      <c r="H222" s="35"/>
      <c r="I222" s="35"/>
      <c r="J222" s="35"/>
      <c r="K222" s="35"/>
      <c r="L222" s="35"/>
      <c r="M222" s="35"/>
      <c r="N222" s="19"/>
      <c r="O222" s="35"/>
      <c r="P222" s="35"/>
      <c r="Q222" s="35"/>
      <c r="R222" s="35"/>
      <c r="S222" s="35"/>
      <c r="T222" s="35"/>
      <c r="U222" s="35"/>
      <c r="V222" s="35"/>
      <c r="W222" s="35"/>
      <c r="X222" s="35"/>
      <c r="Y222" s="35"/>
      <c r="Z222" s="35"/>
      <c r="AA222" s="12"/>
      <c r="AB222" s="12"/>
      <c r="AF222" s="31"/>
      <c r="AJ222" s="12"/>
      <c r="AN222" s="31"/>
    </row>
    <row r="223" spans="1:40">
      <c r="A223" s="5"/>
      <c r="B223" s="35"/>
      <c r="C223" s="35"/>
      <c r="D223" s="35"/>
      <c r="E223" s="35"/>
      <c r="F223" s="35"/>
      <c r="G223" s="35"/>
      <c r="H223" s="35"/>
      <c r="I223" s="35"/>
      <c r="J223" s="35"/>
      <c r="K223" s="35"/>
      <c r="L223" s="35"/>
      <c r="M223" s="35"/>
      <c r="N223" s="19"/>
      <c r="O223" s="35"/>
      <c r="P223" s="35"/>
      <c r="Q223" s="35"/>
      <c r="R223" s="35"/>
      <c r="S223" s="35"/>
      <c r="T223" s="35"/>
      <c r="U223" s="35"/>
      <c r="V223" s="35"/>
      <c r="W223" s="35"/>
      <c r="X223" s="35"/>
      <c r="Y223" s="35"/>
      <c r="Z223" s="35"/>
      <c r="AA223" s="12"/>
      <c r="AB223" s="12"/>
      <c r="AF223" s="31"/>
      <c r="AJ223" s="12"/>
      <c r="AN223" s="31"/>
    </row>
    <row r="224" spans="1:40">
      <c r="A224" s="5"/>
      <c r="B224" s="35"/>
      <c r="C224" s="35"/>
      <c r="D224" s="35"/>
      <c r="E224" s="35"/>
      <c r="F224" s="35"/>
      <c r="G224" s="35"/>
      <c r="H224" s="35"/>
      <c r="I224" s="35"/>
      <c r="J224" s="35"/>
      <c r="K224" s="35"/>
      <c r="L224" s="35"/>
      <c r="M224" s="35"/>
      <c r="N224" s="19"/>
      <c r="O224" s="35"/>
      <c r="P224" s="35"/>
      <c r="Q224" s="35"/>
      <c r="R224" s="35"/>
      <c r="S224" s="35"/>
      <c r="T224" s="35"/>
      <c r="U224" s="35"/>
      <c r="V224" s="35"/>
      <c r="W224" s="35"/>
      <c r="X224" s="35"/>
      <c r="Y224" s="35"/>
      <c r="Z224" s="35"/>
      <c r="AA224" s="12"/>
      <c r="AB224" s="12"/>
      <c r="AF224" s="31"/>
      <c r="AJ224" s="12"/>
      <c r="AN224" s="31"/>
    </row>
    <row r="225" spans="1:40">
      <c r="A225" s="5"/>
      <c r="B225" s="35"/>
      <c r="C225" s="35"/>
      <c r="D225" s="35"/>
      <c r="E225" s="35"/>
      <c r="F225" s="35"/>
      <c r="G225" s="35"/>
      <c r="H225" s="35"/>
      <c r="I225" s="35"/>
      <c r="J225" s="35"/>
      <c r="K225" s="35"/>
      <c r="L225" s="35"/>
      <c r="M225" s="35"/>
      <c r="N225" s="19"/>
      <c r="O225" s="35"/>
      <c r="P225" s="35"/>
      <c r="Q225" s="35"/>
      <c r="R225" s="35"/>
      <c r="S225" s="35"/>
      <c r="T225" s="35"/>
      <c r="U225" s="35"/>
      <c r="V225" s="35"/>
      <c r="W225" s="35"/>
      <c r="X225" s="35"/>
      <c r="Y225" s="35"/>
      <c r="Z225" s="35"/>
      <c r="AA225" s="12"/>
      <c r="AB225" s="12"/>
      <c r="AF225" s="31"/>
      <c r="AJ225" s="12"/>
      <c r="AN225" s="31"/>
    </row>
    <row r="226" spans="1:40">
      <c r="A226" s="5"/>
      <c r="B226" s="35"/>
      <c r="C226" s="35"/>
      <c r="D226" s="35"/>
      <c r="E226" s="35"/>
      <c r="F226" s="35"/>
      <c r="G226" s="35"/>
      <c r="H226" s="35"/>
      <c r="I226" s="35"/>
      <c r="J226" s="35"/>
      <c r="K226" s="35"/>
      <c r="L226" s="35"/>
      <c r="M226" s="35"/>
      <c r="N226" s="19"/>
      <c r="O226" s="35"/>
      <c r="P226" s="35"/>
      <c r="Q226" s="35"/>
      <c r="R226" s="35"/>
      <c r="S226" s="35"/>
      <c r="T226" s="35"/>
      <c r="U226" s="35"/>
      <c r="V226" s="35"/>
      <c r="W226" s="35"/>
      <c r="X226" s="35"/>
      <c r="Y226" s="35"/>
      <c r="Z226" s="35"/>
      <c r="AA226" s="12"/>
      <c r="AB226" s="12"/>
      <c r="AF226" s="31"/>
      <c r="AJ226" s="12"/>
      <c r="AN226" s="31"/>
    </row>
    <row r="227" spans="1:40">
      <c r="A227" s="5"/>
      <c r="B227" s="35"/>
      <c r="C227" s="35"/>
      <c r="D227" s="35"/>
      <c r="E227" s="35"/>
      <c r="F227" s="35"/>
      <c r="G227" s="35"/>
      <c r="H227" s="35"/>
      <c r="I227" s="35"/>
      <c r="J227" s="35"/>
      <c r="K227" s="35"/>
      <c r="L227" s="35"/>
      <c r="M227" s="35"/>
      <c r="N227" s="19"/>
      <c r="O227" s="35"/>
      <c r="P227" s="35"/>
      <c r="Q227" s="35"/>
      <c r="R227" s="35"/>
      <c r="S227" s="35"/>
      <c r="T227" s="35"/>
      <c r="U227" s="35"/>
      <c r="V227" s="35"/>
      <c r="W227" s="35"/>
      <c r="X227" s="35"/>
      <c r="Y227" s="35"/>
      <c r="Z227" s="35"/>
      <c r="AA227" s="12"/>
      <c r="AB227" s="12"/>
      <c r="AF227" s="31"/>
      <c r="AJ227" s="12"/>
      <c r="AN227" s="31"/>
    </row>
    <row r="228" spans="1:40">
      <c r="A228" s="5"/>
      <c r="B228" s="35"/>
      <c r="C228" s="35"/>
      <c r="D228" s="35"/>
      <c r="E228" s="35"/>
      <c r="F228" s="35"/>
      <c r="G228" s="35"/>
      <c r="H228" s="35"/>
      <c r="I228" s="35"/>
      <c r="J228" s="35"/>
      <c r="K228" s="35"/>
      <c r="L228" s="35"/>
      <c r="M228" s="35"/>
      <c r="N228" s="19"/>
      <c r="O228" s="35"/>
      <c r="P228" s="35"/>
      <c r="Q228" s="35"/>
      <c r="R228" s="35"/>
      <c r="S228" s="35"/>
      <c r="T228" s="35"/>
      <c r="U228" s="35"/>
      <c r="V228" s="35"/>
      <c r="W228" s="35"/>
      <c r="X228" s="35"/>
      <c r="Y228" s="35"/>
      <c r="Z228" s="35"/>
      <c r="AA228" s="12"/>
      <c r="AB228" s="12"/>
      <c r="AF228" s="31"/>
      <c r="AJ228" s="12"/>
      <c r="AN228" s="31"/>
    </row>
    <row r="229" spans="1:40">
      <c r="A229" s="5"/>
      <c r="B229" s="35"/>
      <c r="C229" s="35"/>
      <c r="D229" s="35"/>
      <c r="E229" s="35"/>
      <c r="F229" s="35"/>
      <c r="G229" s="35"/>
      <c r="H229" s="35"/>
      <c r="I229" s="35"/>
      <c r="J229" s="35"/>
      <c r="K229" s="35"/>
      <c r="L229" s="35"/>
      <c r="M229" s="35"/>
      <c r="N229" s="19"/>
      <c r="O229" s="35"/>
      <c r="P229" s="35"/>
      <c r="Q229" s="35"/>
      <c r="R229" s="35"/>
      <c r="S229" s="35"/>
      <c r="T229" s="35"/>
      <c r="U229" s="35"/>
      <c r="V229" s="35"/>
      <c r="W229" s="35"/>
      <c r="X229" s="35"/>
      <c r="Y229" s="35"/>
      <c r="Z229" s="35"/>
      <c r="AA229" s="12"/>
      <c r="AB229" s="12"/>
      <c r="AF229" s="31"/>
      <c r="AJ229" s="12"/>
      <c r="AN229" s="31"/>
    </row>
    <row r="230" spans="1:40">
      <c r="A230" s="5"/>
      <c r="B230" s="35"/>
      <c r="C230" s="35"/>
      <c r="D230" s="35"/>
      <c r="E230" s="35"/>
      <c r="F230" s="35"/>
      <c r="G230" s="35"/>
      <c r="H230" s="35"/>
      <c r="I230" s="35"/>
      <c r="J230" s="35"/>
      <c r="K230" s="35"/>
      <c r="L230" s="35"/>
      <c r="M230" s="35"/>
      <c r="N230" s="19"/>
      <c r="O230" s="35"/>
      <c r="P230" s="35"/>
      <c r="Q230" s="35"/>
      <c r="R230" s="35"/>
      <c r="S230" s="35"/>
      <c r="T230" s="35"/>
      <c r="U230" s="35"/>
      <c r="V230" s="35"/>
      <c r="W230" s="35"/>
      <c r="X230" s="35"/>
      <c r="Y230" s="35"/>
      <c r="Z230" s="35"/>
      <c r="AA230" s="12"/>
      <c r="AB230" s="12"/>
      <c r="AF230" s="31"/>
      <c r="AJ230" s="12"/>
      <c r="AN230" s="31"/>
    </row>
    <row r="231" spans="1:40">
      <c r="A231" s="5"/>
      <c r="B231" s="35"/>
      <c r="C231" s="35"/>
      <c r="D231" s="35"/>
      <c r="E231" s="35"/>
      <c r="F231" s="35"/>
      <c r="G231" s="35"/>
      <c r="H231" s="35"/>
      <c r="I231" s="35"/>
      <c r="J231" s="35"/>
      <c r="K231" s="35"/>
      <c r="L231" s="35"/>
      <c r="M231" s="35"/>
      <c r="N231" s="19"/>
      <c r="O231" s="35"/>
      <c r="P231" s="35"/>
      <c r="Q231" s="35"/>
      <c r="R231" s="35"/>
      <c r="S231" s="35"/>
      <c r="T231" s="35"/>
      <c r="U231" s="35"/>
      <c r="V231" s="35"/>
      <c r="W231" s="35"/>
      <c r="X231" s="35"/>
      <c r="Y231" s="35"/>
      <c r="Z231" s="35"/>
      <c r="AA231" s="12"/>
      <c r="AB231" s="12"/>
      <c r="AF231" s="31"/>
      <c r="AJ231" s="12"/>
      <c r="AN231" s="31"/>
    </row>
    <row r="232" spans="1:40">
      <c r="A232" s="5"/>
      <c r="B232" s="35"/>
      <c r="C232" s="35"/>
      <c r="D232" s="35"/>
      <c r="E232" s="35"/>
      <c r="F232" s="35"/>
      <c r="G232" s="35"/>
      <c r="H232" s="35"/>
      <c r="I232" s="35"/>
      <c r="J232" s="35"/>
      <c r="K232" s="35"/>
      <c r="L232" s="35"/>
      <c r="M232" s="35"/>
      <c r="N232" s="19"/>
      <c r="O232" s="35"/>
      <c r="P232" s="35"/>
      <c r="Q232" s="35"/>
      <c r="R232" s="35"/>
      <c r="S232" s="35"/>
      <c r="T232" s="35"/>
      <c r="U232" s="35"/>
      <c r="V232" s="35"/>
      <c r="W232" s="35"/>
      <c r="X232" s="35"/>
      <c r="Y232" s="35"/>
      <c r="Z232" s="35"/>
      <c r="AA232" s="12"/>
      <c r="AB232" s="12"/>
      <c r="AF232" s="31"/>
      <c r="AJ232" s="12"/>
      <c r="AN232" s="31"/>
    </row>
    <row r="233" spans="1:40">
      <c r="A233" s="5"/>
      <c r="B233" s="35"/>
      <c r="C233" s="35"/>
      <c r="D233" s="35"/>
      <c r="E233" s="35"/>
      <c r="F233" s="35"/>
      <c r="G233" s="35"/>
      <c r="H233" s="35"/>
      <c r="I233" s="35"/>
      <c r="J233" s="35"/>
      <c r="K233" s="35"/>
      <c r="L233" s="35"/>
      <c r="M233" s="35"/>
      <c r="N233" s="19"/>
      <c r="O233" s="35"/>
      <c r="P233" s="35"/>
      <c r="Q233" s="35"/>
      <c r="R233" s="35"/>
      <c r="S233" s="35"/>
      <c r="T233" s="35"/>
      <c r="U233" s="35"/>
      <c r="V233" s="35"/>
      <c r="W233" s="35"/>
      <c r="X233" s="35"/>
      <c r="Y233" s="35"/>
      <c r="Z233" s="35"/>
      <c r="AA233" s="12"/>
      <c r="AB233" s="12"/>
      <c r="AF233" s="31"/>
      <c r="AJ233" s="12"/>
      <c r="AN233" s="31"/>
    </row>
    <row r="234" spans="1:40">
      <c r="A234" s="5"/>
      <c r="B234" s="35"/>
      <c r="C234" s="35"/>
      <c r="D234" s="35"/>
      <c r="E234" s="35"/>
      <c r="F234" s="35"/>
      <c r="G234" s="35"/>
      <c r="H234" s="35"/>
      <c r="I234" s="35"/>
      <c r="J234" s="35"/>
      <c r="K234" s="35"/>
      <c r="L234" s="35"/>
      <c r="M234" s="35"/>
      <c r="N234" s="19"/>
      <c r="O234" s="35"/>
      <c r="P234" s="35"/>
      <c r="Q234" s="35"/>
      <c r="R234" s="35"/>
      <c r="S234" s="35"/>
      <c r="T234" s="35"/>
      <c r="U234" s="35"/>
      <c r="V234" s="35"/>
      <c r="W234" s="35"/>
      <c r="X234" s="35"/>
      <c r="Y234" s="35"/>
      <c r="Z234" s="35"/>
      <c r="AA234" s="12"/>
      <c r="AB234" s="12"/>
      <c r="AF234" s="31"/>
      <c r="AJ234" s="12"/>
      <c r="AN234" s="31"/>
    </row>
    <row r="235" spans="1:40">
      <c r="A235" s="5"/>
      <c r="B235" s="35"/>
      <c r="C235" s="35"/>
      <c r="D235" s="35"/>
      <c r="E235" s="35"/>
      <c r="F235" s="35"/>
      <c r="G235" s="35"/>
      <c r="H235" s="35"/>
      <c r="I235" s="35"/>
      <c r="J235" s="35"/>
      <c r="K235" s="35"/>
      <c r="L235" s="35"/>
      <c r="M235" s="35"/>
      <c r="N235" s="19"/>
      <c r="O235" s="35"/>
      <c r="P235" s="35"/>
      <c r="Q235" s="35"/>
      <c r="R235" s="35"/>
      <c r="S235" s="35"/>
      <c r="T235" s="35"/>
      <c r="U235" s="35"/>
      <c r="V235" s="35"/>
      <c r="W235" s="35"/>
      <c r="X235" s="35"/>
      <c r="Y235" s="35"/>
      <c r="Z235" s="35"/>
      <c r="AA235" s="12"/>
      <c r="AB235" s="12"/>
      <c r="AF235" s="31"/>
      <c r="AJ235" s="12"/>
      <c r="AN235" s="31"/>
    </row>
    <row r="236" spans="1:40">
      <c r="A236" s="5"/>
      <c r="B236" s="35"/>
      <c r="C236" s="35"/>
      <c r="D236" s="35"/>
      <c r="E236" s="35"/>
      <c r="F236" s="35"/>
      <c r="G236" s="35"/>
      <c r="H236" s="35"/>
      <c r="I236" s="35"/>
      <c r="J236" s="35"/>
      <c r="K236" s="35"/>
      <c r="L236" s="35"/>
      <c r="M236" s="35"/>
      <c r="N236" s="19"/>
      <c r="O236" s="35"/>
      <c r="P236" s="35"/>
      <c r="Q236" s="35"/>
      <c r="R236" s="35"/>
      <c r="S236" s="35"/>
      <c r="T236" s="35"/>
      <c r="U236" s="35"/>
      <c r="V236" s="35"/>
      <c r="W236" s="35"/>
      <c r="X236" s="35"/>
      <c r="Y236" s="35"/>
      <c r="Z236" s="35"/>
      <c r="AA236" s="12"/>
      <c r="AB236" s="12"/>
      <c r="AF236" s="31"/>
      <c r="AJ236" s="12"/>
      <c r="AN236" s="31"/>
    </row>
    <row r="237" spans="1:40">
      <c r="A237" s="5"/>
      <c r="B237" s="35"/>
      <c r="C237" s="35"/>
      <c r="D237" s="35"/>
      <c r="E237" s="35"/>
      <c r="F237" s="35"/>
      <c r="G237" s="35"/>
      <c r="H237" s="35"/>
      <c r="I237" s="35"/>
      <c r="J237" s="35"/>
      <c r="K237" s="35"/>
      <c r="L237" s="35"/>
      <c r="M237" s="35"/>
      <c r="N237" s="19"/>
      <c r="O237" s="35"/>
      <c r="P237" s="35"/>
      <c r="Q237" s="35"/>
      <c r="R237" s="35"/>
      <c r="S237" s="35"/>
      <c r="T237" s="35"/>
      <c r="U237" s="35"/>
      <c r="V237" s="35"/>
      <c r="W237" s="35"/>
      <c r="X237" s="35"/>
      <c r="Y237" s="35"/>
      <c r="Z237" s="35"/>
      <c r="AA237" s="12"/>
      <c r="AB237" s="12"/>
      <c r="AF237" s="31"/>
      <c r="AJ237" s="12"/>
      <c r="AN237" s="31"/>
    </row>
    <row r="238" spans="1:40">
      <c r="A238" s="5"/>
      <c r="B238" s="35"/>
      <c r="C238" s="35"/>
      <c r="D238" s="35"/>
      <c r="E238" s="35"/>
      <c r="F238" s="35"/>
      <c r="G238" s="35"/>
      <c r="H238" s="35"/>
      <c r="I238" s="35"/>
      <c r="J238" s="35"/>
      <c r="K238" s="35"/>
      <c r="L238" s="35"/>
      <c r="M238" s="35"/>
      <c r="N238" s="19"/>
      <c r="O238" s="35"/>
      <c r="P238" s="35"/>
      <c r="Q238" s="35"/>
      <c r="R238" s="35"/>
      <c r="S238" s="35"/>
      <c r="T238" s="35"/>
      <c r="U238" s="35"/>
      <c r="V238" s="35"/>
      <c r="W238" s="35"/>
      <c r="X238" s="35"/>
      <c r="Y238" s="35"/>
      <c r="Z238" s="35"/>
      <c r="AA238" s="12"/>
      <c r="AB238" s="12"/>
      <c r="AF238" s="31"/>
      <c r="AJ238" s="12"/>
      <c r="AN238" s="31"/>
    </row>
    <row r="239" spans="1:40">
      <c r="A239" s="5"/>
      <c r="B239" s="35"/>
      <c r="C239" s="35"/>
      <c r="D239" s="35"/>
      <c r="E239" s="35"/>
      <c r="F239" s="35"/>
      <c r="G239" s="35"/>
      <c r="H239" s="35"/>
      <c r="I239" s="35"/>
      <c r="J239" s="35"/>
      <c r="K239" s="35"/>
      <c r="L239" s="35"/>
      <c r="M239" s="35"/>
      <c r="N239" s="19"/>
      <c r="O239" s="35"/>
      <c r="P239" s="35"/>
      <c r="Q239" s="35"/>
      <c r="R239" s="35"/>
      <c r="S239" s="35"/>
      <c r="T239" s="35"/>
      <c r="U239" s="35"/>
      <c r="V239" s="35"/>
      <c r="W239" s="35"/>
      <c r="X239" s="35"/>
      <c r="Y239" s="35"/>
      <c r="Z239" s="35"/>
      <c r="AA239" s="12"/>
      <c r="AB239" s="12"/>
      <c r="AF239" s="31"/>
      <c r="AJ239" s="12"/>
      <c r="AN239" s="31"/>
    </row>
    <row r="240" spans="1:40">
      <c r="A240" s="5"/>
      <c r="B240" s="35"/>
      <c r="C240" s="35"/>
      <c r="D240" s="35"/>
      <c r="E240" s="35"/>
      <c r="F240" s="35"/>
      <c r="G240" s="35"/>
      <c r="H240" s="35"/>
      <c r="I240" s="35"/>
      <c r="J240" s="35"/>
      <c r="K240" s="35"/>
      <c r="L240" s="35"/>
      <c r="M240" s="35"/>
      <c r="N240" s="19"/>
      <c r="O240" s="35"/>
      <c r="P240" s="35"/>
      <c r="Q240" s="35"/>
      <c r="R240" s="35"/>
      <c r="S240" s="35"/>
      <c r="T240" s="35"/>
      <c r="U240" s="35"/>
      <c r="V240" s="35"/>
      <c r="W240" s="35"/>
      <c r="X240" s="35"/>
      <c r="Y240" s="35"/>
      <c r="Z240" s="35"/>
      <c r="AA240" s="12"/>
      <c r="AB240" s="12"/>
      <c r="AF240" s="31"/>
      <c r="AJ240" s="12"/>
      <c r="AN240" s="31"/>
    </row>
    <row r="241" spans="1:40">
      <c r="A241" s="5"/>
      <c r="B241" s="35"/>
      <c r="C241" s="35"/>
      <c r="D241" s="35"/>
      <c r="E241" s="35"/>
      <c r="F241" s="35"/>
      <c r="G241" s="35"/>
      <c r="H241" s="35"/>
      <c r="I241" s="35"/>
      <c r="J241" s="35"/>
      <c r="K241" s="35"/>
      <c r="L241" s="35"/>
      <c r="M241" s="35"/>
      <c r="N241" s="19"/>
      <c r="O241" s="35"/>
      <c r="P241" s="35"/>
      <c r="Q241" s="35"/>
      <c r="R241" s="35"/>
      <c r="S241" s="35"/>
      <c r="T241" s="35"/>
      <c r="U241" s="35"/>
      <c r="V241" s="35"/>
      <c r="W241" s="35"/>
      <c r="X241" s="35"/>
      <c r="Y241" s="35"/>
      <c r="Z241" s="35"/>
      <c r="AA241" s="12"/>
      <c r="AB241" s="12"/>
      <c r="AF241" s="31"/>
      <c r="AJ241" s="12"/>
      <c r="AN241" s="31"/>
    </row>
    <row r="242" spans="1:40">
      <c r="A242" s="5"/>
      <c r="B242" s="35"/>
      <c r="C242" s="35"/>
      <c r="D242" s="35"/>
      <c r="E242" s="35"/>
      <c r="F242" s="35"/>
      <c r="G242" s="35"/>
      <c r="H242" s="35"/>
      <c r="I242" s="35"/>
      <c r="J242" s="35"/>
      <c r="K242" s="35"/>
      <c r="L242" s="35"/>
      <c r="M242" s="35"/>
      <c r="N242" s="19"/>
      <c r="O242" s="35"/>
      <c r="P242" s="35"/>
      <c r="Q242" s="35"/>
      <c r="R242" s="35"/>
      <c r="S242" s="35"/>
      <c r="T242" s="35"/>
      <c r="U242" s="35"/>
      <c r="V242" s="35"/>
      <c r="W242" s="35"/>
      <c r="X242" s="35"/>
      <c r="Y242" s="35"/>
      <c r="Z242" s="35"/>
      <c r="AA242" s="12"/>
      <c r="AB242" s="12"/>
      <c r="AF242" s="31"/>
      <c r="AJ242" s="12"/>
      <c r="AN242" s="31"/>
    </row>
    <row r="243" spans="1:40">
      <c r="A243" s="5"/>
      <c r="B243" s="35"/>
      <c r="C243" s="35"/>
      <c r="D243" s="35"/>
      <c r="E243" s="35"/>
      <c r="F243" s="35"/>
      <c r="G243" s="35"/>
      <c r="H243" s="35"/>
      <c r="I243" s="35"/>
      <c r="J243" s="35"/>
      <c r="K243" s="35"/>
      <c r="L243" s="35"/>
      <c r="M243" s="35"/>
      <c r="N243" s="19"/>
      <c r="O243" s="35"/>
      <c r="P243" s="35"/>
      <c r="Q243" s="35"/>
      <c r="R243" s="35"/>
      <c r="S243" s="35"/>
      <c r="T243" s="35"/>
      <c r="U243" s="35"/>
      <c r="V243" s="35"/>
      <c r="W243" s="35"/>
      <c r="X243" s="35"/>
      <c r="Y243" s="35"/>
      <c r="Z243" s="35"/>
      <c r="AA243" s="12"/>
      <c r="AB243" s="12"/>
      <c r="AF243" s="31"/>
      <c r="AJ243" s="12"/>
      <c r="AN243" s="31"/>
    </row>
    <row r="244" spans="1:40">
      <c r="A244" s="5"/>
      <c r="B244" s="35"/>
      <c r="C244" s="35"/>
      <c r="D244" s="35"/>
      <c r="E244" s="35"/>
      <c r="F244" s="35"/>
      <c r="G244" s="35"/>
      <c r="H244" s="35"/>
      <c r="I244" s="35"/>
      <c r="J244" s="35"/>
      <c r="K244" s="35"/>
      <c r="L244" s="35"/>
      <c r="M244" s="35"/>
      <c r="N244" s="19"/>
      <c r="O244" s="35"/>
      <c r="P244" s="35"/>
      <c r="Q244" s="35"/>
      <c r="R244" s="35"/>
      <c r="S244" s="35"/>
      <c r="T244" s="35"/>
      <c r="U244" s="35"/>
      <c r="V244" s="35"/>
      <c r="W244" s="35"/>
      <c r="X244" s="35"/>
      <c r="Y244" s="35"/>
      <c r="Z244" s="35"/>
      <c r="AA244" s="12"/>
      <c r="AB244" s="12"/>
      <c r="AF244" s="31"/>
      <c r="AJ244" s="12"/>
      <c r="AN244" s="31"/>
    </row>
    <row r="245" spans="1:40">
      <c r="A245" s="5"/>
      <c r="B245" s="35"/>
      <c r="C245" s="35"/>
      <c r="D245" s="35"/>
      <c r="E245" s="35"/>
      <c r="F245" s="35"/>
      <c r="G245" s="35"/>
      <c r="H245" s="35"/>
      <c r="I245" s="35"/>
      <c r="J245" s="35"/>
      <c r="K245" s="35"/>
      <c r="L245" s="35"/>
      <c r="M245" s="35"/>
      <c r="N245" s="19"/>
      <c r="O245" s="35"/>
      <c r="P245" s="35"/>
      <c r="Q245" s="35"/>
      <c r="R245" s="35"/>
      <c r="S245" s="35"/>
      <c r="T245" s="35"/>
      <c r="U245" s="35"/>
      <c r="V245" s="35"/>
      <c r="W245" s="35"/>
      <c r="X245" s="35"/>
      <c r="Y245" s="35"/>
      <c r="Z245" s="35"/>
      <c r="AA245" s="12"/>
      <c r="AB245" s="12"/>
      <c r="AF245" s="31"/>
      <c r="AJ245" s="12"/>
      <c r="AN245" s="31"/>
    </row>
    <row r="246" spans="1:40">
      <c r="A246" s="5"/>
      <c r="B246" s="35"/>
      <c r="C246" s="35"/>
      <c r="D246" s="35"/>
      <c r="E246" s="35"/>
      <c r="F246" s="35"/>
      <c r="G246" s="35"/>
      <c r="H246" s="35"/>
      <c r="I246" s="35"/>
      <c r="J246" s="35"/>
      <c r="K246" s="35"/>
      <c r="L246" s="35"/>
      <c r="M246" s="35"/>
      <c r="N246" s="19"/>
      <c r="O246" s="35"/>
      <c r="P246" s="35"/>
      <c r="Q246" s="35"/>
      <c r="R246" s="35"/>
      <c r="S246" s="35"/>
      <c r="T246" s="35"/>
      <c r="U246" s="35"/>
      <c r="V246" s="35"/>
      <c r="W246" s="35"/>
      <c r="X246" s="35"/>
      <c r="Y246" s="35"/>
      <c r="Z246" s="35"/>
      <c r="AA246" s="12"/>
      <c r="AB246" s="12"/>
      <c r="AF246" s="31"/>
      <c r="AJ246" s="12"/>
      <c r="AN246" s="31"/>
    </row>
    <row r="247" spans="1:40">
      <c r="A247" s="5"/>
      <c r="B247" s="35"/>
      <c r="C247" s="35"/>
      <c r="D247" s="35"/>
      <c r="E247" s="35"/>
      <c r="F247" s="35"/>
      <c r="G247" s="35"/>
      <c r="H247" s="35"/>
      <c r="I247" s="35"/>
      <c r="J247" s="35"/>
      <c r="K247" s="35"/>
      <c r="L247" s="35"/>
      <c r="M247" s="35"/>
      <c r="N247" s="19"/>
      <c r="O247" s="35"/>
      <c r="P247" s="35"/>
      <c r="Q247" s="35"/>
      <c r="R247" s="35"/>
      <c r="S247" s="35"/>
      <c r="T247" s="35"/>
      <c r="U247" s="35"/>
      <c r="V247" s="35"/>
      <c r="W247" s="35"/>
      <c r="X247" s="35"/>
      <c r="Y247" s="35"/>
      <c r="Z247" s="35"/>
      <c r="AA247" s="12"/>
      <c r="AB247" s="12"/>
      <c r="AF247" s="31"/>
      <c r="AJ247" s="12"/>
      <c r="AN247" s="31"/>
    </row>
    <row r="248" spans="1:40">
      <c r="A248" s="5"/>
      <c r="B248" s="35"/>
      <c r="C248" s="35"/>
      <c r="D248" s="35"/>
      <c r="E248" s="35"/>
      <c r="F248" s="35"/>
      <c r="G248" s="35"/>
      <c r="H248" s="35"/>
      <c r="I248" s="35"/>
      <c r="J248" s="35"/>
      <c r="K248" s="35"/>
      <c r="L248" s="35"/>
      <c r="M248" s="35"/>
      <c r="N248" s="19"/>
      <c r="O248" s="35"/>
      <c r="P248" s="35"/>
      <c r="Q248" s="35"/>
      <c r="R248" s="35"/>
      <c r="S248" s="35"/>
      <c r="T248" s="35"/>
      <c r="U248" s="35"/>
      <c r="V248" s="35"/>
      <c r="W248" s="35"/>
      <c r="X248" s="35"/>
      <c r="Y248" s="35"/>
      <c r="Z248" s="35"/>
      <c r="AA248" s="12"/>
      <c r="AB248" s="12"/>
      <c r="AF248" s="31"/>
      <c r="AJ248" s="12"/>
      <c r="AN248" s="31"/>
    </row>
    <row r="249" spans="1:40">
      <c r="A249" s="5"/>
      <c r="B249" s="35"/>
      <c r="C249" s="35"/>
      <c r="D249" s="35"/>
      <c r="E249" s="35"/>
      <c r="F249" s="35"/>
      <c r="G249" s="35"/>
      <c r="H249" s="35"/>
      <c r="I249" s="35"/>
      <c r="J249" s="35"/>
      <c r="K249" s="35"/>
      <c r="L249" s="35"/>
      <c r="M249" s="35"/>
      <c r="N249" s="19"/>
      <c r="O249" s="35"/>
      <c r="P249" s="35"/>
      <c r="Q249" s="35"/>
      <c r="R249" s="35"/>
      <c r="S249" s="35"/>
      <c r="T249" s="35"/>
      <c r="U249" s="35"/>
      <c r="V249" s="35"/>
      <c r="W249" s="35"/>
      <c r="X249" s="35"/>
      <c r="Y249" s="35"/>
      <c r="Z249" s="35"/>
      <c r="AA249" s="12"/>
      <c r="AB249" s="12"/>
      <c r="AF249" s="31"/>
      <c r="AJ249" s="12"/>
      <c r="AN249" s="31"/>
    </row>
    <row r="250" spans="1:40">
      <c r="A250" s="5"/>
      <c r="B250" s="35"/>
      <c r="C250" s="35"/>
      <c r="D250" s="35"/>
      <c r="E250" s="35"/>
      <c r="F250" s="35"/>
      <c r="G250" s="35"/>
      <c r="H250" s="35"/>
      <c r="I250" s="35"/>
      <c r="J250" s="35"/>
      <c r="K250" s="35"/>
      <c r="L250" s="35"/>
      <c r="M250" s="35"/>
      <c r="N250" s="19"/>
      <c r="O250" s="35"/>
      <c r="P250" s="35"/>
      <c r="Q250" s="35"/>
      <c r="R250" s="35"/>
      <c r="S250" s="35"/>
      <c r="T250" s="35"/>
      <c r="U250" s="35"/>
      <c r="V250" s="35"/>
      <c r="W250" s="35"/>
      <c r="X250" s="35"/>
      <c r="Y250" s="35"/>
      <c r="Z250" s="35"/>
      <c r="AA250" s="12"/>
      <c r="AB250" s="12"/>
      <c r="AF250" s="31"/>
      <c r="AJ250" s="12"/>
      <c r="AN250" s="31"/>
    </row>
    <row r="251" spans="1:40">
      <c r="A251" s="5"/>
      <c r="B251" s="35"/>
      <c r="C251" s="35"/>
      <c r="D251" s="35"/>
      <c r="E251" s="35"/>
      <c r="F251" s="35"/>
      <c r="G251" s="35"/>
      <c r="H251" s="35"/>
      <c r="I251" s="35"/>
      <c r="J251" s="35"/>
      <c r="K251" s="35"/>
      <c r="L251" s="35"/>
      <c r="M251" s="35"/>
      <c r="N251" s="19"/>
      <c r="O251" s="35"/>
      <c r="P251" s="35"/>
      <c r="Q251" s="35"/>
      <c r="R251" s="35"/>
      <c r="S251" s="35"/>
      <c r="T251" s="35"/>
      <c r="U251" s="35"/>
      <c r="V251" s="35"/>
      <c r="W251" s="35"/>
      <c r="X251" s="35"/>
      <c r="Y251" s="35"/>
      <c r="Z251" s="35"/>
      <c r="AA251" s="12"/>
      <c r="AB251" s="12"/>
      <c r="AF251" s="31"/>
      <c r="AJ251" s="12"/>
      <c r="AN251" s="31"/>
    </row>
    <row r="252" spans="1:40">
      <c r="A252" s="5"/>
      <c r="B252" s="35"/>
      <c r="C252" s="35"/>
      <c r="D252" s="35"/>
      <c r="E252" s="35"/>
      <c r="F252" s="35"/>
      <c r="G252" s="35"/>
      <c r="H252" s="35"/>
      <c r="I252" s="35"/>
      <c r="J252" s="35"/>
      <c r="K252" s="35"/>
      <c r="L252" s="35"/>
      <c r="M252" s="35"/>
      <c r="N252" s="19"/>
      <c r="O252" s="35"/>
      <c r="P252" s="35"/>
      <c r="Q252" s="35"/>
      <c r="R252" s="35"/>
      <c r="S252" s="35"/>
      <c r="T252" s="35"/>
      <c r="U252" s="35"/>
      <c r="V252" s="35"/>
      <c r="W252" s="35"/>
      <c r="X252" s="35"/>
      <c r="Y252" s="35"/>
      <c r="Z252" s="35"/>
      <c r="AA252" s="12"/>
      <c r="AB252" s="12"/>
      <c r="AF252" s="31"/>
      <c r="AJ252" s="12"/>
      <c r="AN252" s="31"/>
    </row>
    <row r="253" spans="1:40">
      <c r="A253" s="5"/>
      <c r="B253" s="35"/>
      <c r="C253" s="35"/>
      <c r="D253" s="35"/>
      <c r="E253" s="35"/>
      <c r="F253" s="35"/>
      <c r="G253" s="35"/>
      <c r="H253" s="35"/>
      <c r="I253" s="35"/>
      <c r="J253" s="35"/>
      <c r="K253" s="35"/>
      <c r="L253" s="35"/>
      <c r="M253" s="35"/>
      <c r="N253" s="19"/>
      <c r="O253" s="35"/>
      <c r="P253" s="35"/>
      <c r="Q253" s="35"/>
      <c r="R253" s="35"/>
      <c r="S253" s="35"/>
      <c r="T253" s="35"/>
      <c r="U253" s="35"/>
      <c r="V253" s="35"/>
      <c r="W253" s="35"/>
      <c r="X253" s="35"/>
      <c r="Y253" s="35"/>
      <c r="Z253" s="35"/>
      <c r="AA253" s="12"/>
      <c r="AB253" s="12"/>
      <c r="AF253" s="31"/>
      <c r="AJ253" s="12"/>
      <c r="AN253" s="31"/>
    </row>
    <row r="254" spans="1:40">
      <c r="A254" s="5"/>
      <c r="B254" s="35"/>
      <c r="C254" s="35"/>
      <c r="D254" s="35"/>
      <c r="E254" s="35"/>
      <c r="F254" s="35"/>
      <c r="G254" s="35"/>
      <c r="H254" s="35"/>
      <c r="I254" s="35"/>
      <c r="J254" s="35"/>
      <c r="K254" s="35"/>
      <c r="L254" s="35"/>
      <c r="M254" s="35"/>
      <c r="N254" s="19"/>
      <c r="O254" s="35"/>
      <c r="P254" s="35"/>
      <c r="Q254" s="35"/>
      <c r="R254" s="35"/>
      <c r="S254" s="35"/>
      <c r="T254" s="35"/>
      <c r="U254" s="35"/>
      <c r="V254" s="35"/>
      <c r="W254" s="35"/>
      <c r="X254" s="35"/>
      <c r="Y254" s="35"/>
      <c r="Z254" s="35"/>
      <c r="AA254" s="12"/>
      <c r="AB254" s="12"/>
      <c r="AF254" s="31"/>
      <c r="AJ254" s="12"/>
      <c r="AN254" s="31"/>
    </row>
    <row r="255" spans="1:40">
      <c r="A255" s="5"/>
      <c r="B255" s="35"/>
      <c r="C255" s="35"/>
      <c r="D255" s="35"/>
      <c r="E255" s="35"/>
      <c r="F255" s="35"/>
      <c r="G255" s="35"/>
      <c r="H255" s="35"/>
      <c r="I255" s="35"/>
      <c r="J255" s="35"/>
      <c r="K255" s="35"/>
      <c r="L255" s="35"/>
      <c r="M255" s="35"/>
      <c r="N255" s="19"/>
      <c r="O255" s="35"/>
      <c r="P255" s="35"/>
      <c r="Q255" s="35"/>
      <c r="R255" s="35"/>
      <c r="S255" s="35"/>
      <c r="T255" s="35"/>
      <c r="U255" s="35"/>
      <c r="V255" s="35"/>
      <c r="W255" s="35"/>
      <c r="X255" s="35"/>
      <c r="Y255" s="35"/>
      <c r="Z255" s="35"/>
      <c r="AA255" s="12"/>
      <c r="AB255" s="12"/>
      <c r="AF255" s="31"/>
      <c r="AJ255" s="12"/>
      <c r="AN255" s="31"/>
    </row>
    <row r="256" spans="1:40">
      <c r="A256" s="5"/>
      <c r="B256" s="35"/>
      <c r="C256" s="35"/>
      <c r="D256" s="35"/>
      <c r="E256" s="35"/>
      <c r="F256" s="35"/>
      <c r="G256" s="35"/>
      <c r="H256" s="35"/>
      <c r="I256" s="35"/>
      <c r="J256" s="35"/>
      <c r="K256" s="35"/>
      <c r="L256" s="35"/>
      <c r="M256" s="35"/>
      <c r="N256" s="19"/>
      <c r="O256" s="35"/>
      <c r="P256" s="35"/>
      <c r="Q256" s="35"/>
      <c r="R256" s="35"/>
      <c r="S256" s="35"/>
      <c r="T256" s="35"/>
      <c r="U256" s="35"/>
      <c r="V256" s="35"/>
      <c r="W256" s="35"/>
      <c r="X256" s="35"/>
      <c r="Y256" s="35"/>
      <c r="Z256" s="35"/>
      <c r="AA256" s="12"/>
      <c r="AB256" s="12"/>
      <c r="AF256" s="31"/>
      <c r="AJ256" s="12"/>
      <c r="AN256" s="31"/>
    </row>
    <row r="257" spans="1:40">
      <c r="A257" s="5"/>
      <c r="B257" s="35"/>
      <c r="C257" s="35"/>
      <c r="D257" s="35"/>
      <c r="E257" s="35"/>
      <c r="F257" s="35"/>
      <c r="G257" s="35"/>
      <c r="H257" s="35"/>
      <c r="I257" s="35"/>
      <c r="J257" s="35"/>
      <c r="K257" s="35"/>
      <c r="L257" s="35"/>
      <c r="M257" s="35"/>
      <c r="N257" s="19"/>
      <c r="O257" s="35"/>
      <c r="P257" s="35"/>
      <c r="Q257" s="35"/>
      <c r="R257" s="35"/>
      <c r="S257" s="35"/>
      <c r="T257" s="35"/>
      <c r="U257" s="35"/>
      <c r="V257" s="35"/>
      <c r="W257" s="35"/>
      <c r="X257" s="35"/>
      <c r="Y257" s="35"/>
      <c r="Z257" s="35"/>
      <c r="AA257" s="12"/>
      <c r="AB257" s="12"/>
      <c r="AF257" s="31"/>
      <c r="AJ257" s="12"/>
      <c r="AN257" s="31"/>
    </row>
    <row r="258" spans="1:40">
      <c r="A258" s="5"/>
      <c r="B258" s="35"/>
      <c r="C258" s="35"/>
      <c r="D258" s="35"/>
      <c r="E258" s="35"/>
      <c r="F258" s="35"/>
      <c r="G258" s="35"/>
      <c r="H258" s="35"/>
      <c r="I258" s="35"/>
      <c r="J258" s="35"/>
      <c r="K258" s="35"/>
      <c r="L258" s="35"/>
      <c r="M258" s="35"/>
      <c r="N258" s="19"/>
      <c r="O258" s="35"/>
      <c r="P258" s="35"/>
      <c r="Q258" s="35"/>
      <c r="R258" s="35"/>
      <c r="S258" s="35"/>
      <c r="T258" s="35"/>
      <c r="U258" s="35"/>
      <c r="V258" s="35"/>
      <c r="W258" s="35"/>
      <c r="X258" s="35"/>
      <c r="Y258" s="35"/>
      <c r="Z258" s="35"/>
      <c r="AA258" s="12"/>
      <c r="AB258" s="12"/>
      <c r="AF258" s="31"/>
      <c r="AJ258" s="12"/>
      <c r="AN258" s="31"/>
    </row>
    <row r="259" spans="1:40">
      <c r="A259" s="5"/>
      <c r="B259" s="35"/>
      <c r="C259" s="35"/>
      <c r="D259" s="35"/>
      <c r="E259" s="35"/>
      <c r="F259" s="35"/>
      <c r="G259" s="35"/>
      <c r="H259" s="35"/>
      <c r="I259" s="35"/>
      <c r="J259" s="35"/>
      <c r="K259" s="35"/>
      <c r="L259" s="35"/>
      <c r="M259" s="35"/>
      <c r="N259" s="19"/>
      <c r="O259" s="35"/>
      <c r="P259" s="35"/>
      <c r="Q259" s="35"/>
      <c r="R259" s="35"/>
      <c r="S259" s="35"/>
      <c r="T259" s="35"/>
      <c r="U259" s="35"/>
      <c r="V259" s="35"/>
      <c r="W259" s="35"/>
      <c r="X259" s="35"/>
      <c r="Y259" s="35"/>
      <c r="Z259" s="35"/>
      <c r="AA259" s="12"/>
      <c r="AB259" s="12"/>
      <c r="AF259" s="31"/>
      <c r="AJ259" s="12"/>
      <c r="AN259" s="31"/>
    </row>
    <row r="260" spans="1:40">
      <c r="A260" s="5"/>
      <c r="B260" s="35"/>
      <c r="C260" s="35"/>
      <c r="D260" s="35"/>
      <c r="E260" s="35"/>
      <c r="F260" s="35"/>
      <c r="G260" s="35"/>
      <c r="H260" s="35"/>
      <c r="I260" s="35"/>
      <c r="J260" s="35"/>
      <c r="K260" s="35"/>
      <c r="L260" s="35"/>
      <c r="M260" s="35"/>
      <c r="N260" s="19"/>
      <c r="O260" s="35"/>
      <c r="P260" s="35"/>
      <c r="Q260" s="35"/>
      <c r="R260" s="35"/>
      <c r="S260" s="35"/>
      <c r="T260" s="35"/>
      <c r="U260" s="35"/>
      <c r="V260" s="35"/>
      <c r="W260" s="35"/>
      <c r="X260" s="35"/>
      <c r="Y260" s="35"/>
      <c r="Z260" s="35"/>
      <c r="AA260" s="12"/>
      <c r="AB260" s="12"/>
      <c r="AF260" s="31"/>
      <c r="AJ260" s="12"/>
      <c r="AN260" s="31"/>
    </row>
    <row r="261" spans="1:40">
      <c r="A261" s="5"/>
      <c r="B261" s="35"/>
      <c r="C261" s="35"/>
      <c r="D261" s="35"/>
      <c r="E261" s="35"/>
      <c r="F261" s="35"/>
      <c r="G261" s="35"/>
      <c r="H261" s="35"/>
      <c r="I261" s="35"/>
      <c r="J261" s="35"/>
      <c r="K261" s="35"/>
      <c r="L261" s="35"/>
      <c r="M261" s="35"/>
      <c r="N261" s="19"/>
      <c r="O261" s="35"/>
      <c r="P261" s="35"/>
      <c r="Q261" s="35"/>
      <c r="R261" s="35"/>
      <c r="S261" s="35"/>
      <c r="T261" s="35"/>
      <c r="U261" s="35"/>
      <c r="V261" s="35"/>
      <c r="W261" s="35"/>
      <c r="X261" s="35"/>
      <c r="Y261" s="35"/>
      <c r="Z261" s="35"/>
      <c r="AA261" s="12"/>
      <c r="AB261" s="12"/>
      <c r="AF261" s="31"/>
      <c r="AJ261" s="12"/>
      <c r="AN261" s="31"/>
    </row>
    <row r="262" spans="1:40">
      <c r="A262" s="5"/>
      <c r="B262" s="35"/>
      <c r="C262" s="35"/>
      <c r="D262" s="35"/>
      <c r="E262" s="35"/>
      <c r="F262" s="35"/>
      <c r="G262" s="35"/>
      <c r="H262" s="35"/>
      <c r="I262" s="35"/>
      <c r="J262" s="35"/>
      <c r="K262" s="35"/>
      <c r="L262" s="35"/>
      <c r="M262" s="35"/>
      <c r="N262" s="19"/>
      <c r="O262" s="35"/>
      <c r="P262" s="35"/>
      <c r="Q262" s="35"/>
      <c r="R262" s="35"/>
      <c r="S262" s="35"/>
      <c r="T262" s="35"/>
      <c r="U262" s="35"/>
      <c r="V262" s="35"/>
      <c r="W262" s="35"/>
      <c r="X262" s="35"/>
      <c r="Y262" s="35"/>
      <c r="Z262" s="35"/>
      <c r="AA262" s="12"/>
      <c r="AB262" s="12"/>
      <c r="AF262" s="31"/>
      <c r="AJ262" s="12"/>
      <c r="AN262" s="31"/>
    </row>
    <row r="263" spans="1:40">
      <c r="A263" s="5"/>
      <c r="B263" s="35"/>
      <c r="C263" s="35"/>
      <c r="D263" s="35"/>
      <c r="E263" s="35"/>
      <c r="F263" s="35"/>
      <c r="G263" s="35"/>
      <c r="H263" s="35"/>
      <c r="I263" s="35"/>
      <c r="J263" s="35"/>
      <c r="K263" s="35"/>
      <c r="L263" s="35"/>
      <c r="M263" s="35"/>
      <c r="N263" s="19"/>
      <c r="O263" s="35"/>
      <c r="P263" s="35"/>
      <c r="Q263" s="35"/>
      <c r="R263" s="35"/>
      <c r="S263" s="35"/>
      <c r="T263" s="35"/>
      <c r="U263" s="35"/>
      <c r="V263" s="35"/>
      <c r="W263" s="35"/>
      <c r="X263" s="35"/>
      <c r="Y263" s="35"/>
      <c r="Z263" s="35"/>
      <c r="AA263" s="12"/>
      <c r="AB263" s="12"/>
      <c r="AF263" s="31"/>
      <c r="AJ263" s="12"/>
      <c r="AN263" s="31"/>
    </row>
    <row r="264" spans="1:40">
      <c r="A264" s="5"/>
      <c r="B264" s="35"/>
      <c r="C264" s="35"/>
      <c r="D264" s="35"/>
      <c r="E264" s="35"/>
      <c r="F264" s="35"/>
      <c r="G264" s="35"/>
      <c r="H264" s="35"/>
      <c r="I264" s="35"/>
      <c r="J264" s="35"/>
      <c r="K264" s="35"/>
      <c r="L264" s="35"/>
      <c r="M264" s="35"/>
      <c r="N264" s="19"/>
      <c r="O264" s="35"/>
      <c r="P264" s="35"/>
      <c r="Q264" s="35"/>
      <c r="R264" s="35"/>
      <c r="S264" s="35"/>
      <c r="T264" s="35"/>
      <c r="U264" s="35"/>
      <c r="V264" s="35"/>
      <c r="W264" s="35"/>
      <c r="X264" s="35"/>
      <c r="Y264" s="35"/>
      <c r="Z264" s="35"/>
      <c r="AA264" s="12"/>
      <c r="AB264" s="12"/>
      <c r="AF264" s="31"/>
      <c r="AJ264" s="12"/>
      <c r="AN264" s="31"/>
    </row>
    <row r="265" spans="1:40">
      <c r="A265" s="5"/>
      <c r="B265" s="35"/>
      <c r="C265" s="35"/>
      <c r="D265" s="35"/>
      <c r="E265" s="35"/>
      <c r="F265" s="35"/>
      <c r="G265" s="35"/>
      <c r="H265" s="35"/>
      <c r="I265" s="35"/>
      <c r="J265" s="35"/>
      <c r="K265" s="35"/>
      <c r="L265" s="35"/>
      <c r="M265" s="35"/>
      <c r="N265" s="19"/>
      <c r="O265" s="35"/>
      <c r="P265" s="35"/>
      <c r="Q265" s="35"/>
      <c r="R265" s="35"/>
      <c r="S265" s="35"/>
      <c r="T265" s="35"/>
      <c r="U265" s="35"/>
      <c r="V265" s="35"/>
      <c r="W265" s="35"/>
      <c r="X265" s="35"/>
      <c r="Y265" s="35"/>
      <c r="Z265" s="35"/>
      <c r="AA265" s="12"/>
      <c r="AB265" s="12"/>
      <c r="AF265" s="31"/>
      <c r="AJ265" s="12"/>
      <c r="AN265" s="31"/>
    </row>
    <row r="266" spans="1:40">
      <c r="A266" s="5"/>
      <c r="B266" s="35"/>
      <c r="C266" s="35"/>
      <c r="D266" s="35"/>
      <c r="E266" s="35"/>
      <c r="F266" s="35"/>
      <c r="G266" s="35"/>
      <c r="H266" s="35"/>
      <c r="I266" s="35"/>
      <c r="J266" s="35"/>
      <c r="K266" s="35"/>
      <c r="L266" s="35"/>
      <c r="M266" s="35"/>
      <c r="N266" s="19"/>
      <c r="O266" s="35"/>
      <c r="P266" s="35"/>
      <c r="Q266" s="35"/>
      <c r="R266" s="35"/>
      <c r="S266" s="35"/>
      <c r="T266" s="35"/>
      <c r="U266" s="35"/>
      <c r="V266" s="35"/>
      <c r="W266" s="35"/>
      <c r="X266" s="35"/>
      <c r="Y266" s="35"/>
      <c r="Z266" s="35"/>
      <c r="AA266" s="12"/>
      <c r="AB266" s="12"/>
      <c r="AF266" s="31"/>
      <c r="AJ266" s="12"/>
      <c r="AN266" s="31"/>
    </row>
    <row r="267" spans="1:40">
      <c r="A267" s="5"/>
      <c r="B267" s="35"/>
      <c r="C267" s="35"/>
      <c r="D267" s="35"/>
      <c r="E267" s="35"/>
      <c r="F267" s="35"/>
      <c r="G267" s="35"/>
      <c r="H267" s="35"/>
      <c r="I267" s="35"/>
      <c r="J267" s="35"/>
      <c r="K267" s="35"/>
      <c r="L267" s="35"/>
      <c r="M267" s="35"/>
      <c r="N267" s="19"/>
      <c r="O267" s="35"/>
      <c r="P267" s="35"/>
      <c r="Q267" s="35"/>
      <c r="R267" s="35"/>
      <c r="S267" s="35"/>
      <c r="T267" s="35"/>
      <c r="U267" s="35"/>
      <c r="V267" s="35"/>
      <c r="W267" s="35"/>
      <c r="X267" s="35"/>
      <c r="Y267" s="35"/>
      <c r="Z267" s="35"/>
      <c r="AA267" s="12"/>
      <c r="AB267" s="12"/>
      <c r="AF267" s="31"/>
      <c r="AJ267" s="12"/>
      <c r="AN267" s="31"/>
    </row>
    <row r="268" spans="1:40">
      <c r="A268" s="5"/>
      <c r="B268" s="35"/>
      <c r="C268" s="35"/>
      <c r="D268" s="35"/>
      <c r="E268" s="35"/>
      <c r="F268" s="35"/>
      <c r="G268" s="35"/>
      <c r="H268" s="35"/>
      <c r="I268" s="35"/>
      <c r="J268" s="35"/>
      <c r="K268" s="35"/>
      <c r="L268" s="35"/>
      <c r="M268" s="35"/>
      <c r="N268" s="19"/>
      <c r="O268" s="35"/>
      <c r="P268" s="35"/>
      <c r="Q268" s="35"/>
      <c r="R268" s="35"/>
      <c r="S268" s="35"/>
      <c r="T268" s="35"/>
      <c r="U268" s="35"/>
      <c r="V268" s="35"/>
      <c r="W268" s="35"/>
      <c r="X268" s="35"/>
      <c r="Y268" s="35"/>
      <c r="Z268" s="35"/>
      <c r="AA268" s="12"/>
      <c r="AB268" s="12"/>
      <c r="AF268" s="31"/>
      <c r="AJ268" s="12"/>
      <c r="AN268" s="31"/>
    </row>
    <row r="269" spans="1:40">
      <c r="A269" s="5"/>
      <c r="B269" s="35"/>
      <c r="C269" s="35"/>
      <c r="D269" s="35"/>
      <c r="E269" s="35"/>
      <c r="F269" s="35"/>
      <c r="G269" s="35"/>
      <c r="H269" s="35"/>
      <c r="I269" s="35"/>
      <c r="J269" s="35"/>
      <c r="K269" s="35"/>
      <c r="L269" s="35"/>
      <c r="M269" s="35"/>
      <c r="N269" s="19"/>
      <c r="O269" s="35"/>
      <c r="P269" s="35"/>
      <c r="Q269" s="35"/>
      <c r="R269" s="35"/>
      <c r="S269" s="35"/>
      <c r="T269" s="35"/>
      <c r="U269" s="35"/>
      <c r="V269" s="35"/>
      <c r="W269" s="35"/>
      <c r="X269" s="35"/>
      <c r="Y269" s="35"/>
      <c r="Z269" s="35"/>
      <c r="AA269" s="12"/>
      <c r="AB269" s="12"/>
      <c r="AF269" s="31"/>
      <c r="AJ269" s="12"/>
      <c r="AN269" s="31"/>
    </row>
    <row r="270" spans="1:40">
      <c r="A270" s="5"/>
      <c r="B270" s="35"/>
      <c r="C270" s="35"/>
      <c r="D270" s="35"/>
      <c r="E270" s="35"/>
      <c r="F270" s="35"/>
      <c r="G270" s="35"/>
      <c r="H270" s="35"/>
      <c r="I270" s="35"/>
      <c r="J270" s="35"/>
      <c r="K270" s="35"/>
      <c r="L270" s="35"/>
      <c r="M270" s="35"/>
      <c r="N270" s="19"/>
      <c r="O270" s="35"/>
      <c r="P270" s="35"/>
      <c r="Q270" s="35"/>
      <c r="R270" s="35"/>
      <c r="S270" s="35"/>
      <c r="T270" s="35"/>
      <c r="U270" s="35"/>
      <c r="V270" s="35"/>
      <c r="W270" s="35"/>
      <c r="X270" s="35"/>
      <c r="Y270" s="35"/>
      <c r="Z270" s="35"/>
      <c r="AA270" s="12"/>
      <c r="AB270" s="12"/>
      <c r="AF270" s="31"/>
      <c r="AJ270" s="12"/>
      <c r="AN270" s="31"/>
    </row>
    <row r="271" spans="1:40">
      <c r="A271" s="5"/>
      <c r="B271" s="35"/>
      <c r="C271" s="35"/>
      <c r="D271" s="35"/>
      <c r="E271" s="35"/>
      <c r="F271" s="35"/>
      <c r="G271" s="35"/>
      <c r="H271" s="35"/>
      <c r="I271" s="35"/>
      <c r="J271" s="35"/>
      <c r="K271" s="35"/>
      <c r="L271" s="35"/>
      <c r="M271" s="35"/>
      <c r="N271" s="19"/>
      <c r="O271" s="35"/>
      <c r="P271" s="35"/>
      <c r="Q271" s="35"/>
      <c r="R271" s="35"/>
      <c r="S271" s="35"/>
      <c r="T271" s="35"/>
      <c r="U271" s="35"/>
      <c r="V271" s="35"/>
      <c r="W271" s="35"/>
      <c r="X271" s="35"/>
      <c r="Y271" s="35"/>
      <c r="Z271" s="35"/>
      <c r="AA271" s="12"/>
      <c r="AB271" s="12"/>
      <c r="AF271" s="31"/>
      <c r="AJ271" s="12"/>
      <c r="AN271" s="31"/>
    </row>
    <row r="272" spans="1:40">
      <c r="A272" s="5"/>
      <c r="B272" s="35"/>
      <c r="C272" s="35"/>
      <c r="D272" s="35"/>
      <c r="E272" s="35"/>
      <c r="F272" s="35"/>
      <c r="G272" s="35"/>
      <c r="H272" s="35"/>
      <c r="I272" s="35"/>
      <c r="J272" s="35"/>
      <c r="K272" s="35"/>
      <c r="L272" s="35"/>
      <c r="M272" s="35"/>
      <c r="N272" s="19"/>
      <c r="O272" s="35"/>
      <c r="P272" s="35"/>
      <c r="Q272" s="35"/>
      <c r="R272" s="35"/>
      <c r="S272" s="35"/>
      <c r="T272" s="35"/>
      <c r="U272" s="35"/>
      <c r="V272" s="35"/>
      <c r="W272" s="35"/>
      <c r="X272" s="35"/>
      <c r="Y272" s="35"/>
      <c r="Z272" s="35"/>
      <c r="AA272" s="12"/>
      <c r="AB272" s="12"/>
      <c r="AF272" s="31"/>
      <c r="AJ272" s="12"/>
      <c r="AN272" s="31"/>
    </row>
    <row r="273" spans="1:40">
      <c r="A273" s="5"/>
      <c r="B273" s="35"/>
      <c r="C273" s="35"/>
      <c r="D273" s="35"/>
      <c r="E273" s="35"/>
      <c r="F273" s="35"/>
      <c r="G273" s="35"/>
      <c r="H273" s="35"/>
      <c r="I273" s="35"/>
      <c r="J273" s="35"/>
      <c r="K273" s="35"/>
      <c r="L273" s="35"/>
      <c r="M273" s="35"/>
      <c r="N273" s="19"/>
      <c r="O273" s="35"/>
      <c r="P273" s="35"/>
      <c r="Q273" s="35"/>
      <c r="R273" s="35"/>
      <c r="S273" s="35"/>
      <c r="T273" s="35"/>
      <c r="U273" s="35"/>
      <c r="V273" s="35"/>
      <c r="W273" s="35"/>
      <c r="X273" s="35"/>
      <c r="Y273" s="35"/>
      <c r="Z273" s="35"/>
      <c r="AA273" s="12"/>
      <c r="AB273" s="12"/>
      <c r="AF273" s="31"/>
      <c r="AJ273" s="12"/>
      <c r="AN273" s="31"/>
    </row>
    <row r="274" spans="1:40">
      <c r="A274" s="5"/>
      <c r="B274" s="35"/>
      <c r="C274" s="35"/>
      <c r="D274" s="35"/>
      <c r="E274" s="35"/>
      <c r="F274" s="35"/>
      <c r="G274" s="35"/>
      <c r="H274" s="35"/>
      <c r="I274" s="35"/>
      <c r="J274" s="35"/>
      <c r="K274" s="35"/>
      <c r="L274" s="35"/>
      <c r="M274" s="35"/>
      <c r="N274" s="19"/>
      <c r="O274" s="35"/>
      <c r="P274" s="35"/>
      <c r="Q274" s="35"/>
      <c r="R274" s="35"/>
      <c r="S274" s="35"/>
      <c r="T274" s="35"/>
      <c r="U274" s="35"/>
      <c r="V274" s="35"/>
      <c r="W274" s="35"/>
      <c r="X274" s="35"/>
      <c r="Y274" s="35"/>
      <c r="Z274" s="35"/>
      <c r="AA274" s="12"/>
      <c r="AB274" s="12"/>
      <c r="AF274" s="31"/>
      <c r="AJ274" s="12"/>
      <c r="AN274" s="31"/>
    </row>
    <row r="275" spans="1:40">
      <c r="A275" s="5"/>
      <c r="B275" s="35"/>
      <c r="C275" s="35"/>
      <c r="D275" s="35"/>
      <c r="E275" s="35"/>
      <c r="F275" s="35"/>
      <c r="G275" s="35"/>
      <c r="H275" s="35"/>
      <c r="I275" s="35"/>
      <c r="J275" s="35"/>
      <c r="K275" s="35"/>
      <c r="L275" s="35"/>
      <c r="M275" s="35"/>
      <c r="N275" s="19"/>
      <c r="O275" s="35"/>
      <c r="P275" s="35"/>
      <c r="Q275" s="35"/>
      <c r="R275" s="35"/>
      <c r="S275" s="35"/>
      <c r="T275" s="35"/>
      <c r="U275" s="35"/>
      <c r="V275" s="35"/>
      <c r="W275" s="35"/>
      <c r="X275" s="35"/>
      <c r="Y275" s="35"/>
      <c r="Z275" s="35"/>
      <c r="AA275" s="12"/>
      <c r="AB275" s="12"/>
      <c r="AF275" s="31"/>
      <c r="AJ275" s="12"/>
      <c r="AN275" s="31"/>
    </row>
    <row r="276" spans="1:40">
      <c r="A276" s="5"/>
      <c r="B276" s="35"/>
      <c r="C276" s="35"/>
      <c r="D276" s="35"/>
      <c r="E276" s="35"/>
      <c r="F276" s="35"/>
      <c r="G276" s="35"/>
      <c r="H276" s="35"/>
      <c r="I276" s="35"/>
      <c r="J276" s="35"/>
      <c r="K276" s="35"/>
      <c r="L276" s="35"/>
      <c r="M276" s="35"/>
      <c r="N276" s="19"/>
      <c r="O276" s="35"/>
      <c r="P276" s="35"/>
      <c r="Q276" s="35"/>
      <c r="R276" s="35"/>
      <c r="S276" s="35"/>
      <c r="T276" s="35"/>
      <c r="U276" s="35"/>
      <c r="V276" s="35"/>
      <c r="W276" s="35"/>
      <c r="X276" s="35"/>
      <c r="Y276" s="35"/>
      <c r="Z276" s="35"/>
      <c r="AA276" s="12"/>
      <c r="AB276" s="12"/>
      <c r="AF276" s="31"/>
      <c r="AJ276" s="12"/>
      <c r="AN276" s="31"/>
    </row>
    <row r="277" spans="1:40">
      <c r="A277" s="5"/>
      <c r="B277" s="35"/>
      <c r="C277" s="35"/>
      <c r="D277" s="35"/>
      <c r="E277" s="35"/>
      <c r="F277" s="35"/>
      <c r="G277" s="35"/>
      <c r="H277" s="35"/>
      <c r="I277" s="35"/>
      <c r="J277" s="35"/>
      <c r="K277" s="35"/>
      <c r="L277" s="35"/>
      <c r="M277" s="35"/>
      <c r="N277" s="19"/>
      <c r="O277" s="35"/>
      <c r="P277" s="35"/>
      <c r="Q277" s="35"/>
      <c r="R277" s="35"/>
      <c r="S277" s="35"/>
      <c r="T277" s="35"/>
      <c r="U277" s="35"/>
      <c r="V277" s="35"/>
      <c r="W277" s="35"/>
      <c r="X277" s="35"/>
      <c r="Y277" s="35"/>
      <c r="Z277" s="35"/>
      <c r="AA277" s="12"/>
      <c r="AB277" s="12"/>
      <c r="AF277" s="31"/>
      <c r="AJ277" s="12"/>
      <c r="AN277" s="31"/>
    </row>
    <row r="278" spans="1:40">
      <c r="A278" s="5"/>
      <c r="B278" s="35"/>
      <c r="C278" s="35"/>
      <c r="D278" s="35"/>
      <c r="E278" s="35"/>
      <c r="F278" s="35"/>
      <c r="G278" s="35"/>
      <c r="H278" s="35"/>
      <c r="I278" s="35"/>
      <c r="J278" s="35"/>
      <c r="K278" s="35"/>
      <c r="L278" s="35"/>
      <c r="M278" s="35"/>
      <c r="N278" s="19"/>
      <c r="O278" s="35"/>
      <c r="P278" s="35"/>
      <c r="Q278" s="35"/>
      <c r="R278" s="35"/>
      <c r="S278" s="35"/>
      <c r="T278" s="35"/>
      <c r="U278" s="35"/>
      <c r="V278" s="35"/>
      <c r="W278" s="35"/>
      <c r="X278" s="35"/>
      <c r="Y278" s="35"/>
      <c r="Z278" s="35"/>
      <c r="AA278" s="12"/>
      <c r="AB278" s="12"/>
      <c r="AF278" s="31"/>
      <c r="AJ278" s="12"/>
      <c r="AN278" s="31"/>
    </row>
    <row r="279" spans="1:40">
      <c r="A279" s="5"/>
      <c r="B279" s="35"/>
      <c r="C279" s="35"/>
      <c r="D279" s="35"/>
      <c r="E279" s="35"/>
      <c r="F279" s="35"/>
      <c r="G279" s="35"/>
      <c r="H279" s="35"/>
      <c r="I279" s="35"/>
      <c r="J279" s="35"/>
      <c r="K279" s="35"/>
      <c r="L279" s="35"/>
      <c r="M279" s="35"/>
      <c r="N279" s="19"/>
      <c r="O279" s="35"/>
      <c r="P279" s="35"/>
      <c r="Q279" s="35"/>
      <c r="R279" s="35"/>
      <c r="S279" s="35"/>
      <c r="T279" s="35"/>
      <c r="U279" s="35"/>
      <c r="V279" s="35"/>
      <c r="W279" s="35"/>
      <c r="X279" s="35"/>
      <c r="Y279" s="35"/>
      <c r="Z279" s="35"/>
      <c r="AA279" s="12"/>
      <c r="AB279" s="12"/>
      <c r="AF279" s="31"/>
      <c r="AJ279" s="12"/>
      <c r="AN279" s="31"/>
    </row>
    <row r="280" spans="1:40">
      <c r="A280" s="5"/>
      <c r="B280" s="35"/>
      <c r="C280" s="35"/>
      <c r="D280" s="35"/>
      <c r="E280" s="35"/>
      <c r="F280" s="35"/>
      <c r="G280" s="35"/>
      <c r="H280" s="35"/>
      <c r="I280" s="35"/>
      <c r="J280" s="35"/>
      <c r="K280" s="35"/>
      <c r="L280" s="35"/>
      <c r="M280" s="35"/>
      <c r="N280" s="19"/>
      <c r="O280" s="35"/>
      <c r="P280" s="35"/>
      <c r="Q280" s="35"/>
      <c r="R280" s="35"/>
      <c r="S280" s="35"/>
      <c r="T280" s="35"/>
      <c r="U280" s="35"/>
      <c r="V280" s="35"/>
      <c r="W280" s="35"/>
      <c r="X280" s="35"/>
      <c r="Y280" s="35"/>
      <c r="Z280" s="35"/>
      <c r="AA280" s="12"/>
      <c r="AB280" s="12"/>
      <c r="AF280" s="31"/>
      <c r="AJ280" s="12"/>
      <c r="AN280" s="31"/>
    </row>
    <row r="281" spans="1:40">
      <c r="A281" s="5"/>
      <c r="B281" s="35"/>
      <c r="C281" s="35"/>
      <c r="D281" s="35"/>
      <c r="E281" s="35"/>
      <c r="F281" s="35"/>
      <c r="G281" s="35"/>
      <c r="H281" s="35"/>
      <c r="I281" s="35"/>
      <c r="J281" s="35"/>
      <c r="K281" s="35"/>
      <c r="L281" s="35"/>
      <c r="M281" s="35"/>
      <c r="N281" s="19"/>
      <c r="O281" s="35"/>
      <c r="P281" s="35"/>
      <c r="Q281" s="35"/>
      <c r="R281" s="35"/>
      <c r="S281" s="35"/>
      <c r="T281" s="35"/>
      <c r="U281" s="35"/>
      <c r="V281" s="35"/>
      <c r="W281" s="35"/>
      <c r="X281" s="35"/>
      <c r="Y281" s="35"/>
      <c r="Z281" s="35"/>
      <c r="AA281" s="12"/>
      <c r="AB281" s="12"/>
      <c r="AF281" s="31"/>
      <c r="AJ281" s="12"/>
      <c r="AN281" s="31"/>
    </row>
    <row r="282" spans="1:40">
      <c r="A282" s="5"/>
      <c r="B282" s="35"/>
      <c r="C282" s="35"/>
      <c r="D282" s="35"/>
      <c r="E282" s="35"/>
      <c r="F282" s="35"/>
      <c r="G282" s="35"/>
      <c r="H282" s="35"/>
      <c r="I282" s="35"/>
      <c r="J282" s="35"/>
      <c r="K282" s="35"/>
      <c r="L282" s="35"/>
      <c r="M282" s="35"/>
      <c r="N282" s="19"/>
      <c r="O282" s="35"/>
      <c r="P282" s="35"/>
      <c r="Q282" s="35"/>
      <c r="R282" s="35"/>
      <c r="S282" s="35"/>
      <c r="T282" s="35"/>
      <c r="U282" s="35"/>
      <c r="V282" s="35"/>
      <c r="W282" s="35"/>
      <c r="X282" s="35"/>
      <c r="Y282" s="35"/>
      <c r="Z282" s="35"/>
      <c r="AA282" s="12"/>
      <c r="AB282" s="12"/>
      <c r="AF282" s="31"/>
      <c r="AJ282" s="12"/>
      <c r="AN282" s="31"/>
    </row>
    <row r="283" spans="1:40">
      <c r="A283" s="5"/>
      <c r="B283" s="35"/>
      <c r="C283" s="35"/>
      <c r="D283" s="35"/>
      <c r="E283" s="35"/>
      <c r="F283" s="35"/>
      <c r="G283" s="35"/>
      <c r="H283" s="35"/>
      <c r="I283" s="35"/>
      <c r="J283" s="35"/>
      <c r="K283" s="35"/>
      <c r="L283" s="35"/>
      <c r="M283" s="35"/>
      <c r="N283" s="19"/>
      <c r="O283" s="35"/>
      <c r="P283" s="35"/>
      <c r="Q283" s="35"/>
      <c r="R283" s="35"/>
      <c r="S283" s="35"/>
      <c r="T283" s="35"/>
      <c r="U283" s="35"/>
      <c r="V283" s="35"/>
      <c r="W283" s="35"/>
      <c r="X283" s="35"/>
      <c r="Y283" s="35"/>
      <c r="Z283" s="35"/>
      <c r="AA283" s="12"/>
      <c r="AB283" s="12"/>
      <c r="AF283" s="31"/>
      <c r="AJ283" s="12"/>
      <c r="AN283" s="31"/>
    </row>
    <row r="284" spans="1:40">
      <c r="A284" s="5"/>
      <c r="B284" s="35"/>
      <c r="C284" s="35"/>
      <c r="D284" s="35"/>
      <c r="E284" s="35"/>
      <c r="F284" s="35"/>
      <c r="G284" s="35"/>
      <c r="H284" s="35"/>
      <c r="I284" s="35"/>
      <c r="J284" s="35"/>
      <c r="K284" s="35"/>
      <c r="L284" s="35"/>
      <c r="M284" s="35"/>
      <c r="N284" s="19"/>
      <c r="O284" s="35"/>
      <c r="P284" s="35"/>
      <c r="Q284" s="35"/>
      <c r="R284" s="35"/>
      <c r="S284" s="35"/>
      <c r="T284" s="35"/>
      <c r="U284" s="35"/>
      <c r="V284" s="35"/>
      <c r="W284" s="35"/>
      <c r="X284" s="35"/>
      <c r="Y284" s="35"/>
      <c r="Z284" s="35"/>
      <c r="AA284" s="12"/>
      <c r="AB284" s="12"/>
      <c r="AF284" s="31"/>
      <c r="AJ284" s="12"/>
      <c r="AN284" s="31"/>
    </row>
    <row r="285" spans="1:40">
      <c r="A285" s="5"/>
      <c r="B285" s="35"/>
      <c r="C285" s="35"/>
      <c r="D285" s="35"/>
      <c r="E285" s="35"/>
      <c r="F285" s="35"/>
      <c r="G285" s="35"/>
      <c r="H285" s="35"/>
      <c r="I285" s="35"/>
      <c r="J285" s="35"/>
      <c r="K285" s="35"/>
      <c r="L285" s="35"/>
      <c r="M285" s="35"/>
      <c r="N285" s="19"/>
      <c r="O285" s="35"/>
      <c r="P285" s="35"/>
      <c r="Q285" s="35"/>
      <c r="R285" s="35"/>
      <c r="S285" s="35"/>
      <c r="T285" s="35"/>
      <c r="U285" s="35"/>
      <c r="V285" s="35"/>
      <c r="W285" s="35"/>
      <c r="X285" s="35"/>
      <c r="Y285" s="35"/>
      <c r="Z285" s="35"/>
      <c r="AA285" s="12"/>
      <c r="AB285" s="12"/>
      <c r="AF285" s="31"/>
      <c r="AJ285" s="12"/>
      <c r="AN285" s="31"/>
    </row>
    <row r="286" spans="1:40">
      <c r="A286" s="5"/>
      <c r="B286" s="35"/>
      <c r="C286" s="35"/>
      <c r="D286" s="35"/>
      <c r="E286" s="35"/>
      <c r="F286" s="35"/>
      <c r="G286" s="35"/>
      <c r="H286" s="35"/>
      <c r="I286" s="35"/>
      <c r="J286" s="35"/>
      <c r="K286" s="35"/>
      <c r="L286" s="35"/>
      <c r="M286" s="35"/>
      <c r="N286" s="19"/>
      <c r="O286" s="35"/>
      <c r="P286" s="35"/>
      <c r="Q286" s="35"/>
      <c r="R286" s="35"/>
      <c r="S286" s="35"/>
      <c r="T286" s="35"/>
      <c r="U286" s="35"/>
      <c r="V286" s="35"/>
      <c r="W286" s="35"/>
      <c r="X286" s="35"/>
      <c r="Y286" s="35"/>
      <c r="Z286" s="35"/>
      <c r="AA286" s="12"/>
      <c r="AB286" s="12"/>
      <c r="AF286" s="31"/>
      <c r="AJ286" s="12"/>
      <c r="AN286" s="31"/>
    </row>
    <row r="287" spans="1:40">
      <c r="A287" s="5"/>
      <c r="B287" s="35"/>
      <c r="C287" s="35"/>
      <c r="D287" s="35"/>
      <c r="E287" s="35"/>
      <c r="F287" s="35"/>
      <c r="G287" s="35"/>
      <c r="H287" s="35"/>
      <c r="I287" s="35"/>
      <c r="J287" s="35"/>
      <c r="K287" s="35"/>
      <c r="L287" s="35"/>
      <c r="M287" s="35"/>
      <c r="N287" s="19"/>
      <c r="O287" s="35"/>
      <c r="P287" s="35"/>
      <c r="Q287" s="35"/>
      <c r="R287" s="35"/>
      <c r="S287" s="35"/>
      <c r="T287" s="35"/>
      <c r="U287" s="35"/>
      <c r="V287" s="35"/>
      <c r="W287" s="35"/>
      <c r="X287" s="35"/>
      <c r="Y287" s="35"/>
      <c r="Z287" s="35"/>
      <c r="AA287" s="12"/>
      <c r="AB287" s="12"/>
      <c r="AF287" s="31"/>
      <c r="AJ287" s="12"/>
      <c r="AN287" s="31"/>
    </row>
    <row r="288" spans="1:40">
      <c r="A288" s="5"/>
      <c r="B288" s="35"/>
      <c r="C288" s="35"/>
      <c r="D288" s="35"/>
      <c r="E288" s="35"/>
      <c r="F288" s="35"/>
      <c r="G288" s="35"/>
      <c r="H288" s="35"/>
      <c r="I288" s="35"/>
      <c r="J288" s="35"/>
      <c r="K288" s="35"/>
      <c r="L288" s="35"/>
      <c r="M288" s="35"/>
      <c r="N288" s="19"/>
      <c r="O288" s="35"/>
      <c r="P288" s="35"/>
      <c r="Q288" s="35"/>
      <c r="R288" s="35"/>
      <c r="S288" s="35"/>
      <c r="T288" s="35"/>
      <c r="U288" s="35"/>
      <c r="V288" s="35"/>
      <c r="W288" s="35"/>
      <c r="X288" s="35"/>
      <c r="Y288" s="35"/>
      <c r="Z288" s="35"/>
      <c r="AA288" s="12"/>
      <c r="AB288" s="12"/>
      <c r="AF288" s="31"/>
      <c r="AJ288" s="12"/>
      <c r="AN288" s="31"/>
    </row>
    <row r="289" spans="1:40">
      <c r="A289" s="5"/>
      <c r="B289" s="35"/>
      <c r="C289" s="35"/>
      <c r="D289" s="35"/>
      <c r="E289" s="35"/>
      <c r="F289" s="35"/>
      <c r="G289" s="35"/>
      <c r="H289" s="35"/>
      <c r="I289" s="35"/>
      <c r="J289" s="35"/>
      <c r="K289" s="35"/>
      <c r="L289" s="35"/>
      <c r="M289" s="35"/>
      <c r="N289" s="19"/>
      <c r="O289" s="35"/>
      <c r="P289" s="35"/>
      <c r="Q289" s="35"/>
      <c r="R289" s="35"/>
      <c r="S289" s="35"/>
      <c r="T289" s="35"/>
      <c r="U289" s="35"/>
      <c r="V289" s="35"/>
      <c r="W289" s="35"/>
      <c r="X289" s="35"/>
      <c r="Y289" s="35"/>
      <c r="Z289" s="35"/>
      <c r="AA289" s="12"/>
      <c r="AB289" s="12"/>
      <c r="AF289" s="31"/>
      <c r="AJ289" s="12"/>
      <c r="AN289" s="31"/>
    </row>
    <row r="290" spans="1:40">
      <c r="A290" s="5"/>
      <c r="B290" s="35"/>
      <c r="C290" s="35"/>
      <c r="D290" s="35"/>
      <c r="E290" s="35"/>
      <c r="F290" s="35"/>
      <c r="G290" s="35"/>
      <c r="H290" s="35"/>
      <c r="I290" s="35"/>
      <c r="J290" s="35"/>
      <c r="K290" s="35"/>
      <c r="L290" s="35"/>
      <c r="M290" s="35"/>
      <c r="N290" s="19"/>
      <c r="O290" s="35"/>
      <c r="P290" s="35"/>
      <c r="Q290" s="35"/>
      <c r="R290" s="35"/>
      <c r="S290" s="35"/>
      <c r="T290" s="35"/>
      <c r="U290" s="35"/>
      <c r="V290" s="35"/>
      <c r="W290" s="35"/>
      <c r="X290" s="35"/>
      <c r="Y290" s="35"/>
      <c r="Z290" s="35"/>
      <c r="AA290" s="12"/>
      <c r="AB290" s="12"/>
      <c r="AF290" s="31"/>
      <c r="AJ290" s="12"/>
      <c r="AN290" s="31"/>
    </row>
    <row r="291" spans="1:40">
      <c r="A291" s="5"/>
      <c r="B291" s="35"/>
      <c r="C291" s="35"/>
      <c r="D291" s="35"/>
      <c r="E291" s="35"/>
      <c r="F291" s="35"/>
      <c r="G291" s="35"/>
      <c r="H291" s="35"/>
      <c r="I291" s="35"/>
      <c r="J291" s="35"/>
      <c r="K291" s="35"/>
      <c r="L291" s="35"/>
      <c r="M291" s="35"/>
      <c r="N291" s="19"/>
      <c r="O291" s="35"/>
      <c r="P291" s="35"/>
      <c r="Q291" s="35"/>
      <c r="R291" s="35"/>
      <c r="S291" s="35"/>
      <c r="T291" s="35"/>
      <c r="U291" s="35"/>
      <c r="V291" s="35"/>
      <c r="W291" s="35"/>
      <c r="X291" s="35"/>
      <c r="Y291" s="35"/>
      <c r="Z291" s="35"/>
      <c r="AA291" s="12"/>
      <c r="AB291" s="12"/>
      <c r="AF291" s="31"/>
      <c r="AJ291" s="12"/>
      <c r="AN291" s="31"/>
    </row>
    <row r="292" spans="1:40">
      <c r="A292" s="5"/>
      <c r="B292" s="35"/>
      <c r="C292" s="35"/>
      <c r="D292" s="35"/>
      <c r="E292" s="35"/>
      <c r="F292" s="35"/>
      <c r="G292" s="35"/>
      <c r="H292" s="35"/>
      <c r="I292" s="35"/>
      <c r="J292" s="35"/>
      <c r="K292" s="35"/>
      <c r="L292" s="35"/>
      <c r="M292" s="35"/>
      <c r="N292" s="19"/>
      <c r="O292" s="35"/>
      <c r="P292" s="35"/>
      <c r="Q292" s="35"/>
      <c r="R292" s="35"/>
      <c r="S292" s="35"/>
      <c r="T292" s="35"/>
      <c r="U292" s="35"/>
      <c r="V292" s="35"/>
      <c r="W292" s="35"/>
      <c r="X292" s="35"/>
      <c r="Y292" s="35"/>
      <c r="Z292" s="35"/>
      <c r="AA292" s="12"/>
      <c r="AB292" s="12"/>
      <c r="AF292" s="31"/>
      <c r="AJ292" s="12"/>
      <c r="AN292" s="31"/>
    </row>
    <row r="293" spans="1:40">
      <c r="A293" s="5"/>
      <c r="B293" s="35"/>
      <c r="C293" s="35"/>
      <c r="D293" s="35"/>
      <c r="E293" s="35"/>
      <c r="F293" s="35"/>
      <c r="G293" s="35"/>
      <c r="H293" s="35"/>
      <c r="I293" s="35"/>
      <c r="J293" s="35"/>
      <c r="K293" s="35"/>
      <c r="L293" s="35"/>
      <c r="M293" s="35"/>
      <c r="N293" s="19"/>
      <c r="O293" s="35"/>
      <c r="P293" s="35"/>
      <c r="Q293" s="35"/>
      <c r="R293" s="35"/>
      <c r="S293" s="35"/>
      <c r="T293" s="35"/>
      <c r="U293" s="35"/>
      <c r="V293" s="35"/>
      <c r="W293" s="35"/>
      <c r="X293" s="35"/>
      <c r="Y293" s="35"/>
      <c r="Z293" s="35"/>
      <c r="AA293" s="12"/>
      <c r="AB293" s="12"/>
      <c r="AF293" s="31"/>
      <c r="AJ293" s="12"/>
      <c r="AN293" s="31"/>
    </row>
    <row r="294" spans="1:40">
      <c r="A294" s="5"/>
      <c r="B294" s="35"/>
      <c r="C294" s="35"/>
      <c r="D294" s="35"/>
      <c r="E294" s="35"/>
      <c r="F294" s="35"/>
      <c r="G294" s="35"/>
      <c r="H294" s="35"/>
      <c r="I294" s="35"/>
      <c r="J294" s="35"/>
      <c r="K294" s="35"/>
      <c r="L294" s="35"/>
      <c r="M294" s="35"/>
      <c r="N294" s="19"/>
      <c r="O294" s="35"/>
      <c r="P294" s="35"/>
      <c r="Q294" s="35"/>
      <c r="R294" s="35"/>
      <c r="S294" s="35"/>
      <c r="T294" s="35"/>
      <c r="U294" s="35"/>
      <c r="V294" s="35"/>
      <c r="W294" s="35"/>
      <c r="X294" s="35"/>
      <c r="Y294" s="35"/>
      <c r="Z294" s="35"/>
      <c r="AA294" s="12"/>
      <c r="AB294" s="12"/>
      <c r="AF294" s="31"/>
      <c r="AJ294" s="12"/>
      <c r="AN294" s="31"/>
    </row>
    <row r="295" spans="1:40">
      <c r="A295" s="5"/>
      <c r="B295" s="35"/>
      <c r="C295" s="35"/>
      <c r="D295" s="35"/>
      <c r="E295" s="35"/>
      <c r="F295" s="35"/>
      <c r="G295" s="35"/>
      <c r="H295" s="35"/>
      <c r="I295" s="35"/>
      <c r="J295" s="35"/>
      <c r="K295" s="35"/>
      <c r="L295" s="35"/>
      <c r="M295" s="35"/>
      <c r="N295" s="19"/>
      <c r="O295" s="35"/>
      <c r="P295" s="35"/>
      <c r="Q295" s="35"/>
      <c r="R295" s="35"/>
      <c r="S295" s="35"/>
      <c r="T295" s="35"/>
      <c r="U295" s="35"/>
      <c r="V295" s="35"/>
      <c r="W295" s="35"/>
      <c r="X295" s="35"/>
      <c r="Y295" s="35"/>
      <c r="Z295" s="35"/>
      <c r="AA295" s="12"/>
      <c r="AB295" s="12"/>
      <c r="AF295" s="31"/>
      <c r="AJ295" s="12"/>
      <c r="AN295" s="31"/>
    </row>
    <row r="296" spans="1:40">
      <c r="A296" s="5"/>
      <c r="B296" s="35"/>
      <c r="C296" s="35"/>
      <c r="D296" s="35"/>
      <c r="E296" s="35"/>
      <c r="F296" s="35"/>
      <c r="G296" s="35"/>
      <c r="H296" s="35"/>
      <c r="I296" s="35"/>
      <c r="J296" s="35"/>
      <c r="K296" s="35"/>
      <c r="L296" s="35"/>
      <c r="M296" s="35"/>
      <c r="N296" s="19"/>
      <c r="O296" s="35"/>
      <c r="P296" s="35"/>
      <c r="Q296" s="35"/>
      <c r="R296" s="35"/>
      <c r="S296" s="35"/>
      <c r="T296" s="35"/>
      <c r="U296" s="35"/>
      <c r="V296" s="35"/>
      <c r="W296" s="35"/>
      <c r="X296" s="35"/>
      <c r="Y296" s="35"/>
      <c r="Z296" s="35"/>
      <c r="AA296" s="12"/>
      <c r="AB296" s="12"/>
      <c r="AF296" s="31"/>
      <c r="AJ296" s="12"/>
      <c r="AN296" s="31"/>
    </row>
    <row r="297" spans="1:40">
      <c r="A297" s="5"/>
      <c r="B297" s="35"/>
      <c r="C297" s="35"/>
      <c r="D297" s="35"/>
      <c r="E297" s="35"/>
      <c r="F297" s="35"/>
      <c r="G297" s="35"/>
      <c r="H297" s="35"/>
      <c r="I297" s="35"/>
      <c r="J297" s="35"/>
      <c r="K297" s="35"/>
      <c r="L297" s="35"/>
      <c r="M297" s="35"/>
      <c r="N297" s="19"/>
      <c r="O297" s="35"/>
      <c r="P297" s="35"/>
      <c r="Q297" s="35"/>
      <c r="R297" s="35"/>
      <c r="S297" s="35"/>
      <c r="T297" s="35"/>
      <c r="U297" s="35"/>
      <c r="V297" s="35"/>
      <c r="W297" s="35"/>
      <c r="X297" s="35"/>
      <c r="Y297" s="35"/>
      <c r="Z297" s="35"/>
      <c r="AA297" s="12"/>
      <c r="AB297" s="12"/>
      <c r="AF297" s="31"/>
      <c r="AJ297" s="12"/>
      <c r="AN297" s="31"/>
    </row>
    <row r="298" spans="1:40">
      <c r="A298" s="5"/>
      <c r="B298" s="35"/>
      <c r="C298" s="35"/>
      <c r="D298" s="35"/>
      <c r="E298" s="35"/>
      <c r="F298" s="35"/>
      <c r="G298" s="35"/>
      <c r="H298" s="35"/>
      <c r="I298" s="35"/>
      <c r="J298" s="35"/>
      <c r="K298" s="35"/>
      <c r="L298" s="35"/>
      <c r="M298" s="35"/>
      <c r="N298" s="19"/>
      <c r="O298" s="35"/>
      <c r="P298" s="35"/>
      <c r="Q298" s="35"/>
      <c r="R298" s="35"/>
      <c r="S298" s="35"/>
      <c r="T298" s="35"/>
      <c r="U298" s="35"/>
      <c r="V298" s="35"/>
      <c r="W298" s="35"/>
      <c r="X298" s="35"/>
      <c r="Y298" s="35"/>
      <c r="Z298" s="35"/>
      <c r="AA298" s="12"/>
      <c r="AB298" s="12"/>
      <c r="AF298" s="31"/>
      <c r="AJ298" s="12"/>
      <c r="AN298" s="31"/>
    </row>
    <row r="299" spans="1:40">
      <c r="A299" s="5"/>
      <c r="B299" s="35"/>
      <c r="C299" s="35"/>
      <c r="D299" s="35"/>
      <c r="E299" s="35"/>
      <c r="F299" s="35"/>
      <c r="G299" s="35"/>
      <c r="H299" s="35"/>
      <c r="I299" s="35"/>
      <c r="J299" s="35"/>
      <c r="K299" s="35"/>
      <c r="L299" s="35"/>
      <c r="M299" s="35"/>
      <c r="N299" s="19"/>
      <c r="O299" s="35"/>
      <c r="P299" s="35"/>
      <c r="Q299" s="35"/>
      <c r="R299" s="35"/>
      <c r="S299" s="35"/>
      <c r="T299" s="35"/>
      <c r="U299" s="35"/>
      <c r="V299" s="35"/>
      <c r="W299" s="35"/>
      <c r="X299" s="35"/>
      <c r="Y299" s="35"/>
      <c r="Z299" s="35"/>
      <c r="AA299" s="12"/>
      <c r="AB299" s="12"/>
      <c r="AF299" s="31"/>
      <c r="AJ299" s="12"/>
      <c r="AN299" s="31"/>
    </row>
    <row r="300" spans="1:40">
      <c r="A300" s="5"/>
      <c r="B300" s="35"/>
      <c r="C300" s="35"/>
      <c r="D300" s="35"/>
      <c r="E300" s="35"/>
      <c r="F300" s="35"/>
      <c r="G300" s="35"/>
      <c r="H300" s="35"/>
      <c r="I300" s="35"/>
      <c r="J300" s="35"/>
      <c r="K300" s="35"/>
      <c r="L300" s="35"/>
      <c r="M300" s="35"/>
      <c r="N300" s="19"/>
      <c r="O300" s="35"/>
      <c r="P300" s="35"/>
      <c r="Q300" s="35"/>
      <c r="R300" s="35"/>
      <c r="S300" s="35"/>
      <c r="T300" s="35"/>
      <c r="U300" s="35"/>
      <c r="V300" s="35"/>
      <c r="W300" s="35"/>
      <c r="X300" s="35"/>
      <c r="Y300" s="35"/>
      <c r="Z300" s="35"/>
      <c r="AA300" s="12"/>
      <c r="AB300" s="12"/>
      <c r="AF300" s="31"/>
      <c r="AJ300" s="12"/>
      <c r="AN300" s="31"/>
    </row>
    <row r="301" spans="1:40">
      <c r="A301" s="5"/>
      <c r="B301" s="35"/>
      <c r="C301" s="35"/>
      <c r="D301" s="35"/>
      <c r="E301" s="35"/>
      <c r="F301" s="35"/>
      <c r="G301" s="35"/>
      <c r="H301" s="35"/>
      <c r="I301" s="35"/>
      <c r="J301" s="35"/>
      <c r="K301" s="35"/>
      <c r="L301" s="35"/>
      <c r="M301" s="35"/>
      <c r="N301" s="19"/>
      <c r="O301" s="35"/>
      <c r="P301" s="35"/>
      <c r="Q301" s="35"/>
      <c r="R301" s="35"/>
      <c r="S301" s="35"/>
      <c r="T301" s="35"/>
      <c r="U301" s="35"/>
      <c r="V301" s="35"/>
      <c r="W301" s="35"/>
      <c r="X301" s="35"/>
      <c r="Y301" s="35"/>
      <c r="Z301" s="35"/>
      <c r="AA301" s="12"/>
      <c r="AB301" s="12"/>
      <c r="AF301" s="31"/>
      <c r="AJ301" s="12"/>
      <c r="AN301" s="31"/>
    </row>
    <row r="302" spans="1:40">
      <c r="A302" s="5"/>
      <c r="B302" s="35"/>
      <c r="C302" s="35"/>
      <c r="D302" s="35"/>
      <c r="E302" s="35"/>
      <c r="F302" s="35"/>
      <c r="G302" s="35"/>
      <c r="H302" s="35"/>
      <c r="I302" s="35"/>
      <c r="J302" s="35"/>
      <c r="K302" s="35"/>
      <c r="L302" s="35"/>
      <c r="M302" s="35"/>
      <c r="N302" s="19"/>
      <c r="O302" s="35"/>
      <c r="P302" s="35"/>
      <c r="Q302" s="35"/>
      <c r="R302" s="35"/>
      <c r="S302" s="35"/>
      <c r="T302" s="35"/>
      <c r="U302" s="35"/>
      <c r="V302" s="35"/>
      <c r="W302" s="35"/>
      <c r="X302" s="35"/>
      <c r="Y302" s="35"/>
      <c r="Z302" s="35"/>
      <c r="AA302" s="12"/>
      <c r="AB302" s="12"/>
      <c r="AF302" s="31"/>
      <c r="AJ302" s="12"/>
      <c r="AN302" s="31"/>
    </row>
    <row r="303" spans="1:40">
      <c r="A303" s="5"/>
      <c r="B303" s="35"/>
      <c r="C303" s="35"/>
      <c r="D303" s="35"/>
      <c r="E303" s="35"/>
      <c r="F303" s="35"/>
      <c r="G303" s="35"/>
      <c r="H303" s="35"/>
      <c r="I303" s="35"/>
      <c r="J303" s="35"/>
      <c r="K303" s="35"/>
      <c r="L303" s="35"/>
      <c r="M303" s="35"/>
      <c r="N303" s="19"/>
      <c r="O303" s="35"/>
      <c r="P303" s="35"/>
      <c r="Q303" s="35"/>
      <c r="R303" s="35"/>
      <c r="S303" s="35"/>
      <c r="T303" s="35"/>
      <c r="U303" s="35"/>
      <c r="V303" s="35"/>
      <c r="W303" s="35"/>
      <c r="X303" s="35"/>
      <c r="Y303" s="35"/>
      <c r="Z303" s="35"/>
      <c r="AA303" s="12"/>
      <c r="AB303" s="12"/>
      <c r="AF303" s="31"/>
      <c r="AJ303" s="12"/>
      <c r="AN303" s="31"/>
    </row>
    <row r="304" spans="1:40">
      <c r="A304" s="5"/>
      <c r="B304" s="35"/>
      <c r="C304" s="35"/>
      <c r="D304" s="35"/>
      <c r="E304" s="35"/>
      <c r="F304" s="35"/>
      <c r="G304" s="35"/>
      <c r="H304" s="35"/>
      <c r="I304" s="35"/>
      <c r="J304" s="35"/>
      <c r="K304" s="35"/>
      <c r="L304" s="35"/>
      <c r="M304" s="35"/>
      <c r="N304" s="19"/>
      <c r="O304" s="35"/>
      <c r="P304" s="35"/>
      <c r="Q304" s="35"/>
      <c r="R304" s="35"/>
      <c r="S304" s="35"/>
      <c r="T304" s="35"/>
      <c r="U304" s="35"/>
      <c r="V304" s="35"/>
      <c r="W304" s="35"/>
      <c r="X304" s="35"/>
      <c r="Y304" s="35"/>
      <c r="Z304" s="35"/>
      <c r="AA304" s="12"/>
      <c r="AB304" s="12"/>
      <c r="AF304" s="31"/>
      <c r="AJ304" s="12"/>
      <c r="AN304" s="31"/>
    </row>
    <row r="305" spans="1:40">
      <c r="A305" s="5"/>
      <c r="B305" s="35"/>
      <c r="C305" s="35"/>
      <c r="D305" s="35"/>
      <c r="E305" s="35"/>
      <c r="F305" s="35"/>
      <c r="G305" s="35"/>
      <c r="H305" s="35"/>
      <c r="I305" s="35"/>
      <c r="J305" s="35"/>
      <c r="K305" s="35"/>
      <c r="L305" s="35"/>
      <c r="M305" s="35"/>
      <c r="N305" s="19"/>
      <c r="O305" s="35"/>
      <c r="P305" s="35"/>
      <c r="Q305" s="35"/>
      <c r="R305" s="35"/>
      <c r="S305" s="35"/>
      <c r="T305" s="35"/>
      <c r="U305" s="35"/>
      <c r="V305" s="35"/>
      <c r="W305" s="35"/>
      <c r="X305" s="35"/>
      <c r="Y305" s="35"/>
      <c r="Z305" s="35"/>
      <c r="AA305" s="12"/>
      <c r="AB305" s="12"/>
      <c r="AF305" s="31"/>
      <c r="AJ305" s="12"/>
      <c r="AN305" s="31"/>
    </row>
    <row r="306" spans="1:40">
      <c r="A306" s="5"/>
      <c r="B306" s="35"/>
      <c r="C306" s="35"/>
      <c r="D306" s="35"/>
      <c r="E306" s="35"/>
      <c r="F306" s="35"/>
      <c r="G306" s="35"/>
      <c r="H306" s="35"/>
      <c r="I306" s="35"/>
      <c r="J306" s="35"/>
      <c r="K306" s="35"/>
      <c r="L306" s="35"/>
      <c r="M306" s="35"/>
      <c r="N306" s="19"/>
      <c r="O306" s="35"/>
      <c r="P306" s="35"/>
      <c r="Q306" s="35"/>
      <c r="R306" s="35"/>
      <c r="S306" s="35"/>
      <c r="T306" s="35"/>
      <c r="U306" s="35"/>
      <c r="V306" s="35"/>
      <c r="W306" s="35"/>
      <c r="X306" s="35"/>
      <c r="Y306" s="35"/>
      <c r="Z306" s="35"/>
      <c r="AA306" s="12"/>
      <c r="AB306" s="12"/>
      <c r="AF306" s="31"/>
      <c r="AJ306" s="12"/>
      <c r="AN306" s="31"/>
    </row>
    <row r="307" spans="1:40">
      <c r="A307" s="5"/>
      <c r="B307" s="35"/>
      <c r="C307" s="35"/>
      <c r="D307" s="35"/>
      <c r="E307" s="35"/>
      <c r="F307" s="35"/>
      <c r="G307" s="35"/>
      <c r="H307" s="35"/>
      <c r="I307" s="35"/>
      <c r="J307" s="35"/>
      <c r="K307" s="35"/>
      <c r="L307" s="35"/>
      <c r="M307" s="35"/>
      <c r="N307" s="19"/>
      <c r="O307" s="35"/>
      <c r="P307" s="35"/>
      <c r="Q307" s="35"/>
      <c r="R307" s="35"/>
      <c r="S307" s="35"/>
      <c r="T307" s="35"/>
      <c r="U307" s="35"/>
      <c r="V307" s="35"/>
      <c r="W307" s="35"/>
      <c r="X307" s="35"/>
      <c r="Y307" s="35"/>
      <c r="Z307" s="35"/>
      <c r="AA307" s="12"/>
      <c r="AB307" s="12"/>
      <c r="AF307" s="31"/>
      <c r="AJ307" s="12"/>
      <c r="AN307" s="31"/>
    </row>
    <row r="308" spans="1:40">
      <c r="A308" s="5"/>
      <c r="B308" s="35"/>
      <c r="C308" s="35"/>
      <c r="D308" s="35"/>
      <c r="E308" s="35"/>
      <c r="F308" s="35"/>
      <c r="G308" s="35"/>
      <c r="H308" s="35"/>
      <c r="I308" s="35"/>
      <c r="J308" s="35"/>
      <c r="K308" s="35"/>
      <c r="L308" s="35"/>
      <c r="M308" s="35"/>
      <c r="N308" s="19"/>
      <c r="O308" s="35"/>
      <c r="P308" s="35"/>
      <c r="Q308" s="35"/>
      <c r="R308" s="35"/>
      <c r="S308" s="35"/>
      <c r="T308" s="35"/>
      <c r="U308" s="35"/>
      <c r="V308" s="35"/>
      <c r="W308" s="35"/>
      <c r="X308" s="35"/>
      <c r="Y308" s="35"/>
      <c r="Z308" s="35"/>
      <c r="AA308" s="12"/>
      <c r="AB308" s="12"/>
      <c r="AF308" s="31"/>
      <c r="AJ308" s="12"/>
      <c r="AN308" s="31"/>
    </row>
    <row r="309" spans="1:40">
      <c r="A309" s="5"/>
      <c r="B309" s="35"/>
      <c r="C309" s="35"/>
      <c r="D309" s="35"/>
      <c r="E309" s="35"/>
      <c r="F309" s="35"/>
      <c r="G309" s="35"/>
      <c r="H309" s="35"/>
      <c r="I309" s="35"/>
      <c r="J309" s="35"/>
      <c r="K309" s="35"/>
      <c r="L309" s="35"/>
      <c r="M309" s="35"/>
      <c r="N309" s="19"/>
      <c r="O309" s="35"/>
      <c r="P309" s="35"/>
      <c r="Q309" s="35"/>
      <c r="R309" s="35"/>
      <c r="S309" s="35"/>
      <c r="T309" s="35"/>
      <c r="U309" s="35"/>
      <c r="V309" s="35"/>
      <c r="W309" s="35"/>
      <c r="X309" s="35"/>
      <c r="Y309" s="35"/>
      <c r="Z309" s="35"/>
      <c r="AA309" s="12"/>
      <c r="AB309" s="12"/>
      <c r="AF309" s="31"/>
      <c r="AJ309" s="12"/>
      <c r="AN309" s="31"/>
    </row>
    <row r="310" spans="1:40">
      <c r="A310" s="5"/>
      <c r="B310" s="35"/>
      <c r="C310" s="35"/>
      <c r="D310" s="35"/>
      <c r="E310" s="35"/>
      <c r="F310" s="35"/>
      <c r="G310" s="35"/>
      <c r="H310" s="35"/>
      <c r="I310" s="35"/>
      <c r="J310" s="35"/>
      <c r="K310" s="35"/>
      <c r="L310" s="35"/>
      <c r="M310" s="35"/>
      <c r="N310" s="19"/>
      <c r="O310" s="35"/>
      <c r="P310" s="35"/>
      <c r="Q310" s="35"/>
      <c r="R310" s="35"/>
      <c r="S310" s="35"/>
      <c r="T310" s="35"/>
      <c r="U310" s="35"/>
      <c r="V310" s="35"/>
      <c r="W310" s="35"/>
      <c r="X310" s="35"/>
      <c r="Y310" s="35"/>
      <c r="Z310" s="35"/>
      <c r="AA310" s="12"/>
      <c r="AB310" s="12"/>
      <c r="AF310" s="31"/>
      <c r="AJ310" s="12"/>
      <c r="AN310" s="31"/>
    </row>
    <row r="311" spans="1:40">
      <c r="A311" s="5"/>
      <c r="B311" s="35"/>
      <c r="C311" s="35"/>
      <c r="D311" s="35"/>
      <c r="E311" s="35"/>
      <c r="F311" s="35"/>
      <c r="G311" s="35"/>
      <c r="H311" s="35"/>
      <c r="I311" s="35"/>
      <c r="J311" s="35"/>
      <c r="K311" s="35"/>
      <c r="L311" s="35"/>
      <c r="M311" s="35"/>
      <c r="N311" s="19"/>
      <c r="O311" s="35"/>
      <c r="P311" s="35"/>
      <c r="Q311" s="35"/>
      <c r="R311" s="35"/>
      <c r="S311" s="35"/>
      <c r="T311" s="35"/>
      <c r="U311" s="35"/>
      <c r="V311" s="35"/>
      <c r="W311" s="35"/>
      <c r="X311" s="35"/>
      <c r="Y311" s="35"/>
      <c r="Z311" s="35"/>
      <c r="AA311" s="12"/>
      <c r="AB311" s="12"/>
      <c r="AF311" s="31"/>
      <c r="AJ311" s="12"/>
      <c r="AN311" s="31"/>
    </row>
    <row r="312" spans="1:40">
      <c r="A312" s="5"/>
      <c r="B312" s="35"/>
      <c r="C312" s="35"/>
      <c r="D312" s="35"/>
      <c r="E312" s="35"/>
      <c r="F312" s="35"/>
      <c r="G312" s="35"/>
      <c r="H312" s="35"/>
      <c r="I312" s="35"/>
      <c r="J312" s="35"/>
      <c r="K312" s="35"/>
      <c r="L312" s="35"/>
      <c r="M312" s="35"/>
      <c r="N312" s="19"/>
      <c r="O312" s="35"/>
      <c r="P312" s="35"/>
      <c r="Q312" s="35"/>
      <c r="R312" s="35"/>
      <c r="S312" s="35"/>
      <c r="T312" s="35"/>
      <c r="U312" s="35"/>
      <c r="V312" s="35"/>
      <c r="W312" s="35"/>
      <c r="X312" s="35"/>
      <c r="Y312" s="35"/>
      <c r="Z312" s="35"/>
      <c r="AA312" s="12"/>
      <c r="AB312" s="12"/>
      <c r="AF312" s="31"/>
      <c r="AJ312" s="12"/>
      <c r="AN312" s="31"/>
    </row>
    <row r="313" spans="1:40">
      <c r="A313" s="5"/>
      <c r="B313" s="35"/>
      <c r="C313" s="35"/>
      <c r="D313" s="35"/>
      <c r="E313" s="35"/>
      <c r="F313" s="35"/>
      <c r="G313" s="35"/>
      <c r="H313" s="35"/>
      <c r="I313" s="35"/>
      <c r="J313" s="35"/>
      <c r="K313" s="35"/>
      <c r="L313" s="35"/>
      <c r="M313" s="35"/>
      <c r="N313" s="19"/>
      <c r="O313" s="35"/>
      <c r="P313" s="35"/>
      <c r="Q313" s="35"/>
      <c r="R313" s="35"/>
      <c r="S313" s="35"/>
      <c r="T313" s="35"/>
      <c r="U313" s="35"/>
      <c r="V313" s="35"/>
      <c r="W313" s="35"/>
      <c r="X313" s="35"/>
      <c r="Y313" s="35"/>
      <c r="Z313" s="35"/>
      <c r="AA313" s="12"/>
      <c r="AB313" s="12"/>
      <c r="AF313" s="31"/>
      <c r="AJ313" s="12"/>
      <c r="AN313" s="31"/>
    </row>
    <row r="314" spans="1:40">
      <c r="A314" s="5"/>
      <c r="B314" s="35"/>
      <c r="C314" s="35"/>
      <c r="D314" s="35"/>
      <c r="E314" s="35"/>
      <c r="F314" s="35"/>
      <c r="G314" s="35"/>
      <c r="H314" s="35"/>
      <c r="I314" s="35"/>
      <c r="J314" s="35"/>
      <c r="K314" s="35"/>
      <c r="L314" s="35"/>
      <c r="M314" s="35"/>
      <c r="N314" s="19"/>
      <c r="O314" s="35"/>
      <c r="P314" s="35"/>
      <c r="Q314" s="35"/>
      <c r="R314" s="35"/>
      <c r="S314" s="35"/>
      <c r="T314" s="35"/>
      <c r="U314" s="35"/>
      <c r="V314" s="35"/>
      <c r="W314" s="35"/>
      <c r="X314" s="35"/>
      <c r="Y314" s="35"/>
      <c r="Z314" s="35"/>
      <c r="AA314" s="12"/>
      <c r="AB314" s="12"/>
      <c r="AF314" s="31"/>
      <c r="AJ314" s="12"/>
      <c r="AN314" s="31"/>
    </row>
    <row r="315" spans="1:40">
      <c r="A315" s="5"/>
      <c r="B315" s="35"/>
      <c r="C315" s="35"/>
      <c r="D315" s="35"/>
      <c r="E315" s="35"/>
      <c r="F315" s="35"/>
      <c r="G315" s="35"/>
      <c r="H315" s="35"/>
      <c r="I315" s="35"/>
      <c r="J315" s="35"/>
      <c r="K315" s="35"/>
      <c r="L315" s="35"/>
      <c r="M315" s="35"/>
      <c r="N315" s="19"/>
      <c r="O315" s="35"/>
      <c r="P315" s="35"/>
      <c r="Q315" s="35"/>
      <c r="R315" s="35"/>
      <c r="S315" s="35"/>
      <c r="T315" s="35"/>
      <c r="U315" s="35"/>
      <c r="V315" s="35"/>
      <c r="W315" s="35"/>
      <c r="X315" s="35"/>
      <c r="Y315" s="35"/>
      <c r="Z315" s="35"/>
      <c r="AA315" s="12"/>
      <c r="AB315" s="12"/>
      <c r="AF315" s="31"/>
      <c r="AJ315" s="12"/>
      <c r="AN315" s="31"/>
    </row>
    <row r="316" spans="1:40">
      <c r="A316" s="5"/>
      <c r="E316" s="19"/>
      <c r="I316" s="19"/>
      <c r="L316" s="19"/>
      <c r="M316" s="19"/>
      <c r="N316" s="19"/>
      <c r="V316" s="12"/>
      <c r="Y316" s="12"/>
      <c r="Z316" s="12"/>
      <c r="AA316" s="12"/>
    </row>
    <row r="317" spans="1:40">
      <c r="A317" s="5"/>
      <c r="E317" s="19"/>
      <c r="I317" s="19"/>
      <c r="L317" s="19"/>
      <c r="M317" s="19"/>
      <c r="N317" s="19"/>
      <c r="V317" s="12"/>
      <c r="Y317" s="12"/>
      <c r="Z317" s="12"/>
      <c r="AA317" s="12"/>
    </row>
    <row r="318" spans="1:40">
      <c r="A318" s="5"/>
      <c r="E318" s="19"/>
      <c r="I318" s="19"/>
      <c r="L318" s="19"/>
      <c r="M318" s="19"/>
      <c r="V318" s="12"/>
      <c r="Y318" s="12"/>
      <c r="Z318" s="12"/>
      <c r="AA318" s="12"/>
    </row>
    <row r="319" spans="1:40">
      <c r="A319" s="5"/>
      <c r="E319" s="19"/>
      <c r="I319" s="19"/>
      <c r="L319" s="19"/>
      <c r="M319" s="19"/>
      <c r="V319" s="12"/>
      <c r="Y319" s="12"/>
      <c r="Z319" s="12"/>
      <c r="AA319" s="12"/>
    </row>
    <row r="320" spans="1:40">
      <c r="A320" s="5"/>
      <c r="E320" s="19"/>
      <c r="I320" s="19"/>
      <c r="L320" s="19"/>
      <c r="M320" s="19"/>
      <c r="V320" s="12"/>
      <c r="Y320" s="12"/>
      <c r="Z320" s="12"/>
      <c r="AA320" s="12"/>
    </row>
    <row r="321" spans="1:27">
      <c r="A321" s="5"/>
      <c r="E321" s="19"/>
      <c r="I321" s="19"/>
      <c r="L321" s="19"/>
      <c r="M321" s="19"/>
      <c r="V321" s="12"/>
      <c r="Y321" s="12"/>
      <c r="Z321" s="12"/>
      <c r="AA321" s="12"/>
    </row>
    <row r="322" spans="1:27">
      <c r="A322" s="5"/>
      <c r="E322" s="19"/>
      <c r="I322" s="19"/>
      <c r="L322" s="19"/>
      <c r="M322" s="19"/>
      <c r="V322" s="12"/>
      <c r="Y322" s="12"/>
      <c r="Z322" s="12"/>
      <c r="AA322" s="12"/>
    </row>
    <row r="323" spans="1:27">
      <c r="A323" s="5"/>
      <c r="E323" s="19"/>
      <c r="I323" s="19"/>
      <c r="L323" s="19"/>
      <c r="M323" s="19"/>
      <c r="V323" s="12"/>
      <c r="Y323" s="12"/>
      <c r="Z323" s="12"/>
      <c r="AA323" s="12"/>
    </row>
    <row r="324" spans="1:27">
      <c r="A324" s="5"/>
      <c r="E324" s="19"/>
      <c r="I324" s="19"/>
      <c r="L324" s="19"/>
      <c r="M324" s="19"/>
      <c r="V324" s="12"/>
      <c r="Y324" s="12"/>
      <c r="Z324" s="12"/>
      <c r="AA324" s="12"/>
    </row>
    <row r="325" spans="1:27">
      <c r="A325" s="5"/>
      <c r="E325" s="19"/>
      <c r="I325" s="19"/>
      <c r="L325" s="19"/>
      <c r="M325" s="19"/>
      <c r="V325" s="12"/>
      <c r="Y325" s="12"/>
      <c r="Z325" s="12"/>
      <c r="AA325" s="12"/>
    </row>
    <row r="326" spans="1:27">
      <c r="A326" s="5"/>
      <c r="E326" s="19"/>
      <c r="I326" s="19"/>
      <c r="L326" s="19"/>
      <c r="M326" s="19"/>
      <c r="V326" s="12"/>
      <c r="Y326" s="12"/>
      <c r="Z326" s="12"/>
      <c r="AA326" s="12"/>
    </row>
    <row r="327" spans="1:27">
      <c r="A327" s="5"/>
      <c r="E327" s="19"/>
      <c r="I327" s="19"/>
      <c r="L327" s="19"/>
      <c r="M327" s="19"/>
      <c r="V327" s="12"/>
      <c r="Y327" s="12"/>
      <c r="Z327" s="12"/>
      <c r="AA327" s="12"/>
    </row>
    <row r="328" spans="1:27">
      <c r="A328" s="5"/>
      <c r="E328" s="19"/>
      <c r="I328" s="19"/>
      <c r="L328" s="19"/>
      <c r="M328" s="19"/>
      <c r="V328" s="12"/>
      <c r="Y328" s="12"/>
      <c r="Z328" s="12"/>
      <c r="AA328" s="12"/>
    </row>
    <row r="329" spans="1:27">
      <c r="A329" s="5"/>
      <c r="E329" s="19"/>
      <c r="I329" s="19"/>
      <c r="L329" s="19"/>
      <c r="M329" s="19"/>
      <c r="V329" s="12"/>
      <c r="Y329" s="12"/>
      <c r="Z329" s="12"/>
      <c r="AA329" s="12"/>
    </row>
    <row r="330" spans="1:27">
      <c r="A330" s="5"/>
      <c r="E330" s="19"/>
      <c r="I330" s="19"/>
      <c r="L330" s="19"/>
      <c r="M330" s="19"/>
      <c r="V330" s="12"/>
      <c r="Y330" s="12"/>
      <c r="Z330" s="12"/>
      <c r="AA330" s="12"/>
    </row>
    <row r="331" spans="1:27">
      <c r="A331" s="5"/>
      <c r="E331" s="19"/>
      <c r="I331" s="19"/>
      <c r="L331" s="19"/>
      <c r="M331" s="19"/>
      <c r="V331" s="12"/>
      <c r="Z331" s="12"/>
      <c r="AA331" s="12"/>
    </row>
    <row r="332" spans="1:27">
      <c r="A332" s="5"/>
      <c r="E332" s="19"/>
      <c r="I332" s="19"/>
      <c r="L332" s="19"/>
      <c r="M332" s="19"/>
      <c r="V332" s="12"/>
      <c r="Z332" s="12"/>
      <c r="AA332" s="12"/>
    </row>
    <row r="333" spans="1:27">
      <c r="A333" s="5"/>
      <c r="E333" s="19"/>
      <c r="I333" s="19"/>
      <c r="L333" s="19"/>
      <c r="M333" s="19"/>
      <c r="V333" s="12"/>
      <c r="Z333" s="12"/>
      <c r="AA333" s="12"/>
    </row>
    <row r="334" spans="1:27">
      <c r="A334" s="5"/>
      <c r="E334" s="19"/>
      <c r="I334" s="19"/>
      <c r="L334" s="19"/>
      <c r="M334" s="19"/>
      <c r="V334" s="12"/>
      <c r="Z334" s="12"/>
      <c r="AA334" s="12"/>
    </row>
    <row r="335" spans="1:27">
      <c r="A335" s="5"/>
      <c r="E335" s="19"/>
      <c r="I335" s="19"/>
      <c r="L335" s="19"/>
      <c r="M335" s="19"/>
      <c r="V335" s="12"/>
      <c r="Z335" s="12"/>
      <c r="AA335" s="12"/>
    </row>
    <row r="336" spans="1:27">
      <c r="A336" s="5"/>
      <c r="E336" s="19"/>
      <c r="I336" s="19"/>
      <c r="L336" s="19"/>
      <c r="M336" s="19"/>
      <c r="V336" s="12"/>
      <c r="Z336" s="12"/>
      <c r="AA336" s="12"/>
    </row>
    <row r="337" spans="1:27">
      <c r="A337" s="5"/>
      <c r="E337" s="19"/>
      <c r="I337" s="19"/>
      <c r="L337" s="19"/>
      <c r="M337" s="19"/>
      <c r="V337" s="12"/>
      <c r="Z337" s="12"/>
      <c r="AA337" s="12"/>
    </row>
    <row r="338" spans="1:27">
      <c r="A338" s="5"/>
      <c r="E338" s="19"/>
      <c r="I338" s="19"/>
      <c r="L338" s="19"/>
      <c r="M338" s="19"/>
      <c r="V338" s="12"/>
      <c r="Z338" s="12"/>
      <c r="AA338" s="12"/>
    </row>
    <row r="339" spans="1:27">
      <c r="A339" s="5"/>
      <c r="E339" s="19"/>
      <c r="I339" s="19"/>
      <c r="L339" s="19"/>
      <c r="M339" s="19"/>
      <c r="V339" s="12"/>
      <c r="Z339" s="12"/>
      <c r="AA339" s="12"/>
    </row>
    <row r="340" spans="1:27">
      <c r="A340" s="5"/>
      <c r="E340" s="19"/>
      <c r="I340" s="19"/>
      <c r="L340" s="19"/>
      <c r="M340" s="19"/>
      <c r="V340" s="12"/>
      <c r="Z340" s="12"/>
      <c r="AA340" s="12"/>
    </row>
    <row r="341" spans="1:27">
      <c r="A341" s="5"/>
      <c r="E341" s="19"/>
      <c r="I341" s="19"/>
      <c r="L341" s="19"/>
      <c r="M341" s="19"/>
      <c r="V341" s="12"/>
      <c r="Z341" s="12"/>
      <c r="AA341" s="12"/>
    </row>
    <row r="342" spans="1:27">
      <c r="A342" s="5"/>
      <c r="E342" s="19"/>
      <c r="I342" s="19"/>
      <c r="L342" s="19"/>
      <c r="M342" s="19"/>
      <c r="V342" s="12"/>
      <c r="Z342" s="12"/>
      <c r="AA342" s="12"/>
    </row>
    <row r="343" spans="1:27">
      <c r="A343" s="5"/>
      <c r="E343" s="19"/>
      <c r="I343" s="19"/>
      <c r="L343" s="19"/>
      <c r="M343" s="19"/>
      <c r="V343" s="12"/>
      <c r="Z343" s="12"/>
      <c r="AA343" s="12"/>
    </row>
    <row r="344" spans="1:27">
      <c r="A344" s="5"/>
      <c r="E344" s="19"/>
      <c r="I344" s="19"/>
      <c r="L344" s="19"/>
      <c r="M344" s="19"/>
      <c r="V344" s="12"/>
      <c r="Z344" s="12"/>
      <c r="AA344" s="12"/>
    </row>
    <row r="345" spans="1:27">
      <c r="A345" s="5"/>
      <c r="E345" s="19"/>
      <c r="I345" s="19"/>
      <c r="L345" s="19"/>
      <c r="M345" s="19"/>
      <c r="V345" s="12"/>
      <c r="Z345" s="12"/>
      <c r="AA345" s="12"/>
    </row>
    <row r="346" spans="1:27">
      <c r="A346" s="5"/>
      <c r="E346" s="19"/>
      <c r="I346" s="19"/>
      <c r="L346" s="19"/>
      <c r="M346" s="19"/>
      <c r="V346" s="12"/>
      <c r="Z346" s="12"/>
      <c r="AA346" s="12"/>
    </row>
    <row r="347" spans="1:27">
      <c r="A347" s="5"/>
      <c r="E347" s="19"/>
      <c r="I347" s="19"/>
      <c r="L347" s="19"/>
      <c r="M347" s="19"/>
      <c r="V347" s="12"/>
      <c r="Z347" s="12"/>
      <c r="AA347" s="12"/>
    </row>
    <row r="348" spans="1:27">
      <c r="A348" s="5"/>
      <c r="E348" s="19"/>
      <c r="I348" s="19"/>
      <c r="L348" s="19"/>
      <c r="M348" s="19"/>
      <c r="V348" s="12"/>
      <c r="Z348" s="12"/>
      <c r="AA348" s="12"/>
    </row>
    <row r="349" spans="1:27">
      <c r="A349" s="5"/>
      <c r="E349" s="19"/>
      <c r="I349" s="19"/>
      <c r="L349" s="19"/>
      <c r="M349" s="19"/>
      <c r="V349" s="12"/>
      <c r="Z349" s="12"/>
      <c r="AA349" s="12"/>
    </row>
    <row r="350" spans="1:27">
      <c r="A350" s="5"/>
      <c r="E350" s="19"/>
      <c r="I350" s="19"/>
      <c r="L350" s="19"/>
      <c r="M350" s="19"/>
      <c r="V350" s="12"/>
      <c r="Z350" s="12"/>
      <c r="AA350" s="12"/>
    </row>
    <row r="351" spans="1:27">
      <c r="A351" s="5"/>
      <c r="E351" s="19"/>
      <c r="I351" s="19"/>
      <c r="L351" s="19"/>
      <c r="M351" s="19"/>
      <c r="V351" s="12"/>
      <c r="Z351" s="12"/>
      <c r="AA351" s="12"/>
    </row>
    <row r="352" spans="1:27">
      <c r="A352" s="5"/>
      <c r="E352" s="19"/>
      <c r="I352" s="19"/>
      <c r="L352" s="19"/>
      <c r="M352" s="19"/>
      <c r="V352" s="12"/>
      <c r="Z352" s="12"/>
      <c r="AA352" s="12"/>
    </row>
    <row r="353" spans="1:27">
      <c r="A353" s="5"/>
      <c r="E353" s="19"/>
      <c r="I353" s="19"/>
      <c r="L353" s="19"/>
      <c r="M353" s="19"/>
      <c r="V353" s="12"/>
      <c r="Z353" s="12"/>
      <c r="AA353" s="12"/>
    </row>
    <row r="354" spans="1:27">
      <c r="A354" s="5"/>
      <c r="E354" s="19"/>
      <c r="I354" s="19"/>
      <c r="L354" s="19"/>
      <c r="M354" s="19"/>
      <c r="V354" s="12"/>
      <c r="Z354" s="12"/>
      <c r="AA354" s="12"/>
    </row>
    <row r="355" spans="1:27">
      <c r="A355" s="5"/>
      <c r="E355" s="19"/>
      <c r="I355" s="19"/>
      <c r="L355" s="19"/>
      <c r="M355" s="19"/>
      <c r="V355" s="12"/>
      <c r="Z355" s="12"/>
      <c r="AA355" s="12"/>
    </row>
    <row r="356" spans="1:27">
      <c r="A356" s="5"/>
      <c r="E356" s="19"/>
      <c r="I356" s="19"/>
      <c r="L356" s="19"/>
      <c r="M356" s="19"/>
      <c r="V356" s="12"/>
      <c r="Z356" s="12"/>
      <c r="AA356" s="12"/>
    </row>
    <row r="357" spans="1:27">
      <c r="A357" s="5"/>
      <c r="E357" s="19"/>
      <c r="I357" s="19"/>
      <c r="L357" s="19"/>
      <c r="M357" s="19"/>
      <c r="V357" s="12"/>
      <c r="Z357" s="12"/>
      <c r="AA357" s="12"/>
    </row>
    <row r="358" spans="1:27">
      <c r="A358" s="5"/>
      <c r="E358" s="19"/>
      <c r="I358" s="19"/>
      <c r="L358" s="19"/>
      <c r="M358" s="19"/>
      <c r="V358" s="12"/>
      <c r="Z358" s="12"/>
      <c r="AA358" s="12"/>
    </row>
    <row r="359" spans="1:27">
      <c r="A359" s="5"/>
      <c r="E359" s="19"/>
      <c r="I359" s="19"/>
      <c r="L359" s="19"/>
      <c r="M359" s="19"/>
      <c r="Z359" s="12"/>
      <c r="AA359" s="12"/>
    </row>
    <row r="360" spans="1:27">
      <c r="A360" s="5"/>
      <c r="E360" s="19"/>
      <c r="I360" s="19"/>
      <c r="L360" s="19"/>
      <c r="M360" s="19"/>
      <c r="Z360" s="12"/>
      <c r="AA360" s="12"/>
    </row>
    <row r="361" spans="1:27">
      <c r="A361" s="5"/>
      <c r="E361" s="19"/>
      <c r="I361" s="19"/>
      <c r="L361" s="19"/>
      <c r="M361" s="19"/>
      <c r="Z361" s="12"/>
      <c r="AA361" s="12"/>
    </row>
    <row r="362" spans="1:27">
      <c r="A362" s="5"/>
      <c r="E362" s="19"/>
      <c r="I362" s="19"/>
      <c r="L362" s="19"/>
      <c r="M362" s="19"/>
      <c r="Z362" s="12"/>
      <c r="AA362" s="12"/>
    </row>
    <row r="363" spans="1:27">
      <c r="A363" s="5"/>
      <c r="E363" s="19"/>
      <c r="I363" s="19"/>
      <c r="L363" s="19"/>
      <c r="M363" s="19"/>
      <c r="Z363" s="12"/>
      <c r="AA363" s="12"/>
    </row>
    <row r="364" spans="1:27">
      <c r="A364" s="5"/>
      <c r="E364" s="19"/>
      <c r="I364" s="19"/>
      <c r="L364" s="19"/>
      <c r="M364" s="19"/>
      <c r="Z364" s="12"/>
      <c r="AA364" s="12"/>
    </row>
    <row r="365" spans="1:27">
      <c r="A365" s="5"/>
      <c r="E365" s="19"/>
      <c r="I365" s="19"/>
      <c r="L365" s="19"/>
      <c r="M365" s="19"/>
      <c r="Z365" s="12"/>
      <c r="AA365" s="12"/>
    </row>
    <row r="366" spans="1:27">
      <c r="A366" s="5"/>
      <c r="E366" s="19"/>
      <c r="I366" s="19"/>
      <c r="L366" s="19"/>
      <c r="M366" s="19"/>
      <c r="Z366" s="12"/>
      <c r="AA366" s="12"/>
    </row>
    <row r="367" spans="1:27">
      <c r="A367" s="5"/>
      <c r="E367" s="19"/>
      <c r="I367" s="19"/>
      <c r="L367" s="19"/>
      <c r="M367" s="19"/>
      <c r="Z367" s="12"/>
      <c r="AA367" s="12"/>
    </row>
    <row r="368" spans="1:27">
      <c r="A368" s="5"/>
      <c r="E368" s="19"/>
      <c r="I368" s="19"/>
      <c r="L368" s="19"/>
      <c r="M368" s="19"/>
      <c r="Z368" s="12"/>
      <c r="AA368" s="12"/>
    </row>
    <row r="369" spans="1:27">
      <c r="A369" s="5"/>
      <c r="E369" s="19"/>
      <c r="I369" s="19"/>
      <c r="L369" s="19"/>
      <c r="M369" s="19"/>
      <c r="Z369" s="12"/>
      <c r="AA369" s="12"/>
    </row>
    <row r="370" spans="1:27">
      <c r="A370" s="5"/>
      <c r="E370" s="19"/>
      <c r="I370" s="19"/>
      <c r="L370" s="19"/>
      <c r="M370" s="19"/>
      <c r="Z370" s="12"/>
      <c r="AA370" s="12"/>
    </row>
    <row r="371" spans="1:27">
      <c r="A371" s="5"/>
      <c r="E371" s="19"/>
      <c r="I371" s="19"/>
      <c r="L371" s="19"/>
      <c r="M371" s="19"/>
      <c r="Z371" s="12"/>
      <c r="AA371" s="12"/>
    </row>
    <row r="372" spans="1:27">
      <c r="A372" s="5"/>
      <c r="E372" s="19"/>
      <c r="I372" s="19"/>
      <c r="L372" s="19"/>
      <c r="M372" s="19"/>
      <c r="Z372" s="12"/>
      <c r="AA372" s="12"/>
    </row>
    <row r="373" spans="1:27">
      <c r="A373" s="5"/>
      <c r="E373" s="19"/>
      <c r="I373" s="19"/>
      <c r="L373" s="19"/>
      <c r="M373" s="19"/>
      <c r="Z373" s="12"/>
      <c r="AA373" s="12"/>
    </row>
    <row r="374" spans="1:27">
      <c r="A374" s="5"/>
      <c r="E374" s="19"/>
      <c r="I374" s="19"/>
      <c r="L374" s="19"/>
      <c r="M374" s="19"/>
      <c r="Z374" s="12"/>
      <c r="AA374" s="12"/>
    </row>
    <row r="375" spans="1:27">
      <c r="A375" s="5"/>
      <c r="E375" s="19"/>
      <c r="I375" s="19"/>
      <c r="L375" s="19"/>
      <c r="M375" s="19"/>
      <c r="Z375" s="12"/>
      <c r="AA375" s="12"/>
    </row>
    <row r="376" spans="1:27">
      <c r="A376" s="5"/>
      <c r="E376" s="19"/>
      <c r="I376" s="19"/>
      <c r="L376" s="19"/>
      <c r="M376" s="19"/>
      <c r="Z376" s="12"/>
      <c r="AA376" s="12"/>
    </row>
    <row r="377" spans="1:27">
      <c r="A377" s="5"/>
      <c r="E377" s="19"/>
      <c r="I377" s="19"/>
      <c r="L377" s="19"/>
      <c r="M377" s="19"/>
      <c r="Z377" s="12"/>
      <c r="AA377" s="12"/>
    </row>
    <row r="378" spans="1:27">
      <c r="A378" s="5"/>
      <c r="E378" s="19"/>
      <c r="I378" s="19"/>
      <c r="L378" s="19"/>
      <c r="M378" s="19"/>
      <c r="Z378" s="12"/>
      <c r="AA378" s="12"/>
    </row>
    <row r="379" spans="1:27">
      <c r="A379" s="5"/>
      <c r="E379" s="19"/>
      <c r="I379" s="19"/>
      <c r="L379" s="19"/>
      <c r="M379" s="19"/>
      <c r="Z379" s="12"/>
      <c r="AA379" s="12"/>
    </row>
    <row r="380" spans="1:27">
      <c r="A380" s="5"/>
      <c r="E380" s="19"/>
      <c r="I380" s="19"/>
      <c r="L380" s="19"/>
      <c r="M380" s="19"/>
      <c r="Z380" s="12"/>
      <c r="AA380" s="12"/>
    </row>
    <row r="381" spans="1:27">
      <c r="A381" s="5"/>
      <c r="E381" s="19"/>
      <c r="I381" s="19"/>
      <c r="L381" s="19"/>
      <c r="M381" s="19"/>
      <c r="Z381" s="12"/>
      <c r="AA381" s="12"/>
    </row>
    <row r="382" spans="1:27">
      <c r="A382" s="5"/>
      <c r="E382" s="19"/>
      <c r="I382" s="19"/>
      <c r="L382" s="19"/>
      <c r="M382" s="19"/>
      <c r="Z382" s="12"/>
      <c r="AA382" s="12"/>
    </row>
    <row r="383" spans="1:27">
      <c r="A383" s="5"/>
      <c r="E383" s="19"/>
      <c r="I383" s="19"/>
      <c r="L383" s="19"/>
      <c r="M383" s="19"/>
      <c r="Z383" s="12"/>
      <c r="AA383" s="12"/>
    </row>
    <row r="384" spans="1:27">
      <c r="A384" s="5"/>
      <c r="E384" s="19"/>
      <c r="I384" s="19"/>
      <c r="L384" s="19"/>
      <c r="M384" s="19"/>
      <c r="Z384" s="12"/>
      <c r="AA384" s="12"/>
    </row>
    <row r="385" spans="1:27">
      <c r="A385" s="5"/>
      <c r="E385" s="19"/>
      <c r="I385" s="19"/>
      <c r="L385" s="19"/>
      <c r="M385" s="19"/>
      <c r="Z385" s="12"/>
      <c r="AA385" s="12"/>
    </row>
    <row r="386" spans="1:27">
      <c r="A386" s="5"/>
      <c r="E386" s="19"/>
      <c r="I386" s="19"/>
      <c r="L386" s="19"/>
      <c r="M386" s="19"/>
      <c r="Z386" s="12"/>
      <c r="AA386" s="12"/>
    </row>
    <row r="387" spans="1:27">
      <c r="A387" s="5"/>
      <c r="E387" s="19"/>
      <c r="I387" s="19"/>
      <c r="L387" s="19"/>
      <c r="M387" s="19"/>
      <c r="Z387" s="12"/>
      <c r="AA387" s="12"/>
    </row>
    <row r="388" spans="1:27">
      <c r="A388" s="5"/>
      <c r="E388" s="19"/>
      <c r="I388" s="19"/>
      <c r="L388" s="19"/>
      <c r="M388" s="19"/>
      <c r="Z388" s="12"/>
      <c r="AA388" s="12"/>
    </row>
    <row r="389" spans="1:27">
      <c r="A389" s="5"/>
      <c r="E389" s="19"/>
      <c r="I389" s="19"/>
      <c r="L389" s="19"/>
      <c r="M389" s="19"/>
      <c r="Z389" s="12"/>
      <c r="AA389" s="12"/>
    </row>
    <row r="390" spans="1:27">
      <c r="A390" s="5"/>
      <c r="E390" s="19"/>
      <c r="I390" s="19"/>
      <c r="L390" s="19"/>
      <c r="M390" s="19"/>
      <c r="Z390" s="12"/>
      <c r="AA390" s="12"/>
    </row>
    <row r="391" spans="1:27">
      <c r="A391" s="5"/>
      <c r="E391" s="19"/>
      <c r="I391" s="19"/>
      <c r="L391" s="19"/>
      <c r="M391" s="19"/>
      <c r="Z391" s="12"/>
      <c r="AA391" s="12"/>
    </row>
    <row r="392" spans="1:27">
      <c r="A392" s="5"/>
      <c r="E392" s="19"/>
      <c r="I392" s="19"/>
      <c r="L392" s="19"/>
      <c r="M392" s="19"/>
      <c r="Z392" s="12"/>
      <c r="AA392" s="12"/>
    </row>
    <row r="393" spans="1:27">
      <c r="A393" s="5"/>
      <c r="E393" s="19"/>
      <c r="I393" s="19"/>
      <c r="L393" s="19"/>
      <c r="M393" s="19"/>
      <c r="Z393" s="12"/>
      <c r="AA393" s="12"/>
    </row>
    <row r="394" spans="1:27">
      <c r="E394" s="19"/>
      <c r="I394" s="19"/>
      <c r="L394" s="19"/>
      <c r="M394" s="19"/>
      <c r="Z394" s="12"/>
      <c r="AA394" s="12"/>
    </row>
    <row r="395" spans="1:27">
      <c r="E395" s="19"/>
      <c r="I395" s="19"/>
      <c r="L395" s="19"/>
      <c r="M395" s="19"/>
      <c r="Z395" s="12"/>
      <c r="AA395" s="12"/>
    </row>
    <row r="396" spans="1:27">
      <c r="E396" s="19"/>
      <c r="I396" s="19"/>
      <c r="L396" s="19"/>
      <c r="M396" s="19"/>
      <c r="Z396" s="12"/>
      <c r="AA396" s="12"/>
    </row>
    <row r="397" spans="1:27">
      <c r="E397" s="19"/>
      <c r="I397" s="19"/>
      <c r="L397" s="19"/>
      <c r="M397" s="19"/>
      <c r="Z397" s="12"/>
      <c r="AA397" s="12"/>
    </row>
    <row r="398" spans="1:27">
      <c r="E398" s="19"/>
      <c r="I398" s="19"/>
      <c r="L398" s="19"/>
      <c r="M398" s="19"/>
      <c r="Z398" s="12"/>
      <c r="AA398" s="12"/>
    </row>
    <row r="399" spans="1:27">
      <c r="E399" s="19"/>
      <c r="I399" s="19"/>
      <c r="L399" s="19"/>
      <c r="M399" s="19"/>
      <c r="Z399" s="12"/>
      <c r="AA399" s="12"/>
    </row>
    <row r="400" spans="1:27">
      <c r="E400" s="19"/>
      <c r="I400" s="19"/>
      <c r="L400" s="19"/>
      <c r="M400" s="19"/>
      <c r="Z400" s="12"/>
      <c r="AA400" s="12"/>
    </row>
    <row r="401" spans="5:27">
      <c r="E401" s="19"/>
      <c r="I401" s="19"/>
      <c r="L401" s="19"/>
      <c r="M401" s="19"/>
      <c r="Z401" s="12"/>
      <c r="AA401" s="12"/>
    </row>
    <row r="402" spans="5:27">
      <c r="E402" s="19"/>
      <c r="I402" s="19"/>
      <c r="L402" s="19"/>
      <c r="M402" s="19"/>
      <c r="Z402" s="12"/>
      <c r="AA402" s="12"/>
    </row>
    <row r="403" spans="5:27">
      <c r="E403" s="19"/>
      <c r="I403" s="19"/>
      <c r="L403" s="19"/>
      <c r="M403" s="19"/>
      <c r="Z403" s="12"/>
      <c r="AA403" s="12"/>
    </row>
    <row r="404" spans="5:27">
      <c r="E404" s="19"/>
      <c r="I404" s="19"/>
      <c r="L404" s="19"/>
      <c r="M404" s="19"/>
      <c r="Z404" s="12"/>
      <c r="AA404" s="12"/>
    </row>
    <row r="405" spans="5:27">
      <c r="Z405" s="12"/>
      <c r="AA405" s="12"/>
    </row>
    <row r="406" spans="5:27">
      <c r="Z406" s="12"/>
      <c r="AA406" s="12"/>
    </row>
    <row r="407" spans="5:27">
      <c r="Z407" s="12"/>
      <c r="AA407" s="12"/>
    </row>
    <row r="408" spans="5:27">
      <c r="Z408" s="12"/>
      <c r="AA408" s="12"/>
    </row>
    <row r="409" spans="5:27">
      <c r="Z409" s="12"/>
      <c r="AA409" s="12"/>
    </row>
    <row r="410" spans="5:27">
      <c r="Z410" s="12"/>
      <c r="AA410" s="12"/>
    </row>
    <row r="411" spans="5:27">
      <c r="Z411" s="12"/>
      <c r="AA411" s="12"/>
    </row>
    <row r="412" spans="5:27">
      <c r="Z412" s="12"/>
      <c r="AA412" s="12"/>
    </row>
    <row r="413" spans="5:27">
      <c r="Z413" s="12"/>
      <c r="AA413" s="12"/>
    </row>
    <row r="414" spans="5:27">
      <c r="Z414" s="12"/>
      <c r="AA414" s="12"/>
    </row>
    <row r="415" spans="5:27">
      <c r="Z415" s="12"/>
      <c r="AA415" s="12"/>
    </row>
    <row r="416" spans="5:27">
      <c r="Z416" s="12"/>
      <c r="AA416" s="12"/>
    </row>
    <row r="417" spans="26:27">
      <c r="Z417" s="12"/>
      <c r="AA417" s="12"/>
    </row>
    <row r="418" spans="26:27">
      <c r="Z418" s="12"/>
      <c r="AA418" s="12"/>
    </row>
    <row r="419" spans="26:27">
      <c r="Z419" s="12"/>
      <c r="AA419" s="12"/>
    </row>
    <row r="420" spans="26:27">
      <c r="Z420" s="12"/>
      <c r="AA420" s="12"/>
    </row>
    <row r="421" spans="26:27">
      <c r="Z421" s="12"/>
      <c r="AA421" s="12"/>
    </row>
    <row r="422" spans="26:27">
      <c r="Z422" s="12"/>
      <c r="AA422" s="12"/>
    </row>
    <row r="423" spans="26:27">
      <c r="Z423" s="12"/>
      <c r="AA423" s="12"/>
    </row>
    <row r="424" spans="26:27">
      <c r="Z424" s="12"/>
      <c r="AA424" s="12"/>
    </row>
    <row r="425" spans="26:27">
      <c r="Z425" s="12"/>
      <c r="AA425" s="12"/>
    </row>
    <row r="426" spans="26:27">
      <c r="Z426" s="12"/>
      <c r="AA426" s="12"/>
    </row>
    <row r="427" spans="26:27">
      <c r="Z427" s="12"/>
      <c r="AA427" s="12"/>
    </row>
    <row r="428" spans="26:27">
      <c r="Z428" s="12"/>
      <c r="AA428" s="12"/>
    </row>
    <row r="429" spans="26:27">
      <c r="Z429" s="12"/>
      <c r="AA429" s="12"/>
    </row>
    <row r="430" spans="26:27">
      <c r="Z430" s="12"/>
      <c r="AA430" s="12"/>
    </row>
    <row r="431" spans="26:27">
      <c r="Z431" s="12"/>
      <c r="AA431" s="12"/>
    </row>
    <row r="432" spans="26:27">
      <c r="Z432" s="12"/>
      <c r="AA432" s="12"/>
    </row>
    <row r="433" spans="26:27">
      <c r="Z433" s="12"/>
      <c r="AA433" s="12"/>
    </row>
    <row r="434" spans="26:27">
      <c r="Z434" s="12"/>
      <c r="AA434" s="12"/>
    </row>
    <row r="435" spans="26:27">
      <c r="Z435" s="12"/>
      <c r="AA435" s="12"/>
    </row>
    <row r="436" spans="26:27">
      <c r="Z436" s="12"/>
      <c r="AA436" s="12"/>
    </row>
    <row r="437" spans="26:27">
      <c r="Z437" s="12"/>
      <c r="AA437" s="12"/>
    </row>
    <row r="438" spans="26:27">
      <c r="Z438" s="12"/>
      <c r="AA438" s="12"/>
    </row>
    <row r="439" spans="26:27">
      <c r="Z439" s="12"/>
      <c r="AA439" s="12"/>
    </row>
    <row r="440" spans="26:27">
      <c r="Z440" s="12"/>
      <c r="AA440" s="12"/>
    </row>
    <row r="441" spans="26:27">
      <c r="Z441" s="12"/>
      <c r="AA441" s="12"/>
    </row>
    <row r="442" spans="26:27">
      <c r="Z442" s="12"/>
      <c r="AA442" s="12"/>
    </row>
    <row r="443" spans="26:27">
      <c r="Z443" s="12"/>
      <c r="AA443" s="12"/>
    </row>
    <row r="444" spans="26:27">
      <c r="Z444" s="12"/>
      <c r="AA444" s="12"/>
    </row>
    <row r="445" spans="26:27">
      <c r="Z445" s="12"/>
      <c r="AA445" s="12"/>
    </row>
    <row r="446" spans="26:27">
      <c r="Z446" s="12"/>
      <c r="AA446" s="12"/>
    </row>
    <row r="447" spans="26:27">
      <c r="Z447" s="12"/>
      <c r="AA447" s="12"/>
    </row>
    <row r="448" spans="26:27">
      <c r="Z448" s="12"/>
      <c r="AA448" s="12"/>
    </row>
    <row r="449" spans="24:27">
      <c r="Z449" s="12"/>
      <c r="AA449" s="12"/>
    </row>
    <row r="450" spans="24:27">
      <c r="Z450" s="12"/>
      <c r="AA450" s="12"/>
    </row>
    <row r="451" spans="24:27">
      <c r="Z451" s="12"/>
      <c r="AA451" s="12"/>
    </row>
    <row r="452" spans="24:27">
      <c r="Z452" s="12"/>
      <c r="AA452" s="12"/>
    </row>
    <row r="453" spans="24:27">
      <c r="Z453" s="12"/>
      <c r="AA453" s="12"/>
    </row>
    <row r="454" spans="24:27">
      <c r="X454" s="12"/>
      <c r="Y454" s="12"/>
      <c r="Z454" s="12"/>
      <c r="AA454" s="12"/>
    </row>
    <row r="455" spans="24:27">
      <c r="X455" s="12"/>
      <c r="Y455" s="12"/>
      <c r="Z455" s="12"/>
      <c r="AA455" s="12"/>
    </row>
    <row r="456" spans="24:27">
      <c r="X456" s="12"/>
      <c r="Y456" s="12"/>
      <c r="Z456" s="12"/>
      <c r="AA456" s="12"/>
    </row>
    <row r="457" spans="24:27">
      <c r="X457" s="12"/>
      <c r="Y457" s="12"/>
      <c r="Z457" s="12"/>
      <c r="AA457" s="12"/>
    </row>
    <row r="458" spans="24:27">
      <c r="X458" s="12"/>
      <c r="Y458" s="12"/>
      <c r="Z458" s="12"/>
      <c r="AA458" s="12"/>
    </row>
    <row r="459" spans="24:27">
      <c r="X459" s="12"/>
      <c r="Y459" s="12"/>
      <c r="Z459" s="12"/>
      <c r="AA459" s="12"/>
    </row>
    <row r="460" spans="24:27">
      <c r="X460" s="12"/>
      <c r="Y460" s="12"/>
      <c r="Z460" s="12"/>
      <c r="AA460" s="12"/>
    </row>
    <row r="461" spans="24:27">
      <c r="X461" s="12"/>
      <c r="Y461" s="12"/>
      <c r="Z461" s="12"/>
      <c r="AA461" s="12"/>
    </row>
    <row r="462" spans="24:27">
      <c r="X462" s="12"/>
      <c r="Y462" s="12"/>
      <c r="Z462" s="12"/>
      <c r="AA462" s="12"/>
    </row>
    <row r="463" spans="24:27">
      <c r="X463" s="12"/>
      <c r="Y463" s="12"/>
      <c r="Z463" s="12"/>
      <c r="AA463" s="12"/>
    </row>
    <row r="464" spans="24:27">
      <c r="X464" s="12"/>
      <c r="Y464" s="12"/>
      <c r="Z464" s="12"/>
      <c r="AA464" s="12"/>
    </row>
    <row r="465" spans="5:27">
      <c r="X465" s="12"/>
      <c r="Y465" s="12"/>
      <c r="Z465" s="12"/>
      <c r="AA465" s="12"/>
    </row>
    <row r="466" spans="5:27">
      <c r="X466" s="12"/>
      <c r="Y466" s="12"/>
      <c r="Z466" s="12"/>
      <c r="AA466" s="12"/>
    </row>
    <row r="467" spans="5:27">
      <c r="X467" s="12"/>
      <c r="Y467" s="12"/>
      <c r="Z467" s="12"/>
      <c r="AA467" s="12"/>
    </row>
    <row r="468" spans="5:27">
      <c r="X468" s="12"/>
      <c r="Y468" s="12"/>
      <c r="Z468" s="12"/>
      <c r="AA468" s="12"/>
    </row>
    <row r="469" spans="5:27">
      <c r="X469" s="12"/>
      <c r="Y469" s="12"/>
      <c r="Z469" s="12"/>
      <c r="AA469" s="12"/>
    </row>
    <row r="470" spans="5:27">
      <c r="X470" s="12"/>
      <c r="Y470" s="12"/>
      <c r="Z470" s="12"/>
      <c r="AA470" s="12"/>
    </row>
    <row r="471" spans="5:27">
      <c r="X471" s="12"/>
      <c r="Y471" s="12"/>
      <c r="Z471" s="12"/>
      <c r="AA471" s="12"/>
    </row>
    <row r="472" spans="5:27">
      <c r="X472" s="12"/>
      <c r="Y472" s="12"/>
      <c r="Z472" s="12"/>
      <c r="AA472" s="12"/>
    </row>
    <row r="473" spans="5:27">
      <c r="E473" s="19"/>
      <c r="I473" s="19"/>
      <c r="L473" s="19"/>
      <c r="M473" s="19"/>
      <c r="N473" s="19"/>
      <c r="X473" s="12"/>
      <c r="Y473" s="12"/>
      <c r="Z473" s="12"/>
      <c r="AA473" s="12"/>
    </row>
    <row r="474" spans="5:27">
      <c r="E474" s="19"/>
      <c r="I474" s="19"/>
      <c r="L474" s="19"/>
      <c r="M474" s="19"/>
      <c r="N474" s="19"/>
      <c r="X474" s="12"/>
      <c r="Y474" s="12"/>
      <c r="Z474" s="12"/>
      <c r="AA474" s="12"/>
    </row>
    <row r="475" spans="5:27">
      <c r="E475" s="19"/>
      <c r="I475" s="19"/>
      <c r="L475" s="19"/>
      <c r="M475" s="19"/>
      <c r="N475" s="19"/>
      <c r="X475" s="12"/>
      <c r="Y475" s="12"/>
      <c r="Z475" s="12"/>
      <c r="AA475" s="12"/>
    </row>
    <row r="476" spans="5:27">
      <c r="E476" s="19"/>
      <c r="I476" s="19"/>
      <c r="L476" s="19"/>
      <c r="M476" s="19"/>
      <c r="N476" s="19"/>
      <c r="X476" s="12"/>
      <c r="Y476" s="12"/>
      <c r="Z476" s="12"/>
      <c r="AA476" s="12"/>
    </row>
    <row r="477" spans="5:27">
      <c r="E477" s="19"/>
      <c r="I477" s="19"/>
      <c r="L477" s="19"/>
      <c r="M477" s="19"/>
      <c r="N477" s="19"/>
      <c r="X477" s="12"/>
      <c r="Y477" s="12"/>
      <c r="Z477" s="12"/>
      <c r="AA477" s="12"/>
    </row>
    <row r="478" spans="5:27">
      <c r="E478" s="19"/>
      <c r="I478" s="19"/>
      <c r="L478" s="19"/>
      <c r="M478" s="19"/>
      <c r="N478" s="19"/>
      <c r="X478" s="12"/>
      <c r="Y478" s="12"/>
      <c r="Z478" s="12"/>
      <c r="AA478" s="12"/>
    </row>
    <row r="479" spans="5:27">
      <c r="E479" s="19"/>
      <c r="I479" s="19"/>
      <c r="L479" s="19"/>
      <c r="M479" s="19"/>
      <c r="N479" s="19"/>
      <c r="X479" s="12"/>
      <c r="Y479" s="12"/>
      <c r="Z479" s="12"/>
      <c r="AA479" s="12"/>
    </row>
    <row r="480" spans="5:27">
      <c r="X480" s="12"/>
      <c r="Y480" s="12"/>
      <c r="Z480" s="12"/>
      <c r="AA480" s="12"/>
    </row>
    <row r="481" spans="24:27">
      <c r="X481" s="12"/>
      <c r="Y481" s="12"/>
      <c r="Z481" s="12"/>
      <c r="AA481" s="12"/>
    </row>
    <row r="482" spans="24:27">
      <c r="X482" s="12"/>
      <c r="Y482" s="12"/>
      <c r="Z482" s="12"/>
      <c r="AA482" s="12"/>
    </row>
    <row r="483" spans="24:27">
      <c r="X483" s="12"/>
      <c r="Y483" s="12"/>
      <c r="Z483" s="12"/>
      <c r="AA483" s="12"/>
    </row>
    <row r="484" spans="24:27">
      <c r="X484" s="12"/>
      <c r="Y484" s="12"/>
      <c r="Z484" s="12"/>
      <c r="AA484" s="12"/>
    </row>
    <row r="485" spans="24:27">
      <c r="X485" s="12"/>
      <c r="Y485" s="12"/>
      <c r="Z485" s="12"/>
      <c r="AA485" s="12"/>
    </row>
    <row r="486" spans="24:27">
      <c r="X486" s="12"/>
      <c r="Y486" s="12"/>
      <c r="Z486" s="12"/>
      <c r="AA486" s="12"/>
    </row>
    <row r="487" spans="24:27">
      <c r="X487" s="12"/>
      <c r="Y487" s="12"/>
      <c r="Z487" s="12"/>
      <c r="AA487" s="12"/>
    </row>
    <row r="488" spans="24:27">
      <c r="X488" s="12"/>
      <c r="Y488" s="12"/>
      <c r="Z488" s="12"/>
      <c r="AA488" s="12"/>
    </row>
    <row r="489" spans="24:27">
      <c r="X489" s="12"/>
      <c r="Y489" s="12"/>
      <c r="Z489" s="12"/>
      <c r="AA489" s="12"/>
    </row>
    <row r="490" spans="24:27">
      <c r="X490" s="12"/>
      <c r="Y490" s="12"/>
      <c r="Z490" s="12"/>
      <c r="AA490" s="12"/>
    </row>
    <row r="491" spans="24:27">
      <c r="X491" s="12"/>
      <c r="Y491" s="12"/>
      <c r="Z491" s="12"/>
      <c r="AA491" s="12"/>
    </row>
    <row r="492" spans="24:27">
      <c r="X492" s="12"/>
      <c r="Y492" s="12"/>
      <c r="Z492" s="12"/>
      <c r="AA492" s="12"/>
    </row>
    <row r="493" spans="24:27">
      <c r="X493" s="12"/>
      <c r="Y493" s="12"/>
      <c r="Z493" s="12"/>
      <c r="AA493" s="12"/>
    </row>
    <row r="494" spans="24:27">
      <c r="X494" s="12"/>
      <c r="Y494" s="12"/>
      <c r="Z494" s="12"/>
      <c r="AA494" s="12"/>
    </row>
    <row r="495" spans="24:27">
      <c r="X495" s="12"/>
      <c r="Y495" s="12"/>
      <c r="Z495" s="12"/>
      <c r="AA495" s="12"/>
    </row>
    <row r="496" spans="24:27">
      <c r="X496" s="12"/>
      <c r="Y496" s="12"/>
      <c r="Z496" s="12"/>
      <c r="AA496" s="12"/>
    </row>
    <row r="497" spans="24:27">
      <c r="X497" s="12"/>
      <c r="Y497" s="12"/>
      <c r="Z497" s="12"/>
      <c r="AA497" s="12"/>
    </row>
    <row r="498" spans="24:27">
      <c r="X498" s="12"/>
      <c r="Y498" s="12"/>
      <c r="Z498" s="12"/>
      <c r="AA498" s="12"/>
    </row>
    <row r="499" spans="24:27">
      <c r="X499" s="12"/>
      <c r="Y499" s="12"/>
      <c r="Z499" s="12"/>
      <c r="AA499" s="12"/>
    </row>
    <row r="500" spans="24:27">
      <c r="X500" s="12"/>
      <c r="Y500" s="12"/>
      <c r="Z500" s="12"/>
      <c r="AA500" s="12"/>
    </row>
    <row r="501" spans="24:27">
      <c r="X501" s="12"/>
      <c r="Y501" s="12"/>
      <c r="Z501" s="12"/>
      <c r="AA501" s="12"/>
    </row>
    <row r="502" spans="24:27">
      <c r="X502" s="12"/>
      <c r="Y502" s="12"/>
      <c r="Z502" s="12"/>
      <c r="AA502" s="12"/>
    </row>
    <row r="503" spans="24:27">
      <c r="X503" s="12"/>
      <c r="Y503" s="12"/>
      <c r="Z503" s="12"/>
      <c r="AA503" s="12"/>
    </row>
    <row r="504" spans="24:27">
      <c r="X504" s="12"/>
      <c r="Y504" s="12"/>
      <c r="Z504" s="12"/>
      <c r="AA504" s="12"/>
    </row>
    <row r="505" spans="24:27">
      <c r="X505" s="12"/>
      <c r="Y505" s="12"/>
      <c r="Z505" s="12"/>
      <c r="AA505" s="12"/>
    </row>
    <row r="506" spans="24:27">
      <c r="X506" s="12"/>
      <c r="Y506" s="12"/>
      <c r="Z506" s="12"/>
      <c r="AA506" s="12"/>
    </row>
    <row r="507" spans="24:27">
      <c r="X507" s="12"/>
      <c r="Y507" s="12"/>
      <c r="Z507" s="12"/>
      <c r="AA507" s="12"/>
    </row>
    <row r="508" spans="24:27">
      <c r="X508" s="12"/>
      <c r="Y508" s="12"/>
      <c r="Z508" s="12"/>
      <c r="AA508" s="12"/>
    </row>
    <row r="509" spans="24:27">
      <c r="X509" s="12"/>
      <c r="Y509" s="12"/>
      <c r="Z509" s="12"/>
      <c r="AA509" s="12"/>
    </row>
    <row r="510" spans="24:27">
      <c r="X510" s="12"/>
      <c r="Y510" s="12"/>
      <c r="Z510" s="12"/>
      <c r="AA510" s="12"/>
    </row>
    <row r="511" spans="24:27">
      <c r="X511" s="12"/>
      <c r="Y511" s="12"/>
      <c r="Z511" s="12"/>
      <c r="AA511" s="12"/>
    </row>
    <row r="512" spans="24:27">
      <c r="X512" s="12"/>
      <c r="Y512" s="12"/>
      <c r="Z512" s="12"/>
      <c r="AA512" s="12"/>
    </row>
    <row r="513" spans="24:27">
      <c r="X513" s="12"/>
      <c r="Y513" s="12"/>
      <c r="Z513" s="12"/>
      <c r="AA513" s="12"/>
    </row>
    <row r="514" spans="24:27">
      <c r="X514" s="12"/>
      <c r="Y514" s="12"/>
      <c r="Z514" s="12"/>
      <c r="AA514" s="12"/>
    </row>
    <row r="515" spans="24:27">
      <c r="X515" s="12"/>
      <c r="Y515" s="12"/>
      <c r="Z515" s="12"/>
      <c r="AA515" s="12"/>
    </row>
    <row r="516" spans="24:27">
      <c r="X516" s="12"/>
      <c r="Y516" s="12"/>
      <c r="Z516" s="12"/>
      <c r="AA516" s="12"/>
    </row>
    <row r="517" spans="24:27">
      <c r="X517" s="12"/>
      <c r="Y517" s="12"/>
      <c r="Z517" s="12"/>
      <c r="AA517" s="12"/>
    </row>
    <row r="518" spans="24:27">
      <c r="X518" s="12"/>
      <c r="Y518" s="12"/>
      <c r="Z518" s="12"/>
      <c r="AA518" s="12"/>
    </row>
    <row r="519" spans="24:27">
      <c r="X519" s="12"/>
      <c r="Y519" s="12"/>
      <c r="Z519" s="12"/>
      <c r="AA519" s="12"/>
    </row>
    <row r="520" spans="24:27">
      <c r="X520" s="12"/>
      <c r="Y520" s="12"/>
      <c r="Z520" s="12"/>
      <c r="AA520" s="12"/>
    </row>
    <row r="521" spans="24:27">
      <c r="X521" s="12"/>
      <c r="Y521" s="12"/>
      <c r="Z521" s="12"/>
      <c r="AA521" s="12"/>
    </row>
    <row r="522" spans="24:27">
      <c r="X522" s="12"/>
      <c r="Y522" s="12"/>
      <c r="Z522" s="12"/>
      <c r="AA522" s="12"/>
    </row>
    <row r="523" spans="24:27">
      <c r="X523" s="12"/>
      <c r="Y523" s="12"/>
      <c r="Z523" s="12"/>
      <c r="AA523" s="12"/>
    </row>
    <row r="524" spans="24:27">
      <c r="X524" s="12"/>
      <c r="Y524" s="12"/>
      <c r="Z524" s="12"/>
      <c r="AA524" s="12"/>
    </row>
    <row r="525" spans="24:27">
      <c r="X525" s="12"/>
      <c r="Y525" s="12"/>
      <c r="Z525" s="12"/>
      <c r="AA525" s="12"/>
    </row>
    <row r="526" spans="24:27">
      <c r="X526" s="12"/>
      <c r="Y526" s="12"/>
      <c r="Z526" s="12"/>
      <c r="AA526" s="12"/>
    </row>
    <row r="527" spans="24:27">
      <c r="X527" s="12"/>
      <c r="Y527" s="12"/>
      <c r="Z527" s="12"/>
      <c r="AA527" s="12"/>
    </row>
    <row r="528" spans="24:27">
      <c r="X528" s="12"/>
      <c r="Y528" s="12"/>
      <c r="Z528" s="12"/>
      <c r="AA528" s="12"/>
    </row>
    <row r="529" spans="24:27">
      <c r="X529" s="12"/>
      <c r="Y529" s="12"/>
      <c r="Z529" s="12"/>
      <c r="AA529" s="12"/>
    </row>
    <row r="530" spans="24:27">
      <c r="X530" s="12"/>
      <c r="Y530" s="12"/>
      <c r="Z530" s="12"/>
      <c r="AA530" s="12"/>
    </row>
    <row r="531" spans="24:27">
      <c r="X531" s="12"/>
      <c r="Y531" s="12"/>
      <c r="Z531" s="12"/>
      <c r="AA531" s="12"/>
    </row>
    <row r="532" spans="24:27">
      <c r="X532" s="12"/>
      <c r="Y532" s="12"/>
      <c r="Z532" s="12"/>
      <c r="AA532" s="12"/>
    </row>
    <row r="533" spans="24:27">
      <c r="X533" s="12"/>
      <c r="Y533" s="12"/>
      <c r="Z533" s="12"/>
      <c r="AA533" s="12"/>
    </row>
    <row r="534" spans="24:27">
      <c r="X534" s="12"/>
      <c r="Y534" s="12"/>
      <c r="Z534" s="12"/>
      <c r="AA534" s="12"/>
    </row>
    <row r="535" spans="24:27">
      <c r="X535" s="12"/>
      <c r="Y535" s="12"/>
      <c r="Z535" s="12"/>
      <c r="AA535" s="12"/>
    </row>
    <row r="536" spans="24:27">
      <c r="X536" s="12"/>
      <c r="Y536" s="12"/>
      <c r="Z536" s="12"/>
      <c r="AA536" s="12"/>
    </row>
    <row r="537" spans="24:27">
      <c r="X537" s="12"/>
      <c r="Y537" s="12"/>
      <c r="Z537" s="12"/>
      <c r="AA537" s="12"/>
    </row>
    <row r="538" spans="24:27">
      <c r="X538" s="12"/>
      <c r="Y538" s="12"/>
      <c r="Z538" s="12"/>
      <c r="AA538" s="12"/>
    </row>
    <row r="539" spans="24:27">
      <c r="X539" s="12"/>
      <c r="Y539" s="12"/>
      <c r="Z539" s="12"/>
      <c r="AA539" s="12"/>
    </row>
    <row r="540" spans="24:27">
      <c r="X540" s="12"/>
      <c r="Y540" s="12"/>
      <c r="Z540" s="12"/>
      <c r="AA540" s="12"/>
    </row>
    <row r="541" spans="24:27">
      <c r="X541" s="12"/>
      <c r="Y541" s="12"/>
      <c r="Z541" s="12"/>
      <c r="AA541" s="12"/>
    </row>
    <row r="542" spans="24:27">
      <c r="X542" s="12"/>
      <c r="Y542" s="12"/>
      <c r="Z542" s="12"/>
      <c r="AA542" s="12"/>
    </row>
    <row r="543" spans="24:27">
      <c r="X543" s="12"/>
      <c r="Y543" s="12"/>
      <c r="Z543" s="12"/>
      <c r="AA543" s="12"/>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codeName="Sheet6"/>
  <dimension ref="A1:X528"/>
  <sheetViews>
    <sheetView showGridLines="0" zoomScale="40" zoomScaleNormal="40" workbookViewId="0">
      <selection activeCell="A4" sqref="A4"/>
    </sheetView>
  </sheetViews>
  <sheetFormatPr defaultRowHeight="15"/>
  <cols>
    <col min="1" max="1" width="12.140625" style="5" bestFit="1" customWidth="1"/>
    <col min="2" max="8" width="17.140625" style="31" customWidth="1"/>
    <col min="9" max="11" width="14.5703125" style="31" customWidth="1"/>
    <col min="12" max="12" width="18.42578125" style="37" customWidth="1"/>
    <col min="13" max="13" width="17.28515625" style="37" customWidth="1"/>
    <col min="14" max="17" width="9.140625" style="37"/>
    <col min="18" max="18" width="17.85546875" customWidth="1"/>
  </cols>
  <sheetData>
    <row r="1" spans="1:24">
      <c r="B1" s="38" t="s">
        <v>102</v>
      </c>
      <c r="C1" s="38" t="s">
        <v>103</v>
      </c>
      <c r="D1" s="38" t="s">
        <v>104</v>
      </c>
      <c r="E1" s="38" t="s">
        <v>105</v>
      </c>
      <c r="F1" s="38" t="s">
        <v>100</v>
      </c>
      <c r="G1" s="38" t="s">
        <v>107</v>
      </c>
      <c r="H1" s="38" t="s">
        <v>106</v>
      </c>
      <c r="I1" s="38" t="s">
        <v>108</v>
      </c>
      <c r="J1" s="38" t="s">
        <v>110</v>
      </c>
      <c r="K1" s="38" t="s">
        <v>101</v>
      </c>
      <c r="L1" s="38" t="s">
        <v>109</v>
      </c>
      <c r="M1" s="38" t="s">
        <v>111</v>
      </c>
    </row>
    <row r="2" spans="1:24" s="17" customFormat="1">
      <c r="A2" s="25"/>
      <c r="B2" s="176" t="s">
        <v>179</v>
      </c>
      <c r="C2" s="176" t="s">
        <v>180</v>
      </c>
      <c r="D2" s="176" t="s">
        <v>181</v>
      </c>
      <c r="E2" s="176" t="s">
        <v>182</v>
      </c>
      <c r="F2" s="176" t="s">
        <v>177</v>
      </c>
      <c r="G2" s="176" t="s">
        <v>178</v>
      </c>
      <c r="H2" s="176" t="s">
        <v>191</v>
      </c>
      <c r="I2" s="176" t="s">
        <v>186</v>
      </c>
      <c r="J2" s="176" t="s">
        <v>187</v>
      </c>
      <c r="K2" s="176" t="s">
        <v>188</v>
      </c>
      <c r="L2" s="176" t="s">
        <v>189</v>
      </c>
      <c r="M2" s="176" t="s">
        <v>190</v>
      </c>
      <c r="N2" s="40"/>
      <c r="O2" s="40"/>
      <c r="P2" s="40"/>
      <c r="Q2" s="37" t="s">
        <v>99</v>
      </c>
      <c r="R2" s="37" t="s">
        <v>77</v>
      </c>
      <c r="S2" s="37">
        <f>MATCH(R2,Table!$B:$B,0)</f>
        <v>16</v>
      </c>
      <c r="T2" s="37"/>
      <c r="U2" s="37" t="s">
        <v>99</v>
      </c>
      <c r="V2" s="37" t="s">
        <v>0</v>
      </c>
      <c r="W2" s="37">
        <f>MATCH(V2,Table!$A:$A,0)</f>
        <v>3</v>
      </c>
      <c r="X2" s="37" t="s">
        <v>117</v>
      </c>
    </row>
    <row r="3" spans="1:24">
      <c r="A3" s="5">
        <v>41242</v>
      </c>
      <c r="B3" s="31">
        <f ca="1">IF(ISERROR(MATCH(B$1,INDIRECT("Table!A"&amp;$U3):INDIRECT("Table!" &amp; $X$159 &amp; $U3),0)),"",INDIRECT(CONCATENATE("Table!",ADDRESS($Q3,MATCH(B$1,INDIRECT("Table!A" &amp; $U3):INDIRECT("Table!" &amp; $X$159 &amp; $U3),0))))/1024)</f>
        <v>181.77187499999999</v>
      </c>
      <c r="C3" s="31">
        <f ca="1">IF(ISERROR(MATCH(C$1,INDIRECT("Table!A"&amp;$U3):INDIRECT("Table!" &amp; $X$159 &amp; $U3),0)),"",INDIRECT(CONCATENATE("Table!",ADDRESS($Q3,MATCH(C$1,INDIRECT("Table!A" &amp; $U3):INDIRECT("Table!" &amp; $X$159 &amp; $U3),0))))/1024)</f>
        <v>90.655429687500003</v>
      </c>
      <c r="D3" s="31">
        <f ca="1">IF(ISERROR(MATCH(D$1,INDIRECT("Table!A"&amp;$U3):INDIRECT("Table!" &amp; $X$159 &amp; $U3),0)),"",INDIRECT(CONCATENATE("Table!",ADDRESS($Q3,MATCH(D$1,INDIRECT("Table!A" &amp; $U3):INDIRECT("Table!" &amp; $X$159 &amp; $U3),0))))/1024)</f>
        <v>90.457851562499997</v>
      </c>
      <c r="E3" s="31">
        <f ca="1">IF(ISERROR(MATCH(E$1,INDIRECT("Table!A"&amp;$U3):INDIRECT("Table!" &amp; $X$159 &amp; $U3),0)),"",INDIRECT(CONCATENATE("Table!",ADDRESS($Q3,MATCH(E$1,INDIRECT("Table!A" &amp; $U3):INDIRECT("Table!" &amp; $X$159 &amp; $U3),0))))/1024)</f>
        <v>271.27476562499999</v>
      </c>
      <c r="F3" s="31">
        <f ca="1">IF(ISERROR(MATCH(F$1,INDIRECT("Table!A"&amp;$U3):INDIRECT("Table!" &amp; $X$159 &amp; $U3),0)),"",INDIRECT(CONCATENATE("Table!",ADDRESS($Q3,MATCH(F$1,INDIRECT("Table!A" &amp; $U3):INDIRECT("Table!" &amp; $X$159 &amp; $U3),0))))/1024)</f>
        <v>227.148984375</v>
      </c>
      <c r="G3" s="31">
        <f ca="1">IF(ISERROR(MATCH(G$1,INDIRECT("Table!A"&amp;$U3):INDIRECT("Table!" &amp; $X$159 &amp; $U3),0)),"",INDIRECT(CONCATENATE("Table!",ADDRESS($Q3,MATCH(G$1,INDIRECT("Table!A" &amp; $U3):INDIRECT("Table!" &amp; $X$159 &amp; $U3),0))))/1024)</f>
        <v>423.60749999999996</v>
      </c>
      <c r="H3" s="31">
        <f ca="1">IF(ISERROR(MATCH(H$1,INDIRECT("Table!A"&amp;$U3):INDIRECT("Table!" &amp; $X$159 &amp; $U3),0)),"",INDIRECT(CONCATENATE("Table!",ADDRESS($Q3,MATCH(H$1,INDIRECT("Table!A" &amp; $U3):INDIRECT("Table!" &amp; $X$159 &amp; $U3),0))))/1024)</f>
        <v>96.84621093749999</v>
      </c>
      <c r="I3" s="31">
        <f ca="1">IF(ISERROR(MATCH(I$1,INDIRECT("Table!A"&amp;$U3):INDIRECT("Table!" &amp; $X$159 &amp; $U3),0)),"",INDIRECT(CONCATENATE("Table!",ADDRESS($Q3,MATCH(I$1,INDIRECT("Table!A" &amp; $U3):INDIRECT("Table!" &amp; $X$159 &amp; $U3),0))))/1024)</f>
        <v>261.52757812499999</v>
      </c>
      <c r="J3" s="31">
        <f ca="1">IF(ISERROR(MATCH(J$1,INDIRECT("Table!A"&amp;$U3):INDIRECT("Table!" &amp; $X$159 &amp; $U3),0)),"",INDIRECT(CONCATENATE("Table!",ADDRESS($Q3,MATCH(J$1,INDIRECT("Table!A" &amp; $U3):INDIRECT("Table!" &amp; $X$159 &amp; $U3),0))))/1024)</f>
        <v>314.18214843749996</v>
      </c>
      <c r="K3" s="31">
        <f ca="1">IF(ISERROR(MATCH(K$1,INDIRECT("Table!A"&amp;$U3):INDIRECT("Table!" &amp; $X$159 &amp; $U3),0)),"",INDIRECT(CONCATENATE("Table!",ADDRESS($Q3,MATCH(K$1,INDIRECT("Table!A" &amp; $U3):INDIRECT("Table!" &amp; $X$159 &amp; $U3),0))))/1024)</f>
        <v>121.378828125</v>
      </c>
      <c r="L3" s="31">
        <f ca="1">IF(ISERROR(MATCH(L$1,INDIRECT("Table!A"&amp;$U3):INDIRECT("Table!" &amp; $X$159 &amp; $U3),0)),"",INDIRECT(CONCATENATE("Table!",ADDRESS($Q3,MATCH(L$1,INDIRECT("Table!A" &amp; $U3):INDIRECT("Table!" &amp; $X$159 &amp; $U3),0))))/1024)</f>
        <v>214.70156249999999</v>
      </c>
      <c r="M3" s="31">
        <f ca="1">IF(ISERROR(MATCH(M$1,INDIRECT("Table!A"&amp;$U3):INDIRECT("Table!" &amp; $X$159 &amp; $U3),0)),"",INDIRECT(CONCATENATE("Table!",ADDRESS($Q3,MATCH(M$1,INDIRECT("Table!A" &amp; $U3):INDIRECT("Table!" &amp; $X$159 &amp; $U3),0))))/1024)</f>
        <v>20.712773437500001</v>
      </c>
      <c r="N3" s="31"/>
      <c r="O3" s="213"/>
      <c r="P3" s="213"/>
      <c r="Q3" s="31">
        <f>MATCH($A3,Table!$A:$A,0)+$S$2-1</f>
        <v>231</v>
      </c>
      <c r="R3" s="213"/>
      <c r="S3" s="213"/>
      <c r="T3" s="213"/>
      <c r="U3" s="31">
        <f>MATCH($A3,Table!$A:$A,0)+$W$2-1</f>
        <v>218</v>
      </c>
      <c r="V3" s="213"/>
      <c r="W3" s="213"/>
      <c r="X3" s="213" t="s">
        <v>118</v>
      </c>
    </row>
    <row r="4" spans="1:24">
      <c r="A4" s="5">
        <v>41241</v>
      </c>
      <c r="B4" s="31">
        <f ca="1">IF(ISERROR(MATCH(B$1,INDIRECT("Table!A"&amp;$U4):INDIRECT("Table!" &amp; $X$159 &amp; $U4),0)),"",INDIRECT(CONCATENATE("Table!",ADDRESS($Q4,MATCH(B$1,INDIRECT("Table!A" &amp; $U4):INDIRECT("Table!" &amp; $X$159 &amp; $U4),0))))/1024)</f>
        <v>140.03144531250001</v>
      </c>
      <c r="C4" s="31">
        <f ca="1">IF(ISERROR(MATCH(C$1,INDIRECT("Table!A"&amp;$U4):INDIRECT("Table!" &amp; $X$159 &amp; $U4),0)),"",INDIRECT(CONCATENATE("Table!",ADDRESS($Q4,MATCH(C$1,INDIRECT("Table!A" &amp; $U4):INDIRECT("Table!" &amp; $X$159 &amp; $U4),0))))/1024)</f>
        <v>146.98808593749999</v>
      </c>
      <c r="D4" s="31">
        <f ca="1">IF(ISERROR(MATCH(D$1,INDIRECT("Table!A"&amp;$U4):INDIRECT("Table!" &amp; $X$159 &amp; $U4),0)),"",INDIRECT(CONCATENATE("Table!",ADDRESS($Q4,MATCH(D$1,INDIRECT("Table!A" &amp; $U4):INDIRECT("Table!" &amp; $X$159 &amp; $U4),0))))/1024)</f>
        <v>146.98808593749999</v>
      </c>
      <c r="E4" s="31">
        <f ca="1">IF(ISERROR(MATCH(E$1,INDIRECT("Table!A"&amp;$U4):INDIRECT("Table!" &amp; $X$159 &amp; $U4),0)),"",INDIRECT(CONCATENATE("Table!",ADDRESS($Q4,MATCH(E$1,INDIRECT("Table!A" &amp; $U4):INDIRECT("Table!" &amp; $X$159 &amp; $U4),0))))/1024)</f>
        <v>177.73222656249999</v>
      </c>
      <c r="F4" s="31">
        <f ca="1">IF(ISERROR(MATCH(F$1,INDIRECT("Table!A"&amp;$U4):INDIRECT("Table!" &amp; $X$159 &amp; $U4),0)),"",INDIRECT(CONCATENATE("Table!",ADDRESS($Q4,MATCH(F$1,INDIRECT("Table!A" &amp; $U4):INDIRECT("Table!" &amp; $X$159 &amp; $U4),0))))/1024)</f>
        <v>161.57470703125</v>
      </c>
      <c r="G4" s="31">
        <f ca="1">IF(ISERROR(MATCH(G$1,INDIRECT("Table!A"&amp;$U4):INDIRECT("Table!" &amp; $X$159 &amp; $U4),0)),"",INDIRECT(CONCATENATE("Table!",ADDRESS($Q4,MATCH(G$1,INDIRECT("Table!A" &amp; $U4):INDIRECT("Table!" &amp; $X$159 &amp; $U4),0))))/1024)</f>
        <v>129.03515625</v>
      </c>
      <c r="H4" s="31">
        <f ca="1">IF(ISERROR(MATCH(H$1,INDIRECT("Table!A"&amp;$U4):INDIRECT("Table!" &amp; $X$159 &amp; $U4),0)),"",INDIRECT(CONCATENATE("Table!",ADDRESS($Q4,MATCH(H$1,INDIRECT("Table!A" &amp; $U4):INDIRECT("Table!" &amp; $X$159 &amp; $U4),0))))/1024)</f>
        <v>118.4880859375</v>
      </c>
      <c r="I4" s="31">
        <f ca="1">IF(ISERROR(MATCH(I$1,INDIRECT("Table!A"&amp;$U4):INDIRECT("Table!" &amp; $X$159 &amp; $U4),0)),"",INDIRECT(CONCATENATE("Table!",ADDRESS($Q4,MATCH(I$1,INDIRECT("Table!A" &amp; $U4):INDIRECT("Table!" &amp; $X$159 &amp; $U4),0))))/1024)</f>
        <v>188.5029296875</v>
      </c>
      <c r="J4" s="31">
        <f ca="1">IF(ISERROR(MATCH(J$1,INDIRECT("Table!A"&amp;$U4):INDIRECT("Table!" &amp; $X$159 &amp; $U4),0)),"",INDIRECT(CONCATENATE("Table!",ADDRESS($Q4,MATCH(J$1,INDIRECT("Table!A" &amp; $U4):INDIRECT("Table!" &amp; $X$159 &amp; $U4),0))))/1024)</f>
        <v>129.03535156250001</v>
      </c>
      <c r="K4" s="31">
        <f ca="1">IF(ISERROR(MATCH(K$1,INDIRECT("Table!A"&amp;$U4):INDIRECT("Table!" &amp; $X$159 &amp; $U4),0)),"",INDIRECT(CONCATENATE("Table!",ADDRESS($Q4,MATCH(K$1,INDIRECT("Table!A" &amp; $U4):INDIRECT("Table!" &amp; $X$159 &amp; $U4),0))))/1024)</f>
        <v>80.787402343750003</v>
      </c>
      <c r="L4" s="31">
        <f ca="1">IF(ISERROR(MATCH(L$1,INDIRECT("Table!A"&amp;$U4):INDIRECT("Table!" &amp; $X$159 &amp; $U4),0)),"",INDIRECT(CONCATENATE("Table!",ADDRESS($Q4,MATCH(L$1,INDIRECT("Table!A" &amp; $U4):INDIRECT("Table!" &amp; $X$159 &amp; $U4),0))))/1024)</f>
        <v>172.34638671875001</v>
      </c>
      <c r="M4" s="31">
        <f ca="1">IF(ISERROR(MATCH(M$1,INDIRECT("Table!A"&amp;$U4):INDIRECT("Table!" &amp; $X$159 &amp; $U4),0)),"",INDIRECT(CONCATENATE("Table!",ADDRESS($Q4,MATCH(M$1,INDIRECT("Table!A" &amp; $U4):INDIRECT("Table!" &amp; $X$159 &amp; $U4),0))))/1024)</f>
        <v>53.6337890625</v>
      </c>
      <c r="N4" s="31"/>
      <c r="O4" s="270"/>
      <c r="P4" s="270"/>
      <c r="Q4" s="31">
        <f>MATCH($A4,Table!$A:$A,0)+$S$2-1</f>
        <v>248</v>
      </c>
      <c r="R4" s="270"/>
      <c r="S4" s="270"/>
      <c r="T4" s="270"/>
      <c r="U4" s="31">
        <f>MATCH($A4,Table!$A:$A,0)+$W$2-1</f>
        <v>235</v>
      </c>
      <c r="V4" s="270"/>
      <c r="W4" s="270"/>
      <c r="X4" s="270" t="s">
        <v>118</v>
      </c>
    </row>
    <row r="5" spans="1:24">
      <c r="A5" s="5">
        <v>41239</v>
      </c>
      <c r="B5" s="31">
        <f ca="1">IF(ISERROR(MATCH(B$1,INDIRECT("Table!A"&amp;$U5):INDIRECT("Table!" &amp; $X$159 &amp; $U5),0)),"",INDIRECT(CONCATENATE("Table!",ADDRESS($Q5,MATCH(B$1,INDIRECT("Table!A" &amp; $U5):INDIRECT("Table!" &amp; $X$159 &amp; $U5),0))))/1024)</f>
        <v>140.03144531250001</v>
      </c>
      <c r="C5" s="31">
        <f ca="1">IF(ISERROR(MATCH(C$1,INDIRECT("Table!A"&amp;$U5):INDIRECT("Table!" &amp; $X$159 &amp; $U5),0)),"",INDIRECT(CONCATENATE("Table!",ADDRESS($Q5,MATCH(C$1,INDIRECT("Table!A" &amp; $U5):INDIRECT("Table!" &amp; $X$159 &amp; $U5),0))))/1024)</f>
        <v>146.98808593749999</v>
      </c>
      <c r="D5" s="31">
        <f ca="1">IF(ISERROR(MATCH(D$1,INDIRECT("Table!A"&amp;$U5):INDIRECT("Table!" &amp; $X$159 &amp; $U5),0)),"",INDIRECT(CONCATENATE("Table!",ADDRESS($Q5,MATCH(D$1,INDIRECT("Table!A" &amp; $U5):INDIRECT("Table!" &amp; $X$159 &amp; $U5),0))))/1024)</f>
        <v>146.98808593749999</v>
      </c>
      <c r="E5" s="31">
        <f ca="1">IF(ISERROR(MATCH(E$1,INDIRECT("Table!A"&amp;$U5):INDIRECT("Table!" &amp; $X$159 &amp; $U5),0)),"",INDIRECT(CONCATENATE("Table!",ADDRESS($Q5,MATCH(E$1,INDIRECT("Table!A" &amp; $U5):INDIRECT("Table!" &amp; $X$159 &amp; $U5),0))))/1024)</f>
        <v>177.73222656249999</v>
      </c>
      <c r="F5" s="31">
        <f ca="1">IF(ISERROR(MATCH(F$1,INDIRECT("Table!A"&amp;$U5):INDIRECT("Table!" &amp; $X$159 &amp; $U5),0)),"",INDIRECT(CONCATENATE("Table!",ADDRESS($Q5,MATCH(F$1,INDIRECT("Table!A" &amp; $U5):INDIRECT("Table!" &amp; $X$159 &amp; $U5),0))))/1024)</f>
        <v>161.57470703125</v>
      </c>
      <c r="G5" s="31">
        <f ca="1">IF(ISERROR(MATCH(G$1,INDIRECT("Table!A"&amp;$U5):INDIRECT("Table!" &amp; $X$159 &amp; $U5),0)),"",INDIRECT(CONCATENATE("Table!",ADDRESS($Q5,MATCH(G$1,INDIRECT("Table!A" &amp; $U5):INDIRECT("Table!" &amp; $X$159 &amp; $U5),0))))/1024)</f>
        <v>129.03515625</v>
      </c>
      <c r="H5" s="31">
        <f ca="1">IF(ISERROR(MATCH(H$1,INDIRECT("Table!A"&amp;$U5):INDIRECT("Table!" &amp; $X$159 &amp; $U5),0)),"",INDIRECT(CONCATENATE("Table!",ADDRESS($Q5,MATCH(H$1,INDIRECT("Table!A" &amp; $U5):INDIRECT("Table!" &amp; $X$159 &amp; $U5),0))))/1024)</f>
        <v>118.4880859375</v>
      </c>
      <c r="I5" s="31">
        <f ca="1">IF(ISERROR(MATCH(I$1,INDIRECT("Table!A"&amp;$U5):INDIRECT("Table!" &amp; $X$159 &amp; $U5),0)),"",INDIRECT(CONCATENATE("Table!",ADDRESS($Q5,MATCH(I$1,INDIRECT("Table!A" &amp; $U5):INDIRECT("Table!" &amp; $X$159 &amp; $U5),0))))/1024)</f>
        <v>188.5029296875</v>
      </c>
      <c r="J5" s="31">
        <f ca="1">IF(ISERROR(MATCH(J$1,INDIRECT("Table!A"&amp;$U5):INDIRECT("Table!" &amp; $X$159 &amp; $U5),0)),"",INDIRECT(CONCATENATE("Table!",ADDRESS($Q5,MATCH(J$1,INDIRECT("Table!A" &amp; $U5):INDIRECT("Table!" &amp; $X$159 &amp; $U5),0))))/1024)</f>
        <v>129.03535156250001</v>
      </c>
      <c r="K5" s="31">
        <f ca="1">IF(ISERROR(MATCH(K$1,INDIRECT("Table!A"&amp;$U5):INDIRECT("Table!" &amp; $X$159 &amp; $U5),0)),"",INDIRECT(CONCATENATE("Table!",ADDRESS($Q5,MATCH(K$1,INDIRECT("Table!A" &amp; $U5):INDIRECT("Table!" &amp; $X$159 &amp; $U5),0))))/1024)</f>
        <v>80.787402343750003</v>
      </c>
      <c r="L5" s="31">
        <f ca="1">IF(ISERROR(MATCH(L$1,INDIRECT("Table!A"&amp;$U5):INDIRECT("Table!" &amp; $X$159 &amp; $U5),0)),"",INDIRECT(CONCATENATE("Table!",ADDRESS($Q5,MATCH(L$1,INDIRECT("Table!A" &amp; $U5):INDIRECT("Table!" &amp; $X$159 &amp; $U5),0))))/1024)</f>
        <v>172.34638671875001</v>
      </c>
      <c r="M5" s="31">
        <f ca="1">IF(ISERROR(MATCH(M$1,INDIRECT("Table!A"&amp;$U5):INDIRECT("Table!" &amp; $X$159 &amp; $U5),0)),"",INDIRECT(CONCATENATE("Table!",ADDRESS($Q5,MATCH(M$1,INDIRECT("Table!A" &amp; $U5):INDIRECT("Table!" &amp; $X$159 &amp; $U5),0))))/1024)</f>
        <v>53.6337890625</v>
      </c>
      <c r="N5" s="31"/>
      <c r="O5" s="269"/>
      <c r="P5" s="269"/>
      <c r="Q5" s="31">
        <f>MATCH($A5,Table!$A:$A,0)+$S$2-1</f>
        <v>260</v>
      </c>
      <c r="R5" s="269"/>
      <c r="S5" s="269"/>
      <c r="T5" s="269"/>
      <c r="U5" s="31">
        <f>MATCH($A5,Table!$A:$A,0)+$W$2-1</f>
        <v>247</v>
      </c>
      <c r="V5" s="269"/>
      <c r="W5" s="269"/>
      <c r="X5" s="269" t="s">
        <v>118</v>
      </c>
    </row>
    <row r="6" spans="1:24">
      <c r="A6" s="5">
        <v>41234</v>
      </c>
      <c r="B6" s="31">
        <f ca="1">IF(ISERROR(MATCH(B$1,INDIRECT("Table!A"&amp;$U6):INDIRECT("Table!" &amp; $X$159 &amp; $U6),0)),"",INDIRECT(CONCATENATE("Table!",ADDRESS($Q6,MATCH(B$1,INDIRECT("Table!A" &amp; $U6):INDIRECT("Table!" &amp; $X$159 &amp; $U6),0))))/1024)</f>
        <v>140.03144531250001</v>
      </c>
      <c r="C6" s="31">
        <f ca="1">IF(ISERROR(MATCH(C$1,INDIRECT("Table!A"&amp;$U6):INDIRECT("Table!" &amp; $X$159 &amp; $U6),0)),"",INDIRECT(CONCATENATE("Table!",ADDRESS($Q6,MATCH(C$1,INDIRECT("Table!A" &amp; $U6):INDIRECT("Table!" &amp; $X$159 &amp; $U6),0))))/1024)</f>
        <v>146.98808593749999</v>
      </c>
      <c r="D6" s="31">
        <f ca="1">IF(ISERROR(MATCH(D$1,INDIRECT("Table!A"&amp;$U6):INDIRECT("Table!" &amp; $X$159 &amp; $U6),0)),"",INDIRECT(CONCATENATE("Table!",ADDRESS($Q6,MATCH(D$1,INDIRECT("Table!A" &amp; $U6):INDIRECT("Table!" &amp; $X$159 &amp; $U6),0))))/1024)</f>
        <v>146.98808593749999</v>
      </c>
      <c r="E6" s="31">
        <f ca="1">IF(ISERROR(MATCH(E$1,INDIRECT("Table!A"&amp;$U6):INDIRECT("Table!" &amp; $X$159 &amp; $U6),0)),"",INDIRECT(CONCATENATE("Table!",ADDRESS($Q6,MATCH(E$1,INDIRECT("Table!A" &amp; $U6):INDIRECT("Table!" &amp; $X$159 &amp; $U6),0))))/1024)</f>
        <v>177.73222656249999</v>
      </c>
      <c r="F6" s="31">
        <f ca="1">IF(ISERROR(MATCH(F$1,INDIRECT("Table!A"&amp;$U6):INDIRECT("Table!" &amp; $X$159 &amp; $U6),0)),"",INDIRECT(CONCATENATE("Table!",ADDRESS($Q6,MATCH(F$1,INDIRECT("Table!A" &amp; $U6):INDIRECT("Table!" &amp; $X$159 &amp; $U6),0))))/1024)</f>
        <v>161.57470703125</v>
      </c>
      <c r="G6" s="31">
        <f ca="1">IF(ISERROR(MATCH(G$1,INDIRECT("Table!A"&amp;$U6):INDIRECT("Table!" &amp; $X$159 &amp; $U6),0)),"",INDIRECT(CONCATENATE("Table!",ADDRESS($Q6,MATCH(G$1,INDIRECT("Table!A" &amp; $U6):INDIRECT("Table!" &amp; $X$159 &amp; $U6),0))))/1024)</f>
        <v>129.03515625</v>
      </c>
      <c r="H6" s="31">
        <f ca="1">IF(ISERROR(MATCH(H$1,INDIRECT("Table!A"&amp;$U6):INDIRECT("Table!" &amp; $X$159 &amp; $U6),0)),"",INDIRECT(CONCATENATE("Table!",ADDRESS($Q6,MATCH(H$1,INDIRECT("Table!A" &amp; $U6):INDIRECT("Table!" &amp; $X$159 &amp; $U6),0))))/1024)</f>
        <v>118.4880859375</v>
      </c>
      <c r="I6" s="31">
        <f ca="1">IF(ISERROR(MATCH(I$1,INDIRECT("Table!A"&amp;$U6):INDIRECT("Table!" &amp; $X$159 &amp; $U6),0)),"",INDIRECT(CONCATENATE("Table!",ADDRESS($Q6,MATCH(I$1,INDIRECT("Table!A" &amp; $U6):INDIRECT("Table!" &amp; $X$159 &amp; $U6),0))))/1024)</f>
        <v>188.5029296875</v>
      </c>
      <c r="J6" s="31">
        <f ca="1">IF(ISERROR(MATCH(J$1,INDIRECT("Table!A"&amp;$U6):INDIRECT("Table!" &amp; $X$159 &amp; $U6),0)),"",INDIRECT(CONCATENATE("Table!",ADDRESS($Q6,MATCH(J$1,INDIRECT("Table!A" &amp; $U6):INDIRECT("Table!" &amp; $X$159 &amp; $U6),0))))/1024)</f>
        <v>129.03535156250001</v>
      </c>
      <c r="K6" s="31">
        <f ca="1">IF(ISERROR(MATCH(K$1,INDIRECT("Table!A"&amp;$U6):INDIRECT("Table!" &amp; $X$159 &amp; $U6),0)),"",INDIRECT(CONCATENATE("Table!",ADDRESS($Q6,MATCH(K$1,INDIRECT("Table!A" &amp; $U6):INDIRECT("Table!" &amp; $X$159 &amp; $U6),0))))/1024)</f>
        <v>80.787402343750003</v>
      </c>
      <c r="L6" s="31">
        <f ca="1">IF(ISERROR(MATCH(L$1,INDIRECT("Table!A"&amp;$U6):INDIRECT("Table!" &amp; $X$159 &amp; $U6),0)),"",INDIRECT(CONCATENATE("Table!",ADDRESS($Q6,MATCH(L$1,INDIRECT("Table!A" &amp; $U6):INDIRECT("Table!" &amp; $X$159 &amp; $U6),0))))/1024)</f>
        <v>172.34638671875001</v>
      </c>
      <c r="M6" s="31">
        <f ca="1">IF(ISERROR(MATCH(M$1,INDIRECT("Table!A"&amp;$U6):INDIRECT("Table!" &amp; $X$159 &amp; $U6),0)),"",INDIRECT(CONCATENATE("Table!",ADDRESS($Q6,MATCH(M$1,INDIRECT("Table!A" &amp; $U6):INDIRECT("Table!" &amp; $X$159 &amp; $U6),0))))/1024)</f>
        <v>53.6337890625</v>
      </c>
      <c r="N6" s="31"/>
      <c r="O6" s="268"/>
      <c r="P6" s="268"/>
      <c r="Q6" s="31">
        <f>MATCH($A6,Table!$A:$A,0)+$S$2-1</f>
        <v>272</v>
      </c>
      <c r="R6" s="268"/>
      <c r="S6" s="268"/>
      <c r="T6" s="268"/>
      <c r="U6" s="31">
        <f>MATCH($A6,Table!$A:$A,0)+$W$2-1</f>
        <v>259</v>
      </c>
      <c r="V6" s="268"/>
      <c r="W6" s="268"/>
      <c r="X6" s="268" t="s">
        <v>118</v>
      </c>
    </row>
    <row r="7" spans="1:24">
      <c r="A7" s="5">
        <v>41232</v>
      </c>
      <c r="B7" s="31">
        <f ca="1">IF(ISERROR(MATCH(B$1,INDIRECT("Table!A"&amp;$U7):INDIRECT("Table!" &amp; $X$159 &amp; $U7),0)),"",INDIRECT(CONCATENATE("Table!",ADDRESS($Q7,MATCH(B$1,INDIRECT("Table!A" &amp; $U7):INDIRECT("Table!" &amp; $X$159 &amp; $U7),0))))/1024)</f>
        <v>140.03144531250001</v>
      </c>
      <c r="C7" s="31">
        <f ca="1">IF(ISERROR(MATCH(C$1,INDIRECT("Table!A"&amp;$U7):INDIRECT("Table!" &amp; $X$159 &amp; $U7),0)),"",INDIRECT(CONCATENATE("Table!",ADDRESS($Q7,MATCH(C$1,INDIRECT("Table!A" &amp; $U7):INDIRECT("Table!" &amp; $X$159 &amp; $U7),0))))/1024)</f>
        <v>146.98808593749999</v>
      </c>
      <c r="D7" s="31">
        <f ca="1">IF(ISERROR(MATCH(D$1,INDIRECT("Table!A"&amp;$U7):INDIRECT("Table!" &amp; $X$159 &amp; $U7),0)),"",INDIRECT(CONCATENATE("Table!",ADDRESS($Q7,MATCH(D$1,INDIRECT("Table!A" &amp; $U7):INDIRECT("Table!" &amp; $X$159 &amp; $U7),0))))/1024)</f>
        <v>146.98808593749999</v>
      </c>
      <c r="E7" s="31">
        <f ca="1">IF(ISERROR(MATCH(E$1,INDIRECT("Table!A"&amp;$U7):INDIRECT("Table!" &amp; $X$159 &amp; $U7),0)),"",INDIRECT(CONCATENATE("Table!",ADDRESS($Q7,MATCH(E$1,INDIRECT("Table!A" &amp; $U7):INDIRECT("Table!" &amp; $X$159 &amp; $U7),0))))/1024)</f>
        <v>177.73222656249999</v>
      </c>
      <c r="F7" s="31">
        <f ca="1">IF(ISERROR(MATCH(F$1,INDIRECT("Table!A"&amp;$U7):INDIRECT("Table!" &amp; $X$159 &amp; $U7),0)),"",INDIRECT(CONCATENATE("Table!",ADDRESS($Q7,MATCH(F$1,INDIRECT("Table!A" &amp; $U7):INDIRECT("Table!" &amp; $X$159 &amp; $U7),0))))/1024)</f>
        <v>161.57470703125</v>
      </c>
      <c r="G7" s="31">
        <f ca="1">IF(ISERROR(MATCH(G$1,INDIRECT("Table!A"&amp;$U7):INDIRECT("Table!" &amp; $X$159 &amp; $U7),0)),"",INDIRECT(CONCATENATE("Table!",ADDRESS($Q7,MATCH(G$1,INDIRECT("Table!A" &amp; $U7):INDIRECT("Table!" &amp; $X$159 &amp; $U7),0))))/1024)</f>
        <v>129.03515625</v>
      </c>
      <c r="H7" s="31">
        <f ca="1">IF(ISERROR(MATCH(H$1,INDIRECT("Table!A"&amp;$U7):INDIRECT("Table!" &amp; $X$159 &amp; $U7),0)),"",INDIRECT(CONCATENATE("Table!",ADDRESS($Q7,MATCH(H$1,INDIRECT("Table!A" &amp; $U7):INDIRECT("Table!" &amp; $X$159 &amp; $U7),0))))/1024)</f>
        <v>118.4880859375</v>
      </c>
      <c r="I7" s="31">
        <f ca="1">IF(ISERROR(MATCH(I$1,INDIRECT("Table!A"&amp;$U7):INDIRECT("Table!" &amp; $X$159 &amp; $U7),0)),"",INDIRECT(CONCATENATE("Table!",ADDRESS($Q7,MATCH(I$1,INDIRECT("Table!A" &amp; $U7):INDIRECT("Table!" &amp; $X$159 &amp; $U7),0))))/1024)</f>
        <v>188.5029296875</v>
      </c>
      <c r="J7" s="31">
        <f ca="1">IF(ISERROR(MATCH(J$1,INDIRECT("Table!A"&amp;$U7):INDIRECT("Table!" &amp; $X$159 &amp; $U7),0)),"",INDIRECT(CONCATENATE("Table!",ADDRESS($Q7,MATCH(J$1,INDIRECT("Table!A" &amp; $U7):INDIRECT("Table!" &amp; $X$159 &amp; $U7),0))))/1024)</f>
        <v>129.03535156250001</v>
      </c>
      <c r="K7" s="31">
        <f ca="1">IF(ISERROR(MATCH(K$1,INDIRECT("Table!A"&amp;$U7):INDIRECT("Table!" &amp; $X$159 &amp; $U7),0)),"",INDIRECT(CONCATENATE("Table!",ADDRESS($Q7,MATCH(K$1,INDIRECT("Table!A" &amp; $U7):INDIRECT("Table!" &amp; $X$159 &amp; $U7),0))))/1024)</f>
        <v>80.787402343750003</v>
      </c>
      <c r="L7" s="31">
        <f ca="1">IF(ISERROR(MATCH(L$1,INDIRECT("Table!A"&amp;$U7):INDIRECT("Table!" &amp; $X$159 &amp; $U7),0)),"",INDIRECT(CONCATENATE("Table!",ADDRESS($Q7,MATCH(L$1,INDIRECT("Table!A" &amp; $U7):INDIRECT("Table!" &amp; $X$159 &amp; $U7),0))))/1024)</f>
        <v>172.34638671875001</v>
      </c>
      <c r="M7" s="31">
        <f ca="1">IF(ISERROR(MATCH(M$1,INDIRECT("Table!A"&amp;$U7):INDIRECT("Table!" &amp; $X$159 &amp; $U7),0)),"",INDIRECT(CONCATENATE("Table!",ADDRESS($Q7,MATCH(M$1,INDIRECT("Table!A" &amp; $U7):INDIRECT("Table!" &amp; $X$159 &amp; $U7),0))))/1024)</f>
        <v>53.6337890625</v>
      </c>
      <c r="N7" s="31"/>
      <c r="O7" s="267"/>
      <c r="P7" s="267"/>
      <c r="Q7" s="31">
        <f>MATCH($A7,Table!$A:$A,0)+$S$2-1</f>
        <v>284</v>
      </c>
      <c r="R7" s="267"/>
      <c r="S7" s="267"/>
      <c r="T7" s="267"/>
      <c r="U7" s="31">
        <f>MATCH($A7,Table!$A:$A,0)+$W$2-1</f>
        <v>271</v>
      </c>
      <c r="V7" s="267"/>
      <c r="W7" s="267"/>
      <c r="X7" s="267" t="s">
        <v>118</v>
      </c>
    </row>
    <row r="8" spans="1:24">
      <c r="A8" s="5">
        <v>41227</v>
      </c>
      <c r="B8" s="31">
        <f ca="1">IF(ISERROR(MATCH(B$1,INDIRECT("Table!A"&amp;$U8):INDIRECT("Table!" &amp; $X$159 &amp; $U8),0)),"",INDIRECT(CONCATENATE("Table!",ADDRESS($Q8,MATCH(B$1,INDIRECT("Table!A" &amp; $U8):INDIRECT("Table!" &amp; $X$159 &amp; $U8),0))))/1024)</f>
        <v>140.03144531250001</v>
      </c>
      <c r="C8" s="31">
        <f ca="1">IF(ISERROR(MATCH(C$1,INDIRECT("Table!A"&amp;$U8):INDIRECT("Table!" &amp; $X$159 &amp; $U8),0)),"",INDIRECT(CONCATENATE("Table!",ADDRESS($Q8,MATCH(C$1,INDIRECT("Table!A" &amp; $U8):INDIRECT("Table!" &amp; $X$159 &amp; $U8),0))))/1024)</f>
        <v>146.98808593749999</v>
      </c>
      <c r="D8" s="31">
        <f ca="1">IF(ISERROR(MATCH(D$1,INDIRECT("Table!A"&amp;$U8):INDIRECT("Table!" &amp; $X$159 &amp; $U8),0)),"",INDIRECT(CONCATENATE("Table!",ADDRESS($Q8,MATCH(D$1,INDIRECT("Table!A" &amp; $U8):INDIRECT("Table!" &amp; $X$159 &amp; $U8),0))))/1024)</f>
        <v>146.98808593749999</v>
      </c>
      <c r="E8" s="31">
        <f ca="1">IF(ISERROR(MATCH(E$1,INDIRECT("Table!A"&amp;$U8):INDIRECT("Table!" &amp; $X$159 &amp; $U8),0)),"",INDIRECT(CONCATENATE("Table!",ADDRESS($Q8,MATCH(E$1,INDIRECT("Table!A" &amp; $U8):INDIRECT("Table!" &amp; $X$159 &amp; $U8),0))))/1024)</f>
        <v>177.73222656249999</v>
      </c>
      <c r="F8" s="31">
        <f ca="1">IF(ISERROR(MATCH(F$1,INDIRECT("Table!A"&amp;$U8):INDIRECT("Table!" &amp; $X$159 &amp; $U8),0)),"",INDIRECT(CONCATENATE("Table!",ADDRESS($Q8,MATCH(F$1,INDIRECT("Table!A" &amp; $U8):INDIRECT("Table!" &amp; $X$159 &amp; $U8),0))))/1024)</f>
        <v>161.57470703125</v>
      </c>
      <c r="G8" s="31">
        <f ca="1">IF(ISERROR(MATCH(G$1,INDIRECT("Table!A"&amp;$U8):INDIRECT("Table!" &amp; $X$159 &amp; $U8),0)),"",INDIRECT(CONCATENATE("Table!",ADDRESS($Q8,MATCH(G$1,INDIRECT("Table!A" &amp; $U8):INDIRECT("Table!" &amp; $X$159 &amp; $U8),0))))/1024)</f>
        <v>129.03515625</v>
      </c>
      <c r="H8" s="31">
        <f ca="1">IF(ISERROR(MATCH(H$1,INDIRECT("Table!A"&amp;$U8):INDIRECT("Table!" &amp; $X$159 &amp; $U8),0)),"",INDIRECT(CONCATENATE("Table!",ADDRESS($Q8,MATCH(H$1,INDIRECT("Table!A" &amp; $U8):INDIRECT("Table!" &amp; $X$159 &amp; $U8),0))))/1024)</f>
        <v>118.4880859375</v>
      </c>
      <c r="I8" s="31">
        <f ca="1">IF(ISERROR(MATCH(I$1,INDIRECT("Table!A"&amp;$U8):INDIRECT("Table!" &amp; $X$159 &amp; $U8),0)),"",INDIRECT(CONCATENATE("Table!",ADDRESS($Q8,MATCH(I$1,INDIRECT("Table!A" &amp; $U8):INDIRECT("Table!" &amp; $X$159 &amp; $U8),0))))/1024)</f>
        <v>188.5029296875</v>
      </c>
      <c r="J8" s="31">
        <f ca="1">IF(ISERROR(MATCH(J$1,INDIRECT("Table!A"&amp;$U8):INDIRECT("Table!" &amp; $X$159 &amp; $U8),0)),"",INDIRECT(CONCATENATE("Table!",ADDRESS($Q8,MATCH(J$1,INDIRECT("Table!A" &amp; $U8):INDIRECT("Table!" &amp; $X$159 &amp; $U8),0))))/1024)</f>
        <v>129.03535156250001</v>
      </c>
      <c r="K8" s="31">
        <f ca="1">IF(ISERROR(MATCH(K$1,INDIRECT("Table!A"&amp;$U8):INDIRECT("Table!" &amp; $X$159 &amp; $U8),0)),"",INDIRECT(CONCATENATE("Table!",ADDRESS($Q8,MATCH(K$1,INDIRECT("Table!A" &amp; $U8):INDIRECT("Table!" &amp; $X$159 &amp; $U8),0))))/1024)</f>
        <v>80.787402343750003</v>
      </c>
      <c r="L8" s="31">
        <f ca="1">IF(ISERROR(MATCH(L$1,INDIRECT("Table!A"&amp;$U8):INDIRECT("Table!" &amp; $X$159 &amp; $U8),0)),"",INDIRECT(CONCATENATE("Table!",ADDRESS($Q8,MATCH(L$1,INDIRECT("Table!A" &amp; $U8):INDIRECT("Table!" &amp; $X$159 &amp; $U8),0))))/1024)</f>
        <v>172.34638671875001</v>
      </c>
      <c r="M8" s="31">
        <f ca="1">IF(ISERROR(MATCH(M$1,INDIRECT("Table!A"&amp;$U8):INDIRECT("Table!" &amp; $X$159 &amp; $U8),0)),"",INDIRECT(CONCATENATE("Table!",ADDRESS($Q8,MATCH(M$1,INDIRECT("Table!A" &amp; $U8):INDIRECT("Table!" &amp; $X$159 &amp; $U8),0))))/1024)</f>
        <v>53.6337890625</v>
      </c>
      <c r="N8" s="31"/>
      <c r="O8" s="266"/>
      <c r="P8" s="266"/>
      <c r="Q8" s="31">
        <f>MATCH($A8,Table!$A:$A,0)+$S$2-1</f>
        <v>296</v>
      </c>
      <c r="R8" s="266"/>
      <c r="S8" s="266"/>
      <c r="T8" s="266"/>
      <c r="U8" s="31">
        <f>MATCH($A8,Table!$A:$A,0)+$W$2-1</f>
        <v>283</v>
      </c>
      <c r="V8" s="266"/>
      <c r="W8" s="266"/>
      <c r="X8" s="266" t="s">
        <v>118</v>
      </c>
    </row>
    <row r="9" spans="1:24">
      <c r="A9" s="5">
        <v>41225</v>
      </c>
      <c r="B9" s="31">
        <f ca="1">IF(ISERROR(MATCH(B$1,INDIRECT("Table!A"&amp;$U9):INDIRECT("Table!" &amp; $X$159 &amp; $U9),0)),"",INDIRECT(CONCATENATE("Table!",ADDRESS($Q9,MATCH(B$1,INDIRECT("Table!A" &amp; $U9):INDIRECT("Table!" &amp; $X$159 &amp; $U9),0))))/1024)</f>
        <v>140.03144531250001</v>
      </c>
      <c r="C9" s="31">
        <f ca="1">IF(ISERROR(MATCH(C$1,INDIRECT("Table!A"&amp;$U9):INDIRECT("Table!" &amp; $X$159 &amp; $U9),0)),"",INDIRECT(CONCATENATE("Table!",ADDRESS($Q9,MATCH(C$1,INDIRECT("Table!A" &amp; $U9):INDIRECT("Table!" &amp; $X$159 &amp; $U9),0))))/1024)</f>
        <v>146.98808593749999</v>
      </c>
      <c r="D9" s="31">
        <f ca="1">IF(ISERROR(MATCH(D$1,INDIRECT("Table!A"&amp;$U9):INDIRECT("Table!" &amp; $X$159 &amp; $U9),0)),"",INDIRECT(CONCATENATE("Table!",ADDRESS($Q9,MATCH(D$1,INDIRECT("Table!A" &amp; $U9):INDIRECT("Table!" &amp; $X$159 &amp; $U9),0))))/1024)</f>
        <v>146.98808593749999</v>
      </c>
      <c r="E9" s="31">
        <f ca="1">IF(ISERROR(MATCH(E$1,INDIRECT("Table!A"&amp;$U9):INDIRECT("Table!" &amp; $X$159 &amp; $U9),0)),"",INDIRECT(CONCATENATE("Table!",ADDRESS($Q9,MATCH(E$1,INDIRECT("Table!A" &amp; $U9):INDIRECT("Table!" &amp; $X$159 &amp; $U9),0))))/1024)</f>
        <v>177.73222656249999</v>
      </c>
      <c r="F9" s="31">
        <f ca="1">IF(ISERROR(MATCH(F$1,INDIRECT("Table!A"&amp;$U9):INDIRECT("Table!" &amp; $X$159 &amp; $U9),0)),"",INDIRECT(CONCATENATE("Table!",ADDRESS($Q9,MATCH(F$1,INDIRECT("Table!A" &amp; $U9):INDIRECT("Table!" &amp; $X$159 &amp; $U9),0))))/1024)</f>
        <v>161.57470703125</v>
      </c>
      <c r="G9" s="31">
        <f ca="1">IF(ISERROR(MATCH(G$1,INDIRECT("Table!A"&amp;$U9):INDIRECT("Table!" &amp; $X$159 &amp; $U9),0)),"",INDIRECT(CONCATENATE("Table!",ADDRESS($Q9,MATCH(G$1,INDIRECT("Table!A" &amp; $U9):INDIRECT("Table!" &amp; $X$159 &amp; $U9),0))))/1024)</f>
        <v>129.03515625</v>
      </c>
      <c r="H9" s="31">
        <f ca="1">IF(ISERROR(MATCH(H$1,INDIRECT("Table!A"&amp;$U9):INDIRECT("Table!" &amp; $X$159 &amp; $U9),0)),"",INDIRECT(CONCATENATE("Table!",ADDRESS($Q9,MATCH(H$1,INDIRECT("Table!A" &amp; $U9):INDIRECT("Table!" &amp; $X$159 &amp; $U9),0))))/1024)</f>
        <v>118.4880859375</v>
      </c>
      <c r="I9" s="31">
        <f ca="1">IF(ISERROR(MATCH(I$1,INDIRECT("Table!A"&amp;$U9):INDIRECT("Table!" &amp; $X$159 &amp; $U9),0)),"",INDIRECT(CONCATENATE("Table!",ADDRESS($Q9,MATCH(I$1,INDIRECT("Table!A" &amp; $U9):INDIRECT("Table!" &amp; $X$159 &amp; $U9),0))))/1024)</f>
        <v>166.96054687500001</v>
      </c>
      <c r="J9" s="31">
        <f ca="1">IF(ISERROR(MATCH(J$1,INDIRECT("Table!A"&amp;$U9):INDIRECT("Table!" &amp; $X$159 &amp; $U9),0)),"",INDIRECT(CONCATENATE("Table!",ADDRESS($Q9,MATCH(J$1,INDIRECT("Table!A" &amp; $U9):INDIRECT("Table!" &amp; $X$159 &amp; $U9),0))))/1024)</f>
        <v>129.03535156250001</v>
      </c>
      <c r="K9" s="31">
        <f ca="1">IF(ISERROR(MATCH(K$1,INDIRECT("Table!A"&amp;$U9):INDIRECT("Table!" &amp; $X$159 &amp; $U9),0)),"",INDIRECT(CONCATENATE("Table!",ADDRESS($Q9,MATCH(K$1,INDIRECT("Table!A" &amp; $U9):INDIRECT("Table!" &amp; $X$159 &amp; $U9),0))))/1024)</f>
        <v>80.787402343750003</v>
      </c>
      <c r="L9" s="31">
        <f ca="1">IF(ISERROR(MATCH(L$1,INDIRECT("Table!A"&amp;$U9):INDIRECT("Table!" &amp; $X$159 &amp; $U9),0)),"",INDIRECT(CONCATENATE("Table!",ADDRESS($Q9,MATCH(L$1,INDIRECT("Table!A" &amp; $U9):INDIRECT("Table!" &amp; $X$159 &amp; $U9),0))))/1024)</f>
        <v>172.34638671875001</v>
      </c>
      <c r="M9" s="31">
        <f ca="1">IF(ISERROR(MATCH(M$1,INDIRECT("Table!A"&amp;$U9):INDIRECT("Table!" &amp; $X$159 &amp; $U9),0)),"",INDIRECT(CONCATENATE("Table!",ADDRESS($Q9,MATCH(M$1,INDIRECT("Table!A" &amp; $U9):INDIRECT("Table!" &amp; $X$159 &amp; $U9),0))))/1024)</f>
        <v>53.6337890625</v>
      </c>
      <c r="N9" s="31"/>
      <c r="O9" s="265"/>
      <c r="P9" s="265"/>
      <c r="Q9" s="31">
        <f>MATCH($A9,Table!$A:$A,0)+$S$2-1</f>
        <v>308</v>
      </c>
      <c r="R9" s="265"/>
      <c r="S9" s="265"/>
      <c r="T9" s="265"/>
      <c r="U9" s="31">
        <f>MATCH($A9,Table!$A:$A,0)+$W$2-1</f>
        <v>295</v>
      </c>
      <c r="V9" s="265"/>
      <c r="W9" s="265"/>
      <c r="X9" s="265" t="s">
        <v>118</v>
      </c>
    </row>
    <row r="10" spans="1:24">
      <c r="A10" s="5">
        <v>41221</v>
      </c>
      <c r="B10" s="31">
        <f ca="1">IF(ISERROR(MATCH(B$1,INDIRECT("Table!A"&amp;$U10):INDIRECT("Table!" &amp; $X$159 &amp; $U10),0)),"",INDIRECT(CONCATENATE("Table!",ADDRESS($Q10,MATCH(B$1,INDIRECT("Table!A" &amp; $U10):INDIRECT("Table!" &amp; $X$159 &amp; $U10),0))))/1024)</f>
        <v>140.03144531250001</v>
      </c>
      <c r="C10" s="31">
        <f ca="1">IF(ISERROR(MATCH(C$1,INDIRECT("Table!A"&amp;$U10):INDIRECT("Table!" &amp; $X$159 &amp; $U10),0)),"",INDIRECT(CONCATENATE("Table!",ADDRESS($Q10,MATCH(C$1,INDIRECT("Table!A" &amp; $U10):INDIRECT("Table!" &amp; $X$159 &amp; $U10),0))))/1024)</f>
        <v>146.98808593749999</v>
      </c>
      <c r="D10" s="31">
        <f ca="1">IF(ISERROR(MATCH(D$1,INDIRECT("Table!A"&amp;$U10):INDIRECT("Table!" &amp; $X$159 &amp; $U10),0)),"",INDIRECT(CONCATENATE("Table!",ADDRESS($Q10,MATCH(D$1,INDIRECT("Table!A" &amp; $U10):INDIRECT("Table!" &amp; $X$159 &amp; $U10),0))))/1024)</f>
        <v>146.98808593749999</v>
      </c>
      <c r="E10" s="31">
        <f ca="1">IF(ISERROR(MATCH(E$1,INDIRECT("Table!A"&amp;$U10):INDIRECT("Table!" &amp; $X$159 &amp; $U10),0)),"",INDIRECT(CONCATENATE("Table!",ADDRESS($Q10,MATCH(E$1,INDIRECT("Table!A" &amp; $U10):INDIRECT("Table!" &amp; $X$159 &amp; $U10),0))))/1024)</f>
        <v>177.73222656249999</v>
      </c>
      <c r="F10" s="31">
        <f ca="1">IF(ISERROR(MATCH(F$1,INDIRECT("Table!A"&amp;$U10):INDIRECT("Table!" &amp; $X$159 &amp; $U10),0)),"",INDIRECT(CONCATENATE("Table!",ADDRESS($Q10,MATCH(F$1,INDIRECT("Table!A" &amp; $U10):INDIRECT("Table!" &amp; $X$159 &amp; $U10),0))))/1024)</f>
        <v>161.57470703125</v>
      </c>
      <c r="G10" s="31">
        <f ca="1">IF(ISERROR(MATCH(G$1,INDIRECT("Table!A"&amp;$U10):INDIRECT("Table!" &amp; $X$159 &amp; $U10),0)),"",INDIRECT(CONCATENATE("Table!",ADDRESS($Q10,MATCH(G$1,INDIRECT("Table!A" &amp; $U10):INDIRECT("Table!" &amp; $X$159 &amp; $U10),0))))/1024)</f>
        <v>129.03515625</v>
      </c>
      <c r="H10" s="31">
        <f ca="1">IF(ISERROR(MATCH(H$1,INDIRECT("Table!A"&amp;$U10):INDIRECT("Table!" &amp; $X$159 &amp; $U10),0)),"",INDIRECT(CONCATENATE("Table!",ADDRESS($Q10,MATCH(H$1,INDIRECT("Table!A" &amp; $U10):INDIRECT("Table!" &amp; $X$159 &amp; $U10),0))))/1024)</f>
        <v>118.4880859375</v>
      </c>
      <c r="I10" s="31">
        <f ca="1">IF(ISERROR(MATCH(I$1,INDIRECT("Table!A"&amp;$U10):INDIRECT("Table!" &amp; $X$159 &amp; $U10),0)),"",INDIRECT(CONCATENATE("Table!",ADDRESS($Q10,MATCH(I$1,INDIRECT("Table!A" &amp; $U10):INDIRECT("Table!" &amp; $X$159 &amp; $U10),0))))/1024)</f>
        <v>166.96054687500001</v>
      </c>
      <c r="J10" s="31">
        <f ca="1">IF(ISERROR(MATCH(J$1,INDIRECT("Table!A"&amp;$U10):INDIRECT("Table!" &amp; $X$159 &amp; $U10),0)),"",INDIRECT(CONCATENATE("Table!",ADDRESS($Q10,MATCH(J$1,INDIRECT("Table!A" &amp; $U10):INDIRECT("Table!" &amp; $X$159 &amp; $U10),0))))/1024)</f>
        <v>129.03535156250001</v>
      </c>
      <c r="K10" s="31">
        <f ca="1">IF(ISERROR(MATCH(K$1,INDIRECT("Table!A"&amp;$U10):INDIRECT("Table!" &amp; $X$159 &amp; $U10),0)),"",INDIRECT(CONCATENATE("Table!",ADDRESS($Q10,MATCH(K$1,INDIRECT("Table!A" &amp; $U10):INDIRECT("Table!" &amp; $X$159 &amp; $U10),0))))/1024)</f>
        <v>80.787402343750003</v>
      </c>
      <c r="L10" s="31">
        <f ca="1">IF(ISERROR(MATCH(L$1,INDIRECT("Table!A"&amp;$U10):INDIRECT("Table!" &amp; $X$159 &amp; $U10),0)),"",INDIRECT(CONCATENATE("Table!",ADDRESS($Q10,MATCH(L$1,INDIRECT("Table!A" &amp; $U10):INDIRECT("Table!" &amp; $X$159 &amp; $U10),0))))/1024)</f>
        <v>172.34638671875001</v>
      </c>
      <c r="M10" s="31">
        <f ca="1">IF(ISERROR(MATCH(M$1,INDIRECT("Table!A"&amp;$U10):INDIRECT("Table!" &amp; $X$159 &amp; $U10),0)),"",INDIRECT(CONCATENATE("Table!",ADDRESS($Q10,MATCH(M$1,INDIRECT("Table!A" &amp; $U10):INDIRECT("Table!" &amp; $X$159 &amp; $U10),0))))/1024)</f>
        <v>53.6337890625</v>
      </c>
      <c r="N10" s="31"/>
      <c r="O10" s="264"/>
      <c r="P10" s="264"/>
      <c r="Q10" s="31">
        <f>MATCH($A10,Table!$A:$A,0)+$S$2-1</f>
        <v>320</v>
      </c>
      <c r="R10" s="264"/>
      <c r="S10" s="264"/>
      <c r="T10" s="264"/>
      <c r="U10" s="31">
        <f>MATCH($A10,Table!$A:$A,0)+$W$2-1</f>
        <v>307</v>
      </c>
      <c r="V10" s="264"/>
      <c r="W10" s="264"/>
      <c r="X10" s="264" t="s">
        <v>118</v>
      </c>
    </row>
    <row r="11" spans="1:24">
      <c r="A11" s="5">
        <v>41220</v>
      </c>
      <c r="B11" s="31">
        <v>176.40433593750001</v>
      </c>
      <c r="C11" s="31">
        <v>89.634609374999997</v>
      </c>
      <c r="D11" s="31">
        <v>89.437031250000004</v>
      </c>
      <c r="E11" s="31">
        <v>271.07718749999998</v>
      </c>
      <c r="F11" s="31">
        <v>218.25796875</v>
      </c>
      <c r="G11" s="31">
        <v>397.16496093749998</v>
      </c>
      <c r="H11" s="31">
        <v>92.598281249999985</v>
      </c>
      <c r="I11" s="31">
        <v>260.14453125</v>
      </c>
      <c r="J11" s="31">
        <v>309.67078125</v>
      </c>
      <c r="K11" s="31">
        <v>116.9333203125</v>
      </c>
      <c r="L11" s="31">
        <v>213.38437500000001</v>
      </c>
      <c r="M11" s="31">
        <v>22.2275390625</v>
      </c>
      <c r="N11" s="31"/>
      <c r="O11" s="263"/>
      <c r="P11" s="263"/>
      <c r="Q11" s="31">
        <v>23</v>
      </c>
      <c r="R11" s="263"/>
      <c r="S11" s="263"/>
      <c r="T11" s="263"/>
      <c r="U11" s="31">
        <v>15</v>
      </c>
      <c r="V11" s="263"/>
      <c r="W11" s="263"/>
      <c r="X11" s="263" t="s">
        <v>118</v>
      </c>
    </row>
    <row r="12" spans="1:24">
      <c r="A12" s="5">
        <v>41215</v>
      </c>
      <c r="B12" s="31">
        <f ca="1">IF(ISERROR(MATCH(B$1,INDIRECT("Table!A"&amp;$U12):INDIRECT("Table!" &amp; $X$159 &amp; $U12),0)),"",INDIRECT(CONCATENATE("Table!",ADDRESS($Q12,MATCH(B$1,INDIRECT("Table!A" &amp; $U12):INDIRECT("Table!" &amp; $X$159 &amp; $U12),0))))/1024)</f>
        <v>140.03144531250001</v>
      </c>
      <c r="C12" s="31">
        <f ca="1">IF(ISERROR(MATCH(C$1,INDIRECT("Table!A"&amp;$U12):INDIRECT("Table!" &amp; $X$159 &amp; $U12),0)),"",INDIRECT(CONCATENATE("Table!",ADDRESS($Q12,MATCH(C$1,INDIRECT("Table!A" &amp; $U12):INDIRECT("Table!" &amp; $X$159 &amp; $U12),0))))/1024)</f>
        <v>146.98808593749999</v>
      </c>
      <c r="D12" s="31">
        <f ca="1">IF(ISERROR(MATCH(D$1,INDIRECT("Table!A"&amp;$U12):INDIRECT("Table!" &amp; $X$159 &amp; $U12),0)),"",INDIRECT(CONCATENATE("Table!",ADDRESS($Q12,MATCH(D$1,INDIRECT("Table!A" &amp; $U12):INDIRECT("Table!" &amp; $X$159 &amp; $U12),0))))/1024)</f>
        <v>146.98808593749999</v>
      </c>
      <c r="E12" s="31">
        <f ca="1">IF(ISERROR(MATCH(E$1,INDIRECT("Table!A"&amp;$U12):INDIRECT("Table!" &amp; $X$159 &amp; $U12),0)),"",INDIRECT(CONCATENATE("Table!",ADDRESS($Q12,MATCH(E$1,INDIRECT("Table!A" &amp; $U12):INDIRECT("Table!" &amp; $X$159 &amp; $U12),0))))/1024)</f>
        <v>177.73222656249999</v>
      </c>
      <c r="F12" s="31">
        <f ca="1">IF(ISERROR(MATCH(F$1,INDIRECT("Table!A"&amp;$U12):INDIRECT("Table!" &amp; $X$159 &amp; $U12),0)),"",INDIRECT(CONCATENATE("Table!",ADDRESS($Q12,MATCH(F$1,INDIRECT("Table!A" &amp; $U12):INDIRECT("Table!" &amp; $X$159 &amp; $U12),0))))/1024)</f>
        <v>161.57470703125</v>
      </c>
      <c r="G12" s="31">
        <f ca="1">IF(ISERROR(MATCH(G$1,INDIRECT("Table!A"&amp;$U12):INDIRECT("Table!" &amp; $X$159 &amp; $U12),0)),"",INDIRECT(CONCATENATE("Table!",ADDRESS($Q12,MATCH(G$1,INDIRECT("Table!A" &amp; $U12):INDIRECT("Table!" &amp; $X$159 &amp; $U12),0))))/1024)</f>
        <v>129.03515625</v>
      </c>
      <c r="H12" s="31">
        <f ca="1">IF(ISERROR(MATCH(H$1,INDIRECT("Table!A"&amp;$U12):INDIRECT("Table!" &amp; $X$159 &amp; $U12),0)),"",INDIRECT(CONCATENATE("Table!",ADDRESS($Q12,MATCH(H$1,INDIRECT("Table!A" &amp; $U12):INDIRECT("Table!" &amp; $X$159 &amp; $U12),0))))/1024)</f>
        <v>118.4880859375</v>
      </c>
      <c r="I12" s="31">
        <f ca="1">IF(ISERROR(MATCH(I$1,INDIRECT("Table!A"&amp;$U12):INDIRECT("Table!" &amp; $X$159 &amp; $U12),0)),"",INDIRECT(CONCATENATE("Table!",ADDRESS($Q12,MATCH(I$1,INDIRECT("Table!A" &amp; $U12):INDIRECT("Table!" &amp; $X$159 &amp; $U12),0))))/1024)</f>
        <v>166.96054687500001</v>
      </c>
      <c r="J12" s="31">
        <f ca="1">IF(ISERROR(MATCH(J$1,INDIRECT("Table!A"&amp;$U12):INDIRECT("Table!" &amp; $X$159 &amp; $U12),0)),"",INDIRECT(CONCATENATE("Table!",ADDRESS($Q12,MATCH(J$1,INDIRECT("Table!A" &amp; $U12):INDIRECT("Table!" &amp; $X$159 &amp; $U12),0))))/1024)</f>
        <v>129.03535156250001</v>
      </c>
      <c r="K12" s="31">
        <f ca="1">IF(ISERROR(MATCH(K$1,INDIRECT("Table!A"&amp;$U12):INDIRECT("Table!" &amp; $X$159 &amp; $U12),0)),"",INDIRECT(CONCATENATE("Table!",ADDRESS($Q12,MATCH(K$1,INDIRECT("Table!A" &amp; $U12):INDIRECT("Table!" &amp; $X$159 &amp; $U12),0))))/1024)</f>
        <v>80.787402343750003</v>
      </c>
      <c r="L12" s="31">
        <f ca="1">IF(ISERROR(MATCH(L$1,INDIRECT("Table!A"&amp;$U12):INDIRECT("Table!" &amp; $X$159 &amp; $U12),0)),"",INDIRECT(CONCATENATE("Table!",ADDRESS($Q12,MATCH(L$1,INDIRECT("Table!A" &amp; $U12):INDIRECT("Table!" &amp; $X$159 &amp; $U12),0))))/1024)</f>
        <v>172.34638671875001</v>
      </c>
      <c r="M12" s="31">
        <f ca="1">IF(ISERROR(MATCH(M$1,INDIRECT("Table!A"&amp;$U12):INDIRECT("Table!" &amp; $X$159 &amp; $U12),0)),"",INDIRECT(CONCATENATE("Table!",ADDRESS($Q12,MATCH(M$1,INDIRECT("Table!A" &amp; $U12):INDIRECT("Table!" &amp; $X$159 &amp; $U12),0))))/1024)</f>
        <v>53.6337890625</v>
      </c>
      <c r="N12" s="31"/>
      <c r="O12" s="262"/>
      <c r="P12" s="262"/>
      <c r="Q12" s="31">
        <f>MATCH($A12,Table!$A:$A,0)+$S$2-1</f>
        <v>356</v>
      </c>
      <c r="R12" s="262"/>
      <c r="S12" s="262"/>
      <c r="T12" s="262"/>
      <c r="U12" s="31">
        <f>MATCH($A12,Table!$A:$A,0)+$W$2-1</f>
        <v>343</v>
      </c>
      <c r="V12" s="262"/>
      <c r="W12" s="262"/>
      <c r="X12" s="262" t="s">
        <v>118</v>
      </c>
    </row>
    <row r="13" spans="1:24">
      <c r="A13" s="5">
        <v>41214</v>
      </c>
      <c r="B13" s="31">
        <f ca="1">IF(ISERROR(MATCH(B$1,INDIRECT("Table!A"&amp;$U13):INDIRECT("Table!" &amp; $X$159 &amp; $U13),0)),"",INDIRECT(CONCATENATE("Table!",ADDRESS($Q13,MATCH(B$1,INDIRECT("Table!A" &amp; $U13):INDIRECT("Table!" &amp; $X$159 &amp; $U13),0))))/1024)</f>
        <v>140.03144531250001</v>
      </c>
      <c r="C13" s="31">
        <f ca="1">IF(ISERROR(MATCH(C$1,INDIRECT("Table!A"&amp;$U13):INDIRECT("Table!" &amp; $X$159 &amp; $U13),0)),"",INDIRECT(CONCATENATE("Table!",ADDRESS($Q13,MATCH(C$1,INDIRECT("Table!A" &amp; $U13):INDIRECT("Table!" &amp; $X$159 &amp; $U13),0))))/1024)</f>
        <v>146.98808593749999</v>
      </c>
      <c r="D13" s="31">
        <f ca="1">IF(ISERROR(MATCH(D$1,INDIRECT("Table!A"&amp;$U13):INDIRECT("Table!" &amp; $X$159 &amp; $U13),0)),"",INDIRECT(CONCATENATE("Table!",ADDRESS($Q13,MATCH(D$1,INDIRECT("Table!A" &amp; $U13):INDIRECT("Table!" &amp; $X$159 &amp; $U13),0))))/1024)</f>
        <v>146.98808593749999</v>
      </c>
      <c r="E13" s="31">
        <f ca="1">IF(ISERROR(MATCH(E$1,INDIRECT("Table!A"&amp;$U13):INDIRECT("Table!" &amp; $X$159 &amp; $U13),0)),"",INDIRECT(CONCATENATE("Table!",ADDRESS($Q13,MATCH(E$1,INDIRECT("Table!A" &amp; $U13):INDIRECT("Table!" &amp; $X$159 &amp; $U13),0))))/1024)</f>
        <v>177.73222656249999</v>
      </c>
      <c r="F13" s="31">
        <f ca="1">IF(ISERROR(MATCH(F$1,INDIRECT("Table!A"&amp;$U13):INDIRECT("Table!" &amp; $X$159 &amp; $U13),0)),"",INDIRECT(CONCATENATE("Table!",ADDRESS($Q13,MATCH(F$1,INDIRECT("Table!A" &amp; $U13):INDIRECT("Table!" &amp; $X$159 &amp; $U13),0))))/1024)</f>
        <v>161.57470703125</v>
      </c>
      <c r="G13" s="31">
        <f ca="1">IF(ISERROR(MATCH(G$1,INDIRECT("Table!A"&amp;$U13):INDIRECT("Table!" &amp; $X$159 &amp; $U13),0)),"",INDIRECT(CONCATENATE("Table!",ADDRESS($Q13,MATCH(G$1,INDIRECT("Table!A" &amp; $U13):INDIRECT("Table!" &amp; $X$159 &amp; $U13),0))))/1024)</f>
        <v>129.03515625</v>
      </c>
      <c r="H13" s="31">
        <f ca="1">IF(ISERROR(MATCH(H$1,INDIRECT("Table!A"&amp;$U13):INDIRECT("Table!" &amp; $X$159 &amp; $U13),0)),"",INDIRECT(CONCATENATE("Table!",ADDRESS($Q13,MATCH(H$1,INDIRECT("Table!A" &amp; $U13):INDIRECT("Table!" &amp; $X$159 &amp; $U13),0))))/1024)</f>
        <v>118.4880859375</v>
      </c>
      <c r="I13" s="31">
        <f ca="1">IF(ISERROR(MATCH(I$1,INDIRECT("Table!A"&amp;$U13):INDIRECT("Table!" &amp; $X$159 &amp; $U13),0)),"",INDIRECT(CONCATENATE("Table!",ADDRESS($Q13,MATCH(I$1,INDIRECT("Table!A" &amp; $U13):INDIRECT("Table!" &amp; $X$159 &amp; $U13),0))))/1024)</f>
        <v>166.96054687500001</v>
      </c>
      <c r="J13" s="31">
        <f ca="1">IF(ISERROR(MATCH(J$1,INDIRECT("Table!A"&amp;$U13):INDIRECT("Table!" &amp; $X$159 &amp; $U13),0)),"",INDIRECT(CONCATENATE("Table!",ADDRESS($Q13,MATCH(J$1,INDIRECT("Table!A" &amp; $U13):INDIRECT("Table!" &amp; $X$159 &amp; $U13),0))))/1024)</f>
        <v>129.03535156250001</v>
      </c>
      <c r="K13" s="31">
        <f ca="1">IF(ISERROR(MATCH(K$1,INDIRECT("Table!A"&amp;$U13):INDIRECT("Table!" &amp; $X$159 &amp; $U13),0)),"",INDIRECT(CONCATENATE("Table!",ADDRESS($Q13,MATCH(K$1,INDIRECT("Table!A" &amp; $U13):INDIRECT("Table!" &amp; $X$159 &amp; $U13),0))))/1024)</f>
        <v>80.787402343750003</v>
      </c>
      <c r="L13" s="31">
        <f ca="1">IF(ISERROR(MATCH(L$1,INDIRECT("Table!A"&amp;$U13):INDIRECT("Table!" &amp; $X$159 &amp; $U13),0)),"",INDIRECT(CONCATENATE("Table!",ADDRESS($Q13,MATCH(L$1,INDIRECT("Table!A" &amp; $U13):INDIRECT("Table!" &amp; $X$159 &amp; $U13),0))))/1024)</f>
        <v>172.34638671875001</v>
      </c>
      <c r="M13" s="31">
        <f ca="1">IF(ISERROR(MATCH(M$1,INDIRECT("Table!A"&amp;$U13):INDIRECT("Table!" &amp; $X$159 &amp; $U13),0)),"",INDIRECT(CONCATENATE("Table!",ADDRESS($Q13,MATCH(M$1,INDIRECT("Table!A" &amp; $U13):INDIRECT("Table!" &amp; $X$159 &amp; $U13),0))))/1024)</f>
        <v>53.6337890625</v>
      </c>
      <c r="N13" s="31"/>
      <c r="O13" s="261"/>
      <c r="P13" s="261"/>
      <c r="Q13" s="31">
        <f>MATCH($A13,Table!$A:$A,0)+$S$2-1</f>
        <v>368</v>
      </c>
      <c r="R13" s="261"/>
      <c r="S13" s="261"/>
      <c r="T13" s="261"/>
      <c r="U13" s="31">
        <f>MATCH($A13,Table!$A:$A,0)+$W$2-1</f>
        <v>355</v>
      </c>
      <c r="V13" s="261"/>
      <c r="W13" s="261"/>
      <c r="X13" s="261" t="s">
        <v>118</v>
      </c>
    </row>
    <row r="14" spans="1:24">
      <c r="A14" s="5">
        <v>41213</v>
      </c>
      <c r="B14" s="31">
        <f ca="1">IF(ISERROR(MATCH(B$1,INDIRECT("Table!A"&amp;$U14):INDIRECT("Table!" &amp; $X$159 &amp; $U14),0)),"",INDIRECT(CONCATENATE("Table!",ADDRESS($Q14,MATCH(B$1,INDIRECT("Table!A" &amp; $U14):INDIRECT("Table!" &amp; $X$159 &amp; $U14),0))))/1024)</f>
        <v>140.03144531250001</v>
      </c>
      <c r="C14" s="31">
        <f ca="1">IF(ISERROR(MATCH(C$1,INDIRECT("Table!A"&amp;$U14):INDIRECT("Table!" &amp; $X$159 &amp; $U14),0)),"",INDIRECT(CONCATENATE("Table!",ADDRESS($Q14,MATCH(C$1,INDIRECT("Table!A" &amp; $U14):INDIRECT("Table!" &amp; $X$159 &amp; $U14),0))))/1024)</f>
        <v>146.98808593749999</v>
      </c>
      <c r="D14" s="31">
        <f ca="1">IF(ISERROR(MATCH(D$1,INDIRECT("Table!A"&amp;$U14):INDIRECT("Table!" &amp; $X$159 &amp; $U14),0)),"",INDIRECT(CONCATENATE("Table!",ADDRESS($Q14,MATCH(D$1,INDIRECT("Table!A" &amp; $U14):INDIRECT("Table!" &amp; $X$159 &amp; $U14),0))))/1024)</f>
        <v>146.98808593749999</v>
      </c>
      <c r="E14" s="31">
        <f ca="1">IF(ISERROR(MATCH(E$1,INDIRECT("Table!A"&amp;$U14):INDIRECT("Table!" &amp; $X$159 &amp; $U14),0)),"",INDIRECT(CONCATENATE("Table!",ADDRESS($Q14,MATCH(E$1,INDIRECT("Table!A" &amp; $U14):INDIRECT("Table!" &amp; $X$159 &amp; $U14),0))))/1024)</f>
        <v>177.73222656249999</v>
      </c>
      <c r="F14" s="31">
        <f ca="1">IF(ISERROR(MATCH(F$1,INDIRECT("Table!A"&amp;$U14):INDIRECT("Table!" &amp; $X$159 &amp; $U14),0)),"",INDIRECT(CONCATENATE("Table!",ADDRESS($Q14,MATCH(F$1,INDIRECT("Table!A" &amp; $U14):INDIRECT("Table!" &amp; $X$159 &amp; $U14),0))))/1024)</f>
        <v>161.57470703125</v>
      </c>
      <c r="G14" s="31">
        <f ca="1">IF(ISERROR(MATCH(G$1,INDIRECT("Table!A"&amp;$U14):INDIRECT("Table!" &amp; $X$159 &amp; $U14),0)),"",INDIRECT(CONCATENATE("Table!",ADDRESS($Q14,MATCH(G$1,INDIRECT("Table!A" &amp; $U14):INDIRECT("Table!" &amp; $X$159 &amp; $U14),0))))/1024)</f>
        <v>129.03515625</v>
      </c>
      <c r="H14" s="31">
        <f ca="1">IF(ISERROR(MATCH(H$1,INDIRECT("Table!A"&amp;$U14):INDIRECT("Table!" &amp; $X$159 &amp; $U14),0)),"",INDIRECT(CONCATENATE("Table!",ADDRESS($Q14,MATCH(H$1,INDIRECT("Table!A" &amp; $U14):INDIRECT("Table!" &amp; $X$159 &amp; $U14),0))))/1024)</f>
        <v>118.4880859375</v>
      </c>
      <c r="I14" s="31">
        <f ca="1">IF(ISERROR(MATCH(I$1,INDIRECT("Table!A"&amp;$U14):INDIRECT("Table!" &amp; $X$159 &amp; $U14),0)),"",INDIRECT(CONCATENATE("Table!",ADDRESS($Q14,MATCH(I$1,INDIRECT("Table!A" &amp; $U14):INDIRECT("Table!" &amp; $X$159 &amp; $U14),0))))/1024)</f>
        <v>166.96054687500001</v>
      </c>
      <c r="J14" s="31">
        <f ca="1">IF(ISERROR(MATCH(J$1,INDIRECT("Table!A"&amp;$U14):INDIRECT("Table!" &amp; $X$159 &amp; $U14),0)),"",INDIRECT(CONCATENATE("Table!",ADDRESS($Q14,MATCH(J$1,INDIRECT("Table!A" &amp; $U14):INDIRECT("Table!" &amp; $X$159 &amp; $U14),0))))/1024)</f>
        <v>129.03535156250001</v>
      </c>
      <c r="K14" s="31">
        <f ca="1">IF(ISERROR(MATCH(K$1,INDIRECT("Table!A"&amp;$U14):INDIRECT("Table!" &amp; $X$159 &amp; $U14),0)),"",INDIRECT(CONCATENATE("Table!",ADDRESS($Q14,MATCH(K$1,INDIRECT("Table!A" &amp; $U14):INDIRECT("Table!" &amp; $X$159 &amp; $U14),0))))/1024)</f>
        <v>80.787402343750003</v>
      </c>
      <c r="L14" s="31">
        <f ca="1">IF(ISERROR(MATCH(L$1,INDIRECT("Table!A"&amp;$U14):INDIRECT("Table!" &amp; $X$159 &amp; $U14),0)),"",INDIRECT(CONCATENATE("Table!",ADDRESS($Q14,MATCH(L$1,INDIRECT("Table!A" &amp; $U14):INDIRECT("Table!" &amp; $X$159 &amp; $U14),0))))/1024)</f>
        <v>172.34638671875001</v>
      </c>
      <c r="M14" s="31">
        <f ca="1">IF(ISERROR(MATCH(M$1,INDIRECT("Table!A"&amp;$U14):INDIRECT("Table!" &amp; $X$159 &amp; $U14),0)),"",INDIRECT(CONCATENATE("Table!",ADDRESS($Q14,MATCH(M$1,INDIRECT("Table!A" &amp; $U14):INDIRECT("Table!" &amp; $X$159 &amp; $U14),0))))/1024)</f>
        <v>53.6337890625</v>
      </c>
      <c r="N14" s="31"/>
      <c r="O14" s="260"/>
      <c r="P14" s="260"/>
      <c r="Q14" s="31">
        <f>MATCH($A14,Table!$A:$A,0)+$S$2-1</f>
        <v>380</v>
      </c>
      <c r="R14" s="260"/>
      <c r="S14" s="260"/>
      <c r="T14" s="260"/>
      <c r="U14" s="31">
        <f>MATCH($A14,Table!$A:$A,0)+$W$2-1</f>
        <v>367</v>
      </c>
      <c r="V14" s="260"/>
      <c r="W14" s="260"/>
      <c r="X14" s="260" t="s">
        <v>118</v>
      </c>
    </row>
    <row r="15" spans="1:24">
      <c r="A15" s="5">
        <v>41211</v>
      </c>
      <c r="B15" s="31">
        <f ca="1">IF(ISERROR(MATCH(B$1,INDIRECT("Table!A"&amp;$U15):INDIRECT("Table!" &amp; $X$159 &amp; $U15),0)),"",INDIRECT(CONCATENATE("Table!",ADDRESS($Q15,MATCH(B$1,INDIRECT("Table!A" &amp; $U15):INDIRECT("Table!" &amp; $X$159 &amp; $U15),0))))/1024)</f>
        <v>140.03144531250001</v>
      </c>
      <c r="C15" s="31">
        <f ca="1">IF(ISERROR(MATCH(C$1,INDIRECT("Table!A"&amp;$U15):INDIRECT("Table!" &amp; $X$159 &amp; $U15),0)),"",INDIRECT(CONCATENATE("Table!",ADDRESS($Q15,MATCH(C$1,INDIRECT("Table!A" &amp; $U15):INDIRECT("Table!" &amp; $X$159 &amp; $U15),0))))/1024)</f>
        <v>146.98808593749999</v>
      </c>
      <c r="D15" s="31">
        <f ca="1">IF(ISERROR(MATCH(D$1,INDIRECT("Table!A"&amp;$U15):INDIRECT("Table!" &amp; $X$159 &amp; $U15),0)),"",INDIRECT(CONCATENATE("Table!",ADDRESS($Q15,MATCH(D$1,INDIRECT("Table!A" &amp; $U15):INDIRECT("Table!" &amp; $X$159 &amp; $U15),0))))/1024)</f>
        <v>146.98808593749999</v>
      </c>
      <c r="E15" s="31">
        <f ca="1">IF(ISERROR(MATCH(E$1,INDIRECT("Table!A"&amp;$U15):INDIRECT("Table!" &amp; $X$159 &amp; $U15),0)),"",INDIRECT(CONCATENATE("Table!",ADDRESS($Q15,MATCH(E$1,INDIRECT("Table!A" &amp; $U15):INDIRECT("Table!" &amp; $X$159 &amp; $U15),0))))/1024)</f>
        <v>177.73222656249999</v>
      </c>
      <c r="F15" s="31">
        <f ca="1">IF(ISERROR(MATCH(F$1,INDIRECT("Table!A"&amp;$U15):INDIRECT("Table!" &amp; $X$159 &amp; $U15),0)),"",INDIRECT(CONCATENATE("Table!",ADDRESS($Q15,MATCH(F$1,INDIRECT("Table!A" &amp; $U15):INDIRECT("Table!" &amp; $X$159 &amp; $U15),0))))/1024)</f>
        <v>161.57470703125</v>
      </c>
      <c r="G15" s="31">
        <f ca="1">IF(ISERROR(MATCH(G$1,INDIRECT("Table!A"&amp;$U15):INDIRECT("Table!" &amp; $X$159 &amp; $U15),0)),"",INDIRECT(CONCATENATE("Table!",ADDRESS($Q15,MATCH(G$1,INDIRECT("Table!A" &amp; $U15):INDIRECT("Table!" &amp; $X$159 &amp; $U15),0))))/1024)</f>
        <v>129.03515625</v>
      </c>
      <c r="H15" s="31">
        <f ca="1">IF(ISERROR(MATCH(H$1,INDIRECT("Table!A"&amp;$U15):INDIRECT("Table!" &amp; $X$159 &amp; $U15),0)),"",INDIRECT(CONCATENATE("Table!",ADDRESS($Q15,MATCH(H$1,INDIRECT("Table!A" &amp; $U15):INDIRECT("Table!" &amp; $X$159 &amp; $U15),0))))/1024)</f>
        <v>118.4880859375</v>
      </c>
      <c r="I15" s="31">
        <f ca="1">IF(ISERROR(MATCH(I$1,INDIRECT("Table!A"&amp;$U15):INDIRECT("Table!" &amp; $X$159 &amp; $U15),0)),"",INDIRECT(CONCATENATE("Table!",ADDRESS($Q15,MATCH(I$1,INDIRECT("Table!A" &amp; $U15):INDIRECT("Table!" &amp; $X$159 &amp; $U15),0))))/1024)</f>
        <v>166.96054687500001</v>
      </c>
      <c r="J15" s="31">
        <f ca="1">IF(ISERROR(MATCH(J$1,INDIRECT("Table!A"&amp;$U15):INDIRECT("Table!" &amp; $X$159 &amp; $U15),0)),"",INDIRECT(CONCATENATE("Table!",ADDRESS($Q15,MATCH(J$1,INDIRECT("Table!A" &amp; $U15):INDIRECT("Table!" &amp; $X$159 &amp; $U15),0))))/1024)</f>
        <v>129.03535156250001</v>
      </c>
      <c r="K15" s="31">
        <f ca="1">IF(ISERROR(MATCH(K$1,INDIRECT("Table!A"&amp;$U15):INDIRECT("Table!" &amp; $X$159 &amp; $U15),0)),"",INDIRECT(CONCATENATE("Table!",ADDRESS($Q15,MATCH(K$1,INDIRECT("Table!A" &amp; $U15):INDIRECT("Table!" &amp; $X$159 &amp; $U15),0))))/1024)</f>
        <v>80.787402343750003</v>
      </c>
      <c r="L15" s="31">
        <f ca="1">IF(ISERROR(MATCH(L$1,INDIRECT("Table!A"&amp;$U15):INDIRECT("Table!" &amp; $X$159 &amp; $U15),0)),"",INDIRECT(CONCATENATE("Table!",ADDRESS($Q15,MATCH(L$1,INDIRECT("Table!A" &amp; $U15):INDIRECT("Table!" &amp; $X$159 &amp; $U15),0))))/1024)</f>
        <v>172.34638671875001</v>
      </c>
      <c r="M15" s="31">
        <f ca="1">IF(ISERROR(MATCH(M$1,INDIRECT("Table!A"&amp;$U15):INDIRECT("Table!" &amp; $X$159 &amp; $U15),0)),"",INDIRECT(CONCATENATE("Table!",ADDRESS($Q15,MATCH(M$1,INDIRECT("Table!A" &amp; $U15):INDIRECT("Table!" &amp; $X$159 &amp; $U15),0))))/1024)</f>
        <v>53.6337890625</v>
      </c>
      <c r="N15" s="31"/>
      <c r="O15" s="259"/>
      <c r="P15" s="259"/>
      <c r="Q15" s="31">
        <f>MATCH($A15,Table!$A:$A,0)+$S$2-1</f>
        <v>392</v>
      </c>
      <c r="R15" s="259"/>
      <c r="S15" s="259"/>
      <c r="T15" s="259"/>
      <c r="U15" s="31">
        <f>MATCH($A15,Table!$A:$A,0)+$W$2-1</f>
        <v>379</v>
      </c>
      <c r="V15" s="259"/>
      <c r="W15" s="259"/>
      <c r="X15" s="259" t="s">
        <v>118</v>
      </c>
    </row>
    <row r="16" spans="1:24">
      <c r="A16" s="5">
        <v>41208</v>
      </c>
      <c r="B16" s="31">
        <f ca="1">IF(ISERROR(MATCH(B$1,INDIRECT("Table!A"&amp;$U16):INDIRECT("Table!" &amp; $X$159 &amp; $U16),0)),"",INDIRECT(CONCATENATE("Table!",ADDRESS($Q16,MATCH(B$1,INDIRECT("Table!A" &amp; $U16):INDIRECT("Table!" &amp; $X$159 &amp; $U16),0))))/1024)</f>
        <v>140.03144531250001</v>
      </c>
      <c r="C16" s="31">
        <f ca="1">IF(ISERROR(MATCH(C$1,INDIRECT("Table!A"&amp;$U16):INDIRECT("Table!" &amp; $X$159 &amp; $U16),0)),"",INDIRECT(CONCATENATE("Table!",ADDRESS($Q16,MATCH(C$1,INDIRECT("Table!A" &amp; $U16):INDIRECT("Table!" &amp; $X$159 &amp; $U16),0))))/1024)</f>
        <v>146.98808593749999</v>
      </c>
      <c r="D16" s="31">
        <f ca="1">IF(ISERROR(MATCH(D$1,INDIRECT("Table!A"&amp;$U16):INDIRECT("Table!" &amp; $X$159 &amp; $U16),0)),"",INDIRECT(CONCATENATE("Table!",ADDRESS($Q16,MATCH(D$1,INDIRECT("Table!A" &amp; $U16):INDIRECT("Table!" &amp; $X$159 &amp; $U16),0))))/1024)</f>
        <v>146.98808593749999</v>
      </c>
      <c r="E16" s="31">
        <f ca="1">IF(ISERROR(MATCH(E$1,INDIRECT("Table!A"&amp;$U16):INDIRECT("Table!" &amp; $X$159 &amp; $U16),0)),"",INDIRECT(CONCATENATE("Table!",ADDRESS($Q16,MATCH(E$1,INDIRECT("Table!A" &amp; $U16):INDIRECT("Table!" &amp; $X$159 &amp; $U16),0))))/1024)</f>
        <v>177.73222656249999</v>
      </c>
      <c r="F16" s="31">
        <f ca="1">IF(ISERROR(MATCH(F$1,INDIRECT("Table!A"&amp;$U16):INDIRECT("Table!" &amp; $X$159 &amp; $U16),0)),"",INDIRECT(CONCATENATE("Table!",ADDRESS($Q16,MATCH(F$1,INDIRECT("Table!A" &amp; $U16):INDIRECT("Table!" &amp; $X$159 &amp; $U16),0))))/1024)</f>
        <v>161.57470703125</v>
      </c>
      <c r="G16" s="31">
        <f ca="1">IF(ISERROR(MATCH(G$1,INDIRECT("Table!A"&amp;$U16):INDIRECT("Table!" &amp; $X$159 &amp; $U16),0)),"",INDIRECT(CONCATENATE("Table!",ADDRESS($Q16,MATCH(G$1,INDIRECT("Table!A" &amp; $U16):INDIRECT("Table!" &amp; $X$159 &amp; $U16),0))))/1024)</f>
        <v>129.03515625</v>
      </c>
      <c r="H16" s="31">
        <f ca="1">IF(ISERROR(MATCH(H$1,INDIRECT("Table!A"&amp;$U16):INDIRECT("Table!" &amp; $X$159 &amp; $U16),0)),"",INDIRECT(CONCATENATE("Table!",ADDRESS($Q16,MATCH(H$1,INDIRECT("Table!A" &amp; $U16):INDIRECT("Table!" &amp; $X$159 &amp; $U16),0))))/1024)</f>
        <v>118.4880859375</v>
      </c>
      <c r="I16" s="31">
        <f ca="1">IF(ISERROR(MATCH(I$1,INDIRECT("Table!A"&amp;$U16):INDIRECT("Table!" &amp; $X$159 &amp; $U16),0)),"",INDIRECT(CONCATENATE("Table!",ADDRESS($Q16,MATCH(I$1,INDIRECT("Table!A" &amp; $U16):INDIRECT("Table!" &amp; $X$159 &amp; $U16),0))))/1024)</f>
        <v>166.96054687500001</v>
      </c>
      <c r="J16" s="31">
        <f ca="1">IF(ISERROR(MATCH(J$1,INDIRECT("Table!A"&amp;$U16):INDIRECT("Table!" &amp; $X$159 &amp; $U16),0)),"",INDIRECT(CONCATENATE("Table!",ADDRESS($Q16,MATCH(J$1,INDIRECT("Table!A" &amp; $U16):INDIRECT("Table!" &amp; $X$159 &amp; $U16),0))))/1024)</f>
        <v>129.03535156250001</v>
      </c>
      <c r="K16" s="31">
        <f ca="1">IF(ISERROR(MATCH(K$1,INDIRECT("Table!A"&amp;$U16):INDIRECT("Table!" &amp; $X$159 &amp; $U16),0)),"",INDIRECT(CONCATENATE("Table!",ADDRESS($Q16,MATCH(K$1,INDIRECT("Table!A" &amp; $U16):INDIRECT("Table!" &amp; $X$159 &amp; $U16),0))))/1024)</f>
        <v>80.787402343750003</v>
      </c>
      <c r="L16" s="31">
        <f ca="1">IF(ISERROR(MATCH(L$1,INDIRECT("Table!A"&amp;$U16):INDIRECT("Table!" &amp; $X$159 &amp; $U16),0)),"",INDIRECT(CONCATENATE("Table!",ADDRESS($Q16,MATCH(L$1,INDIRECT("Table!A" &amp; $U16):INDIRECT("Table!" &amp; $X$159 &amp; $U16),0))))/1024)</f>
        <v>172.34638671875001</v>
      </c>
      <c r="M16" s="31">
        <f ca="1">IF(ISERROR(MATCH(M$1,INDIRECT("Table!A"&amp;$U16):INDIRECT("Table!" &amp; $X$159 &amp; $U16),0)),"",INDIRECT(CONCATENATE("Table!",ADDRESS($Q16,MATCH(M$1,INDIRECT("Table!A" &amp; $U16):INDIRECT("Table!" &amp; $X$159 &amp; $U16),0))))/1024)</f>
        <v>53.6337890625</v>
      </c>
      <c r="N16" s="31"/>
      <c r="O16" s="258"/>
      <c r="P16" s="258"/>
      <c r="Q16" s="31">
        <f>MATCH($A16,Table!$A:$A,0)+$S$2-1</f>
        <v>404</v>
      </c>
      <c r="R16" s="258"/>
      <c r="S16" s="258"/>
      <c r="T16" s="258"/>
      <c r="U16" s="31">
        <f>MATCH($A16,Table!$A:$A,0)+$W$2-1</f>
        <v>391</v>
      </c>
      <c r="V16" s="258"/>
      <c r="W16" s="258"/>
      <c r="X16" s="258" t="s">
        <v>118</v>
      </c>
    </row>
    <row r="17" spans="1:24">
      <c r="A17" s="5">
        <v>41207</v>
      </c>
      <c r="B17" s="31">
        <f ca="1">IF(ISERROR(MATCH(B$1,INDIRECT("Table!A"&amp;$U17):INDIRECT("Table!" &amp; $X$159 &amp; $U17),0)),"",INDIRECT(CONCATENATE("Table!",ADDRESS($Q17,MATCH(B$1,INDIRECT("Table!A" &amp; $U17):INDIRECT("Table!" &amp; $X$159 &amp; $U17),0))))/1024)</f>
        <v>140.03144531250001</v>
      </c>
      <c r="C17" s="31">
        <f ca="1">IF(ISERROR(MATCH(C$1,INDIRECT("Table!A"&amp;$U17):INDIRECT("Table!" &amp; $X$159 &amp; $U17),0)),"",INDIRECT(CONCATENATE("Table!",ADDRESS($Q17,MATCH(C$1,INDIRECT("Table!A" &amp; $U17):INDIRECT("Table!" &amp; $X$159 &amp; $U17),0))))/1024)</f>
        <v>146.98808593749999</v>
      </c>
      <c r="D17" s="31">
        <f ca="1">IF(ISERROR(MATCH(D$1,INDIRECT("Table!A"&amp;$U17):INDIRECT("Table!" &amp; $X$159 &amp; $U17),0)),"",INDIRECT(CONCATENATE("Table!",ADDRESS($Q17,MATCH(D$1,INDIRECT("Table!A" &amp; $U17):INDIRECT("Table!" &amp; $X$159 &amp; $U17),0))))/1024)</f>
        <v>146.98808593749999</v>
      </c>
      <c r="E17" s="31">
        <f ca="1">IF(ISERROR(MATCH(E$1,INDIRECT("Table!A"&amp;$U17):INDIRECT("Table!" &amp; $X$159 &amp; $U17),0)),"",INDIRECT(CONCATENATE("Table!",ADDRESS($Q17,MATCH(E$1,INDIRECT("Table!A" &amp; $U17):INDIRECT("Table!" &amp; $X$159 &amp; $U17),0))))/1024)</f>
        <v>177.73222656249999</v>
      </c>
      <c r="F17" s="31">
        <f ca="1">IF(ISERROR(MATCH(F$1,INDIRECT("Table!A"&amp;$U17):INDIRECT("Table!" &amp; $X$159 &amp; $U17),0)),"",INDIRECT(CONCATENATE("Table!",ADDRESS($Q17,MATCH(F$1,INDIRECT("Table!A" &amp; $U17):INDIRECT("Table!" &amp; $X$159 &amp; $U17),0))))/1024)</f>
        <v>161.57470703125</v>
      </c>
      <c r="G17" s="31">
        <f ca="1">IF(ISERROR(MATCH(G$1,INDIRECT("Table!A"&amp;$U17):INDIRECT("Table!" &amp; $X$159 &amp; $U17),0)),"",INDIRECT(CONCATENATE("Table!",ADDRESS($Q17,MATCH(G$1,INDIRECT("Table!A" &amp; $U17):INDIRECT("Table!" &amp; $X$159 &amp; $U17),0))))/1024)</f>
        <v>107.49208984374999</v>
      </c>
      <c r="H17" s="31">
        <f ca="1">IF(ISERROR(MATCH(H$1,INDIRECT("Table!A"&amp;$U17):INDIRECT("Table!" &amp; $X$159 &amp; $U17),0)),"",INDIRECT(CONCATENATE("Table!",ADDRESS($Q17,MATCH(H$1,INDIRECT("Table!A" &amp; $U17):INDIRECT("Table!" &amp; $X$159 &amp; $U17),0))))/1024)</f>
        <v>118.4880859375</v>
      </c>
      <c r="I17" s="31">
        <f ca="1">IF(ISERROR(MATCH(I$1,INDIRECT("Table!A"&amp;$U17):INDIRECT("Table!" &amp; $X$159 &amp; $U17),0)),"",INDIRECT(CONCATENATE("Table!",ADDRESS($Q17,MATCH(I$1,INDIRECT("Table!A" &amp; $U17):INDIRECT("Table!" &amp; $X$159 &amp; $U17),0))))/1024)</f>
        <v>166.96054687500001</v>
      </c>
      <c r="J17" s="31">
        <f ca="1">IF(ISERROR(MATCH(J$1,INDIRECT("Table!A"&amp;$U17):INDIRECT("Table!" &amp; $X$159 &amp; $U17),0)),"",INDIRECT(CONCATENATE("Table!",ADDRESS($Q17,MATCH(J$1,INDIRECT("Table!A" &amp; $U17):INDIRECT("Table!" &amp; $X$159 &amp; $U17),0))))/1024)</f>
        <v>129.03535156250001</v>
      </c>
      <c r="K17" s="31">
        <f ca="1">IF(ISERROR(MATCH(K$1,INDIRECT("Table!A"&amp;$U17):INDIRECT("Table!" &amp; $X$159 &amp; $U17),0)),"",INDIRECT(CONCATENATE("Table!",ADDRESS($Q17,MATCH(K$1,INDIRECT("Table!A" &amp; $U17):INDIRECT("Table!" &amp; $X$159 &amp; $U17),0))))/1024)</f>
        <v>80.787402343750003</v>
      </c>
      <c r="L17" s="31">
        <f ca="1">IF(ISERROR(MATCH(L$1,INDIRECT("Table!A"&amp;$U17):INDIRECT("Table!" &amp; $X$159 &amp; $U17),0)),"",INDIRECT(CONCATENATE("Table!",ADDRESS($Q17,MATCH(L$1,INDIRECT("Table!A" &amp; $U17):INDIRECT("Table!" &amp; $X$159 &amp; $U17),0))))/1024)</f>
        <v>172.34638671875001</v>
      </c>
      <c r="M17" s="31">
        <f ca="1">IF(ISERROR(MATCH(M$1,INDIRECT("Table!A"&amp;$U17):INDIRECT("Table!" &amp; $X$159 &amp; $U17),0)),"",INDIRECT(CONCATENATE("Table!",ADDRESS($Q17,MATCH(M$1,INDIRECT("Table!A" &amp; $U17):INDIRECT("Table!" &amp; $X$159 &amp; $U17),0))))/1024)</f>
        <v>53.6337890625</v>
      </c>
      <c r="N17" s="31"/>
      <c r="O17" s="257"/>
      <c r="P17" s="257"/>
      <c r="Q17" s="31">
        <f>MATCH($A17,Table!$A:$A,0)+$S$2-1</f>
        <v>416</v>
      </c>
      <c r="R17" s="257"/>
      <c r="S17" s="257"/>
      <c r="T17" s="257"/>
      <c r="U17" s="31">
        <f>MATCH($A17,Table!$A:$A,0)+$W$2-1</f>
        <v>403</v>
      </c>
      <c r="V17" s="257"/>
      <c r="W17" s="257"/>
      <c r="X17" s="257" t="s">
        <v>118</v>
      </c>
    </row>
    <row r="18" spans="1:24">
      <c r="A18" s="5">
        <v>41205</v>
      </c>
      <c r="B18" s="31">
        <f ca="1">IF(ISERROR(MATCH(B$1,INDIRECT("Table!A"&amp;$U18):INDIRECT("Table!" &amp; $X$159 &amp; $U18),0)),"",INDIRECT(CONCATENATE("Table!",ADDRESS($Q18,MATCH(B$1,INDIRECT("Table!A" &amp; $U18):INDIRECT("Table!" &amp; $X$159 &amp; $U18),0))))/1024)</f>
        <v>140.03144531250001</v>
      </c>
      <c r="C18" s="31">
        <f ca="1">IF(ISERROR(MATCH(C$1,INDIRECT("Table!A"&amp;$U18):INDIRECT("Table!" &amp; $X$159 &amp; $U18),0)),"",INDIRECT(CONCATENATE("Table!",ADDRESS($Q18,MATCH(C$1,INDIRECT("Table!A" &amp; $U18):INDIRECT("Table!" &amp; $X$159 &amp; $U18),0))))/1024)</f>
        <v>146.98808593749999</v>
      </c>
      <c r="D18" s="31">
        <f ca="1">IF(ISERROR(MATCH(D$1,INDIRECT("Table!A"&amp;$U18):INDIRECT("Table!" &amp; $X$159 &amp; $U18),0)),"",INDIRECT(CONCATENATE("Table!",ADDRESS($Q18,MATCH(D$1,INDIRECT("Table!A" &amp; $U18):INDIRECT("Table!" &amp; $X$159 &amp; $U18),0))))/1024)</f>
        <v>146.98808593749999</v>
      </c>
      <c r="E18" s="31">
        <f ca="1">IF(ISERROR(MATCH(E$1,INDIRECT("Table!A"&amp;$U18):INDIRECT("Table!" &amp; $X$159 &amp; $U18),0)),"",INDIRECT(CONCATENATE("Table!",ADDRESS($Q18,MATCH(E$1,INDIRECT("Table!A" &amp; $U18):INDIRECT("Table!" &amp; $X$159 &amp; $U18),0))))/1024)</f>
        <v>177.73222656249999</v>
      </c>
      <c r="F18" s="31">
        <f ca="1">IF(ISERROR(MATCH(F$1,INDIRECT("Table!A"&amp;$U18):INDIRECT("Table!" &amp; $X$159 &amp; $U18),0)),"",INDIRECT(CONCATENATE("Table!",ADDRESS($Q18,MATCH(F$1,INDIRECT("Table!A" &amp; $U18):INDIRECT("Table!" &amp; $X$159 &amp; $U18),0))))/1024)</f>
        <v>161.57470703125</v>
      </c>
      <c r="G18" s="31">
        <f ca="1">IF(ISERROR(MATCH(G$1,INDIRECT("Table!A"&amp;$U18):INDIRECT("Table!" &amp; $X$159 &amp; $U18),0)),"",INDIRECT(CONCATENATE("Table!",ADDRESS($Q18,MATCH(G$1,INDIRECT("Table!A" &amp; $U18):INDIRECT("Table!" &amp; $X$159 &amp; $U18),0))))/1024)</f>
        <v>107.49208984374999</v>
      </c>
      <c r="H18" s="31">
        <f ca="1">IF(ISERROR(MATCH(H$1,INDIRECT("Table!A"&amp;$U18):INDIRECT("Table!" &amp; $X$159 &amp; $U18),0)),"",INDIRECT(CONCATENATE("Table!",ADDRESS($Q18,MATCH(H$1,INDIRECT("Table!A" &amp; $U18):INDIRECT("Table!" &amp; $X$159 &amp; $U18),0))))/1024)</f>
        <v>118.4880859375</v>
      </c>
      <c r="I18" s="31">
        <f ca="1">IF(ISERROR(MATCH(I$1,INDIRECT("Table!A"&amp;$U18):INDIRECT("Table!" &amp; $X$159 &amp; $U18),0)),"",INDIRECT(CONCATENATE("Table!",ADDRESS($Q18,MATCH(I$1,INDIRECT("Table!A" &amp; $U18):INDIRECT("Table!" &amp; $X$159 &amp; $U18),0))))/1024)</f>
        <v>166.96054687500001</v>
      </c>
      <c r="J18" s="31">
        <f ca="1">IF(ISERROR(MATCH(J$1,INDIRECT("Table!A"&amp;$U18):INDIRECT("Table!" &amp; $X$159 &amp; $U18),0)),"",INDIRECT(CONCATENATE("Table!",ADDRESS($Q18,MATCH(J$1,INDIRECT("Table!A" &amp; $U18):INDIRECT("Table!" &amp; $X$159 &amp; $U18),0))))/1024)</f>
        <v>129.03535156250001</v>
      </c>
      <c r="K18" s="31">
        <f ca="1">IF(ISERROR(MATCH(K$1,INDIRECT("Table!A"&amp;$U18):INDIRECT("Table!" &amp; $X$159 &amp; $U18),0)),"",INDIRECT(CONCATENATE("Table!",ADDRESS($Q18,MATCH(K$1,INDIRECT("Table!A" &amp; $U18):INDIRECT("Table!" &amp; $X$159 &amp; $U18),0))))/1024)</f>
        <v>80.787402343750003</v>
      </c>
      <c r="L18" s="31">
        <f ca="1">IF(ISERROR(MATCH(L$1,INDIRECT("Table!A"&amp;$U18):INDIRECT("Table!" &amp; $X$159 &amp; $U18),0)),"",INDIRECT(CONCATENATE("Table!",ADDRESS($Q18,MATCH(L$1,INDIRECT("Table!A" &amp; $U18):INDIRECT("Table!" &amp; $X$159 &amp; $U18),0))))/1024)</f>
        <v>172.34638671875001</v>
      </c>
      <c r="M18" s="31">
        <f ca="1">IF(ISERROR(MATCH(M$1,INDIRECT("Table!A"&amp;$U18):INDIRECT("Table!" &amp; $X$159 &amp; $U18),0)),"",INDIRECT(CONCATENATE("Table!",ADDRESS($Q18,MATCH(M$1,INDIRECT("Table!A" &amp; $U18):INDIRECT("Table!" &amp; $X$159 &amp; $U18),0))))/1024)</f>
        <v>53.6337890625</v>
      </c>
      <c r="N18" s="31"/>
      <c r="O18" s="257"/>
      <c r="P18" s="257"/>
      <c r="Q18" s="31">
        <f>MATCH($A18,Table!$A:$A,0)+$S$2-1</f>
        <v>428</v>
      </c>
      <c r="R18" s="257"/>
      <c r="S18" s="257"/>
      <c r="T18" s="257"/>
      <c r="U18" s="31">
        <f>MATCH($A18,Table!$A:$A,0)+$W$2-1</f>
        <v>415</v>
      </c>
      <c r="V18" s="257"/>
      <c r="W18" s="257"/>
      <c r="X18" s="257" t="s">
        <v>118</v>
      </c>
    </row>
    <row r="19" spans="1:24">
      <c r="A19" s="5">
        <v>41200</v>
      </c>
      <c r="B19" s="31">
        <f ca="1">IF(ISERROR(MATCH(B$1,INDIRECT("Table!A"&amp;$U19):INDIRECT("Table!" &amp; $X$159 &amp; $U19),0)),"",INDIRECT(CONCATENATE("Table!",ADDRESS($Q19,MATCH(B$1,INDIRECT("Table!A" &amp; $U19):INDIRECT("Table!" &amp; $X$159 &amp; $U19),0))))/1024)</f>
        <v>0.6083984375</v>
      </c>
      <c r="C19" s="31">
        <f ca="1">IF(ISERROR(MATCH(C$1,INDIRECT("Table!A"&amp;$U19):INDIRECT("Table!" &amp; $X$159 &amp; $U19),0)),"",INDIRECT(CONCATENATE("Table!",ADDRESS($Q19,MATCH(C$1,INDIRECT("Table!A" &amp; $U19):INDIRECT("Table!" &amp; $X$159 &amp; $U19),0))))/1024)</f>
        <v>0.7275390625</v>
      </c>
      <c r="D19" s="31">
        <f ca="1">IF(ISERROR(MATCH(D$1,INDIRECT("Table!A"&amp;$U19):INDIRECT("Table!" &amp; $X$159 &amp; $U19),0)),"",INDIRECT(CONCATENATE("Table!",ADDRESS($Q19,MATCH(D$1,INDIRECT("Table!A" &amp; $U19):INDIRECT("Table!" &amp; $X$159 &amp; $U19),0))))/1024)</f>
        <v>0.5390625</v>
      </c>
      <c r="E19" s="31">
        <f ca="1">IF(ISERROR(MATCH(E$1,INDIRECT("Table!A"&amp;$U19):INDIRECT("Table!" &amp; $X$159 &amp; $U19),0)),"",INDIRECT(CONCATENATE("Table!",ADDRESS($Q19,MATCH(E$1,INDIRECT("Table!A" &amp; $U19):INDIRECT("Table!" &amp; $X$159 &amp; $U19),0))))/1024)</f>
        <v>0.662109375</v>
      </c>
      <c r="F19" s="31">
        <f ca="1">IF(ISERROR(MATCH(F$1,INDIRECT("Table!A"&amp;$U19):INDIRECT("Table!" &amp; $X$159 &amp; $U19),0)),"",INDIRECT(CONCATENATE("Table!",ADDRESS($Q19,MATCH(F$1,INDIRECT("Table!A" &amp; $U19):INDIRECT("Table!" &amp; $X$159 &amp; $U19),0))))/1024)</f>
        <v>3.208984375</v>
      </c>
      <c r="G19" s="31">
        <f ca="1">IF(ISERROR(MATCH(G$1,INDIRECT("Table!A"&amp;$U19):INDIRECT("Table!" &amp; $X$159 &amp; $U19),0)),"",INDIRECT(CONCATENATE("Table!",ADDRESS($Q19,MATCH(G$1,INDIRECT("Table!A" &amp; $U19):INDIRECT("Table!" &amp; $X$159 &amp; $U19),0))))/1024)</f>
        <v>3.0009765625</v>
      </c>
      <c r="H19" s="31">
        <f ca="1">IF(ISERROR(MATCH(H$1,INDIRECT("Table!A"&amp;$U19):INDIRECT("Table!" &amp; $X$159 &amp; $U19),0)),"",INDIRECT(CONCATENATE("Table!",ADDRESS($Q19,MATCH(H$1,INDIRECT("Table!A" &amp; $U19):INDIRECT("Table!" &amp; $X$159 &amp; $U19),0))))/1024)</f>
        <v>2.177734375</v>
      </c>
      <c r="I19" s="31">
        <f ca="1">IF(ISERROR(MATCH(I$1,INDIRECT("Table!A"&amp;$U19):INDIRECT("Table!" &amp; $X$159 &amp; $U19),0)),"",INDIRECT(CONCATENATE("Table!",ADDRESS($Q19,MATCH(I$1,INDIRECT("Table!A" &amp; $U19):INDIRECT("Table!" &amp; $X$159 &amp; $U19),0))))/1024)</f>
        <v>0.8583984375</v>
      </c>
      <c r="J19" s="31">
        <f ca="1">IF(ISERROR(MATCH(J$1,INDIRECT("Table!A"&amp;$U19):INDIRECT("Table!" &amp; $X$159 &amp; $U19),0)),"",INDIRECT(CONCATENATE("Table!",ADDRESS($Q19,MATCH(J$1,INDIRECT("Table!A" &amp; $U19):INDIRECT("Table!" &amp; $X$159 &amp; $U19),0))))/1024)</f>
        <v>2.93359375</v>
      </c>
      <c r="K19" s="31">
        <f ca="1">IF(ISERROR(MATCH(K$1,INDIRECT("Table!A"&amp;$U19):INDIRECT("Table!" &amp; $X$159 &amp; $U19),0)),"",INDIRECT(CONCATENATE("Table!",ADDRESS($Q19,MATCH(K$1,INDIRECT("Table!A" &amp; $U19):INDIRECT("Table!" &amp; $X$159 &amp; $U19),0))))/1024)</f>
        <v>2.73828125</v>
      </c>
      <c r="L19" s="31">
        <f ca="1">IF(ISERROR(MATCH(L$1,INDIRECT("Table!A"&amp;$U19):INDIRECT("Table!" &amp; $X$159 &amp; $U19),0)),"",INDIRECT(CONCATENATE("Table!",ADDRESS($Q19,MATCH(L$1,INDIRECT("Table!A" &amp; $U19):INDIRECT("Table!" &amp; $X$159 &amp; $U19),0))))/1024)</f>
        <v>2.1787109375</v>
      </c>
      <c r="M19" s="31">
        <f ca="1">IF(ISERROR(MATCH(M$1,INDIRECT("Table!A"&amp;$U19):INDIRECT("Table!" &amp; $X$159 &amp; $U19),0)),"",INDIRECT(CONCATENATE("Table!",ADDRESS($Q19,MATCH(M$1,INDIRECT("Table!A" &amp; $U19):INDIRECT("Table!" &amp; $X$159 &amp; $U19),0))))/1024)</f>
        <v>2.208984375</v>
      </c>
      <c r="N19" s="31"/>
      <c r="O19" s="254"/>
      <c r="P19" s="254"/>
      <c r="Q19" s="31">
        <f>MATCH($A19,Table!$A:$A,0)+$S$2-1</f>
        <v>440</v>
      </c>
      <c r="R19" s="254"/>
      <c r="S19" s="254"/>
      <c r="T19" s="254"/>
      <c r="U19" s="31">
        <f>MATCH($A19,Table!$A:$A,0)+$W$2-1</f>
        <v>427</v>
      </c>
      <c r="V19" s="254"/>
      <c r="W19" s="254"/>
      <c r="X19" s="254" t="s">
        <v>118</v>
      </c>
    </row>
    <row r="20" spans="1:24">
      <c r="A20" s="5">
        <v>41198</v>
      </c>
      <c r="B20" s="31">
        <f ca="1">IF(ISERROR(MATCH(B$1,INDIRECT("Table!A"&amp;$U20):INDIRECT("Table!" &amp; $X$159 &amp; $U20),0)),"",INDIRECT(CONCATENATE("Table!",ADDRESS($Q20,MATCH(B$1,INDIRECT("Table!A" &amp; $U20):INDIRECT("Table!" &amp; $X$159 &amp; $U20),0))))/1024)</f>
        <v>0.6083984375</v>
      </c>
      <c r="C20" s="31">
        <f ca="1">IF(ISERROR(MATCH(C$1,INDIRECT("Table!A"&amp;$U20):INDIRECT("Table!" &amp; $X$159 &amp; $U20),0)),"",INDIRECT(CONCATENATE("Table!",ADDRESS($Q20,MATCH(C$1,INDIRECT("Table!A" &amp; $U20):INDIRECT("Table!" &amp; $X$159 &amp; $U20),0))))/1024)</f>
        <v>0.7275390625</v>
      </c>
      <c r="D20" s="31">
        <f ca="1">IF(ISERROR(MATCH(D$1,INDIRECT("Table!A"&amp;$U20):INDIRECT("Table!" &amp; $X$159 &amp; $U20),0)),"",INDIRECT(CONCATENATE("Table!",ADDRESS($Q20,MATCH(D$1,INDIRECT("Table!A" &amp; $U20):INDIRECT("Table!" &amp; $X$159 &amp; $U20),0))))/1024)</f>
        <v>0.5390625</v>
      </c>
      <c r="E20" s="31">
        <f ca="1">IF(ISERROR(MATCH(E$1,INDIRECT("Table!A"&amp;$U20):INDIRECT("Table!" &amp; $X$159 &amp; $U20),0)),"",INDIRECT(CONCATENATE("Table!",ADDRESS($Q20,MATCH(E$1,INDIRECT("Table!A" &amp; $U20):INDIRECT("Table!" &amp; $X$159 &amp; $U20),0))))/1024)</f>
        <v>0.662109375</v>
      </c>
      <c r="F20" s="31">
        <f ca="1">IF(ISERROR(MATCH(F$1,INDIRECT("Table!A"&amp;$U20):INDIRECT("Table!" &amp; $X$159 &amp; $U20),0)),"",INDIRECT(CONCATENATE("Table!",ADDRESS($Q20,MATCH(F$1,INDIRECT("Table!A" &amp; $U20):INDIRECT("Table!" &amp; $X$159 &amp; $U20),0))))/1024)</f>
        <v>3.208984375</v>
      </c>
      <c r="G20" s="31">
        <f ca="1">IF(ISERROR(MATCH(G$1,INDIRECT("Table!A"&amp;$U20):INDIRECT("Table!" &amp; $X$159 &amp; $U20),0)),"",INDIRECT(CONCATENATE("Table!",ADDRESS($Q20,MATCH(G$1,INDIRECT("Table!A" &amp; $U20):INDIRECT("Table!" &amp; $X$159 &amp; $U20),0))))/1024)</f>
        <v>3.0009765625</v>
      </c>
      <c r="H20" s="31">
        <f ca="1">IF(ISERROR(MATCH(H$1,INDIRECT("Table!A"&amp;$U20):INDIRECT("Table!" &amp; $X$159 &amp; $U20),0)),"",INDIRECT(CONCATENATE("Table!",ADDRESS($Q20,MATCH(H$1,INDIRECT("Table!A" &amp; $U20):INDIRECT("Table!" &amp; $X$159 &amp; $U20),0))))/1024)</f>
        <v>2.177734375</v>
      </c>
      <c r="I20" s="31">
        <f ca="1">IF(ISERROR(MATCH(I$1,INDIRECT("Table!A"&amp;$U20):INDIRECT("Table!" &amp; $X$159 &amp; $U20),0)),"",INDIRECT(CONCATENATE("Table!",ADDRESS($Q20,MATCH(I$1,INDIRECT("Table!A" &amp; $U20):INDIRECT("Table!" &amp; $X$159 &amp; $U20),0))))/1024)</f>
        <v>0.8583984375</v>
      </c>
      <c r="J20" s="31">
        <f ca="1">IF(ISERROR(MATCH(J$1,INDIRECT("Table!A"&amp;$U20):INDIRECT("Table!" &amp; $X$159 &amp; $U20),0)),"",INDIRECT(CONCATENATE("Table!",ADDRESS($Q20,MATCH(J$1,INDIRECT("Table!A" &amp; $U20):INDIRECT("Table!" &amp; $X$159 &amp; $U20),0))))/1024)</f>
        <v>2.93359375</v>
      </c>
      <c r="K20" s="31">
        <f ca="1">IF(ISERROR(MATCH(K$1,INDIRECT("Table!A"&amp;$U20):INDIRECT("Table!" &amp; $X$159 &amp; $U20),0)),"",INDIRECT(CONCATENATE("Table!",ADDRESS($Q20,MATCH(K$1,INDIRECT("Table!A" &amp; $U20):INDIRECT("Table!" &amp; $X$159 &amp; $U20),0))))/1024)</f>
        <v>2.73828125</v>
      </c>
      <c r="L20" s="31">
        <f ca="1">IF(ISERROR(MATCH(L$1,INDIRECT("Table!A"&amp;$U20):INDIRECT("Table!" &amp; $X$159 &amp; $U20),0)),"",INDIRECT(CONCATENATE("Table!",ADDRESS($Q20,MATCH(L$1,INDIRECT("Table!A" &amp; $U20):INDIRECT("Table!" &amp; $X$159 &amp; $U20),0))))/1024)</f>
        <v>2.1787109375</v>
      </c>
      <c r="M20" s="31">
        <f ca="1">IF(ISERROR(MATCH(M$1,INDIRECT("Table!A"&amp;$U20):INDIRECT("Table!" &amp; $X$159 &amp; $U20),0)),"",INDIRECT(CONCATENATE("Table!",ADDRESS($Q20,MATCH(M$1,INDIRECT("Table!A" &amp; $U20):INDIRECT("Table!" &amp; $X$159 &amp; $U20),0))))/1024)</f>
        <v>2.208984375</v>
      </c>
      <c r="N20" s="31"/>
      <c r="O20" s="254"/>
      <c r="P20" s="254"/>
      <c r="Q20" s="31">
        <f>MATCH($A20,Table!$A:$A,0)+$S$2-1</f>
        <v>453</v>
      </c>
      <c r="R20" s="254"/>
      <c r="S20" s="254"/>
      <c r="T20" s="254"/>
      <c r="U20" s="31">
        <f>MATCH($A20,Table!$A:$A,0)+$W$2-1</f>
        <v>440</v>
      </c>
      <c r="V20" s="254"/>
      <c r="W20" s="254"/>
      <c r="X20" s="254" t="s">
        <v>118</v>
      </c>
    </row>
    <row r="21" spans="1:24">
      <c r="A21" s="5">
        <v>41193</v>
      </c>
      <c r="B21" s="31">
        <f ca="1">IF(ISERROR(MATCH(B$1,INDIRECT("Table!A"&amp;$U21):INDIRECT("Table!" &amp; $X$159 &amp; $U21),0)),"",INDIRECT(CONCATENATE("Table!",ADDRESS($Q21,MATCH(B$1,INDIRECT("Table!A" &amp; $U21):INDIRECT("Table!" &amp; $X$159 &amp; $U21),0))))/1024)</f>
        <v>0.6083984375</v>
      </c>
      <c r="C21" s="31">
        <f ca="1">IF(ISERROR(MATCH(C$1,INDIRECT("Table!A"&amp;$U21):INDIRECT("Table!" &amp; $X$159 &amp; $U21),0)),"",INDIRECT(CONCATENATE("Table!",ADDRESS($Q21,MATCH(C$1,INDIRECT("Table!A" &amp; $U21):INDIRECT("Table!" &amp; $X$159 &amp; $U21),0))))/1024)</f>
        <v>0.7275390625</v>
      </c>
      <c r="D21" s="31">
        <f ca="1">IF(ISERROR(MATCH(D$1,INDIRECT("Table!A"&amp;$U21):INDIRECT("Table!" &amp; $X$159 &amp; $U21),0)),"",INDIRECT(CONCATENATE("Table!",ADDRESS($Q21,MATCH(D$1,INDIRECT("Table!A" &amp; $U21):INDIRECT("Table!" &amp; $X$159 &amp; $U21),0))))/1024)</f>
        <v>0.5390625</v>
      </c>
      <c r="E21" s="31">
        <f ca="1">IF(ISERROR(MATCH(E$1,INDIRECT("Table!A"&amp;$U21):INDIRECT("Table!" &amp; $X$159 &amp; $U21),0)),"",INDIRECT(CONCATENATE("Table!",ADDRESS($Q21,MATCH(E$1,INDIRECT("Table!A" &amp; $U21):INDIRECT("Table!" &amp; $X$159 &amp; $U21),0))))/1024)</f>
        <v>0.662109375</v>
      </c>
      <c r="F21" s="31">
        <f ca="1">IF(ISERROR(MATCH(F$1,INDIRECT("Table!A"&amp;$U21):INDIRECT("Table!" &amp; $X$159 &amp; $U21),0)),"",INDIRECT(CONCATENATE("Table!",ADDRESS($Q21,MATCH(F$1,INDIRECT("Table!A" &amp; $U21):INDIRECT("Table!" &amp; $X$159 &amp; $U21),0))))/1024)</f>
        <v>3.208984375</v>
      </c>
      <c r="G21" s="31">
        <f ca="1">IF(ISERROR(MATCH(G$1,INDIRECT("Table!A"&amp;$U21):INDIRECT("Table!" &amp; $X$159 &amp; $U21),0)),"",INDIRECT(CONCATENATE("Table!",ADDRESS($Q21,MATCH(G$1,INDIRECT("Table!A" &amp; $U21):INDIRECT("Table!" &amp; $X$159 &amp; $U21),0))))/1024)</f>
        <v>3.0009765625</v>
      </c>
      <c r="H21" s="31">
        <f ca="1">IF(ISERROR(MATCH(H$1,INDIRECT("Table!A"&amp;$U21):INDIRECT("Table!" &amp; $X$159 &amp; $U21),0)),"",INDIRECT(CONCATENATE("Table!",ADDRESS($Q21,MATCH(H$1,INDIRECT("Table!A" &amp; $U21):INDIRECT("Table!" &amp; $X$159 &amp; $U21),0))))/1024)</f>
        <v>2.177734375</v>
      </c>
      <c r="I21" s="31">
        <f ca="1">IF(ISERROR(MATCH(I$1,INDIRECT("Table!A"&amp;$U21):INDIRECT("Table!" &amp; $X$159 &amp; $U21),0)),"",INDIRECT(CONCATENATE("Table!",ADDRESS($Q21,MATCH(I$1,INDIRECT("Table!A" &amp; $U21):INDIRECT("Table!" &amp; $X$159 &amp; $U21),0))))/1024)</f>
        <v>0.8583984375</v>
      </c>
      <c r="J21" s="31">
        <f ca="1">IF(ISERROR(MATCH(J$1,INDIRECT("Table!A"&amp;$U21):INDIRECT("Table!" &amp; $X$159 &amp; $U21),0)),"",INDIRECT(CONCATENATE("Table!",ADDRESS($Q21,MATCH(J$1,INDIRECT("Table!A" &amp; $U21):INDIRECT("Table!" &amp; $X$159 &amp; $U21),0))))/1024)</f>
        <v>2.93359375</v>
      </c>
      <c r="K21" s="31">
        <f ca="1">IF(ISERROR(MATCH(K$1,INDIRECT("Table!A"&amp;$U21):INDIRECT("Table!" &amp; $X$159 &amp; $U21),0)),"",INDIRECT(CONCATENATE("Table!",ADDRESS($Q21,MATCH(K$1,INDIRECT("Table!A" &amp; $U21):INDIRECT("Table!" &amp; $X$159 &amp; $U21),0))))/1024)</f>
        <v>2.73828125</v>
      </c>
      <c r="L21" s="31">
        <f ca="1">IF(ISERROR(MATCH(L$1,INDIRECT("Table!A"&amp;$U21):INDIRECT("Table!" &amp; $X$159 &amp; $U21),0)),"",INDIRECT(CONCATENATE("Table!",ADDRESS($Q21,MATCH(L$1,INDIRECT("Table!A" &amp; $U21):INDIRECT("Table!" &amp; $X$159 &amp; $U21),0))))/1024)</f>
        <v>2.1787109375</v>
      </c>
      <c r="M21" s="31">
        <f ca="1">IF(ISERROR(MATCH(M$1,INDIRECT("Table!A"&amp;$U21):INDIRECT("Table!" &amp; $X$159 &amp; $U21),0)),"",INDIRECT(CONCATENATE("Table!",ADDRESS($Q21,MATCH(M$1,INDIRECT("Table!A" &amp; $U21):INDIRECT("Table!" &amp; $X$159 &amp; $U21),0))))/1024)</f>
        <v>2.208984375</v>
      </c>
      <c r="N21" s="31"/>
      <c r="O21" s="254"/>
      <c r="P21" s="254"/>
      <c r="Q21" s="31">
        <f>MATCH($A21,Table!$A:$A,0)+$S$2-1</f>
        <v>466</v>
      </c>
      <c r="R21" s="254"/>
      <c r="S21" s="254"/>
      <c r="T21" s="254"/>
      <c r="U21" s="31">
        <f>MATCH($A21,Table!$A:$A,0)+$W$2-1</f>
        <v>453</v>
      </c>
      <c r="V21" s="254"/>
      <c r="W21" s="254"/>
      <c r="X21" s="254" t="s">
        <v>118</v>
      </c>
    </row>
    <row r="22" spans="1:24">
      <c r="A22" s="5">
        <v>41190</v>
      </c>
      <c r="B22" s="31">
        <f ca="1">IF(ISERROR(MATCH(B$1,INDIRECT("Table!A"&amp;$U22):INDIRECT("Table!" &amp; $X$159 &amp; $U22),0)),"",INDIRECT(CONCATENATE("Table!",ADDRESS($Q22,MATCH(B$1,INDIRECT("Table!A" &amp; $U22):INDIRECT("Table!" &amp; $X$159 &amp; $U22),0))))/1024)</f>
        <v>0.6083984375</v>
      </c>
      <c r="C22" s="31">
        <f ca="1">IF(ISERROR(MATCH(C$1,INDIRECT("Table!A"&amp;$U22):INDIRECT("Table!" &amp; $X$159 &amp; $U22),0)),"",INDIRECT(CONCATENATE("Table!",ADDRESS($Q22,MATCH(C$1,INDIRECT("Table!A" &amp; $U22):INDIRECT("Table!" &amp; $X$159 &amp; $U22),0))))/1024)</f>
        <v>0.7275390625</v>
      </c>
      <c r="D22" s="31">
        <f ca="1">IF(ISERROR(MATCH(D$1,INDIRECT("Table!A"&amp;$U22):INDIRECT("Table!" &amp; $X$159 &amp; $U22),0)),"",INDIRECT(CONCATENATE("Table!",ADDRESS($Q22,MATCH(D$1,INDIRECT("Table!A" &amp; $U22):INDIRECT("Table!" &amp; $X$159 &amp; $U22),0))))/1024)</f>
        <v>0.5390625</v>
      </c>
      <c r="E22" s="31">
        <f ca="1">IF(ISERROR(MATCH(E$1,INDIRECT("Table!A"&amp;$U22):INDIRECT("Table!" &amp; $X$159 &amp; $U22),0)),"",INDIRECT(CONCATENATE("Table!",ADDRESS($Q22,MATCH(E$1,INDIRECT("Table!A" &amp; $U22):INDIRECT("Table!" &amp; $X$159 &amp; $U22),0))))/1024)</f>
        <v>0.662109375</v>
      </c>
      <c r="F22" s="31">
        <f ca="1">IF(ISERROR(MATCH(F$1,INDIRECT("Table!A"&amp;$U22):INDIRECT("Table!" &amp; $X$159 &amp; $U22),0)),"",INDIRECT(CONCATENATE("Table!",ADDRESS($Q22,MATCH(F$1,INDIRECT("Table!A" &amp; $U22):INDIRECT("Table!" &amp; $X$159 &amp; $U22),0))))/1024)</f>
        <v>3.208984375</v>
      </c>
      <c r="G22" s="31">
        <f ca="1">IF(ISERROR(MATCH(G$1,INDIRECT("Table!A"&amp;$U22):INDIRECT("Table!" &amp; $X$159 &amp; $U22),0)),"",INDIRECT(CONCATENATE("Table!",ADDRESS($Q22,MATCH(G$1,INDIRECT("Table!A" &amp; $U22):INDIRECT("Table!" &amp; $X$159 &amp; $U22),0))))/1024)</f>
        <v>3.0009765625</v>
      </c>
      <c r="H22" s="31">
        <f ca="1">IF(ISERROR(MATCH(H$1,INDIRECT("Table!A"&amp;$U22):INDIRECT("Table!" &amp; $X$159 &amp; $U22),0)),"",INDIRECT(CONCATENATE("Table!",ADDRESS($Q22,MATCH(H$1,INDIRECT("Table!A" &amp; $U22):INDIRECT("Table!" &amp; $X$159 &amp; $U22),0))))/1024)</f>
        <v>2.177734375</v>
      </c>
      <c r="I22" s="31">
        <f ca="1">IF(ISERROR(MATCH(I$1,INDIRECT("Table!A"&amp;$U22):INDIRECT("Table!" &amp; $X$159 &amp; $U22),0)),"",INDIRECT(CONCATENATE("Table!",ADDRESS($Q22,MATCH(I$1,INDIRECT("Table!A" &amp; $U22):INDIRECT("Table!" &amp; $X$159 &amp; $U22),0))))/1024)</f>
        <v>0.8583984375</v>
      </c>
      <c r="J22" s="31">
        <f ca="1">IF(ISERROR(MATCH(J$1,INDIRECT("Table!A"&amp;$U22):INDIRECT("Table!" &amp; $X$159 &amp; $U22),0)),"",INDIRECT(CONCATENATE("Table!",ADDRESS($Q22,MATCH(J$1,INDIRECT("Table!A" &amp; $U22):INDIRECT("Table!" &amp; $X$159 &amp; $U22),0))))/1024)</f>
        <v>2.93359375</v>
      </c>
      <c r="K22" s="31">
        <f ca="1">IF(ISERROR(MATCH(K$1,INDIRECT("Table!A"&amp;$U22):INDIRECT("Table!" &amp; $X$159 &amp; $U22),0)),"",INDIRECT(CONCATENATE("Table!",ADDRESS($Q22,MATCH(K$1,INDIRECT("Table!A" &amp; $U22):INDIRECT("Table!" &amp; $X$159 &amp; $U22),0))))/1024)</f>
        <v>2.73828125</v>
      </c>
      <c r="L22" s="31">
        <f ca="1">IF(ISERROR(MATCH(L$1,INDIRECT("Table!A"&amp;$U22):INDIRECT("Table!" &amp; $X$159 &amp; $U22),0)),"",INDIRECT(CONCATENATE("Table!",ADDRESS($Q22,MATCH(L$1,INDIRECT("Table!A" &amp; $U22):INDIRECT("Table!" &amp; $X$159 &amp; $U22),0))))/1024)</f>
        <v>2.1787109375</v>
      </c>
      <c r="M22" s="31">
        <f ca="1">IF(ISERROR(MATCH(M$1,INDIRECT("Table!A"&amp;$U22):INDIRECT("Table!" &amp; $X$159 &amp; $U22),0)),"",INDIRECT(CONCATENATE("Table!",ADDRESS($Q22,MATCH(M$1,INDIRECT("Table!A" &amp; $U22):INDIRECT("Table!" &amp; $X$159 &amp; $U22),0))))/1024)</f>
        <v>2.208984375</v>
      </c>
      <c r="N22" s="31"/>
      <c r="O22" s="253"/>
      <c r="P22" s="253"/>
      <c r="Q22" s="31">
        <f>MATCH($A22,Table!$A:$A,0)+$S$2-1</f>
        <v>479</v>
      </c>
      <c r="R22" s="253"/>
      <c r="S22" s="253"/>
      <c r="T22" s="253"/>
      <c r="U22" s="31">
        <f>MATCH($A22,Table!$A:$A,0)+$W$2-1</f>
        <v>466</v>
      </c>
      <c r="V22" s="253"/>
      <c r="W22" s="253"/>
      <c r="X22" s="253" t="s">
        <v>118</v>
      </c>
    </row>
    <row r="23" spans="1:24">
      <c r="A23" s="5">
        <v>41184</v>
      </c>
      <c r="B23" s="31">
        <f ca="1">IF(ISERROR(MATCH(B$1,INDIRECT("Table!A"&amp;$U23):INDIRECT("Table!" &amp; $X$159 &amp; $U23),0)),"",INDIRECT(CONCATENATE("Table!",ADDRESS($Q23,MATCH(B$1,INDIRECT("Table!A" &amp; $U23):INDIRECT("Table!" &amp; $X$159 &amp; $U23),0))))/1024)</f>
        <v>0.6083984375</v>
      </c>
      <c r="C23" s="31">
        <f ca="1">IF(ISERROR(MATCH(C$1,INDIRECT("Table!A"&amp;$U23):INDIRECT("Table!" &amp; $X$159 &amp; $U23),0)),"",INDIRECT(CONCATENATE("Table!",ADDRESS($Q23,MATCH(C$1,INDIRECT("Table!A" &amp; $U23):INDIRECT("Table!" &amp; $X$159 &amp; $U23),0))))/1024)</f>
        <v>0.7275390625</v>
      </c>
      <c r="D23" s="31">
        <f ca="1">IF(ISERROR(MATCH(D$1,INDIRECT("Table!A"&amp;$U23):INDIRECT("Table!" &amp; $X$159 &amp; $U23),0)),"",INDIRECT(CONCATENATE("Table!",ADDRESS($Q23,MATCH(D$1,INDIRECT("Table!A" &amp; $U23):INDIRECT("Table!" &amp; $X$159 &amp; $U23),0))))/1024)</f>
        <v>0.5390625</v>
      </c>
      <c r="E23" s="31">
        <f ca="1">IF(ISERROR(MATCH(E$1,INDIRECT("Table!A"&amp;$U23):INDIRECT("Table!" &amp; $X$159 &amp; $U23),0)),"",INDIRECT(CONCATENATE("Table!",ADDRESS($Q23,MATCH(E$1,INDIRECT("Table!A" &amp; $U23):INDIRECT("Table!" &amp; $X$159 &amp; $U23),0))))/1024)</f>
        <v>0.662109375</v>
      </c>
      <c r="F23" s="31">
        <f ca="1">IF(ISERROR(MATCH(F$1,INDIRECT("Table!A"&amp;$U23):INDIRECT("Table!" &amp; $X$159 &amp; $U23),0)),"",INDIRECT(CONCATENATE("Table!",ADDRESS($Q23,MATCH(F$1,INDIRECT("Table!A" &amp; $U23):INDIRECT("Table!" &amp; $X$159 &amp; $U23),0))))/1024)</f>
        <v>3.208984375</v>
      </c>
      <c r="G23" s="31">
        <f ca="1">IF(ISERROR(MATCH(G$1,INDIRECT("Table!A"&amp;$U23):INDIRECT("Table!" &amp; $X$159 &amp; $U23),0)),"",INDIRECT(CONCATENATE("Table!",ADDRESS($Q23,MATCH(G$1,INDIRECT("Table!A" &amp; $U23):INDIRECT("Table!" &amp; $X$159 &amp; $U23),0))))/1024)</f>
        <v>3.0009765625</v>
      </c>
      <c r="H23" s="31">
        <f ca="1">IF(ISERROR(MATCH(H$1,INDIRECT("Table!A"&amp;$U23):INDIRECT("Table!" &amp; $X$159 &amp; $U23),0)),"",INDIRECT(CONCATENATE("Table!",ADDRESS($Q23,MATCH(H$1,INDIRECT("Table!A" &amp; $U23):INDIRECT("Table!" &amp; $X$159 &amp; $U23),0))))/1024)</f>
        <v>2.177734375</v>
      </c>
      <c r="I23" s="31">
        <f ca="1">IF(ISERROR(MATCH(I$1,INDIRECT("Table!A"&amp;$U23):INDIRECT("Table!" &amp; $X$159 &amp; $U23),0)),"",INDIRECT(CONCATENATE("Table!",ADDRESS($Q23,MATCH(I$1,INDIRECT("Table!A" &amp; $U23):INDIRECT("Table!" &amp; $X$159 &amp; $U23),0))))/1024)</f>
        <v>0.8583984375</v>
      </c>
      <c r="J23" s="31">
        <f ca="1">IF(ISERROR(MATCH(J$1,INDIRECT("Table!A"&amp;$U23):INDIRECT("Table!" &amp; $X$159 &amp; $U23),0)),"",INDIRECT(CONCATENATE("Table!",ADDRESS($Q23,MATCH(J$1,INDIRECT("Table!A" &amp; $U23):INDIRECT("Table!" &amp; $X$159 &amp; $U23),0))))/1024)</f>
        <v>2.93359375</v>
      </c>
      <c r="K23" s="31">
        <f ca="1">IF(ISERROR(MATCH(K$1,INDIRECT("Table!A"&amp;$U23):INDIRECT("Table!" &amp; $X$159 &amp; $U23),0)),"",INDIRECT(CONCATENATE("Table!",ADDRESS($Q23,MATCH(K$1,INDIRECT("Table!A" &amp; $U23):INDIRECT("Table!" &amp; $X$159 &amp; $U23),0))))/1024)</f>
        <v>2.73828125</v>
      </c>
      <c r="L23" s="31">
        <f ca="1">IF(ISERROR(MATCH(L$1,INDIRECT("Table!A"&amp;$U23):INDIRECT("Table!" &amp; $X$159 &amp; $U23),0)),"",INDIRECT(CONCATENATE("Table!",ADDRESS($Q23,MATCH(L$1,INDIRECT("Table!A" &amp; $U23):INDIRECT("Table!" &amp; $X$159 &amp; $U23),0))))/1024)</f>
        <v>2.1787109375</v>
      </c>
      <c r="M23" s="31">
        <f ca="1">IF(ISERROR(MATCH(M$1,INDIRECT("Table!A"&amp;$U23):INDIRECT("Table!" &amp; $X$159 &amp; $U23),0)),"",INDIRECT(CONCATENATE("Table!",ADDRESS($Q23,MATCH(M$1,INDIRECT("Table!A" &amp; $U23):INDIRECT("Table!" &amp; $X$159 &amp; $U23),0))))/1024)</f>
        <v>2.208984375</v>
      </c>
      <c r="N23" s="31"/>
      <c r="O23" s="252"/>
      <c r="P23" s="252"/>
      <c r="Q23" s="31">
        <f>MATCH($A23,Table!$A:$A,0)+$S$2-1</f>
        <v>492</v>
      </c>
      <c r="R23" s="252"/>
      <c r="S23" s="252"/>
      <c r="T23" s="252"/>
      <c r="U23" s="31">
        <f>MATCH($A23,Table!$A:$A,0)+$W$2-1</f>
        <v>479</v>
      </c>
      <c r="V23" s="252"/>
      <c r="W23" s="252"/>
      <c r="X23" s="252" t="s">
        <v>118</v>
      </c>
    </row>
    <row r="24" spans="1:24">
      <c r="A24" s="5">
        <v>41178</v>
      </c>
      <c r="B24" s="31">
        <f ca="1">IF(ISERROR(MATCH(B$1,INDIRECT("Table!A"&amp;$U24):INDIRECT("Table!" &amp; $X$159 &amp; $U24),0)),"",INDIRECT(CONCATENATE("Table!",ADDRESS($Q24,MATCH(B$1,INDIRECT("Table!A" &amp; $U24):INDIRECT("Table!" &amp; $X$159 &amp; $U24),0))))/1024)</f>
        <v>0.6083984375</v>
      </c>
      <c r="C24" s="31">
        <f ca="1">IF(ISERROR(MATCH(C$1,INDIRECT("Table!A"&amp;$U24):INDIRECT("Table!" &amp; $X$159 &amp; $U24),0)),"",INDIRECT(CONCATENATE("Table!",ADDRESS($Q24,MATCH(C$1,INDIRECT("Table!A" &amp; $U24):INDIRECT("Table!" &amp; $X$159 &amp; $U24),0))))/1024)</f>
        <v>0.7275390625</v>
      </c>
      <c r="D24" s="31">
        <f ca="1">IF(ISERROR(MATCH(D$1,INDIRECT("Table!A"&amp;$U24):INDIRECT("Table!" &amp; $X$159 &amp; $U24),0)),"",INDIRECT(CONCATENATE("Table!",ADDRESS($Q24,MATCH(D$1,INDIRECT("Table!A" &amp; $U24):INDIRECT("Table!" &amp; $X$159 &amp; $U24),0))))/1024)</f>
        <v>0.5390625</v>
      </c>
      <c r="E24" s="31">
        <f ca="1">IF(ISERROR(MATCH(E$1,INDIRECT("Table!A"&amp;$U24):INDIRECT("Table!" &amp; $X$159 &amp; $U24),0)),"",INDIRECT(CONCATENATE("Table!",ADDRESS($Q24,MATCH(E$1,INDIRECT("Table!A" &amp; $U24):INDIRECT("Table!" &amp; $X$159 &amp; $U24),0))))/1024)</f>
        <v>0.662109375</v>
      </c>
      <c r="F24" s="31">
        <f ca="1">IF(ISERROR(MATCH(F$1,INDIRECT("Table!A"&amp;$U24):INDIRECT("Table!" &amp; $X$159 &amp; $U24),0)),"",INDIRECT(CONCATENATE("Table!",ADDRESS($Q24,MATCH(F$1,INDIRECT("Table!A" &amp; $U24):INDIRECT("Table!" &amp; $X$159 &amp; $U24),0))))/1024)</f>
        <v>3.208984375</v>
      </c>
      <c r="G24" s="31">
        <f ca="1">IF(ISERROR(MATCH(G$1,INDIRECT("Table!A"&amp;$U24):INDIRECT("Table!" &amp; $X$159 &amp; $U24),0)),"",INDIRECT(CONCATENATE("Table!",ADDRESS($Q24,MATCH(G$1,INDIRECT("Table!A" &amp; $U24):INDIRECT("Table!" &amp; $X$159 &amp; $U24),0))))/1024)</f>
        <v>3.0009765625</v>
      </c>
      <c r="H24" s="31">
        <f ca="1">IF(ISERROR(MATCH(H$1,INDIRECT("Table!A"&amp;$U24):INDIRECT("Table!" &amp; $X$159 &amp; $U24),0)),"",INDIRECT(CONCATENATE("Table!",ADDRESS($Q24,MATCH(H$1,INDIRECT("Table!A" &amp; $U24):INDIRECT("Table!" &amp; $X$159 &amp; $U24),0))))/1024)</f>
        <v>2.177734375</v>
      </c>
      <c r="I24" s="31">
        <f ca="1">IF(ISERROR(MATCH(I$1,INDIRECT("Table!A"&amp;$U24):INDIRECT("Table!" &amp; $X$159 &amp; $U24),0)),"",INDIRECT(CONCATENATE("Table!",ADDRESS($Q24,MATCH(I$1,INDIRECT("Table!A" &amp; $U24):INDIRECT("Table!" &amp; $X$159 &amp; $U24),0))))/1024)</f>
        <v>0.8583984375</v>
      </c>
      <c r="J24" s="31">
        <f ca="1">IF(ISERROR(MATCH(J$1,INDIRECT("Table!A"&amp;$U24):INDIRECT("Table!" &amp; $X$159 &amp; $U24),0)),"",INDIRECT(CONCATENATE("Table!",ADDRESS($Q24,MATCH(J$1,INDIRECT("Table!A" &amp; $U24):INDIRECT("Table!" &amp; $X$159 &amp; $U24),0))))/1024)</f>
        <v>2.93359375</v>
      </c>
      <c r="K24" s="31">
        <f ca="1">IF(ISERROR(MATCH(K$1,INDIRECT("Table!A"&amp;$U24):INDIRECT("Table!" &amp; $X$159 &amp; $U24),0)),"",INDIRECT(CONCATENATE("Table!",ADDRESS($Q24,MATCH(K$1,INDIRECT("Table!A" &amp; $U24):INDIRECT("Table!" &amp; $X$159 &amp; $U24),0))))/1024)</f>
        <v>2.73828125</v>
      </c>
      <c r="L24" s="31">
        <f ca="1">IF(ISERROR(MATCH(L$1,INDIRECT("Table!A"&amp;$U24):INDIRECT("Table!" &amp; $X$159 &amp; $U24),0)),"",INDIRECT(CONCATENATE("Table!",ADDRESS($Q24,MATCH(L$1,INDIRECT("Table!A" &amp; $U24):INDIRECT("Table!" &amp; $X$159 &amp; $U24),0))))/1024)</f>
        <v>2.1787109375</v>
      </c>
      <c r="M24" s="31">
        <f ca="1">IF(ISERROR(MATCH(M$1,INDIRECT("Table!A"&amp;$U24):INDIRECT("Table!" &amp; $X$159 &amp; $U24),0)),"",INDIRECT(CONCATENATE("Table!",ADDRESS($Q24,MATCH(M$1,INDIRECT("Table!A" &amp; $U24):INDIRECT("Table!" &amp; $X$159 &amp; $U24),0))))/1024)</f>
        <v>2.208984375</v>
      </c>
      <c r="N24" s="31"/>
      <c r="O24" s="251"/>
      <c r="P24" s="251"/>
      <c r="Q24" s="31">
        <f>MATCH($A24,Table!$A:$A,0)+$S$2-1</f>
        <v>505</v>
      </c>
      <c r="R24" s="251"/>
      <c r="S24" s="251"/>
      <c r="T24" s="251"/>
      <c r="U24" s="31">
        <f>MATCH($A24,Table!$A:$A,0)+$W$2-1</f>
        <v>492</v>
      </c>
      <c r="V24" s="251"/>
      <c r="W24" s="251"/>
      <c r="X24" s="251" t="s">
        <v>118</v>
      </c>
    </row>
    <row r="25" spans="1:24">
      <c r="A25" s="5">
        <v>41176</v>
      </c>
      <c r="B25" s="31">
        <f ca="1">IF(ISERROR(MATCH(B$1,INDIRECT("Table!A"&amp;$U25):INDIRECT("Table!" &amp; $X$159 &amp; $U25),0)),"",INDIRECT(CONCATENATE("Table!",ADDRESS($Q25,MATCH(B$1,INDIRECT("Table!A" &amp; $U25):INDIRECT("Table!" &amp; $X$159 &amp; $U25),0))))/1024)</f>
        <v>0.6083984375</v>
      </c>
      <c r="C25" s="31">
        <f ca="1">IF(ISERROR(MATCH(C$1,INDIRECT("Table!A"&amp;$U25):INDIRECT("Table!" &amp; $X$159 &amp; $U25),0)),"",INDIRECT(CONCATENATE("Table!",ADDRESS($Q25,MATCH(C$1,INDIRECT("Table!A" &amp; $U25):INDIRECT("Table!" &amp; $X$159 &amp; $U25),0))))/1024)</f>
        <v>0.7275390625</v>
      </c>
      <c r="D25" s="31">
        <f ca="1">IF(ISERROR(MATCH(D$1,INDIRECT("Table!A"&amp;$U25):INDIRECT("Table!" &amp; $X$159 &amp; $U25),0)),"",INDIRECT(CONCATENATE("Table!",ADDRESS($Q25,MATCH(D$1,INDIRECT("Table!A" &amp; $U25):INDIRECT("Table!" &amp; $X$159 &amp; $U25),0))))/1024)</f>
        <v>0.5390625</v>
      </c>
      <c r="E25" s="31">
        <f ca="1">IF(ISERROR(MATCH(E$1,INDIRECT("Table!A"&amp;$U25):INDIRECT("Table!" &amp; $X$159 &amp; $U25),0)),"",INDIRECT(CONCATENATE("Table!",ADDRESS($Q25,MATCH(E$1,INDIRECT("Table!A" &amp; $U25):INDIRECT("Table!" &amp; $X$159 &amp; $U25),0))))/1024)</f>
        <v>0.662109375</v>
      </c>
      <c r="F25" s="31">
        <f ca="1">IF(ISERROR(MATCH(F$1,INDIRECT("Table!A"&amp;$U25):INDIRECT("Table!" &amp; $X$159 &amp; $U25),0)),"",INDIRECT(CONCATENATE("Table!",ADDRESS($Q25,MATCH(F$1,INDIRECT("Table!A" &amp; $U25):INDIRECT("Table!" &amp; $X$159 &amp; $U25),0))))/1024)</f>
        <v>3.208984375</v>
      </c>
      <c r="G25" s="31">
        <f ca="1">IF(ISERROR(MATCH(G$1,INDIRECT("Table!A"&amp;$U25):INDIRECT("Table!" &amp; $X$159 &amp; $U25),0)),"",INDIRECT(CONCATENATE("Table!",ADDRESS($Q25,MATCH(G$1,INDIRECT("Table!A" &amp; $U25):INDIRECT("Table!" &amp; $X$159 &amp; $U25),0))))/1024)</f>
        <v>3.0009765625</v>
      </c>
      <c r="H25" s="31">
        <f ca="1">IF(ISERROR(MATCH(H$1,INDIRECT("Table!A"&amp;$U25):INDIRECT("Table!" &amp; $X$159 &amp; $U25),0)),"",INDIRECT(CONCATENATE("Table!",ADDRESS($Q25,MATCH(H$1,INDIRECT("Table!A" &amp; $U25):INDIRECT("Table!" &amp; $X$159 &amp; $U25),0))))/1024)</f>
        <v>2.177734375</v>
      </c>
      <c r="I25" s="31">
        <f ca="1">IF(ISERROR(MATCH(I$1,INDIRECT("Table!A"&amp;$U25):INDIRECT("Table!" &amp; $X$159 &amp; $U25),0)),"",INDIRECT(CONCATENATE("Table!",ADDRESS($Q25,MATCH(I$1,INDIRECT("Table!A" &amp; $U25):INDIRECT("Table!" &amp; $X$159 &amp; $U25),0))))/1024)</f>
        <v>0.8583984375</v>
      </c>
      <c r="J25" s="31">
        <f ca="1">IF(ISERROR(MATCH(J$1,INDIRECT("Table!A"&amp;$U25):INDIRECT("Table!" &amp; $X$159 &amp; $U25),0)),"",INDIRECT(CONCATENATE("Table!",ADDRESS($Q25,MATCH(J$1,INDIRECT("Table!A" &amp; $U25):INDIRECT("Table!" &amp; $X$159 &amp; $U25),0))))/1024)</f>
        <v>2.93359375</v>
      </c>
      <c r="K25" s="31">
        <f ca="1">IF(ISERROR(MATCH(K$1,INDIRECT("Table!A"&amp;$U25):INDIRECT("Table!" &amp; $X$159 &amp; $U25),0)),"",INDIRECT(CONCATENATE("Table!",ADDRESS($Q25,MATCH(K$1,INDIRECT("Table!A" &amp; $U25):INDIRECT("Table!" &amp; $X$159 &amp; $U25),0))))/1024)</f>
        <v>2.73828125</v>
      </c>
      <c r="L25" s="31">
        <f ca="1">IF(ISERROR(MATCH(L$1,INDIRECT("Table!A"&amp;$U25):INDIRECT("Table!" &amp; $X$159 &amp; $U25),0)),"",INDIRECT(CONCATENATE("Table!",ADDRESS($Q25,MATCH(L$1,INDIRECT("Table!A" &amp; $U25):INDIRECT("Table!" &amp; $X$159 &amp; $U25),0))))/1024)</f>
        <v>2.1787109375</v>
      </c>
      <c r="M25" s="31">
        <f ca="1">IF(ISERROR(MATCH(M$1,INDIRECT("Table!A"&amp;$U25):INDIRECT("Table!" &amp; $X$159 &amp; $U25),0)),"",INDIRECT(CONCATENATE("Table!",ADDRESS($Q25,MATCH(M$1,INDIRECT("Table!A" &amp; $U25):INDIRECT("Table!" &amp; $X$159 &amp; $U25),0))))/1024)</f>
        <v>2.208984375</v>
      </c>
      <c r="N25" s="31"/>
      <c r="O25" s="250"/>
      <c r="P25" s="250"/>
      <c r="Q25" s="31">
        <f>MATCH($A25,Table!$A:$A,0)+$S$2-1</f>
        <v>518</v>
      </c>
      <c r="R25" s="250"/>
      <c r="S25" s="250"/>
      <c r="T25" s="250"/>
      <c r="U25" s="31">
        <f>MATCH($A25,Table!$A:$A,0)+$W$2-1</f>
        <v>505</v>
      </c>
      <c r="V25" s="250"/>
      <c r="W25" s="250"/>
      <c r="X25" s="250" t="s">
        <v>118</v>
      </c>
    </row>
    <row r="26" spans="1:24">
      <c r="A26" s="5">
        <v>41172</v>
      </c>
      <c r="B26" s="31">
        <f ca="1">IF(ISERROR(MATCH(B$1,INDIRECT("Table!A"&amp;$U26):INDIRECT("Table!" &amp; $X$159 &amp; $U26),0)),"",INDIRECT(CONCATENATE("Table!",ADDRESS($Q26,MATCH(B$1,INDIRECT("Table!A" &amp; $U26):INDIRECT("Table!" &amp; $X$159 &amp; $U26),0))))/1024)</f>
        <v>0.6083984375</v>
      </c>
      <c r="C26" s="31">
        <f ca="1">IF(ISERROR(MATCH(C$1,INDIRECT("Table!A"&amp;$U26):INDIRECT("Table!" &amp; $X$159 &amp; $U26),0)),"",INDIRECT(CONCATENATE("Table!",ADDRESS($Q26,MATCH(C$1,INDIRECT("Table!A" &amp; $U26):INDIRECT("Table!" &amp; $X$159 &amp; $U26),0))))/1024)</f>
        <v>0.7275390625</v>
      </c>
      <c r="D26" s="31">
        <f ca="1">IF(ISERROR(MATCH(D$1,INDIRECT("Table!A"&amp;$U26):INDIRECT("Table!" &amp; $X$159 &amp; $U26),0)),"",INDIRECT(CONCATENATE("Table!",ADDRESS($Q26,MATCH(D$1,INDIRECT("Table!A" &amp; $U26):INDIRECT("Table!" &amp; $X$159 &amp; $U26),0))))/1024)</f>
        <v>0.5390625</v>
      </c>
      <c r="E26" s="31">
        <f ca="1">IF(ISERROR(MATCH(E$1,INDIRECT("Table!A"&amp;$U26):INDIRECT("Table!" &amp; $X$159 &amp; $U26),0)),"",INDIRECT(CONCATENATE("Table!",ADDRESS($Q26,MATCH(E$1,INDIRECT("Table!A" &amp; $U26):INDIRECT("Table!" &amp; $X$159 &amp; $U26),0))))/1024)</f>
        <v>0.662109375</v>
      </c>
      <c r="F26" s="31">
        <f ca="1">IF(ISERROR(MATCH(F$1,INDIRECT("Table!A"&amp;$U26):INDIRECT("Table!" &amp; $X$159 &amp; $U26),0)),"",INDIRECT(CONCATENATE("Table!",ADDRESS($Q26,MATCH(F$1,INDIRECT("Table!A" &amp; $U26):INDIRECT("Table!" &amp; $X$159 &amp; $U26),0))))/1024)</f>
        <v>3.208984375</v>
      </c>
      <c r="G26" s="31">
        <f ca="1">IF(ISERROR(MATCH(G$1,INDIRECT("Table!A"&amp;$U26):INDIRECT("Table!" &amp; $X$159 &amp; $U26),0)),"",INDIRECT(CONCATENATE("Table!",ADDRESS($Q26,MATCH(G$1,INDIRECT("Table!A" &amp; $U26):INDIRECT("Table!" &amp; $X$159 &amp; $U26),0))))/1024)</f>
        <v>3.0009765625</v>
      </c>
      <c r="H26" s="31">
        <f ca="1">IF(ISERROR(MATCH(H$1,INDIRECT("Table!A"&amp;$U26):INDIRECT("Table!" &amp; $X$159 &amp; $U26),0)),"",INDIRECT(CONCATENATE("Table!",ADDRESS($Q26,MATCH(H$1,INDIRECT("Table!A" &amp; $U26):INDIRECT("Table!" &amp; $X$159 &amp; $U26),0))))/1024)</f>
        <v>2.177734375</v>
      </c>
      <c r="I26" s="31">
        <f ca="1">IF(ISERROR(MATCH(I$1,INDIRECT("Table!A"&amp;$U26):INDIRECT("Table!" &amp; $X$159 &amp; $U26),0)),"",INDIRECT(CONCATENATE("Table!",ADDRESS($Q26,MATCH(I$1,INDIRECT("Table!A" &amp; $U26):INDIRECT("Table!" &amp; $X$159 &amp; $U26),0))))/1024)</f>
        <v>0.8583984375</v>
      </c>
      <c r="J26" s="31">
        <f ca="1">IF(ISERROR(MATCH(J$1,INDIRECT("Table!A"&amp;$U26):INDIRECT("Table!" &amp; $X$159 &amp; $U26),0)),"",INDIRECT(CONCATENATE("Table!",ADDRESS($Q26,MATCH(J$1,INDIRECT("Table!A" &amp; $U26):INDIRECT("Table!" &amp; $X$159 &amp; $U26),0))))/1024)</f>
        <v>2.93359375</v>
      </c>
      <c r="K26" s="31">
        <f ca="1">IF(ISERROR(MATCH(K$1,INDIRECT("Table!A"&amp;$U26):INDIRECT("Table!" &amp; $X$159 &amp; $U26),0)),"",INDIRECT(CONCATENATE("Table!",ADDRESS($Q26,MATCH(K$1,INDIRECT("Table!A" &amp; $U26):INDIRECT("Table!" &amp; $X$159 &amp; $U26),0))))/1024)</f>
        <v>2.73828125</v>
      </c>
      <c r="L26" s="31">
        <f ca="1">IF(ISERROR(MATCH(L$1,INDIRECT("Table!A"&amp;$U26):INDIRECT("Table!" &amp; $X$159 &amp; $U26),0)),"",INDIRECT(CONCATENATE("Table!",ADDRESS($Q26,MATCH(L$1,INDIRECT("Table!A" &amp; $U26):INDIRECT("Table!" &amp; $X$159 &amp; $U26),0))))/1024)</f>
        <v>2.1787109375</v>
      </c>
      <c r="M26" s="31">
        <f ca="1">IF(ISERROR(MATCH(M$1,INDIRECT("Table!A"&amp;$U26):INDIRECT("Table!" &amp; $X$159 &amp; $U26),0)),"",INDIRECT(CONCATENATE("Table!",ADDRESS($Q26,MATCH(M$1,INDIRECT("Table!A" &amp; $U26):INDIRECT("Table!" &amp; $X$159 &amp; $U26),0))))/1024)</f>
        <v>2.208984375</v>
      </c>
      <c r="N26" s="31"/>
      <c r="O26" s="249"/>
      <c r="P26" s="249"/>
      <c r="Q26" s="31">
        <f>MATCH($A26,Table!$A:$A,0)+$S$2-1</f>
        <v>531</v>
      </c>
      <c r="R26" s="249"/>
      <c r="S26" s="249"/>
      <c r="T26" s="249"/>
      <c r="U26" s="31">
        <f>MATCH($A26,Table!$A:$A,0)+$W$2-1</f>
        <v>518</v>
      </c>
      <c r="V26" s="249"/>
      <c r="W26" s="249"/>
      <c r="X26" s="249" t="s">
        <v>118</v>
      </c>
    </row>
    <row r="27" spans="1:24">
      <c r="A27" s="5">
        <v>41171</v>
      </c>
      <c r="B27" s="31">
        <f ca="1">IF(ISERROR(MATCH(B$1,INDIRECT("Table!A"&amp;$U27):INDIRECT("Table!" &amp; $X$159 &amp; $U27),0)),"",INDIRECT(CONCATENATE("Table!",ADDRESS($Q27,MATCH(B$1,INDIRECT("Table!A" &amp; $U27):INDIRECT("Table!" &amp; $X$159 &amp; $U27),0))))/1024)</f>
        <v>0.6083984375</v>
      </c>
      <c r="C27" s="31">
        <f ca="1">IF(ISERROR(MATCH(C$1,INDIRECT("Table!A"&amp;$U27):INDIRECT("Table!" &amp; $X$159 &amp; $U27),0)),"",INDIRECT(CONCATENATE("Table!",ADDRESS($Q27,MATCH(C$1,INDIRECT("Table!A" &amp; $U27):INDIRECT("Table!" &amp; $X$159 &amp; $U27),0))))/1024)</f>
        <v>0.7275390625</v>
      </c>
      <c r="D27" s="31">
        <f ca="1">IF(ISERROR(MATCH(D$1,INDIRECT("Table!A"&amp;$U27):INDIRECT("Table!" &amp; $X$159 &amp; $U27),0)),"",INDIRECT(CONCATENATE("Table!",ADDRESS($Q27,MATCH(D$1,INDIRECT("Table!A" &amp; $U27):INDIRECT("Table!" &amp; $X$159 &amp; $U27),0))))/1024)</f>
        <v>0.5390625</v>
      </c>
      <c r="E27" s="31">
        <f ca="1">IF(ISERROR(MATCH(E$1,INDIRECT("Table!A"&amp;$U27):INDIRECT("Table!" &amp; $X$159 &amp; $U27),0)),"",INDIRECT(CONCATENATE("Table!",ADDRESS($Q27,MATCH(E$1,INDIRECT("Table!A" &amp; $U27):INDIRECT("Table!" &amp; $X$159 &amp; $U27),0))))/1024)</f>
        <v>0.662109375</v>
      </c>
      <c r="F27" s="31">
        <f ca="1">IF(ISERROR(MATCH(F$1,INDIRECT("Table!A"&amp;$U27):INDIRECT("Table!" &amp; $X$159 &amp; $U27),0)),"",INDIRECT(CONCATENATE("Table!",ADDRESS($Q27,MATCH(F$1,INDIRECT("Table!A" &amp; $U27):INDIRECT("Table!" &amp; $X$159 &amp; $U27),0))))/1024)</f>
        <v>3.208984375</v>
      </c>
      <c r="G27" s="31">
        <f ca="1">IF(ISERROR(MATCH(G$1,INDIRECT("Table!A"&amp;$U27):INDIRECT("Table!" &amp; $X$159 &amp; $U27),0)),"",INDIRECT(CONCATENATE("Table!",ADDRESS($Q27,MATCH(G$1,INDIRECT("Table!A" &amp; $U27):INDIRECT("Table!" &amp; $X$159 &amp; $U27),0))))/1024)</f>
        <v>3.0009765625</v>
      </c>
      <c r="H27" s="31">
        <f ca="1">IF(ISERROR(MATCH(H$1,INDIRECT("Table!A"&amp;$U27):INDIRECT("Table!" &amp; $X$159 &amp; $U27),0)),"",INDIRECT(CONCATENATE("Table!",ADDRESS($Q27,MATCH(H$1,INDIRECT("Table!A" &amp; $U27):INDIRECT("Table!" &amp; $X$159 &amp; $U27),0))))/1024)</f>
        <v>2.177734375</v>
      </c>
      <c r="I27" s="31">
        <f ca="1">IF(ISERROR(MATCH(I$1,INDIRECT("Table!A"&amp;$U27):INDIRECT("Table!" &amp; $X$159 &amp; $U27),0)),"",INDIRECT(CONCATENATE("Table!",ADDRESS($Q27,MATCH(I$1,INDIRECT("Table!A" &amp; $U27):INDIRECT("Table!" &amp; $X$159 &amp; $U27),0))))/1024)</f>
        <v>0.8583984375</v>
      </c>
      <c r="J27" s="31">
        <f ca="1">IF(ISERROR(MATCH(J$1,INDIRECT("Table!A"&amp;$U27):INDIRECT("Table!" &amp; $X$159 &amp; $U27),0)),"",INDIRECT(CONCATENATE("Table!",ADDRESS($Q27,MATCH(J$1,INDIRECT("Table!A" &amp; $U27):INDIRECT("Table!" &amp; $X$159 &amp; $U27),0))))/1024)</f>
        <v>2.93359375</v>
      </c>
      <c r="K27" s="31">
        <f ca="1">IF(ISERROR(MATCH(K$1,INDIRECT("Table!A"&amp;$U27):INDIRECT("Table!" &amp; $X$159 &amp; $U27),0)),"",INDIRECT(CONCATENATE("Table!",ADDRESS($Q27,MATCH(K$1,INDIRECT("Table!A" &amp; $U27):INDIRECT("Table!" &amp; $X$159 &amp; $U27),0))))/1024)</f>
        <v>2.73828125</v>
      </c>
      <c r="L27" s="31">
        <f ca="1">IF(ISERROR(MATCH(L$1,INDIRECT("Table!A"&amp;$U27):INDIRECT("Table!" &amp; $X$159 &amp; $U27),0)),"",INDIRECT(CONCATENATE("Table!",ADDRESS($Q27,MATCH(L$1,INDIRECT("Table!A" &amp; $U27):INDIRECT("Table!" &amp; $X$159 &amp; $U27),0))))/1024)</f>
        <v>2.1787109375</v>
      </c>
      <c r="M27" s="31">
        <f ca="1">IF(ISERROR(MATCH(M$1,INDIRECT("Table!A"&amp;$U27):INDIRECT("Table!" &amp; $X$159 &amp; $U27),0)),"",INDIRECT(CONCATENATE("Table!",ADDRESS($Q27,MATCH(M$1,INDIRECT("Table!A" &amp; $U27):INDIRECT("Table!" &amp; $X$159 &amp; $U27),0))))/1024)</f>
        <v>2.208984375</v>
      </c>
      <c r="N27" s="31"/>
      <c r="O27" s="249"/>
      <c r="P27" s="249"/>
      <c r="Q27" s="31">
        <f>MATCH($A27,Table!$A:$A,0)+$S$2-1</f>
        <v>544</v>
      </c>
      <c r="R27" s="249"/>
      <c r="S27" s="249"/>
      <c r="T27" s="249"/>
      <c r="U27" s="31">
        <f>MATCH($A27,Table!$A:$A,0)+$W$2-1</f>
        <v>531</v>
      </c>
      <c r="V27" s="249"/>
      <c r="W27" s="249"/>
      <c r="X27" s="249" t="s">
        <v>118</v>
      </c>
    </row>
    <row r="28" spans="1:24">
      <c r="A28" s="5">
        <v>41170</v>
      </c>
      <c r="B28" s="31">
        <f ca="1">IF(ISERROR(MATCH(B$1,INDIRECT("Table!A"&amp;$U28):INDIRECT("Table!" &amp; $X$159 &amp; $U28),0)),"",INDIRECT(CONCATENATE("Table!",ADDRESS($Q28,MATCH(B$1,INDIRECT("Table!A" &amp; $U28):INDIRECT("Table!" &amp; $X$159 &amp; $U28),0))))/1024)</f>
        <v>0.6083984375</v>
      </c>
      <c r="C28" s="31">
        <f ca="1">IF(ISERROR(MATCH(C$1,INDIRECT("Table!A"&amp;$U28):INDIRECT("Table!" &amp; $X$159 &amp; $U28),0)),"",INDIRECT(CONCATENATE("Table!",ADDRESS($Q28,MATCH(C$1,INDIRECT("Table!A" &amp; $U28):INDIRECT("Table!" &amp; $X$159 &amp; $U28),0))))/1024)</f>
        <v>0.7275390625</v>
      </c>
      <c r="D28" s="31">
        <f ca="1">IF(ISERROR(MATCH(D$1,INDIRECT("Table!A"&amp;$U28):INDIRECT("Table!" &amp; $X$159 &amp; $U28),0)),"",INDIRECT(CONCATENATE("Table!",ADDRESS($Q28,MATCH(D$1,INDIRECT("Table!A" &amp; $U28):INDIRECT("Table!" &amp; $X$159 &amp; $U28),0))))/1024)</f>
        <v>0.5390625</v>
      </c>
      <c r="E28" s="31">
        <f ca="1">IF(ISERROR(MATCH(E$1,INDIRECT("Table!A"&amp;$U28):INDIRECT("Table!" &amp; $X$159 &amp; $U28),0)),"",INDIRECT(CONCATENATE("Table!",ADDRESS($Q28,MATCH(E$1,INDIRECT("Table!A" &amp; $U28):INDIRECT("Table!" &amp; $X$159 &amp; $U28),0))))/1024)</f>
        <v>0.662109375</v>
      </c>
      <c r="F28" s="31">
        <f ca="1">IF(ISERROR(MATCH(F$1,INDIRECT("Table!A"&amp;$U28):INDIRECT("Table!" &amp; $X$159 &amp; $U28),0)),"",INDIRECT(CONCATENATE("Table!",ADDRESS($Q28,MATCH(F$1,INDIRECT("Table!A" &amp; $U28):INDIRECT("Table!" &amp; $X$159 &amp; $U28),0))))/1024)</f>
        <v>3.208984375</v>
      </c>
      <c r="G28" s="31">
        <f ca="1">IF(ISERROR(MATCH(G$1,INDIRECT("Table!A"&amp;$U28):INDIRECT("Table!" &amp; $X$159 &amp; $U28),0)),"",INDIRECT(CONCATENATE("Table!",ADDRESS($Q28,MATCH(G$1,INDIRECT("Table!A" &amp; $U28):INDIRECT("Table!" &amp; $X$159 &amp; $U28),0))))/1024)</f>
        <v>3.0009765625</v>
      </c>
      <c r="H28" s="31">
        <f ca="1">IF(ISERROR(MATCH(H$1,INDIRECT("Table!A"&amp;$U28):INDIRECT("Table!" &amp; $X$159 &amp; $U28),0)),"",INDIRECT(CONCATENATE("Table!",ADDRESS($Q28,MATCH(H$1,INDIRECT("Table!A" &amp; $U28):INDIRECT("Table!" &amp; $X$159 &amp; $U28),0))))/1024)</f>
        <v>2.177734375</v>
      </c>
      <c r="I28" s="31">
        <f ca="1">IF(ISERROR(MATCH(I$1,INDIRECT("Table!A"&amp;$U28):INDIRECT("Table!" &amp; $X$159 &amp; $U28),0)),"",INDIRECT(CONCATENATE("Table!",ADDRESS($Q28,MATCH(I$1,INDIRECT("Table!A" &amp; $U28):INDIRECT("Table!" &amp; $X$159 &amp; $U28),0))))/1024)</f>
        <v>0.8583984375</v>
      </c>
      <c r="J28" s="31">
        <f ca="1">IF(ISERROR(MATCH(J$1,INDIRECT("Table!A"&amp;$U28):INDIRECT("Table!" &amp; $X$159 &amp; $U28),0)),"",INDIRECT(CONCATENATE("Table!",ADDRESS($Q28,MATCH(J$1,INDIRECT("Table!A" &amp; $U28):INDIRECT("Table!" &amp; $X$159 &amp; $U28),0))))/1024)</f>
        <v>2.93359375</v>
      </c>
      <c r="K28" s="31">
        <f ca="1">IF(ISERROR(MATCH(K$1,INDIRECT("Table!A"&amp;$U28):INDIRECT("Table!" &amp; $X$159 &amp; $U28),0)),"",INDIRECT(CONCATENATE("Table!",ADDRESS($Q28,MATCH(K$1,INDIRECT("Table!A" &amp; $U28):INDIRECT("Table!" &amp; $X$159 &amp; $U28),0))))/1024)</f>
        <v>2.73828125</v>
      </c>
      <c r="L28" s="31">
        <f ca="1">IF(ISERROR(MATCH(L$1,INDIRECT("Table!A"&amp;$U28):INDIRECT("Table!" &amp; $X$159 &amp; $U28),0)),"",INDIRECT(CONCATENATE("Table!",ADDRESS($Q28,MATCH(L$1,INDIRECT("Table!A" &amp; $U28):INDIRECT("Table!" &amp; $X$159 &amp; $U28),0))))/1024)</f>
        <v>2.1787109375</v>
      </c>
      <c r="M28" s="31">
        <f ca="1">IF(ISERROR(MATCH(M$1,INDIRECT("Table!A"&amp;$U28):INDIRECT("Table!" &amp; $X$159 &amp; $U28),0)),"",INDIRECT(CONCATENATE("Table!",ADDRESS($Q28,MATCH(M$1,INDIRECT("Table!A" &amp; $U28):INDIRECT("Table!" &amp; $X$159 &amp; $U28),0))))/1024)</f>
        <v>2.208984375</v>
      </c>
      <c r="N28" s="31"/>
      <c r="O28" s="248"/>
      <c r="P28" s="248"/>
      <c r="Q28" s="31">
        <f>MATCH($A28,Table!$A:$A,0)+$S$2-1</f>
        <v>557</v>
      </c>
      <c r="R28" s="248"/>
      <c r="S28" s="248"/>
      <c r="T28" s="248"/>
      <c r="U28" s="31">
        <f>MATCH($A28,Table!$A:$A,0)+$W$2-1</f>
        <v>544</v>
      </c>
      <c r="V28" s="248"/>
      <c r="W28" s="248"/>
      <c r="X28" s="248" t="s">
        <v>118</v>
      </c>
    </row>
    <row r="29" spans="1:24">
      <c r="A29" s="5">
        <v>41169</v>
      </c>
      <c r="B29" s="31">
        <f ca="1">IF(ISERROR(MATCH(B$1,INDIRECT("Table!A"&amp;$U29):INDIRECT("Table!" &amp; $X$159 &amp; $U29),0)),"",INDIRECT(CONCATENATE("Table!",ADDRESS($Q29,MATCH(B$1,INDIRECT("Table!A" &amp; $U29):INDIRECT("Table!" &amp; $X$159 &amp; $U29),0))))/1024)</f>
        <v>0.6083984375</v>
      </c>
      <c r="C29" s="31">
        <f ca="1">IF(ISERROR(MATCH(C$1,INDIRECT("Table!A"&amp;$U29):INDIRECT("Table!" &amp; $X$159 &amp; $U29),0)),"",INDIRECT(CONCATENATE("Table!",ADDRESS($Q29,MATCH(C$1,INDIRECT("Table!A" &amp; $U29):INDIRECT("Table!" &amp; $X$159 &amp; $U29),0))))/1024)</f>
        <v>0.7275390625</v>
      </c>
      <c r="D29" s="31">
        <f ca="1">IF(ISERROR(MATCH(D$1,INDIRECT("Table!A"&amp;$U29):INDIRECT("Table!" &amp; $X$159 &amp; $U29),0)),"",INDIRECT(CONCATENATE("Table!",ADDRESS($Q29,MATCH(D$1,INDIRECT("Table!A" &amp; $U29):INDIRECT("Table!" &amp; $X$159 &amp; $U29),0))))/1024)</f>
        <v>0.5390625</v>
      </c>
      <c r="E29" s="31">
        <f ca="1">IF(ISERROR(MATCH(E$1,INDIRECT("Table!A"&amp;$U29):INDIRECT("Table!" &amp; $X$159 &amp; $U29),0)),"",INDIRECT(CONCATENATE("Table!",ADDRESS($Q29,MATCH(E$1,INDIRECT("Table!A" &amp; $U29):INDIRECT("Table!" &amp; $X$159 &amp; $U29),0))))/1024)</f>
        <v>0.662109375</v>
      </c>
      <c r="F29" s="31">
        <f ca="1">IF(ISERROR(MATCH(F$1,INDIRECT("Table!A"&amp;$U29):INDIRECT("Table!" &amp; $X$159 &amp; $U29),0)),"",INDIRECT(CONCATENATE("Table!",ADDRESS($Q29,MATCH(F$1,INDIRECT("Table!A" &amp; $U29):INDIRECT("Table!" &amp; $X$159 &amp; $U29),0))))/1024)</f>
        <v>3.208984375</v>
      </c>
      <c r="G29" s="31">
        <f ca="1">IF(ISERROR(MATCH(G$1,INDIRECT("Table!A"&amp;$U29):INDIRECT("Table!" &amp; $X$159 &amp; $U29),0)),"",INDIRECT(CONCATENATE("Table!",ADDRESS($Q29,MATCH(G$1,INDIRECT("Table!A" &amp; $U29):INDIRECT("Table!" &amp; $X$159 &amp; $U29),0))))/1024)</f>
        <v>3.0009765625</v>
      </c>
      <c r="H29" s="31">
        <f ca="1">IF(ISERROR(MATCH(H$1,INDIRECT("Table!A"&amp;$U29):INDIRECT("Table!" &amp; $X$159 &amp; $U29),0)),"",INDIRECT(CONCATENATE("Table!",ADDRESS($Q29,MATCH(H$1,INDIRECT("Table!A" &amp; $U29):INDIRECT("Table!" &amp; $X$159 &amp; $U29),0))))/1024)</f>
        <v>2.177734375</v>
      </c>
      <c r="I29" s="31">
        <f ca="1">IF(ISERROR(MATCH(I$1,INDIRECT("Table!A"&amp;$U29):INDIRECT("Table!" &amp; $X$159 &amp; $U29),0)),"",INDIRECT(CONCATENATE("Table!",ADDRESS($Q29,MATCH(I$1,INDIRECT("Table!A" &amp; $U29):INDIRECT("Table!" &amp; $X$159 &amp; $U29),0))))/1024)</f>
        <v>0.8583984375</v>
      </c>
      <c r="J29" s="31">
        <f ca="1">IF(ISERROR(MATCH(J$1,INDIRECT("Table!A"&amp;$U29):INDIRECT("Table!" &amp; $X$159 &amp; $U29),0)),"",INDIRECT(CONCATENATE("Table!",ADDRESS($Q29,MATCH(J$1,INDIRECT("Table!A" &amp; $U29):INDIRECT("Table!" &amp; $X$159 &amp; $U29),0))))/1024)</f>
        <v>2.93359375</v>
      </c>
      <c r="K29" s="31">
        <f ca="1">IF(ISERROR(MATCH(K$1,INDIRECT("Table!A"&amp;$U29):INDIRECT("Table!" &amp; $X$159 &amp; $U29),0)),"",INDIRECT(CONCATENATE("Table!",ADDRESS($Q29,MATCH(K$1,INDIRECT("Table!A" &amp; $U29):INDIRECT("Table!" &amp; $X$159 &amp; $U29),0))))/1024)</f>
        <v>2.73828125</v>
      </c>
      <c r="L29" s="31">
        <f ca="1">IF(ISERROR(MATCH(L$1,INDIRECT("Table!A"&amp;$U29):INDIRECT("Table!" &amp; $X$159 &amp; $U29),0)),"",INDIRECT(CONCATENATE("Table!",ADDRESS($Q29,MATCH(L$1,INDIRECT("Table!A" &amp; $U29):INDIRECT("Table!" &amp; $X$159 &amp; $U29),0))))/1024)</f>
        <v>2.1787109375</v>
      </c>
      <c r="M29" s="31">
        <f ca="1">IF(ISERROR(MATCH(M$1,INDIRECT("Table!A"&amp;$U29):INDIRECT("Table!" &amp; $X$159 &amp; $U29),0)),"",INDIRECT(CONCATENATE("Table!",ADDRESS($Q29,MATCH(M$1,INDIRECT("Table!A" &amp; $U29):INDIRECT("Table!" &amp; $X$159 &amp; $U29),0))))/1024)</f>
        <v>2.208984375</v>
      </c>
      <c r="N29" s="31"/>
      <c r="O29" s="247"/>
      <c r="P29" s="247"/>
      <c r="Q29" s="31">
        <f>MATCH($A29,Table!$A:$A,0)+$S$2-1</f>
        <v>570</v>
      </c>
      <c r="R29" s="247"/>
      <c r="S29" s="247"/>
      <c r="T29" s="247"/>
      <c r="U29" s="31">
        <f>MATCH($A29,Table!$A:$A,0)+$W$2-1</f>
        <v>557</v>
      </c>
      <c r="V29" s="247"/>
      <c r="W29" s="247"/>
      <c r="X29" s="247" t="s">
        <v>118</v>
      </c>
    </row>
    <row r="30" spans="1:24">
      <c r="A30" s="5">
        <v>41166</v>
      </c>
      <c r="B30" s="31">
        <f ca="1">IF(ISERROR(MATCH(B$1,INDIRECT("Table!A"&amp;$U30):INDIRECT("Table!" &amp; $X$159 &amp; $U30),0)),"",INDIRECT(CONCATENATE("Table!",ADDRESS($Q30,MATCH(B$1,INDIRECT("Table!A" &amp; $U30):INDIRECT("Table!" &amp; $X$159 &amp; $U30),0))))/1024)</f>
        <v>0.6083984375</v>
      </c>
      <c r="C30" s="31">
        <f ca="1">IF(ISERROR(MATCH(C$1,INDIRECT("Table!A"&amp;$U30):INDIRECT("Table!" &amp; $X$159 &amp; $U30),0)),"",INDIRECT(CONCATENATE("Table!",ADDRESS($Q30,MATCH(C$1,INDIRECT("Table!A" &amp; $U30):INDIRECT("Table!" &amp; $X$159 &amp; $U30),0))))/1024)</f>
        <v>0.7275390625</v>
      </c>
      <c r="D30" s="31">
        <f ca="1">IF(ISERROR(MATCH(D$1,INDIRECT("Table!A"&amp;$U30):INDIRECT("Table!" &amp; $X$159 &amp; $U30),0)),"",INDIRECT(CONCATENATE("Table!",ADDRESS($Q30,MATCH(D$1,INDIRECT("Table!A" &amp; $U30):INDIRECT("Table!" &amp; $X$159 &amp; $U30),0))))/1024)</f>
        <v>0.5390625</v>
      </c>
      <c r="E30" s="31">
        <f ca="1">IF(ISERROR(MATCH(E$1,INDIRECT("Table!A"&amp;$U30):INDIRECT("Table!" &amp; $X$159 &amp; $U30),0)),"",INDIRECT(CONCATENATE("Table!",ADDRESS($Q30,MATCH(E$1,INDIRECT("Table!A" &amp; $U30):INDIRECT("Table!" &amp; $X$159 &amp; $U30),0))))/1024)</f>
        <v>0.662109375</v>
      </c>
      <c r="F30" s="31">
        <f ca="1">IF(ISERROR(MATCH(F$1,INDIRECT("Table!A"&amp;$U30):INDIRECT("Table!" &amp; $X$159 &amp; $U30),0)),"",INDIRECT(CONCATENATE("Table!",ADDRESS($Q30,MATCH(F$1,INDIRECT("Table!A" &amp; $U30):INDIRECT("Table!" &amp; $X$159 &amp; $U30),0))))/1024)</f>
        <v>3.208984375</v>
      </c>
      <c r="G30" s="31">
        <f ca="1">IF(ISERROR(MATCH(G$1,INDIRECT("Table!A"&amp;$U30):INDIRECT("Table!" &amp; $X$159 &amp; $U30),0)),"",INDIRECT(CONCATENATE("Table!",ADDRESS($Q30,MATCH(G$1,INDIRECT("Table!A" &amp; $U30):INDIRECT("Table!" &amp; $X$159 &amp; $U30),0))))/1024)</f>
        <v>3.0009765625</v>
      </c>
      <c r="H30" s="31">
        <f ca="1">IF(ISERROR(MATCH(H$1,INDIRECT("Table!A"&amp;$U30):INDIRECT("Table!" &amp; $X$159 &amp; $U30),0)),"",INDIRECT(CONCATENATE("Table!",ADDRESS($Q30,MATCH(H$1,INDIRECT("Table!A" &amp; $U30):INDIRECT("Table!" &amp; $X$159 &amp; $U30),0))))/1024)</f>
        <v>2.177734375</v>
      </c>
      <c r="I30" s="31">
        <f ca="1">IF(ISERROR(MATCH(I$1,INDIRECT("Table!A"&amp;$U30):INDIRECT("Table!" &amp; $X$159 &amp; $U30),0)),"",INDIRECT(CONCATENATE("Table!",ADDRESS($Q30,MATCH(I$1,INDIRECT("Table!A" &amp; $U30):INDIRECT("Table!" &amp; $X$159 &amp; $U30),0))))/1024)</f>
        <v>0.8583984375</v>
      </c>
      <c r="J30" s="31">
        <f ca="1">IF(ISERROR(MATCH(J$1,INDIRECT("Table!A"&amp;$U30):INDIRECT("Table!" &amp; $X$159 &amp; $U30),0)),"",INDIRECT(CONCATENATE("Table!",ADDRESS($Q30,MATCH(J$1,INDIRECT("Table!A" &amp; $U30):INDIRECT("Table!" &amp; $X$159 &amp; $U30),0))))/1024)</f>
        <v>2.93359375</v>
      </c>
      <c r="K30" s="31">
        <f ca="1">IF(ISERROR(MATCH(K$1,INDIRECT("Table!A"&amp;$U30):INDIRECT("Table!" &amp; $X$159 &amp; $U30),0)),"",INDIRECT(CONCATENATE("Table!",ADDRESS($Q30,MATCH(K$1,INDIRECT("Table!A" &amp; $U30):INDIRECT("Table!" &amp; $X$159 &amp; $U30),0))))/1024)</f>
        <v>2.73828125</v>
      </c>
      <c r="L30" s="31">
        <f ca="1">IF(ISERROR(MATCH(L$1,INDIRECT("Table!A"&amp;$U30):INDIRECT("Table!" &amp; $X$159 &amp; $U30),0)),"",INDIRECT(CONCATENATE("Table!",ADDRESS($Q30,MATCH(L$1,INDIRECT("Table!A" &amp; $U30):INDIRECT("Table!" &amp; $X$159 &amp; $U30),0))))/1024)</f>
        <v>2.1787109375</v>
      </c>
      <c r="M30" s="31">
        <f ca="1">IF(ISERROR(MATCH(M$1,INDIRECT("Table!A"&amp;$U30):INDIRECT("Table!" &amp; $X$159 &amp; $U30),0)),"",INDIRECT(CONCATENATE("Table!",ADDRESS($Q30,MATCH(M$1,INDIRECT("Table!A" &amp; $U30):INDIRECT("Table!" &amp; $X$159 &amp; $U30),0))))/1024)</f>
        <v>2.208984375</v>
      </c>
      <c r="N30" s="31"/>
      <c r="O30" s="246"/>
      <c r="P30" s="246"/>
      <c r="Q30" s="31">
        <f>MATCH($A30,Table!$A:$A,0)+$S$2-1</f>
        <v>583</v>
      </c>
      <c r="R30" s="246"/>
      <c r="S30" s="246"/>
      <c r="T30" s="246"/>
      <c r="U30" s="31">
        <f>MATCH($A30,Table!$A:$A,0)+$W$2-1</f>
        <v>570</v>
      </c>
      <c r="V30" s="246"/>
      <c r="W30" s="246"/>
      <c r="X30" s="246" t="s">
        <v>118</v>
      </c>
    </row>
    <row r="31" spans="1:24">
      <c r="A31" s="5">
        <v>41164</v>
      </c>
      <c r="B31" s="31">
        <f ca="1">IF(ISERROR(MATCH(B$1,INDIRECT("Table!A"&amp;$U31):INDIRECT("Table!" &amp; $X$159 &amp; $U31),0)),"",INDIRECT(CONCATENATE("Table!",ADDRESS($Q31,MATCH(B$1,INDIRECT("Table!A" &amp; $U31):INDIRECT("Table!" &amp; $X$159 &amp; $U31),0))))/1024)</f>
        <v>0.6083984375</v>
      </c>
      <c r="C31" s="31">
        <f ca="1">IF(ISERROR(MATCH(C$1,INDIRECT("Table!A"&amp;$U31):INDIRECT("Table!" &amp; $X$159 &amp; $U31),0)),"",INDIRECT(CONCATENATE("Table!",ADDRESS($Q31,MATCH(C$1,INDIRECT("Table!A" &amp; $U31):INDIRECT("Table!" &amp; $X$159 &amp; $U31),0))))/1024)</f>
        <v>0.7275390625</v>
      </c>
      <c r="D31" s="31">
        <f ca="1">IF(ISERROR(MATCH(D$1,INDIRECT("Table!A"&amp;$U31):INDIRECT("Table!" &amp; $X$159 &amp; $U31),0)),"",INDIRECT(CONCATENATE("Table!",ADDRESS($Q31,MATCH(D$1,INDIRECT("Table!A" &amp; $U31):INDIRECT("Table!" &amp; $X$159 &amp; $U31),0))))/1024)</f>
        <v>0.5390625</v>
      </c>
      <c r="E31" s="31">
        <f ca="1">IF(ISERROR(MATCH(E$1,INDIRECT("Table!A"&amp;$U31):INDIRECT("Table!" &amp; $X$159 &amp; $U31),0)),"",INDIRECT(CONCATENATE("Table!",ADDRESS($Q31,MATCH(E$1,INDIRECT("Table!A" &amp; $U31):INDIRECT("Table!" &amp; $X$159 &amp; $U31),0))))/1024)</f>
        <v>0.662109375</v>
      </c>
      <c r="F31" s="31">
        <f ca="1">IF(ISERROR(MATCH(F$1,INDIRECT("Table!A"&amp;$U31):INDIRECT("Table!" &amp; $X$159 &amp; $U31),0)),"",INDIRECT(CONCATENATE("Table!",ADDRESS($Q31,MATCH(F$1,INDIRECT("Table!A" &amp; $U31):INDIRECT("Table!" &amp; $X$159 &amp; $U31),0))))/1024)</f>
        <v>3.208984375</v>
      </c>
      <c r="G31" s="31">
        <f ca="1">IF(ISERROR(MATCH(G$1,INDIRECT("Table!A"&amp;$U31):INDIRECT("Table!" &amp; $X$159 &amp; $U31),0)),"",INDIRECT(CONCATENATE("Table!",ADDRESS($Q31,MATCH(G$1,INDIRECT("Table!A" &amp; $U31):INDIRECT("Table!" &amp; $X$159 &amp; $U31),0))))/1024)</f>
        <v>3.0009765625</v>
      </c>
      <c r="H31" s="31">
        <f ca="1">IF(ISERROR(MATCH(H$1,INDIRECT("Table!A"&amp;$U31):INDIRECT("Table!" &amp; $X$159 &amp; $U31),0)),"",INDIRECT(CONCATENATE("Table!",ADDRESS($Q31,MATCH(H$1,INDIRECT("Table!A" &amp; $U31):INDIRECT("Table!" &amp; $X$159 &amp; $U31),0))))/1024)</f>
        <v>2.177734375</v>
      </c>
      <c r="I31" s="31">
        <f ca="1">IF(ISERROR(MATCH(I$1,INDIRECT("Table!A"&amp;$U31):INDIRECT("Table!" &amp; $X$159 &amp; $U31),0)),"",INDIRECT(CONCATENATE("Table!",ADDRESS($Q31,MATCH(I$1,INDIRECT("Table!A" &amp; $U31):INDIRECT("Table!" &amp; $X$159 &amp; $U31),0))))/1024)</f>
        <v>0.8583984375</v>
      </c>
      <c r="J31" s="31">
        <f ca="1">IF(ISERROR(MATCH(J$1,INDIRECT("Table!A"&amp;$U31):INDIRECT("Table!" &amp; $X$159 &amp; $U31),0)),"",INDIRECT(CONCATENATE("Table!",ADDRESS($Q31,MATCH(J$1,INDIRECT("Table!A" &amp; $U31):INDIRECT("Table!" &amp; $X$159 &amp; $U31),0))))/1024)</f>
        <v>2.93359375</v>
      </c>
      <c r="K31" s="31">
        <f ca="1">IF(ISERROR(MATCH(K$1,INDIRECT("Table!A"&amp;$U31):INDIRECT("Table!" &amp; $X$159 &amp; $U31),0)),"",INDIRECT(CONCATENATE("Table!",ADDRESS($Q31,MATCH(K$1,INDIRECT("Table!A" &amp; $U31):INDIRECT("Table!" &amp; $X$159 &amp; $U31),0))))/1024)</f>
        <v>2.73828125</v>
      </c>
      <c r="L31" s="31">
        <f ca="1">IF(ISERROR(MATCH(L$1,INDIRECT("Table!A"&amp;$U31):INDIRECT("Table!" &amp; $X$159 &amp; $U31),0)),"",INDIRECT(CONCATENATE("Table!",ADDRESS($Q31,MATCH(L$1,INDIRECT("Table!A" &amp; $U31):INDIRECT("Table!" &amp; $X$159 &amp; $U31),0))))/1024)</f>
        <v>2.1787109375</v>
      </c>
      <c r="M31" s="31">
        <f ca="1">IF(ISERROR(MATCH(M$1,INDIRECT("Table!A"&amp;$U31):INDIRECT("Table!" &amp; $X$159 &amp; $U31),0)),"",INDIRECT(CONCATENATE("Table!",ADDRESS($Q31,MATCH(M$1,INDIRECT("Table!A" &amp; $U31):INDIRECT("Table!" &amp; $X$159 &amp; $U31),0))))/1024)</f>
        <v>2.208984375</v>
      </c>
      <c r="N31" s="31"/>
      <c r="O31" s="245"/>
      <c r="P31" s="245"/>
      <c r="Q31" s="31">
        <f>MATCH($A31,Table!$A:$A,0)+$S$2-1</f>
        <v>596</v>
      </c>
      <c r="R31" s="245"/>
      <c r="S31" s="245"/>
      <c r="T31" s="245"/>
      <c r="U31" s="31">
        <f>MATCH($A31,Table!$A:$A,0)+$W$2-1</f>
        <v>583</v>
      </c>
      <c r="V31" s="245"/>
      <c r="W31" s="245"/>
      <c r="X31" s="245" t="s">
        <v>118</v>
      </c>
    </row>
    <row r="32" spans="1:24">
      <c r="A32" s="5">
        <v>41162</v>
      </c>
      <c r="B32" s="31">
        <f ca="1">IF(ISERROR(MATCH(B$1,INDIRECT("Table!A"&amp;$U32):INDIRECT("Table!" &amp; $X$159 &amp; $U32),0)),"",INDIRECT(CONCATENATE("Table!",ADDRESS($Q32,MATCH(B$1,INDIRECT("Table!A" &amp; $U32):INDIRECT("Table!" &amp; $X$159 &amp; $U32),0))))/1024)</f>
        <v>0.6083984375</v>
      </c>
      <c r="C32" s="31">
        <f ca="1">IF(ISERROR(MATCH(C$1,INDIRECT("Table!A"&amp;$U32):INDIRECT("Table!" &amp; $X$159 &amp; $U32),0)),"",INDIRECT(CONCATENATE("Table!",ADDRESS($Q32,MATCH(C$1,INDIRECT("Table!A" &amp; $U32):INDIRECT("Table!" &amp; $X$159 &amp; $U32),0))))/1024)</f>
        <v>0.7275390625</v>
      </c>
      <c r="D32" s="31">
        <f ca="1">IF(ISERROR(MATCH(D$1,INDIRECT("Table!A"&amp;$U32):INDIRECT("Table!" &amp; $X$159 &amp; $U32),0)),"",INDIRECT(CONCATENATE("Table!",ADDRESS($Q32,MATCH(D$1,INDIRECT("Table!A" &amp; $U32):INDIRECT("Table!" &amp; $X$159 &amp; $U32),0))))/1024)</f>
        <v>0.5390625</v>
      </c>
      <c r="E32" s="31">
        <f ca="1">IF(ISERROR(MATCH(E$1,INDIRECT("Table!A"&amp;$U32):INDIRECT("Table!" &amp; $X$159 &amp; $U32),0)),"",INDIRECT(CONCATENATE("Table!",ADDRESS($Q32,MATCH(E$1,INDIRECT("Table!A" &amp; $U32):INDIRECT("Table!" &amp; $X$159 &amp; $U32),0))))/1024)</f>
        <v>0.662109375</v>
      </c>
      <c r="F32" s="31">
        <f ca="1">IF(ISERROR(MATCH(F$1,INDIRECT("Table!A"&amp;$U32):INDIRECT("Table!" &amp; $X$159 &amp; $U32),0)),"",INDIRECT(CONCATENATE("Table!",ADDRESS($Q32,MATCH(F$1,INDIRECT("Table!A" &amp; $U32):INDIRECT("Table!" &amp; $X$159 &amp; $U32),0))))/1024)</f>
        <v>3.208984375</v>
      </c>
      <c r="G32" s="31">
        <f ca="1">IF(ISERROR(MATCH(G$1,INDIRECT("Table!A"&amp;$U32):INDIRECT("Table!" &amp; $X$159 &amp; $U32),0)),"",INDIRECT(CONCATENATE("Table!",ADDRESS($Q32,MATCH(G$1,INDIRECT("Table!A" &amp; $U32):INDIRECT("Table!" &amp; $X$159 &amp; $U32),0))))/1024)</f>
        <v>3.0009765625</v>
      </c>
      <c r="H32" s="31">
        <f ca="1">IF(ISERROR(MATCH(H$1,INDIRECT("Table!A"&amp;$U32):INDIRECT("Table!" &amp; $X$159 &amp; $U32),0)),"",INDIRECT(CONCATENATE("Table!",ADDRESS($Q32,MATCH(H$1,INDIRECT("Table!A" &amp; $U32):INDIRECT("Table!" &amp; $X$159 &amp; $U32),0))))/1024)</f>
        <v>2.177734375</v>
      </c>
      <c r="I32" s="31">
        <f ca="1">IF(ISERROR(MATCH(I$1,INDIRECT("Table!A"&amp;$U32):INDIRECT("Table!" &amp; $X$159 &amp; $U32),0)),"",INDIRECT(CONCATENATE("Table!",ADDRESS($Q32,MATCH(I$1,INDIRECT("Table!A" &amp; $U32):INDIRECT("Table!" &amp; $X$159 &amp; $U32),0))))/1024)</f>
        <v>0.8583984375</v>
      </c>
      <c r="J32" s="31">
        <f ca="1">IF(ISERROR(MATCH(J$1,INDIRECT("Table!A"&amp;$U32):INDIRECT("Table!" &amp; $X$159 &amp; $U32),0)),"",INDIRECT(CONCATENATE("Table!",ADDRESS($Q32,MATCH(J$1,INDIRECT("Table!A" &amp; $U32):INDIRECT("Table!" &amp; $X$159 &amp; $U32),0))))/1024)</f>
        <v>2.93359375</v>
      </c>
      <c r="K32" s="31">
        <f ca="1">IF(ISERROR(MATCH(K$1,INDIRECT("Table!A"&amp;$U32):INDIRECT("Table!" &amp; $X$159 &amp; $U32),0)),"",INDIRECT(CONCATENATE("Table!",ADDRESS($Q32,MATCH(K$1,INDIRECT("Table!A" &amp; $U32):INDIRECT("Table!" &amp; $X$159 &amp; $U32),0))))/1024)</f>
        <v>2.73828125</v>
      </c>
      <c r="L32" s="31">
        <f ca="1">IF(ISERROR(MATCH(L$1,INDIRECT("Table!A"&amp;$U32):INDIRECT("Table!" &amp; $X$159 &amp; $U32),0)),"",INDIRECT(CONCATENATE("Table!",ADDRESS($Q32,MATCH(L$1,INDIRECT("Table!A" &amp; $U32):INDIRECT("Table!" &amp; $X$159 &amp; $U32),0))))/1024)</f>
        <v>2.1787109375</v>
      </c>
      <c r="M32" s="31">
        <f ca="1">IF(ISERROR(MATCH(M$1,INDIRECT("Table!A"&amp;$U32):INDIRECT("Table!" &amp; $X$159 &amp; $U32),0)),"",INDIRECT(CONCATENATE("Table!",ADDRESS($Q32,MATCH(M$1,INDIRECT("Table!A" &amp; $U32):INDIRECT("Table!" &amp; $X$159 &amp; $U32),0))))/1024)</f>
        <v>2.208984375</v>
      </c>
      <c r="N32" s="31"/>
      <c r="O32" s="244"/>
      <c r="P32" s="244"/>
      <c r="Q32" s="31">
        <f>MATCH($A32,Table!$A:$A,0)+$S$2-1</f>
        <v>609</v>
      </c>
      <c r="R32" s="244"/>
      <c r="S32" s="244"/>
      <c r="T32" s="244"/>
      <c r="U32" s="31">
        <f>MATCH($A32,Table!$A:$A,0)+$W$2-1</f>
        <v>596</v>
      </c>
      <c r="V32" s="244"/>
      <c r="W32" s="244"/>
      <c r="X32" s="244" t="s">
        <v>118</v>
      </c>
    </row>
    <row r="33" spans="1:24">
      <c r="A33" s="5">
        <v>41159</v>
      </c>
      <c r="B33" s="31">
        <f ca="1">IF(ISERROR(MATCH(B$1,INDIRECT("Table!A"&amp;$U33):INDIRECT("Table!" &amp; $X$159 &amp; $U33),0)),"",INDIRECT(CONCATENATE("Table!",ADDRESS($Q33,MATCH(B$1,INDIRECT("Table!A" &amp; $U33):INDIRECT("Table!" &amp; $X$159 &amp; $U33),0))))/1024)</f>
        <v>0.6083984375</v>
      </c>
      <c r="C33" s="31">
        <f ca="1">IF(ISERROR(MATCH(C$1,INDIRECT("Table!A"&amp;$U33):INDIRECT("Table!" &amp; $X$159 &amp; $U33),0)),"",INDIRECT(CONCATENATE("Table!",ADDRESS($Q33,MATCH(C$1,INDIRECT("Table!A" &amp; $U33):INDIRECT("Table!" &amp; $X$159 &amp; $U33),0))))/1024)</f>
        <v>0.7275390625</v>
      </c>
      <c r="D33" s="31">
        <f ca="1">IF(ISERROR(MATCH(D$1,INDIRECT("Table!A"&amp;$U33):INDIRECT("Table!" &amp; $X$159 &amp; $U33),0)),"",INDIRECT(CONCATENATE("Table!",ADDRESS($Q33,MATCH(D$1,INDIRECT("Table!A" &amp; $U33):INDIRECT("Table!" &amp; $X$159 &amp; $U33),0))))/1024)</f>
        <v>0.5390625</v>
      </c>
      <c r="E33" s="31">
        <f ca="1">IF(ISERROR(MATCH(E$1,INDIRECT("Table!A"&amp;$U33):INDIRECT("Table!" &amp; $X$159 &amp; $U33),0)),"",INDIRECT(CONCATENATE("Table!",ADDRESS($Q33,MATCH(E$1,INDIRECT("Table!A" &amp; $U33):INDIRECT("Table!" &amp; $X$159 &amp; $U33),0))))/1024)</f>
        <v>0.662109375</v>
      </c>
      <c r="F33" s="31">
        <f ca="1">IF(ISERROR(MATCH(F$1,INDIRECT("Table!A"&amp;$U33):INDIRECT("Table!" &amp; $X$159 &amp; $U33),0)),"",INDIRECT(CONCATENATE("Table!",ADDRESS($Q33,MATCH(F$1,INDIRECT("Table!A" &amp; $U33):INDIRECT("Table!" &amp; $X$159 &amp; $U33),0))))/1024)</f>
        <v>3.208984375</v>
      </c>
      <c r="G33" s="31">
        <f ca="1">IF(ISERROR(MATCH(G$1,INDIRECT("Table!A"&amp;$U33):INDIRECT("Table!" &amp; $X$159 &amp; $U33),0)),"",INDIRECT(CONCATENATE("Table!",ADDRESS($Q33,MATCH(G$1,INDIRECT("Table!A" &amp; $U33):INDIRECT("Table!" &amp; $X$159 &amp; $U33),0))))/1024)</f>
        <v>3.0009765625</v>
      </c>
      <c r="H33" s="31">
        <f ca="1">IF(ISERROR(MATCH(H$1,INDIRECT("Table!A"&amp;$U33):INDIRECT("Table!" &amp; $X$159 &amp; $U33),0)),"",INDIRECT(CONCATENATE("Table!",ADDRESS($Q33,MATCH(H$1,INDIRECT("Table!A" &amp; $U33):INDIRECT("Table!" &amp; $X$159 &amp; $U33),0))))/1024)</f>
        <v>2.177734375</v>
      </c>
      <c r="I33" s="31">
        <f ca="1">IF(ISERROR(MATCH(I$1,INDIRECT("Table!A"&amp;$U33):INDIRECT("Table!" &amp; $X$159 &amp; $U33),0)),"",INDIRECT(CONCATENATE("Table!",ADDRESS($Q33,MATCH(I$1,INDIRECT("Table!A" &amp; $U33):INDIRECT("Table!" &amp; $X$159 &amp; $U33),0))))/1024)</f>
        <v>0.8583984375</v>
      </c>
      <c r="J33" s="31">
        <f ca="1">IF(ISERROR(MATCH(J$1,INDIRECT("Table!A"&amp;$U33):INDIRECT("Table!" &amp; $X$159 &amp; $U33),0)),"",INDIRECT(CONCATENATE("Table!",ADDRESS($Q33,MATCH(J$1,INDIRECT("Table!A" &amp; $U33):INDIRECT("Table!" &amp; $X$159 &amp; $U33),0))))/1024)</f>
        <v>2.93359375</v>
      </c>
      <c r="K33" s="31">
        <f ca="1">IF(ISERROR(MATCH(K$1,INDIRECT("Table!A"&amp;$U33):INDIRECT("Table!" &amp; $X$159 &amp; $U33),0)),"",INDIRECT(CONCATENATE("Table!",ADDRESS($Q33,MATCH(K$1,INDIRECT("Table!A" &amp; $U33):INDIRECT("Table!" &amp; $X$159 &amp; $U33),0))))/1024)</f>
        <v>2.73828125</v>
      </c>
      <c r="L33" s="31">
        <f ca="1">IF(ISERROR(MATCH(L$1,INDIRECT("Table!A"&amp;$U33):INDIRECT("Table!" &amp; $X$159 &amp; $U33),0)),"",INDIRECT(CONCATENATE("Table!",ADDRESS($Q33,MATCH(L$1,INDIRECT("Table!A" &amp; $U33):INDIRECT("Table!" &amp; $X$159 &amp; $U33),0))))/1024)</f>
        <v>2.1787109375</v>
      </c>
      <c r="M33" s="31">
        <f ca="1">IF(ISERROR(MATCH(M$1,INDIRECT("Table!A"&amp;$U33):INDIRECT("Table!" &amp; $X$159 &amp; $U33),0)),"",INDIRECT(CONCATENATE("Table!",ADDRESS($Q33,MATCH(M$1,INDIRECT("Table!A" &amp; $U33):INDIRECT("Table!" &amp; $X$159 &amp; $U33),0))))/1024)</f>
        <v>2.208984375</v>
      </c>
      <c r="N33" s="31"/>
      <c r="O33" s="243"/>
      <c r="P33" s="243"/>
      <c r="Q33" s="31">
        <f>MATCH($A33,Table!$A:$A,0)+$S$2-1</f>
        <v>622</v>
      </c>
      <c r="R33" s="243"/>
      <c r="S33" s="243"/>
      <c r="T33" s="243"/>
      <c r="U33" s="31">
        <f>MATCH($A33,Table!$A:$A,0)+$W$2-1</f>
        <v>609</v>
      </c>
      <c r="V33" s="243"/>
      <c r="W33" s="243"/>
      <c r="X33" s="243" t="s">
        <v>118</v>
      </c>
    </row>
    <row r="34" spans="1:24">
      <c r="A34" s="5">
        <v>41156</v>
      </c>
      <c r="B34" s="31">
        <f ca="1">IF(ISERROR(MATCH(B$1,INDIRECT("Table!A"&amp;$U34):INDIRECT("Table!" &amp; $X$159 &amp; $U34),0)),"",INDIRECT(CONCATENATE("Table!",ADDRESS($Q34,MATCH(B$1,INDIRECT("Table!A" &amp; $U34):INDIRECT("Table!" &amp; $X$159 &amp; $U34),0))))/1024)</f>
        <v>0.6083984375</v>
      </c>
      <c r="C34" s="31">
        <f ca="1">IF(ISERROR(MATCH(C$1,INDIRECT("Table!A"&amp;$U34):INDIRECT("Table!" &amp; $X$159 &amp; $U34),0)),"",INDIRECT(CONCATENATE("Table!",ADDRESS($Q34,MATCH(C$1,INDIRECT("Table!A" &amp; $U34):INDIRECT("Table!" &amp; $X$159 &amp; $U34),0))))/1024)</f>
        <v>0.7275390625</v>
      </c>
      <c r="D34" s="31">
        <f ca="1">IF(ISERROR(MATCH(D$1,INDIRECT("Table!A"&amp;$U34):INDIRECT("Table!" &amp; $X$159 &amp; $U34),0)),"",INDIRECT(CONCATENATE("Table!",ADDRESS($Q34,MATCH(D$1,INDIRECT("Table!A" &amp; $U34):INDIRECT("Table!" &amp; $X$159 &amp; $U34),0))))/1024)</f>
        <v>0.5390625</v>
      </c>
      <c r="E34" s="31">
        <f ca="1">IF(ISERROR(MATCH(E$1,INDIRECT("Table!A"&amp;$U34):INDIRECT("Table!" &amp; $X$159 &amp; $U34),0)),"",INDIRECT(CONCATENATE("Table!",ADDRESS($Q34,MATCH(E$1,INDIRECT("Table!A" &amp; $U34):INDIRECT("Table!" &amp; $X$159 &amp; $U34),0))))/1024)</f>
        <v>0.662109375</v>
      </c>
      <c r="F34" s="31">
        <f ca="1">IF(ISERROR(MATCH(F$1,INDIRECT("Table!A"&amp;$U34):INDIRECT("Table!" &amp; $X$159 &amp; $U34),0)),"",INDIRECT(CONCATENATE("Table!",ADDRESS($Q34,MATCH(F$1,INDIRECT("Table!A" &amp; $U34):INDIRECT("Table!" &amp; $X$159 &amp; $U34),0))))/1024)</f>
        <v>3.208984375</v>
      </c>
      <c r="G34" s="31">
        <f ca="1">IF(ISERROR(MATCH(G$1,INDIRECT("Table!A"&amp;$U34):INDIRECT("Table!" &amp; $X$159 &amp; $U34),0)),"",INDIRECT(CONCATENATE("Table!",ADDRESS($Q34,MATCH(G$1,INDIRECT("Table!A" &amp; $U34):INDIRECT("Table!" &amp; $X$159 &amp; $U34),0))))/1024)</f>
        <v>3.0009765625</v>
      </c>
      <c r="H34" s="31">
        <f ca="1">IF(ISERROR(MATCH(H$1,INDIRECT("Table!A"&amp;$U34):INDIRECT("Table!" &amp; $X$159 &amp; $U34),0)),"",INDIRECT(CONCATENATE("Table!",ADDRESS($Q34,MATCH(H$1,INDIRECT("Table!A" &amp; $U34):INDIRECT("Table!" &amp; $X$159 &amp; $U34),0))))/1024)</f>
        <v>2.177734375</v>
      </c>
      <c r="I34" s="31">
        <f ca="1">IF(ISERROR(MATCH(I$1,INDIRECT("Table!A"&amp;$U34):INDIRECT("Table!" &amp; $X$159 &amp; $U34),0)),"",INDIRECT(CONCATENATE("Table!",ADDRESS($Q34,MATCH(I$1,INDIRECT("Table!A" &amp; $U34):INDIRECT("Table!" &amp; $X$159 &amp; $U34),0))))/1024)</f>
        <v>0.8583984375</v>
      </c>
      <c r="J34" s="31">
        <f ca="1">IF(ISERROR(MATCH(J$1,INDIRECT("Table!A"&amp;$U34):INDIRECT("Table!" &amp; $X$159 &amp; $U34),0)),"",INDIRECT(CONCATENATE("Table!",ADDRESS($Q34,MATCH(J$1,INDIRECT("Table!A" &amp; $U34):INDIRECT("Table!" &amp; $X$159 &amp; $U34),0))))/1024)</f>
        <v>2.93359375</v>
      </c>
      <c r="K34" s="31">
        <f ca="1">IF(ISERROR(MATCH(K$1,INDIRECT("Table!A"&amp;$U34):INDIRECT("Table!" &amp; $X$159 &amp; $U34),0)),"",INDIRECT(CONCATENATE("Table!",ADDRESS($Q34,MATCH(K$1,INDIRECT("Table!A" &amp; $U34):INDIRECT("Table!" &amp; $X$159 &amp; $U34),0))))/1024)</f>
        <v>2.73828125</v>
      </c>
      <c r="L34" s="31">
        <f ca="1">IF(ISERROR(MATCH(L$1,INDIRECT("Table!A"&amp;$U34):INDIRECT("Table!" &amp; $X$159 &amp; $U34),0)),"",INDIRECT(CONCATENATE("Table!",ADDRESS($Q34,MATCH(L$1,INDIRECT("Table!A" &amp; $U34):INDIRECT("Table!" &amp; $X$159 &amp; $U34),0))))/1024)</f>
        <v>2.1787109375</v>
      </c>
      <c r="M34" s="31">
        <f ca="1">IF(ISERROR(MATCH(M$1,INDIRECT("Table!A"&amp;$U34):INDIRECT("Table!" &amp; $X$159 &amp; $U34),0)),"",INDIRECT(CONCATENATE("Table!",ADDRESS($Q34,MATCH(M$1,INDIRECT("Table!A" &amp; $U34):INDIRECT("Table!" &amp; $X$159 &amp; $U34),0))))/1024)</f>
        <v>2.208984375</v>
      </c>
      <c r="N34" s="31"/>
      <c r="O34" s="242"/>
      <c r="P34" s="242"/>
      <c r="Q34" s="31">
        <f>MATCH($A34,Table!$A:$A,0)+$S$2-1</f>
        <v>635</v>
      </c>
      <c r="R34" s="242"/>
      <c r="S34" s="242"/>
      <c r="T34" s="242"/>
      <c r="U34" s="31">
        <f>MATCH($A34,Table!$A:$A,0)+$W$2-1</f>
        <v>622</v>
      </c>
      <c r="V34" s="242"/>
      <c r="W34" s="242"/>
      <c r="X34" s="242" t="s">
        <v>118</v>
      </c>
    </row>
    <row r="35" spans="1:24">
      <c r="A35" s="5">
        <v>41151</v>
      </c>
      <c r="B35" s="31">
        <f ca="1">IF(ISERROR(MATCH(B$1,INDIRECT("Table!A"&amp;$U35):INDIRECT("Table!" &amp; $X$159 &amp; $U35),0)),"",INDIRECT(CONCATENATE("Table!",ADDRESS($Q35,MATCH(B$1,INDIRECT("Table!A" &amp; $U35):INDIRECT("Table!" &amp; $X$159 &amp; $U35),0))))/1024)</f>
        <v>0.6083984375</v>
      </c>
      <c r="C35" s="31">
        <f ca="1">IF(ISERROR(MATCH(C$1,INDIRECT("Table!A"&amp;$U35):INDIRECT("Table!" &amp; $X$159 &amp; $U35),0)),"",INDIRECT(CONCATENATE("Table!",ADDRESS($Q35,MATCH(C$1,INDIRECT("Table!A" &amp; $U35):INDIRECT("Table!" &amp; $X$159 &amp; $U35),0))))/1024)</f>
        <v>0.7275390625</v>
      </c>
      <c r="D35" s="31">
        <f ca="1">IF(ISERROR(MATCH(D$1,INDIRECT("Table!A"&amp;$U35):INDIRECT("Table!" &amp; $X$159 &amp; $U35),0)),"",INDIRECT(CONCATENATE("Table!",ADDRESS($Q35,MATCH(D$1,INDIRECT("Table!A" &amp; $U35):INDIRECT("Table!" &amp; $X$159 &amp; $U35),0))))/1024)</f>
        <v>0.5390625</v>
      </c>
      <c r="E35" s="31">
        <f ca="1">IF(ISERROR(MATCH(E$1,INDIRECT("Table!A"&amp;$U35):INDIRECT("Table!" &amp; $X$159 &amp; $U35),0)),"",INDIRECT(CONCATENATE("Table!",ADDRESS($Q35,MATCH(E$1,INDIRECT("Table!A" &amp; $U35):INDIRECT("Table!" &amp; $X$159 &amp; $U35),0))))/1024)</f>
        <v>0.662109375</v>
      </c>
      <c r="F35" s="31">
        <f ca="1">IF(ISERROR(MATCH(F$1,INDIRECT("Table!A"&amp;$U35):INDIRECT("Table!" &amp; $X$159 &amp; $U35),0)),"",INDIRECT(CONCATENATE("Table!",ADDRESS($Q35,MATCH(F$1,INDIRECT("Table!A" &amp; $U35):INDIRECT("Table!" &amp; $X$159 &amp; $U35),0))))/1024)</f>
        <v>3.208984375</v>
      </c>
      <c r="G35" s="31">
        <f ca="1">IF(ISERROR(MATCH(G$1,INDIRECT("Table!A"&amp;$U35):INDIRECT("Table!" &amp; $X$159 &amp; $U35),0)),"",INDIRECT(CONCATENATE("Table!",ADDRESS($Q35,MATCH(G$1,INDIRECT("Table!A" &amp; $U35):INDIRECT("Table!" &amp; $X$159 &amp; $U35),0))))/1024)</f>
        <v>3.0009765625</v>
      </c>
      <c r="H35" s="31">
        <f ca="1">IF(ISERROR(MATCH(H$1,INDIRECT("Table!A"&amp;$U35):INDIRECT("Table!" &amp; $X$159 &amp; $U35),0)),"",INDIRECT(CONCATENATE("Table!",ADDRESS($Q35,MATCH(H$1,INDIRECT("Table!A" &amp; $U35):INDIRECT("Table!" &amp; $X$159 &amp; $U35),0))))/1024)</f>
        <v>2.177734375</v>
      </c>
      <c r="I35" s="31">
        <f ca="1">IF(ISERROR(MATCH(I$1,INDIRECT("Table!A"&amp;$U35):INDIRECT("Table!" &amp; $X$159 &amp; $U35),0)),"",INDIRECT(CONCATENATE("Table!",ADDRESS($Q35,MATCH(I$1,INDIRECT("Table!A" &amp; $U35):INDIRECT("Table!" &amp; $X$159 &amp; $U35),0))))/1024)</f>
        <v>0.8583984375</v>
      </c>
      <c r="J35" s="31">
        <f ca="1">IF(ISERROR(MATCH(J$1,INDIRECT("Table!A"&amp;$U35):INDIRECT("Table!" &amp; $X$159 &amp; $U35),0)),"",INDIRECT(CONCATENATE("Table!",ADDRESS($Q35,MATCH(J$1,INDIRECT("Table!A" &amp; $U35):INDIRECT("Table!" &amp; $X$159 &amp; $U35),0))))/1024)</f>
        <v>2.93359375</v>
      </c>
      <c r="K35" s="31">
        <f ca="1">IF(ISERROR(MATCH(K$1,INDIRECT("Table!A"&amp;$U35):INDIRECT("Table!" &amp; $X$159 &amp; $U35),0)),"",INDIRECT(CONCATENATE("Table!",ADDRESS($Q35,MATCH(K$1,INDIRECT("Table!A" &amp; $U35):INDIRECT("Table!" &amp; $X$159 &amp; $U35),0))))/1024)</f>
        <v>2.73828125</v>
      </c>
      <c r="L35" s="31">
        <f ca="1">IF(ISERROR(MATCH(L$1,INDIRECT("Table!A"&amp;$U35):INDIRECT("Table!" &amp; $X$159 &amp; $U35),0)),"",INDIRECT(CONCATENATE("Table!",ADDRESS($Q35,MATCH(L$1,INDIRECT("Table!A" &amp; $U35):INDIRECT("Table!" &amp; $X$159 &amp; $U35),0))))/1024)</f>
        <v>2.1787109375</v>
      </c>
      <c r="M35" s="31">
        <f ca="1">IF(ISERROR(MATCH(M$1,INDIRECT("Table!A"&amp;$U35):INDIRECT("Table!" &amp; $X$159 &amp; $U35),0)),"",INDIRECT(CONCATENATE("Table!",ADDRESS($Q35,MATCH(M$1,INDIRECT("Table!A" &amp; $U35):INDIRECT("Table!" &amp; $X$159 &amp; $U35),0))))/1024)</f>
        <v>2.208984375</v>
      </c>
      <c r="N35" s="31"/>
      <c r="O35" s="241"/>
      <c r="P35" s="241"/>
      <c r="Q35" s="31">
        <f>MATCH($A35,Table!$A:$A,0)+$S$2-1</f>
        <v>648</v>
      </c>
      <c r="R35" s="241"/>
      <c r="S35" s="241"/>
      <c r="T35" s="241"/>
      <c r="U35" s="31">
        <f>MATCH($A35,Table!$A:$A,0)+$W$2-1</f>
        <v>635</v>
      </c>
      <c r="V35" s="241"/>
      <c r="W35" s="241"/>
      <c r="X35" s="241" t="s">
        <v>118</v>
      </c>
    </row>
    <row r="36" spans="1:24">
      <c r="A36" s="5">
        <v>41150</v>
      </c>
      <c r="B36" s="31">
        <f ca="1">IF(ISERROR(MATCH(B$1,INDIRECT("Table!A"&amp;$U36):INDIRECT("Table!" &amp; $X$159 &amp; $U36),0)),"",INDIRECT(CONCATENATE("Table!",ADDRESS($Q36,MATCH(B$1,INDIRECT("Table!A" &amp; $U36):INDIRECT("Table!" &amp; $X$159 &amp; $U36),0))))/1024)</f>
        <v>0.6083984375</v>
      </c>
      <c r="C36" s="31">
        <f ca="1">IF(ISERROR(MATCH(C$1,INDIRECT("Table!A"&amp;$U36):INDIRECT("Table!" &amp; $X$159 &amp; $U36),0)),"",INDIRECT(CONCATENATE("Table!",ADDRESS($Q36,MATCH(C$1,INDIRECT("Table!A" &amp; $U36):INDIRECT("Table!" &amp; $X$159 &amp; $U36),0))))/1024)</f>
        <v>0.7275390625</v>
      </c>
      <c r="D36" s="31">
        <f ca="1">IF(ISERROR(MATCH(D$1,INDIRECT("Table!A"&amp;$U36):INDIRECT("Table!" &amp; $X$159 &amp; $U36),0)),"",INDIRECT(CONCATENATE("Table!",ADDRESS($Q36,MATCH(D$1,INDIRECT("Table!A" &amp; $U36):INDIRECT("Table!" &amp; $X$159 &amp; $U36),0))))/1024)</f>
        <v>0.5390625</v>
      </c>
      <c r="E36" s="31">
        <f ca="1">IF(ISERROR(MATCH(E$1,INDIRECT("Table!A"&amp;$U36):INDIRECT("Table!" &amp; $X$159 &amp; $U36),0)),"",INDIRECT(CONCATENATE("Table!",ADDRESS($Q36,MATCH(E$1,INDIRECT("Table!A" &amp; $U36):INDIRECT("Table!" &amp; $X$159 &amp; $U36),0))))/1024)</f>
        <v>0.662109375</v>
      </c>
      <c r="F36" s="31">
        <f ca="1">IF(ISERROR(MATCH(F$1,INDIRECT("Table!A"&amp;$U36):INDIRECT("Table!" &amp; $X$159 &amp; $U36),0)),"",INDIRECT(CONCATENATE("Table!",ADDRESS($Q36,MATCH(F$1,INDIRECT("Table!A" &amp; $U36):INDIRECT("Table!" &amp; $X$159 &amp; $U36),0))))/1024)</f>
        <v>3.208984375</v>
      </c>
      <c r="G36" s="31">
        <f ca="1">IF(ISERROR(MATCH(G$1,INDIRECT("Table!A"&amp;$U36):INDIRECT("Table!" &amp; $X$159 &amp; $U36),0)),"",INDIRECT(CONCATENATE("Table!",ADDRESS($Q36,MATCH(G$1,INDIRECT("Table!A" &amp; $U36):INDIRECT("Table!" &amp; $X$159 &amp; $U36),0))))/1024)</f>
        <v>3.0009765625</v>
      </c>
      <c r="H36" s="31">
        <f ca="1">IF(ISERROR(MATCH(H$1,INDIRECT("Table!A"&amp;$U36):INDIRECT("Table!" &amp; $X$159 &amp; $U36),0)),"",INDIRECT(CONCATENATE("Table!",ADDRESS($Q36,MATCH(H$1,INDIRECT("Table!A" &amp; $U36):INDIRECT("Table!" &amp; $X$159 &amp; $U36),0))))/1024)</f>
        <v>2.177734375</v>
      </c>
      <c r="I36" s="31">
        <f ca="1">IF(ISERROR(MATCH(I$1,INDIRECT("Table!A"&amp;$U36):INDIRECT("Table!" &amp; $X$159 &amp; $U36),0)),"",INDIRECT(CONCATENATE("Table!",ADDRESS($Q36,MATCH(I$1,INDIRECT("Table!A" &amp; $U36):INDIRECT("Table!" &amp; $X$159 &amp; $U36),0))))/1024)</f>
        <v>0.8583984375</v>
      </c>
      <c r="J36" s="31">
        <f ca="1">IF(ISERROR(MATCH(J$1,INDIRECT("Table!A"&amp;$U36):INDIRECT("Table!" &amp; $X$159 &amp; $U36),0)),"",INDIRECT(CONCATENATE("Table!",ADDRESS($Q36,MATCH(J$1,INDIRECT("Table!A" &amp; $U36):INDIRECT("Table!" &amp; $X$159 &amp; $U36),0))))/1024)</f>
        <v>2.93359375</v>
      </c>
      <c r="K36" s="31">
        <f ca="1">IF(ISERROR(MATCH(K$1,INDIRECT("Table!A"&amp;$U36):INDIRECT("Table!" &amp; $X$159 &amp; $U36),0)),"",INDIRECT(CONCATENATE("Table!",ADDRESS($Q36,MATCH(K$1,INDIRECT("Table!A" &amp; $U36):INDIRECT("Table!" &amp; $X$159 &amp; $U36),0))))/1024)</f>
        <v>2.73828125</v>
      </c>
      <c r="L36" s="31">
        <f ca="1">IF(ISERROR(MATCH(L$1,INDIRECT("Table!A"&amp;$U36):INDIRECT("Table!" &amp; $X$159 &amp; $U36),0)),"",INDIRECT(CONCATENATE("Table!",ADDRESS($Q36,MATCH(L$1,INDIRECT("Table!A" &amp; $U36):INDIRECT("Table!" &amp; $X$159 &amp; $U36),0))))/1024)</f>
        <v>2.1787109375</v>
      </c>
      <c r="M36" s="31">
        <f ca="1">IF(ISERROR(MATCH(M$1,INDIRECT("Table!A"&amp;$U36):INDIRECT("Table!" &amp; $X$159 &amp; $U36),0)),"",INDIRECT(CONCATENATE("Table!",ADDRESS($Q36,MATCH(M$1,INDIRECT("Table!A" &amp; $U36):INDIRECT("Table!" &amp; $X$159 &amp; $U36),0))))/1024)</f>
        <v>2.208984375</v>
      </c>
      <c r="N36" s="31"/>
      <c r="O36" s="241"/>
      <c r="P36" s="241"/>
      <c r="Q36" s="31">
        <f>MATCH($A36,Table!$A:$A,0)+$S$2-1</f>
        <v>661</v>
      </c>
      <c r="R36" s="241"/>
      <c r="S36" s="241"/>
      <c r="T36" s="241"/>
      <c r="U36" s="31">
        <f>MATCH($A36,Table!$A:$A,0)+$W$2-1</f>
        <v>648</v>
      </c>
      <c r="V36" s="241"/>
      <c r="W36" s="241"/>
      <c r="X36" s="241" t="s">
        <v>118</v>
      </c>
    </row>
    <row r="37" spans="1:24">
      <c r="A37" s="5">
        <v>41149</v>
      </c>
      <c r="B37" s="31">
        <f ca="1">IF(ISERROR(MATCH(B$1,INDIRECT("Table!A"&amp;$U37):INDIRECT("Table!" &amp; $X$159 &amp; $U37),0)),"",INDIRECT(CONCATENATE("Table!",ADDRESS($Q37,MATCH(B$1,INDIRECT("Table!A" &amp; $U37):INDIRECT("Table!" &amp; $X$159 &amp; $U37),0))))/1024)</f>
        <v>0.6083984375</v>
      </c>
      <c r="C37" s="31">
        <f ca="1">IF(ISERROR(MATCH(C$1,INDIRECT("Table!A"&amp;$U37):INDIRECT("Table!" &amp; $X$159 &amp; $U37),0)),"",INDIRECT(CONCATENATE("Table!",ADDRESS($Q37,MATCH(C$1,INDIRECT("Table!A" &amp; $U37):INDIRECT("Table!" &amp; $X$159 &amp; $U37),0))))/1024)</f>
        <v>0.7275390625</v>
      </c>
      <c r="D37" s="31">
        <f ca="1">IF(ISERROR(MATCH(D$1,INDIRECT("Table!A"&amp;$U37):INDIRECT("Table!" &amp; $X$159 &amp; $U37),0)),"",INDIRECT(CONCATENATE("Table!",ADDRESS($Q37,MATCH(D$1,INDIRECT("Table!A" &amp; $U37):INDIRECT("Table!" &amp; $X$159 &amp; $U37),0))))/1024)</f>
        <v>0.5390625</v>
      </c>
      <c r="E37" s="31">
        <f ca="1">IF(ISERROR(MATCH(E$1,INDIRECT("Table!A"&amp;$U37):INDIRECT("Table!" &amp; $X$159 &amp; $U37),0)),"",INDIRECT(CONCATENATE("Table!",ADDRESS($Q37,MATCH(E$1,INDIRECT("Table!A" &amp; $U37):INDIRECT("Table!" &amp; $X$159 &amp; $U37),0))))/1024)</f>
        <v>0.662109375</v>
      </c>
      <c r="F37" s="31">
        <f ca="1">IF(ISERROR(MATCH(F$1,INDIRECT("Table!A"&amp;$U37):INDIRECT("Table!" &amp; $X$159 &amp; $U37),0)),"",INDIRECT(CONCATENATE("Table!",ADDRESS($Q37,MATCH(F$1,INDIRECT("Table!A" &amp; $U37):INDIRECT("Table!" &amp; $X$159 &amp; $U37),0))))/1024)</f>
        <v>3.208984375</v>
      </c>
      <c r="G37" s="31">
        <f ca="1">IF(ISERROR(MATCH(G$1,INDIRECT("Table!A"&amp;$U37):INDIRECT("Table!" &amp; $X$159 &amp; $U37),0)),"",INDIRECT(CONCATENATE("Table!",ADDRESS($Q37,MATCH(G$1,INDIRECT("Table!A" &amp; $U37):INDIRECT("Table!" &amp; $X$159 &amp; $U37),0))))/1024)</f>
        <v>3.0009765625</v>
      </c>
      <c r="H37" s="31">
        <f ca="1">IF(ISERROR(MATCH(H$1,INDIRECT("Table!A"&amp;$U37):INDIRECT("Table!" &amp; $X$159 &amp; $U37),0)),"",INDIRECT(CONCATENATE("Table!",ADDRESS($Q37,MATCH(H$1,INDIRECT("Table!A" &amp; $U37):INDIRECT("Table!" &amp; $X$159 &amp; $U37),0))))/1024)</f>
        <v>2.177734375</v>
      </c>
      <c r="I37" s="31">
        <f ca="1">IF(ISERROR(MATCH(I$1,INDIRECT("Table!A"&amp;$U37):INDIRECT("Table!" &amp; $X$159 &amp; $U37),0)),"",INDIRECT(CONCATENATE("Table!",ADDRESS($Q37,MATCH(I$1,INDIRECT("Table!A" &amp; $U37):INDIRECT("Table!" &amp; $X$159 &amp; $U37),0))))/1024)</f>
        <v>0.8583984375</v>
      </c>
      <c r="J37" s="31">
        <f ca="1">IF(ISERROR(MATCH(J$1,INDIRECT("Table!A"&amp;$U37):INDIRECT("Table!" &amp; $X$159 &amp; $U37),0)),"",INDIRECT(CONCATENATE("Table!",ADDRESS($Q37,MATCH(J$1,INDIRECT("Table!A" &amp; $U37):INDIRECT("Table!" &amp; $X$159 &amp; $U37),0))))/1024)</f>
        <v>2.93359375</v>
      </c>
      <c r="K37" s="31">
        <f ca="1">IF(ISERROR(MATCH(K$1,INDIRECT("Table!A"&amp;$U37):INDIRECT("Table!" &amp; $X$159 &amp; $U37),0)),"",INDIRECT(CONCATENATE("Table!",ADDRESS($Q37,MATCH(K$1,INDIRECT("Table!A" &amp; $U37):INDIRECT("Table!" &amp; $X$159 &amp; $U37),0))))/1024)</f>
        <v>2.73828125</v>
      </c>
      <c r="L37" s="31">
        <f ca="1">IF(ISERROR(MATCH(L$1,INDIRECT("Table!A"&amp;$U37):INDIRECT("Table!" &amp; $X$159 &amp; $U37),0)),"",INDIRECT(CONCATENATE("Table!",ADDRESS($Q37,MATCH(L$1,INDIRECT("Table!A" &amp; $U37):INDIRECT("Table!" &amp; $X$159 &amp; $U37),0))))/1024)</f>
        <v>2.1787109375</v>
      </c>
      <c r="M37" s="31">
        <f ca="1">IF(ISERROR(MATCH(M$1,INDIRECT("Table!A"&amp;$U37):INDIRECT("Table!" &amp; $X$159 &amp; $U37),0)),"",INDIRECT(CONCATENATE("Table!",ADDRESS($Q37,MATCH(M$1,INDIRECT("Table!A" &amp; $U37):INDIRECT("Table!" &amp; $X$159 &amp; $U37),0))))/1024)</f>
        <v>2.208984375</v>
      </c>
      <c r="N37" s="31"/>
      <c r="O37" s="240"/>
      <c r="P37" s="240"/>
      <c r="Q37" s="31">
        <f>MATCH($A37,Table!$A:$A,0)+$S$2-1</f>
        <v>674</v>
      </c>
      <c r="R37" s="240"/>
      <c r="S37" s="240"/>
      <c r="T37" s="240"/>
      <c r="U37" s="31">
        <f>MATCH($A37,Table!$A:$A,0)+$W$2-1</f>
        <v>661</v>
      </c>
      <c r="V37" s="240"/>
      <c r="W37" s="240"/>
      <c r="X37" s="240" t="s">
        <v>118</v>
      </c>
    </row>
    <row r="38" spans="1:24">
      <c r="A38" s="5">
        <v>41144</v>
      </c>
      <c r="B38" s="31">
        <f ca="1">IF(ISERROR(MATCH(B$1,INDIRECT("Table!A"&amp;$U38):INDIRECT("Table!" &amp; $X$159 &amp; $U38),0)),"",INDIRECT(CONCATENATE("Table!",ADDRESS($Q38,MATCH(B$1,INDIRECT("Table!A" &amp; $U38):INDIRECT("Table!" &amp; $X$159 &amp; $U38),0))))/1024)</f>
        <v>0.6083984375</v>
      </c>
      <c r="C38" s="31">
        <f ca="1">IF(ISERROR(MATCH(C$1,INDIRECT("Table!A"&amp;$U38):INDIRECT("Table!" &amp; $X$159 &amp; $U38),0)),"",INDIRECT(CONCATENATE("Table!",ADDRESS($Q38,MATCH(C$1,INDIRECT("Table!A" &amp; $U38):INDIRECT("Table!" &amp; $X$159 &amp; $U38),0))))/1024)</f>
        <v>0.7275390625</v>
      </c>
      <c r="D38" s="31">
        <f ca="1">IF(ISERROR(MATCH(D$1,INDIRECT("Table!A"&amp;$U38):INDIRECT("Table!" &amp; $X$159 &amp; $U38),0)),"",INDIRECT(CONCATENATE("Table!",ADDRESS($Q38,MATCH(D$1,INDIRECT("Table!A" &amp; $U38):INDIRECT("Table!" &amp; $X$159 &amp; $U38),0))))/1024)</f>
        <v>0.5390625</v>
      </c>
      <c r="E38" s="31">
        <f ca="1">IF(ISERROR(MATCH(E$1,INDIRECT("Table!A"&amp;$U38):INDIRECT("Table!" &amp; $X$159 &amp; $U38),0)),"",INDIRECT(CONCATENATE("Table!",ADDRESS($Q38,MATCH(E$1,INDIRECT("Table!A" &amp; $U38):INDIRECT("Table!" &amp; $X$159 &amp; $U38),0))))/1024)</f>
        <v>0.662109375</v>
      </c>
      <c r="F38" s="31">
        <f ca="1">IF(ISERROR(MATCH(F$1,INDIRECT("Table!A"&amp;$U38):INDIRECT("Table!" &amp; $X$159 &amp; $U38),0)),"",INDIRECT(CONCATENATE("Table!",ADDRESS($Q38,MATCH(F$1,INDIRECT("Table!A" &amp; $U38):INDIRECT("Table!" &amp; $X$159 &amp; $U38),0))))/1024)</f>
        <v>3.208984375</v>
      </c>
      <c r="G38" s="31">
        <f ca="1">IF(ISERROR(MATCH(G$1,INDIRECT("Table!A"&amp;$U38):INDIRECT("Table!" &amp; $X$159 &amp; $U38),0)),"",INDIRECT(CONCATENATE("Table!",ADDRESS($Q38,MATCH(G$1,INDIRECT("Table!A" &amp; $U38):INDIRECT("Table!" &amp; $X$159 &amp; $U38),0))))/1024)</f>
        <v>3.0009765625</v>
      </c>
      <c r="H38" s="31">
        <f ca="1">IF(ISERROR(MATCH(H$1,INDIRECT("Table!A"&amp;$U38):INDIRECT("Table!" &amp; $X$159 &amp; $U38),0)),"",INDIRECT(CONCATENATE("Table!",ADDRESS($Q38,MATCH(H$1,INDIRECT("Table!A" &amp; $U38):INDIRECT("Table!" &amp; $X$159 &amp; $U38),0))))/1024)</f>
        <v>2.177734375</v>
      </c>
      <c r="I38" s="31">
        <f ca="1">IF(ISERROR(MATCH(I$1,INDIRECT("Table!A"&amp;$U38):INDIRECT("Table!" &amp; $X$159 &amp; $U38),0)),"",INDIRECT(CONCATENATE("Table!",ADDRESS($Q38,MATCH(I$1,INDIRECT("Table!A" &amp; $U38):INDIRECT("Table!" &amp; $X$159 &amp; $U38),0))))/1024)</f>
        <v>0.8583984375</v>
      </c>
      <c r="J38" s="31">
        <f ca="1">IF(ISERROR(MATCH(J$1,INDIRECT("Table!A"&amp;$U38):INDIRECT("Table!" &amp; $X$159 &amp; $U38),0)),"",INDIRECT(CONCATENATE("Table!",ADDRESS($Q38,MATCH(J$1,INDIRECT("Table!A" &amp; $U38):INDIRECT("Table!" &amp; $X$159 &amp; $U38),0))))/1024)</f>
        <v>2.93359375</v>
      </c>
      <c r="K38" s="31">
        <f ca="1">IF(ISERROR(MATCH(K$1,INDIRECT("Table!A"&amp;$U38):INDIRECT("Table!" &amp; $X$159 &amp; $U38),0)),"",INDIRECT(CONCATENATE("Table!",ADDRESS($Q38,MATCH(K$1,INDIRECT("Table!A" &amp; $U38):INDIRECT("Table!" &amp; $X$159 &amp; $U38),0))))/1024)</f>
        <v>2.73828125</v>
      </c>
      <c r="L38" s="31">
        <f ca="1">IF(ISERROR(MATCH(L$1,INDIRECT("Table!A"&amp;$U38):INDIRECT("Table!" &amp; $X$159 &amp; $U38),0)),"",INDIRECT(CONCATENATE("Table!",ADDRESS($Q38,MATCH(L$1,INDIRECT("Table!A" &amp; $U38):INDIRECT("Table!" &amp; $X$159 &amp; $U38),0))))/1024)</f>
        <v>2.1787109375</v>
      </c>
      <c r="M38" s="31">
        <f ca="1">IF(ISERROR(MATCH(M$1,INDIRECT("Table!A"&amp;$U38):INDIRECT("Table!" &amp; $X$159 &amp; $U38),0)),"",INDIRECT(CONCATENATE("Table!",ADDRESS($Q38,MATCH(M$1,INDIRECT("Table!A" &amp; $U38):INDIRECT("Table!" &amp; $X$159 &amp; $U38),0))))/1024)</f>
        <v>2.208984375</v>
      </c>
      <c r="N38" s="31"/>
      <c r="O38" s="239"/>
      <c r="P38" s="239"/>
      <c r="Q38" s="31">
        <f>MATCH($A38,Table!$A:$A,0)+$S$2-1</f>
        <v>687</v>
      </c>
      <c r="R38" s="239"/>
      <c r="S38" s="239"/>
      <c r="T38" s="239"/>
      <c r="U38" s="31">
        <f>MATCH($A38,Table!$A:$A,0)+$W$2-1</f>
        <v>674</v>
      </c>
      <c r="V38" s="239"/>
      <c r="W38" s="239"/>
      <c r="X38" s="239" t="s">
        <v>118</v>
      </c>
    </row>
    <row r="39" spans="1:24">
      <c r="A39" s="5">
        <v>41142</v>
      </c>
      <c r="B39" s="31">
        <f ca="1">IF(ISERROR(MATCH(B$1,INDIRECT("Table!A"&amp;$U39):INDIRECT("Table!" &amp; $X$159 &amp; $U39),0)),"",INDIRECT(CONCATENATE("Table!",ADDRESS($Q39,MATCH(B$1,INDIRECT("Table!A" &amp; $U39):INDIRECT("Table!" &amp; $X$159 &amp; $U39),0))))/1024)</f>
        <v>0.6083984375</v>
      </c>
      <c r="C39" s="31">
        <f ca="1">IF(ISERROR(MATCH(C$1,INDIRECT("Table!A"&amp;$U39):INDIRECT("Table!" &amp; $X$159 &amp; $U39),0)),"",INDIRECT(CONCATENATE("Table!",ADDRESS($Q39,MATCH(C$1,INDIRECT("Table!A" &amp; $U39):INDIRECT("Table!" &amp; $X$159 &amp; $U39),0))))/1024)</f>
        <v>0.7275390625</v>
      </c>
      <c r="D39" s="31">
        <f ca="1">IF(ISERROR(MATCH(D$1,INDIRECT("Table!A"&amp;$U39):INDIRECT("Table!" &amp; $X$159 &amp; $U39),0)),"",INDIRECT(CONCATENATE("Table!",ADDRESS($Q39,MATCH(D$1,INDIRECT("Table!A" &amp; $U39):INDIRECT("Table!" &amp; $X$159 &amp; $U39),0))))/1024)</f>
        <v>0.5390625</v>
      </c>
      <c r="E39" s="31">
        <f ca="1">IF(ISERROR(MATCH(E$1,INDIRECT("Table!A"&amp;$U39):INDIRECT("Table!" &amp; $X$159 &amp; $U39),0)),"",INDIRECT(CONCATENATE("Table!",ADDRESS($Q39,MATCH(E$1,INDIRECT("Table!A" &amp; $U39):INDIRECT("Table!" &amp; $X$159 &amp; $U39),0))))/1024)</f>
        <v>0.662109375</v>
      </c>
      <c r="F39" s="31">
        <f ca="1">IF(ISERROR(MATCH(F$1,INDIRECT("Table!A"&amp;$U39):INDIRECT("Table!" &amp; $X$159 &amp; $U39),0)),"",INDIRECT(CONCATENATE("Table!",ADDRESS($Q39,MATCH(F$1,INDIRECT("Table!A" &amp; $U39):INDIRECT("Table!" &amp; $X$159 &amp; $U39),0))))/1024)</f>
        <v>3.208984375</v>
      </c>
      <c r="G39" s="31">
        <f ca="1">IF(ISERROR(MATCH(G$1,INDIRECT("Table!A"&amp;$U39):INDIRECT("Table!" &amp; $X$159 &amp; $U39),0)),"",INDIRECT(CONCATENATE("Table!",ADDRESS($Q39,MATCH(G$1,INDIRECT("Table!A" &amp; $U39):INDIRECT("Table!" &amp; $X$159 &amp; $U39),0))))/1024)</f>
        <v>3.0009765625</v>
      </c>
      <c r="H39" s="31">
        <f ca="1">IF(ISERROR(MATCH(H$1,INDIRECT("Table!A"&amp;$U39):INDIRECT("Table!" &amp; $X$159 &amp; $U39),0)),"",INDIRECT(CONCATENATE("Table!",ADDRESS($Q39,MATCH(H$1,INDIRECT("Table!A" &amp; $U39):INDIRECT("Table!" &amp; $X$159 &amp; $U39),0))))/1024)</f>
        <v>2.177734375</v>
      </c>
      <c r="I39" s="31">
        <f ca="1">IF(ISERROR(MATCH(I$1,INDIRECT("Table!A"&amp;$U39):INDIRECT("Table!" &amp; $X$159 &amp; $U39),0)),"",INDIRECT(CONCATENATE("Table!",ADDRESS($Q39,MATCH(I$1,INDIRECT("Table!A" &amp; $U39):INDIRECT("Table!" &amp; $X$159 &amp; $U39),0))))/1024)</f>
        <v>0.8583984375</v>
      </c>
      <c r="J39" s="31">
        <f ca="1">IF(ISERROR(MATCH(J$1,INDIRECT("Table!A"&amp;$U39):INDIRECT("Table!" &amp; $X$159 &amp; $U39),0)),"",INDIRECT(CONCATENATE("Table!",ADDRESS($Q39,MATCH(J$1,INDIRECT("Table!A" &amp; $U39):INDIRECT("Table!" &amp; $X$159 &amp; $U39),0))))/1024)</f>
        <v>2.93359375</v>
      </c>
      <c r="K39" s="31">
        <f ca="1">IF(ISERROR(MATCH(K$1,INDIRECT("Table!A"&amp;$U39):INDIRECT("Table!" &amp; $X$159 &amp; $U39),0)),"",INDIRECT(CONCATENATE("Table!",ADDRESS($Q39,MATCH(K$1,INDIRECT("Table!A" &amp; $U39):INDIRECT("Table!" &amp; $X$159 &amp; $U39),0))))/1024)</f>
        <v>2.73828125</v>
      </c>
      <c r="L39" s="31">
        <f ca="1">IF(ISERROR(MATCH(L$1,INDIRECT("Table!A"&amp;$U39):INDIRECT("Table!" &amp; $X$159 &amp; $U39),0)),"",INDIRECT(CONCATENATE("Table!",ADDRESS($Q39,MATCH(L$1,INDIRECT("Table!A" &amp; $U39):INDIRECT("Table!" &amp; $X$159 &amp; $U39),0))))/1024)</f>
        <v>2.1787109375</v>
      </c>
      <c r="M39" s="31">
        <f ca="1">IF(ISERROR(MATCH(M$1,INDIRECT("Table!A"&amp;$U39):INDIRECT("Table!" &amp; $X$159 &amp; $U39),0)),"",INDIRECT(CONCATENATE("Table!",ADDRESS($Q39,MATCH(M$1,INDIRECT("Table!A" &amp; $U39):INDIRECT("Table!" &amp; $X$159 &amp; $U39),0))))/1024)</f>
        <v>2.208984375</v>
      </c>
      <c r="N39" s="31"/>
      <c r="O39" s="239"/>
      <c r="P39" s="239"/>
      <c r="Q39" s="31">
        <f>MATCH($A39,Table!$A:$A,0)+$S$2-1</f>
        <v>700</v>
      </c>
      <c r="R39" s="239"/>
      <c r="S39" s="239"/>
      <c r="T39" s="239"/>
      <c r="U39" s="31">
        <f>MATCH($A39,Table!$A:$A,0)+$W$2-1</f>
        <v>687</v>
      </c>
      <c r="V39" s="239"/>
      <c r="W39" s="239"/>
      <c r="X39" s="239" t="s">
        <v>118</v>
      </c>
    </row>
    <row r="40" spans="1:24">
      <c r="A40" s="5">
        <v>41138</v>
      </c>
      <c r="B40" s="31">
        <f ca="1">IF(ISERROR(MATCH(B$1,INDIRECT("Table!A"&amp;$U40):INDIRECT("Table!" &amp; $X$159 &amp; $U40),0)),"",INDIRECT(CONCATENATE("Table!",ADDRESS($Q40,MATCH(B$1,INDIRECT("Table!A" &amp; $U40):INDIRECT("Table!" &amp; $X$159 &amp; $U40),0))))/1024)</f>
        <v>0.6083984375</v>
      </c>
      <c r="C40" s="31">
        <f ca="1">IF(ISERROR(MATCH(C$1,INDIRECT("Table!A"&amp;$U40):INDIRECT("Table!" &amp; $X$159 &amp; $U40),0)),"",INDIRECT(CONCATENATE("Table!",ADDRESS($Q40,MATCH(C$1,INDIRECT("Table!A" &amp; $U40):INDIRECT("Table!" &amp; $X$159 &amp; $U40),0))))/1024)</f>
        <v>0.7275390625</v>
      </c>
      <c r="D40" s="31">
        <f ca="1">IF(ISERROR(MATCH(D$1,INDIRECT("Table!A"&amp;$U40):INDIRECT("Table!" &amp; $X$159 &amp; $U40),0)),"",INDIRECT(CONCATENATE("Table!",ADDRESS($Q40,MATCH(D$1,INDIRECT("Table!A" &amp; $U40):INDIRECT("Table!" &amp; $X$159 &amp; $U40),0))))/1024)</f>
        <v>0.5390625</v>
      </c>
      <c r="E40" s="31">
        <f ca="1">IF(ISERROR(MATCH(E$1,INDIRECT("Table!A"&amp;$U40):INDIRECT("Table!" &amp; $X$159 &amp; $U40),0)),"",INDIRECT(CONCATENATE("Table!",ADDRESS($Q40,MATCH(E$1,INDIRECT("Table!A" &amp; $U40):INDIRECT("Table!" &amp; $X$159 &amp; $U40),0))))/1024)</f>
        <v>0.662109375</v>
      </c>
      <c r="F40" s="31">
        <f ca="1">IF(ISERROR(MATCH(F$1,INDIRECT("Table!A"&amp;$U40):INDIRECT("Table!" &amp; $X$159 &amp; $U40),0)),"",INDIRECT(CONCATENATE("Table!",ADDRESS($Q40,MATCH(F$1,INDIRECT("Table!A" &amp; $U40):INDIRECT("Table!" &amp; $X$159 &amp; $U40),0))))/1024)</f>
        <v>3.208984375</v>
      </c>
      <c r="G40" s="31">
        <f ca="1">IF(ISERROR(MATCH(G$1,INDIRECT("Table!A"&amp;$U40):INDIRECT("Table!" &amp; $X$159 &amp; $U40),0)),"",INDIRECT(CONCATENATE("Table!",ADDRESS($Q40,MATCH(G$1,INDIRECT("Table!A" &amp; $U40):INDIRECT("Table!" &amp; $X$159 &amp; $U40),0))))/1024)</f>
        <v>3.0009765625</v>
      </c>
      <c r="H40" s="31">
        <f ca="1">IF(ISERROR(MATCH(H$1,INDIRECT("Table!A"&amp;$U40):INDIRECT("Table!" &amp; $X$159 &amp; $U40),0)),"",INDIRECT(CONCATENATE("Table!",ADDRESS($Q40,MATCH(H$1,INDIRECT("Table!A" &amp; $U40):INDIRECT("Table!" &amp; $X$159 &amp; $U40),0))))/1024)</f>
        <v>2.177734375</v>
      </c>
      <c r="I40" s="31">
        <f ca="1">IF(ISERROR(MATCH(I$1,INDIRECT("Table!A"&amp;$U40):INDIRECT("Table!" &amp; $X$159 &amp; $U40),0)),"",INDIRECT(CONCATENATE("Table!",ADDRESS($Q40,MATCH(I$1,INDIRECT("Table!A" &amp; $U40):INDIRECT("Table!" &amp; $X$159 &amp; $U40),0))))/1024)</f>
        <v>0.8583984375</v>
      </c>
      <c r="J40" s="31">
        <f ca="1">IF(ISERROR(MATCH(J$1,INDIRECT("Table!A"&amp;$U40):INDIRECT("Table!" &amp; $X$159 &amp; $U40),0)),"",INDIRECT(CONCATENATE("Table!",ADDRESS($Q40,MATCH(J$1,INDIRECT("Table!A" &amp; $U40):INDIRECT("Table!" &amp; $X$159 &amp; $U40),0))))/1024)</f>
        <v>2.93359375</v>
      </c>
      <c r="K40" s="31">
        <f ca="1">IF(ISERROR(MATCH(K$1,INDIRECT("Table!A"&amp;$U40):INDIRECT("Table!" &amp; $X$159 &amp; $U40),0)),"",INDIRECT(CONCATENATE("Table!",ADDRESS($Q40,MATCH(K$1,INDIRECT("Table!A" &amp; $U40):INDIRECT("Table!" &amp; $X$159 &amp; $U40),0))))/1024)</f>
        <v>2.73828125</v>
      </c>
      <c r="L40" s="31">
        <f ca="1">IF(ISERROR(MATCH(L$1,INDIRECT("Table!A"&amp;$U40):INDIRECT("Table!" &amp; $X$159 &amp; $U40),0)),"",INDIRECT(CONCATENATE("Table!",ADDRESS($Q40,MATCH(L$1,INDIRECT("Table!A" &amp; $U40):INDIRECT("Table!" &amp; $X$159 &amp; $U40),0))))/1024)</f>
        <v>2.1787109375</v>
      </c>
      <c r="M40" s="31">
        <f ca="1">IF(ISERROR(MATCH(M$1,INDIRECT("Table!A"&amp;$U40):INDIRECT("Table!" &amp; $X$159 &amp; $U40),0)),"",INDIRECT(CONCATENATE("Table!",ADDRESS($Q40,MATCH(M$1,INDIRECT("Table!A" &amp; $U40):INDIRECT("Table!" &amp; $X$159 &amp; $U40),0))))/1024)</f>
        <v>2.208984375</v>
      </c>
      <c r="N40" s="31"/>
      <c r="O40" s="238"/>
      <c r="P40" s="238"/>
      <c r="Q40" s="31">
        <f>MATCH($A40,Table!$A:$A,0)+$S$2-1</f>
        <v>713</v>
      </c>
      <c r="R40" s="238"/>
      <c r="S40" s="238"/>
      <c r="T40" s="238"/>
      <c r="U40" s="31">
        <f>MATCH($A40,Table!$A:$A,0)+$W$2-1</f>
        <v>700</v>
      </c>
      <c r="V40" s="238"/>
      <c r="W40" s="238"/>
      <c r="X40" s="238" t="s">
        <v>118</v>
      </c>
    </row>
    <row r="41" spans="1:24">
      <c r="A41" s="5">
        <v>41137</v>
      </c>
      <c r="B41" s="31">
        <f ca="1">IF(ISERROR(MATCH(B$1,INDIRECT("Table!A"&amp;$U41):INDIRECT("Table!" &amp; $X$159 &amp; $U41),0)),"",INDIRECT(CONCATENATE("Table!",ADDRESS($Q41,MATCH(B$1,INDIRECT("Table!A" &amp; $U41):INDIRECT("Table!" &amp; $X$159 &amp; $U41),0))))/1024)</f>
        <v>0.6083984375</v>
      </c>
      <c r="C41" s="31">
        <f ca="1">IF(ISERROR(MATCH(C$1,INDIRECT("Table!A"&amp;$U41):INDIRECT("Table!" &amp; $X$159 &amp; $U41),0)),"",INDIRECT(CONCATENATE("Table!",ADDRESS($Q41,MATCH(C$1,INDIRECT("Table!A" &amp; $U41):INDIRECT("Table!" &amp; $X$159 &amp; $U41),0))))/1024)</f>
        <v>0.7275390625</v>
      </c>
      <c r="D41" s="31">
        <f ca="1">IF(ISERROR(MATCH(D$1,INDIRECT("Table!A"&amp;$U41):INDIRECT("Table!" &amp; $X$159 &amp; $U41),0)),"",INDIRECT(CONCATENATE("Table!",ADDRESS($Q41,MATCH(D$1,INDIRECT("Table!A" &amp; $U41):INDIRECT("Table!" &amp; $X$159 &amp; $U41),0))))/1024)</f>
        <v>0.5390625</v>
      </c>
      <c r="E41" s="31">
        <f ca="1">IF(ISERROR(MATCH(E$1,INDIRECT("Table!A"&amp;$U41):INDIRECT("Table!" &amp; $X$159 &amp; $U41),0)),"",INDIRECT(CONCATENATE("Table!",ADDRESS($Q41,MATCH(E$1,INDIRECT("Table!A" &amp; $U41):INDIRECT("Table!" &amp; $X$159 &amp; $U41),0))))/1024)</f>
        <v>0.662109375</v>
      </c>
      <c r="F41" s="31">
        <f ca="1">IF(ISERROR(MATCH(F$1,INDIRECT("Table!A"&amp;$U41):INDIRECT("Table!" &amp; $X$159 &amp; $U41),0)),"",INDIRECT(CONCATENATE("Table!",ADDRESS($Q41,MATCH(F$1,INDIRECT("Table!A" &amp; $U41):INDIRECT("Table!" &amp; $X$159 &amp; $U41),0))))/1024)</f>
        <v>3.208984375</v>
      </c>
      <c r="G41" s="31">
        <f ca="1">IF(ISERROR(MATCH(G$1,INDIRECT("Table!A"&amp;$U41):INDIRECT("Table!" &amp; $X$159 &amp; $U41),0)),"",INDIRECT(CONCATENATE("Table!",ADDRESS($Q41,MATCH(G$1,INDIRECT("Table!A" &amp; $U41):INDIRECT("Table!" &amp; $X$159 &amp; $U41),0))))/1024)</f>
        <v>3.0009765625</v>
      </c>
      <c r="H41" s="31">
        <f ca="1">IF(ISERROR(MATCH(H$1,INDIRECT("Table!A"&amp;$U41):INDIRECT("Table!" &amp; $X$159 &amp; $U41),0)),"",INDIRECT(CONCATENATE("Table!",ADDRESS($Q41,MATCH(H$1,INDIRECT("Table!A" &amp; $U41):INDIRECT("Table!" &amp; $X$159 &amp; $U41),0))))/1024)</f>
        <v>2.177734375</v>
      </c>
      <c r="I41" s="31">
        <f ca="1">IF(ISERROR(MATCH(I$1,INDIRECT("Table!A"&amp;$U41):INDIRECT("Table!" &amp; $X$159 &amp; $U41),0)),"",INDIRECT(CONCATENATE("Table!",ADDRESS($Q41,MATCH(I$1,INDIRECT("Table!A" &amp; $U41):INDIRECT("Table!" &amp; $X$159 &amp; $U41),0))))/1024)</f>
        <v>0.8583984375</v>
      </c>
      <c r="J41" s="31">
        <f ca="1">IF(ISERROR(MATCH(J$1,INDIRECT("Table!A"&amp;$U41):INDIRECT("Table!" &amp; $X$159 &amp; $U41),0)),"",INDIRECT(CONCATENATE("Table!",ADDRESS($Q41,MATCH(J$1,INDIRECT("Table!A" &amp; $U41):INDIRECT("Table!" &amp; $X$159 &amp; $U41),0))))/1024)</f>
        <v>2.93359375</v>
      </c>
      <c r="K41" s="31">
        <f ca="1">IF(ISERROR(MATCH(K$1,INDIRECT("Table!A"&amp;$U41):INDIRECT("Table!" &amp; $X$159 &amp; $U41),0)),"",INDIRECT(CONCATENATE("Table!",ADDRESS($Q41,MATCH(K$1,INDIRECT("Table!A" &amp; $U41):INDIRECT("Table!" &amp; $X$159 &amp; $U41),0))))/1024)</f>
        <v>2.73828125</v>
      </c>
      <c r="L41" s="31">
        <f ca="1">IF(ISERROR(MATCH(L$1,INDIRECT("Table!A"&amp;$U41):INDIRECT("Table!" &amp; $X$159 &amp; $U41),0)),"",INDIRECT(CONCATENATE("Table!",ADDRESS($Q41,MATCH(L$1,INDIRECT("Table!A" &amp; $U41):INDIRECT("Table!" &amp; $X$159 &amp; $U41),0))))/1024)</f>
        <v>2.1787109375</v>
      </c>
      <c r="M41" s="31">
        <f ca="1">IF(ISERROR(MATCH(M$1,INDIRECT("Table!A"&amp;$U41):INDIRECT("Table!" &amp; $X$159 &amp; $U41),0)),"",INDIRECT(CONCATENATE("Table!",ADDRESS($Q41,MATCH(M$1,INDIRECT("Table!A" &amp; $U41):INDIRECT("Table!" &amp; $X$159 &amp; $U41),0))))/1024)</f>
        <v>2.208984375</v>
      </c>
      <c r="N41" s="31"/>
      <c r="O41" s="237"/>
      <c r="P41" s="237"/>
      <c r="Q41" s="31">
        <f>MATCH($A41,Table!$A:$A,0)+$S$2-1</f>
        <v>726</v>
      </c>
      <c r="R41" s="237"/>
      <c r="S41" s="237"/>
      <c r="T41" s="237"/>
      <c r="U41" s="31">
        <f>MATCH($A41,Table!$A:$A,0)+$W$2-1</f>
        <v>713</v>
      </c>
      <c r="V41" s="237"/>
      <c r="W41" s="237"/>
      <c r="X41" s="237" t="s">
        <v>118</v>
      </c>
    </row>
    <row r="42" spans="1:24">
      <c r="A42" s="5">
        <v>41135</v>
      </c>
      <c r="B42" s="31">
        <f ca="1">IF(ISERROR(MATCH(B$1,INDIRECT("Table!A"&amp;$U42):INDIRECT("Table!" &amp; $X$159 &amp; $U42),0)),"",INDIRECT(CONCATENATE("Table!",ADDRESS($Q42,MATCH(B$1,INDIRECT("Table!A" &amp; $U42):INDIRECT("Table!" &amp; $X$159 &amp; $U42),0))))/1024)</f>
        <v>0.6083984375</v>
      </c>
      <c r="C42" s="31">
        <f ca="1">IF(ISERROR(MATCH(C$1,INDIRECT("Table!A"&amp;$U42):INDIRECT("Table!" &amp; $X$159 &amp; $U42),0)),"",INDIRECT(CONCATENATE("Table!",ADDRESS($Q42,MATCH(C$1,INDIRECT("Table!A" &amp; $U42):INDIRECT("Table!" &amp; $X$159 &amp; $U42),0))))/1024)</f>
        <v>0.7275390625</v>
      </c>
      <c r="D42" s="31">
        <f ca="1">IF(ISERROR(MATCH(D$1,INDIRECT("Table!A"&amp;$U42):INDIRECT("Table!" &amp; $X$159 &amp; $U42),0)),"",INDIRECT(CONCATENATE("Table!",ADDRESS($Q42,MATCH(D$1,INDIRECT("Table!A" &amp; $U42):INDIRECT("Table!" &amp; $X$159 &amp; $U42),0))))/1024)</f>
        <v>0.5390625</v>
      </c>
      <c r="E42" s="31">
        <f ca="1">IF(ISERROR(MATCH(E$1,INDIRECT("Table!A"&amp;$U42):INDIRECT("Table!" &amp; $X$159 &amp; $U42),0)),"",INDIRECT(CONCATENATE("Table!",ADDRESS($Q42,MATCH(E$1,INDIRECT("Table!A" &amp; $U42):INDIRECT("Table!" &amp; $X$159 &amp; $U42),0))))/1024)</f>
        <v>0.662109375</v>
      </c>
      <c r="F42" s="31">
        <f ca="1">IF(ISERROR(MATCH(F$1,INDIRECT("Table!A"&amp;$U42):INDIRECT("Table!" &amp; $X$159 &amp; $U42),0)),"",INDIRECT(CONCATENATE("Table!",ADDRESS($Q42,MATCH(F$1,INDIRECT("Table!A" &amp; $U42):INDIRECT("Table!" &amp; $X$159 &amp; $U42),0))))/1024)</f>
        <v>3.208984375</v>
      </c>
      <c r="G42" s="31">
        <f ca="1">IF(ISERROR(MATCH(G$1,INDIRECT("Table!A"&amp;$U42):INDIRECT("Table!" &amp; $X$159 &amp; $U42),0)),"",INDIRECT(CONCATENATE("Table!",ADDRESS($Q42,MATCH(G$1,INDIRECT("Table!A" &amp; $U42):INDIRECT("Table!" &amp; $X$159 &amp; $U42),0))))/1024)</f>
        <v>3.0009765625</v>
      </c>
      <c r="H42" s="31">
        <f ca="1">IF(ISERROR(MATCH(H$1,INDIRECT("Table!A"&amp;$U42):INDIRECT("Table!" &amp; $X$159 &amp; $U42),0)),"",INDIRECT(CONCATENATE("Table!",ADDRESS($Q42,MATCH(H$1,INDIRECT("Table!A" &amp; $U42):INDIRECT("Table!" &amp; $X$159 &amp; $U42),0))))/1024)</f>
        <v>2.177734375</v>
      </c>
      <c r="I42" s="31">
        <f ca="1">IF(ISERROR(MATCH(I$1,INDIRECT("Table!A"&amp;$U42):INDIRECT("Table!" &amp; $X$159 &amp; $U42),0)),"",INDIRECT(CONCATENATE("Table!",ADDRESS($Q42,MATCH(I$1,INDIRECT("Table!A" &amp; $U42):INDIRECT("Table!" &amp; $X$159 &amp; $U42),0))))/1024)</f>
        <v>0.8583984375</v>
      </c>
      <c r="J42" s="31">
        <f ca="1">IF(ISERROR(MATCH(J$1,INDIRECT("Table!A"&amp;$U42):INDIRECT("Table!" &amp; $X$159 &amp; $U42),0)),"",INDIRECT(CONCATENATE("Table!",ADDRESS($Q42,MATCH(J$1,INDIRECT("Table!A" &amp; $U42):INDIRECT("Table!" &amp; $X$159 &amp; $U42),0))))/1024)</f>
        <v>2.93359375</v>
      </c>
      <c r="K42" s="31">
        <f ca="1">IF(ISERROR(MATCH(K$1,INDIRECT("Table!A"&amp;$U42):INDIRECT("Table!" &amp; $X$159 &amp; $U42),0)),"",INDIRECT(CONCATENATE("Table!",ADDRESS($Q42,MATCH(K$1,INDIRECT("Table!A" &amp; $U42):INDIRECT("Table!" &amp; $X$159 &amp; $U42),0))))/1024)</f>
        <v>2.73828125</v>
      </c>
      <c r="L42" s="31">
        <f ca="1">IF(ISERROR(MATCH(L$1,INDIRECT("Table!A"&amp;$U42):INDIRECT("Table!" &amp; $X$159 &amp; $U42),0)),"",INDIRECT(CONCATENATE("Table!",ADDRESS($Q42,MATCH(L$1,INDIRECT("Table!A" &amp; $U42):INDIRECT("Table!" &amp; $X$159 &amp; $U42),0))))/1024)</f>
        <v>2.1787109375</v>
      </c>
      <c r="M42" s="31">
        <f ca="1">IF(ISERROR(MATCH(M$1,INDIRECT("Table!A"&amp;$U42):INDIRECT("Table!" &amp; $X$159 &amp; $U42),0)),"",INDIRECT(CONCATENATE("Table!",ADDRESS($Q42,MATCH(M$1,INDIRECT("Table!A" &amp; $U42):INDIRECT("Table!" &amp; $X$159 &amp; $U42),0))))/1024)</f>
        <v>2.208984375</v>
      </c>
      <c r="N42" s="31"/>
      <c r="O42" s="236"/>
      <c r="P42" s="236"/>
      <c r="Q42" s="31">
        <f>MATCH($A42,Table!$A:$A,0)+$S$2-1</f>
        <v>739</v>
      </c>
      <c r="R42" s="236"/>
      <c r="S42" s="236"/>
      <c r="T42" s="236"/>
      <c r="U42" s="31">
        <f>MATCH($A42,Table!$A:$A,0)+$W$2-1</f>
        <v>726</v>
      </c>
      <c r="V42" s="236"/>
      <c r="W42" s="236"/>
      <c r="X42" s="236" t="s">
        <v>118</v>
      </c>
    </row>
    <row r="43" spans="1:24">
      <c r="A43" s="5">
        <v>41134</v>
      </c>
      <c r="B43" s="31">
        <f ca="1">IF(ISERROR(MATCH(B$1,INDIRECT("Table!A"&amp;$U43):INDIRECT("Table!" &amp; $X$159 &amp; $U43),0)),"",INDIRECT(CONCATENATE("Table!",ADDRESS($Q43,MATCH(B$1,INDIRECT("Table!A" &amp; $U43):INDIRECT("Table!" &amp; $X$159 &amp; $U43),0))))/1024)</f>
        <v>0.6083984375</v>
      </c>
      <c r="C43" s="31">
        <f ca="1">IF(ISERROR(MATCH(C$1,INDIRECT("Table!A"&amp;$U43):INDIRECT("Table!" &amp; $X$159 &amp; $U43),0)),"",INDIRECT(CONCATENATE("Table!",ADDRESS($Q43,MATCH(C$1,INDIRECT("Table!A" &amp; $U43):INDIRECT("Table!" &amp; $X$159 &amp; $U43),0))))/1024)</f>
        <v>0.7275390625</v>
      </c>
      <c r="D43" s="31">
        <f ca="1">IF(ISERROR(MATCH(D$1,INDIRECT("Table!A"&amp;$U43):INDIRECT("Table!" &amp; $X$159 &amp; $U43),0)),"",INDIRECT(CONCATENATE("Table!",ADDRESS($Q43,MATCH(D$1,INDIRECT("Table!A" &amp; $U43):INDIRECT("Table!" &amp; $X$159 &amp; $U43),0))))/1024)</f>
        <v>0.5390625</v>
      </c>
      <c r="E43" s="31">
        <f ca="1">IF(ISERROR(MATCH(E$1,INDIRECT("Table!A"&amp;$U43):INDIRECT("Table!" &amp; $X$159 &amp; $U43),0)),"",INDIRECT(CONCATENATE("Table!",ADDRESS($Q43,MATCH(E$1,INDIRECT("Table!A" &amp; $U43):INDIRECT("Table!" &amp; $X$159 &amp; $U43),0))))/1024)</f>
        <v>0.662109375</v>
      </c>
      <c r="F43" s="31">
        <f ca="1">IF(ISERROR(MATCH(F$1,INDIRECT("Table!A"&amp;$U43):INDIRECT("Table!" &amp; $X$159 &amp; $U43),0)),"",INDIRECT(CONCATENATE("Table!",ADDRESS($Q43,MATCH(F$1,INDIRECT("Table!A" &amp; $U43):INDIRECT("Table!" &amp; $X$159 &amp; $U43),0))))/1024)</f>
        <v>3.208984375</v>
      </c>
      <c r="G43" s="31">
        <f ca="1">IF(ISERROR(MATCH(G$1,INDIRECT("Table!A"&amp;$U43):INDIRECT("Table!" &amp; $X$159 &amp; $U43),0)),"",INDIRECT(CONCATENATE("Table!",ADDRESS($Q43,MATCH(G$1,INDIRECT("Table!A" &amp; $U43):INDIRECT("Table!" &amp; $X$159 &amp; $U43),0))))/1024)</f>
        <v>3.0009765625</v>
      </c>
      <c r="H43" s="31">
        <f ca="1">IF(ISERROR(MATCH(H$1,INDIRECT("Table!A"&amp;$U43):INDIRECT("Table!" &amp; $X$159 &amp; $U43),0)),"",INDIRECT(CONCATENATE("Table!",ADDRESS($Q43,MATCH(H$1,INDIRECT("Table!A" &amp; $U43):INDIRECT("Table!" &amp; $X$159 &amp; $U43),0))))/1024)</f>
        <v>2.177734375</v>
      </c>
      <c r="I43" s="31">
        <f ca="1">IF(ISERROR(MATCH(I$1,INDIRECT("Table!A"&amp;$U43):INDIRECT("Table!" &amp; $X$159 &amp; $U43),0)),"",INDIRECT(CONCATENATE("Table!",ADDRESS($Q43,MATCH(I$1,INDIRECT("Table!A" &amp; $U43):INDIRECT("Table!" &amp; $X$159 &amp; $U43),0))))/1024)</f>
        <v>0.8583984375</v>
      </c>
      <c r="J43" s="31">
        <f ca="1">IF(ISERROR(MATCH(J$1,INDIRECT("Table!A"&amp;$U43):INDIRECT("Table!" &amp; $X$159 &amp; $U43),0)),"",INDIRECT(CONCATENATE("Table!",ADDRESS($Q43,MATCH(J$1,INDIRECT("Table!A" &amp; $U43):INDIRECT("Table!" &amp; $X$159 &amp; $U43),0))))/1024)</f>
        <v>2.93359375</v>
      </c>
      <c r="K43" s="31">
        <f ca="1">IF(ISERROR(MATCH(K$1,INDIRECT("Table!A"&amp;$U43):INDIRECT("Table!" &amp; $X$159 &amp; $U43),0)),"",INDIRECT(CONCATENATE("Table!",ADDRESS($Q43,MATCH(K$1,INDIRECT("Table!A" &amp; $U43):INDIRECT("Table!" &amp; $X$159 &amp; $U43),0))))/1024)</f>
        <v>2.73828125</v>
      </c>
      <c r="L43" s="31">
        <f ca="1">IF(ISERROR(MATCH(L$1,INDIRECT("Table!A"&amp;$U43):INDIRECT("Table!" &amp; $X$159 &amp; $U43),0)),"",INDIRECT(CONCATENATE("Table!",ADDRESS($Q43,MATCH(L$1,INDIRECT("Table!A" &amp; $U43):INDIRECT("Table!" &amp; $X$159 &amp; $U43),0))))/1024)</f>
        <v>2.1787109375</v>
      </c>
      <c r="M43" s="31">
        <f ca="1">IF(ISERROR(MATCH(M$1,INDIRECT("Table!A"&amp;$U43):INDIRECT("Table!" &amp; $X$159 &amp; $U43),0)),"",INDIRECT(CONCATENATE("Table!",ADDRESS($Q43,MATCH(M$1,INDIRECT("Table!A" &amp; $U43):INDIRECT("Table!" &amp; $X$159 &amp; $U43),0))))/1024)</f>
        <v>2.208984375</v>
      </c>
      <c r="N43" s="31"/>
      <c r="O43" s="235"/>
      <c r="P43" s="235"/>
      <c r="Q43" s="31">
        <f>MATCH($A43,Table!$A:$A,0)+$S$2-1</f>
        <v>752</v>
      </c>
      <c r="R43" s="235"/>
      <c r="S43" s="235"/>
      <c r="T43" s="235"/>
      <c r="U43" s="31">
        <f>MATCH($A43,Table!$A:$A,0)+$W$2-1</f>
        <v>739</v>
      </c>
      <c r="V43" s="235"/>
      <c r="W43" s="235"/>
      <c r="X43" s="235" t="s">
        <v>118</v>
      </c>
    </row>
    <row r="44" spans="1:24">
      <c r="A44" s="5">
        <v>41131</v>
      </c>
      <c r="B44" s="31">
        <f ca="1">IF(ISERROR(MATCH(B$1,INDIRECT("Table!A"&amp;$U44):INDIRECT("Table!" &amp; $X$159 &amp; $U44),0)),"",INDIRECT(CONCATENATE("Table!",ADDRESS($Q44,MATCH(B$1,INDIRECT("Table!A" &amp; $U44):INDIRECT("Table!" &amp; $X$159 &amp; $U44),0))))/1024)</f>
        <v>0.6083984375</v>
      </c>
      <c r="C44" s="31">
        <f ca="1">IF(ISERROR(MATCH(C$1,INDIRECT("Table!A"&amp;$U44):INDIRECT("Table!" &amp; $X$159 &amp; $U44),0)),"",INDIRECT(CONCATENATE("Table!",ADDRESS($Q44,MATCH(C$1,INDIRECT("Table!A" &amp; $U44):INDIRECT("Table!" &amp; $X$159 &amp; $U44),0))))/1024)</f>
        <v>0.7275390625</v>
      </c>
      <c r="D44" s="31">
        <f ca="1">IF(ISERROR(MATCH(D$1,INDIRECT("Table!A"&amp;$U44):INDIRECT("Table!" &amp; $X$159 &amp; $U44),0)),"",INDIRECT(CONCATENATE("Table!",ADDRESS($Q44,MATCH(D$1,INDIRECT("Table!A" &amp; $U44):INDIRECT("Table!" &amp; $X$159 &amp; $U44),0))))/1024)</f>
        <v>0.5390625</v>
      </c>
      <c r="E44" s="31">
        <f ca="1">IF(ISERROR(MATCH(E$1,INDIRECT("Table!A"&amp;$U44):INDIRECT("Table!" &amp; $X$159 &amp; $U44),0)),"",INDIRECT(CONCATENATE("Table!",ADDRESS($Q44,MATCH(E$1,INDIRECT("Table!A" &amp; $U44):INDIRECT("Table!" &amp; $X$159 &amp; $U44),0))))/1024)</f>
        <v>0.662109375</v>
      </c>
      <c r="F44" s="31">
        <f ca="1">IF(ISERROR(MATCH(F$1,INDIRECT("Table!A"&amp;$U44):INDIRECT("Table!" &amp; $X$159 &amp; $U44),0)),"",INDIRECT(CONCATENATE("Table!",ADDRESS($Q44,MATCH(F$1,INDIRECT("Table!A" &amp; $U44):INDIRECT("Table!" &amp; $X$159 &amp; $U44),0))))/1024)</f>
        <v>3.208984375</v>
      </c>
      <c r="G44" s="31">
        <f ca="1">IF(ISERROR(MATCH(G$1,INDIRECT("Table!A"&amp;$U44):INDIRECT("Table!" &amp; $X$159 &amp; $U44),0)),"",INDIRECT(CONCATENATE("Table!",ADDRESS($Q44,MATCH(G$1,INDIRECT("Table!A" &amp; $U44):INDIRECT("Table!" &amp; $X$159 &amp; $U44),0))))/1024)</f>
        <v>3.0009765625</v>
      </c>
      <c r="H44" s="31">
        <f ca="1">IF(ISERROR(MATCH(H$1,INDIRECT("Table!A"&amp;$U44):INDIRECT("Table!" &amp; $X$159 &amp; $U44),0)),"",INDIRECT(CONCATENATE("Table!",ADDRESS($Q44,MATCH(H$1,INDIRECT("Table!A" &amp; $U44):INDIRECT("Table!" &amp; $X$159 &amp; $U44),0))))/1024)</f>
        <v>2.177734375</v>
      </c>
      <c r="I44" s="31">
        <f ca="1">IF(ISERROR(MATCH(I$1,INDIRECT("Table!A"&amp;$U44):INDIRECT("Table!" &amp; $X$159 &amp; $U44),0)),"",INDIRECT(CONCATENATE("Table!",ADDRESS($Q44,MATCH(I$1,INDIRECT("Table!A" &amp; $U44):INDIRECT("Table!" &amp; $X$159 &amp; $U44),0))))/1024)</f>
        <v>0.8583984375</v>
      </c>
      <c r="J44" s="31">
        <f ca="1">IF(ISERROR(MATCH(J$1,INDIRECT("Table!A"&amp;$U44):INDIRECT("Table!" &amp; $X$159 &amp; $U44),0)),"",INDIRECT(CONCATENATE("Table!",ADDRESS($Q44,MATCH(J$1,INDIRECT("Table!A" &amp; $U44):INDIRECT("Table!" &amp; $X$159 &amp; $U44),0))))/1024)</f>
        <v>2.93359375</v>
      </c>
      <c r="K44" s="31">
        <f ca="1">IF(ISERROR(MATCH(K$1,INDIRECT("Table!A"&amp;$U44):INDIRECT("Table!" &amp; $X$159 &amp; $U44),0)),"",INDIRECT(CONCATENATE("Table!",ADDRESS($Q44,MATCH(K$1,INDIRECT("Table!A" &amp; $U44):INDIRECT("Table!" &amp; $X$159 &amp; $U44),0))))/1024)</f>
        <v>2.73828125</v>
      </c>
      <c r="L44" s="31">
        <f ca="1">IF(ISERROR(MATCH(L$1,INDIRECT("Table!A"&amp;$U44):INDIRECT("Table!" &amp; $X$159 &amp; $U44),0)),"",INDIRECT(CONCATENATE("Table!",ADDRESS($Q44,MATCH(L$1,INDIRECT("Table!A" &amp; $U44):INDIRECT("Table!" &amp; $X$159 &amp; $U44),0))))/1024)</f>
        <v>2.1787109375</v>
      </c>
      <c r="M44" s="31">
        <f ca="1">IF(ISERROR(MATCH(M$1,INDIRECT("Table!A"&amp;$U44):INDIRECT("Table!" &amp; $X$159 &amp; $U44),0)),"",INDIRECT(CONCATENATE("Table!",ADDRESS($Q44,MATCH(M$1,INDIRECT("Table!A" &amp; $U44):INDIRECT("Table!" &amp; $X$159 &amp; $U44),0))))/1024)</f>
        <v>2.208984375</v>
      </c>
      <c r="N44" s="31"/>
      <c r="O44" s="234"/>
      <c r="P44" s="234"/>
      <c r="Q44" s="31">
        <f>MATCH($A44,Table!$A:$A,0)+$S$2-1</f>
        <v>765</v>
      </c>
      <c r="R44" s="234"/>
      <c r="S44" s="234"/>
      <c r="T44" s="234"/>
      <c r="U44" s="31">
        <f>MATCH($A44,Table!$A:$A,0)+$W$2-1</f>
        <v>752</v>
      </c>
      <c r="V44" s="234"/>
      <c r="W44" s="234"/>
      <c r="X44" s="234" t="s">
        <v>118</v>
      </c>
    </row>
    <row r="45" spans="1:24">
      <c r="A45" s="5">
        <v>41130</v>
      </c>
      <c r="B45" s="31">
        <f ca="1">IF(ISERROR(MATCH(B$1,INDIRECT("Table!A"&amp;$U45):INDIRECT("Table!" &amp; $X$159 &amp; $U45),0)),"",INDIRECT(CONCATENATE("Table!",ADDRESS($Q45,MATCH(B$1,INDIRECT("Table!A" &amp; $U45):INDIRECT("Table!" &amp; $X$159 &amp; $U45),0))))/1024)</f>
        <v>0.6083984375</v>
      </c>
      <c r="C45" s="31">
        <f ca="1">IF(ISERROR(MATCH(C$1,INDIRECT("Table!A"&amp;$U45):INDIRECT("Table!" &amp; $X$159 &amp; $U45),0)),"",INDIRECT(CONCATENATE("Table!",ADDRESS($Q45,MATCH(C$1,INDIRECT("Table!A" &amp; $U45):INDIRECT("Table!" &amp; $X$159 &amp; $U45),0))))/1024)</f>
        <v>0.7275390625</v>
      </c>
      <c r="D45" s="31">
        <f ca="1">IF(ISERROR(MATCH(D$1,INDIRECT("Table!A"&amp;$U45):INDIRECT("Table!" &amp; $X$159 &amp; $U45),0)),"",INDIRECT(CONCATENATE("Table!",ADDRESS($Q45,MATCH(D$1,INDIRECT("Table!A" &amp; $U45):INDIRECT("Table!" &amp; $X$159 &amp; $U45),0))))/1024)</f>
        <v>0.5390625</v>
      </c>
      <c r="E45" s="31">
        <f ca="1">IF(ISERROR(MATCH(E$1,INDIRECT("Table!A"&amp;$U45):INDIRECT("Table!" &amp; $X$159 &amp; $U45),0)),"",INDIRECT(CONCATENATE("Table!",ADDRESS($Q45,MATCH(E$1,INDIRECT("Table!A" &amp; $U45):INDIRECT("Table!" &amp; $X$159 &amp; $U45),0))))/1024)</f>
        <v>0.662109375</v>
      </c>
      <c r="F45" s="31">
        <f ca="1">IF(ISERROR(MATCH(F$1,INDIRECT("Table!A"&amp;$U45):INDIRECT("Table!" &amp; $X$159 &amp; $U45),0)),"",INDIRECT(CONCATENATE("Table!",ADDRESS($Q45,MATCH(F$1,INDIRECT("Table!A" &amp; $U45):INDIRECT("Table!" &amp; $X$159 &amp; $U45),0))))/1024)</f>
        <v>3.208984375</v>
      </c>
      <c r="G45" s="31">
        <f ca="1">IF(ISERROR(MATCH(G$1,INDIRECT("Table!A"&amp;$U45):INDIRECT("Table!" &amp; $X$159 &amp; $U45),0)),"",INDIRECT(CONCATENATE("Table!",ADDRESS($Q45,MATCH(G$1,INDIRECT("Table!A" &amp; $U45):INDIRECT("Table!" &amp; $X$159 &amp; $U45),0))))/1024)</f>
        <v>3.0009765625</v>
      </c>
      <c r="H45" s="31">
        <f ca="1">IF(ISERROR(MATCH(H$1,INDIRECT("Table!A"&amp;$U45):INDIRECT("Table!" &amp; $X$159 &amp; $U45),0)),"",INDIRECT(CONCATENATE("Table!",ADDRESS($Q45,MATCH(H$1,INDIRECT("Table!A" &amp; $U45):INDIRECT("Table!" &amp; $X$159 &amp; $U45),0))))/1024)</f>
        <v>2.177734375</v>
      </c>
      <c r="I45" s="31">
        <f ca="1">IF(ISERROR(MATCH(I$1,INDIRECT("Table!A"&amp;$U45):INDIRECT("Table!" &amp; $X$159 &amp; $U45),0)),"",INDIRECT(CONCATENATE("Table!",ADDRESS($Q45,MATCH(I$1,INDIRECT("Table!A" &amp; $U45):INDIRECT("Table!" &amp; $X$159 &amp; $U45),0))))/1024)</f>
        <v>0.8583984375</v>
      </c>
      <c r="J45" s="31">
        <f ca="1">IF(ISERROR(MATCH(J$1,INDIRECT("Table!A"&amp;$U45):INDIRECT("Table!" &amp; $X$159 &amp; $U45),0)),"",INDIRECT(CONCATENATE("Table!",ADDRESS($Q45,MATCH(J$1,INDIRECT("Table!A" &amp; $U45):INDIRECT("Table!" &amp; $X$159 &amp; $U45),0))))/1024)</f>
        <v>2.93359375</v>
      </c>
      <c r="K45" s="31">
        <f ca="1">IF(ISERROR(MATCH(K$1,INDIRECT("Table!A"&amp;$U45):INDIRECT("Table!" &amp; $X$159 &amp; $U45),0)),"",INDIRECT(CONCATENATE("Table!",ADDRESS($Q45,MATCH(K$1,INDIRECT("Table!A" &amp; $U45):INDIRECT("Table!" &amp; $X$159 &amp; $U45),0))))/1024)</f>
        <v>2.73828125</v>
      </c>
      <c r="L45" s="31">
        <f ca="1">IF(ISERROR(MATCH(L$1,INDIRECT("Table!A"&amp;$U45):INDIRECT("Table!" &amp; $X$159 &amp; $U45),0)),"",INDIRECT(CONCATENATE("Table!",ADDRESS($Q45,MATCH(L$1,INDIRECT("Table!A" &amp; $U45):INDIRECT("Table!" &amp; $X$159 &amp; $U45),0))))/1024)</f>
        <v>2.1787109375</v>
      </c>
      <c r="M45" s="31">
        <f ca="1">IF(ISERROR(MATCH(M$1,INDIRECT("Table!A"&amp;$U45):INDIRECT("Table!" &amp; $X$159 &amp; $U45),0)),"",INDIRECT(CONCATENATE("Table!",ADDRESS($Q45,MATCH(M$1,INDIRECT("Table!A" &amp; $U45):INDIRECT("Table!" &amp; $X$159 &amp; $U45),0))))/1024)</f>
        <v>2.208984375</v>
      </c>
      <c r="N45" s="31"/>
      <c r="O45" s="233"/>
      <c r="P45" s="233"/>
      <c r="Q45" s="31">
        <f>MATCH($A45,Table!$A:$A,0)+$S$2-1</f>
        <v>778</v>
      </c>
      <c r="R45" s="233"/>
      <c r="S45" s="233"/>
      <c r="T45" s="233"/>
      <c r="U45" s="31">
        <f>MATCH($A45,Table!$A:$A,0)+$W$2-1</f>
        <v>765</v>
      </c>
      <c r="V45" s="233"/>
      <c r="W45" s="233"/>
      <c r="X45" s="233" t="s">
        <v>118</v>
      </c>
    </row>
    <row r="46" spans="1:24">
      <c r="A46" s="5">
        <v>41129</v>
      </c>
      <c r="B46" s="31">
        <f ca="1">IF(ISERROR(MATCH(B$1,INDIRECT("Table!A"&amp;$U46):INDIRECT("Table!" &amp; $X$159 &amp; $U46),0)),"",INDIRECT(CONCATENATE("Table!",ADDRESS($Q46,MATCH(B$1,INDIRECT("Table!A" &amp; $U46):INDIRECT("Table!" &amp; $X$159 &amp; $U46),0))))/1024)</f>
        <v>0.6083984375</v>
      </c>
      <c r="C46" s="31">
        <f ca="1">IF(ISERROR(MATCH(C$1,INDIRECT("Table!A"&amp;$U46):INDIRECT("Table!" &amp; $X$159 &amp; $U46),0)),"",INDIRECT(CONCATENATE("Table!",ADDRESS($Q46,MATCH(C$1,INDIRECT("Table!A" &amp; $U46):INDIRECT("Table!" &amp; $X$159 &amp; $U46),0))))/1024)</f>
        <v>0.7275390625</v>
      </c>
      <c r="D46" s="31">
        <f ca="1">IF(ISERROR(MATCH(D$1,INDIRECT("Table!A"&amp;$U46):INDIRECT("Table!" &amp; $X$159 &amp; $U46),0)),"",INDIRECT(CONCATENATE("Table!",ADDRESS($Q46,MATCH(D$1,INDIRECT("Table!A" &amp; $U46):INDIRECT("Table!" &amp; $X$159 &amp; $U46),0))))/1024)</f>
        <v>0.5390625</v>
      </c>
      <c r="E46" s="31">
        <f ca="1">IF(ISERROR(MATCH(E$1,INDIRECT("Table!A"&amp;$U46):INDIRECT("Table!" &amp; $X$159 &amp; $U46),0)),"",INDIRECT(CONCATENATE("Table!",ADDRESS($Q46,MATCH(E$1,INDIRECT("Table!A" &amp; $U46):INDIRECT("Table!" &amp; $X$159 &amp; $U46),0))))/1024)</f>
        <v>0.662109375</v>
      </c>
      <c r="F46" s="31">
        <f ca="1">IF(ISERROR(MATCH(F$1,INDIRECT("Table!A"&amp;$U46):INDIRECT("Table!" &amp; $X$159 &amp; $U46),0)),"",INDIRECT(CONCATENATE("Table!",ADDRESS($Q46,MATCH(F$1,INDIRECT("Table!A" &amp; $U46):INDIRECT("Table!" &amp; $X$159 &amp; $U46),0))))/1024)</f>
        <v>3.208984375</v>
      </c>
      <c r="G46" s="31">
        <f ca="1">IF(ISERROR(MATCH(G$1,INDIRECT("Table!A"&amp;$U46):INDIRECT("Table!" &amp; $X$159 &amp; $U46),0)),"",INDIRECT(CONCATENATE("Table!",ADDRESS($Q46,MATCH(G$1,INDIRECT("Table!A" &amp; $U46):INDIRECT("Table!" &amp; $X$159 &amp; $U46),0))))/1024)</f>
        <v>3.0009765625</v>
      </c>
      <c r="H46" s="31">
        <f ca="1">IF(ISERROR(MATCH(H$1,INDIRECT("Table!A"&amp;$U46):INDIRECT("Table!" &amp; $X$159 &amp; $U46),0)),"",INDIRECT(CONCATENATE("Table!",ADDRESS($Q46,MATCH(H$1,INDIRECT("Table!A" &amp; $U46):INDIRECT("Table!" &amp; $X$159 &amp; $U46),0))))/1024)</f>
        <v>2.177734375</v>
      </c>
      <c r="I46" s="31">
        <f ca="1">IF(ISERROR(MATCH(I$1,INDIRECT("Table!A"&amp;$U46):INDIRECT("Table!" &amp; $X$159 &amp; $U46),0)),"",INDIRECT(CONCATENATE("Table!",ADDRESS($Q46,MATCH(I$1,INDIRECT("Table!A" &amp; $U46):INDIRECT("Table!" &amp; $X$159 &amp; $U46),0))))/1024)</f>
        <v>0.8583984375</v>
      </c>
      <c r="J46" s="31">
        <f ca="1">IF(ISERROR(MATCH(J$1,INDIRECT("Table!A"&amp;$U46):INDIRECT("Table!" &amp; $X$159 &amp; $U46),0)),"",INDIRECT(CONCATENATE("Table!",ADDRESS($Q46,MATCH(J$1,INDIRECT("Table!A" &amp; $U46):INDIRECT("Table!" &amp; $X$159 &amp; $U46),0))))/1024)</f>
        <v>2.93359375</v>
      </c>
      <c r="K46" s="31">
        <f ca="1">IF(ISERROR(MATCH(K$1,INDIRECT("Table!A"&amp;$U46):INDIRECT("Table!" &amp; $X$159 &amp; $U46),0)),"",INDIRECT(CONCATENATE("Table!",ADDRESS($Q46,MATCH(K$1,INDIRECT("Table!A" &amp; $U46):INDIRECT("Table!" &amp; $X$159 &amp; $U46),0))))/1024)</f>
        <v>2.73828125</v>
      </c>
      <c r="L46" s="31">
        <f ca="1">IF(ISERROR(MATCH(L$1,INDIRECT("Table!A"&amp;$U46):INDIRECT("Table!" &amp; $X$159 &amp; $U46),0)),"",INDIRECT(CONCATENATE("Table!",ADDRESS($Q46,MATCH(L$1,INDIRECT("Table!A" &amp; $U46):INDIRECT("Table!" &amp; $X$159 &amp; $U46),0))))/1024)</f>
        <v>2.1787109375</v>
      </c>
      <c r="M46" s="31">
        <f ca="1">IF(ISERROR(MATCH(M$1,INDIRECT("Table!A"&amp;$U46):INDIRECT("Table!" &amp; $X$159 &amp; $U46),0)),"",INDIRECT(CONCATENATE("Table!",ADDRESS($Q46,MATCH(M$1,INDIRECT("Table!A" &amp; $U46):INDIRECT("Table!" &amp; $X$159 &amp; $U46),0))))/1024)</f>
        <v>2.208984375</v>
      </c>
      <c r="N46" s="31"/>
      <c r="O46" s="233"/>
      <c r="P46" s="233"/>
      <c r="Q46" s="31">
        <f>MATCH($A46,Table!$A:$A,0)+$S$2-1</f>
        <v>791</v>
      </c>
      <c r="R46" s="233"/>
      <c r="S46" s="233"/>
      <c r="T46" s="233"/>
      <c r="U46" s="31">
        <f>MATCH($A46,Table!$A:$A,0)+$W$2-1</f>
        <v>778</v>
      </c>
      <c r="V46" s="233"/>
      <c r="W46" s="233"/>
      <c r="X46" s="233" t="s">
        <v>118</v>
      </c>
    </row>
    <row r="47" spans="1:24">
      <c r="A47" s="5">
        <v>41128</v>
      </c>
      <c r="B47" s="31">
        <f ca="1">IF(ISERROR(MATCH(B$1,INDIRECT("Table!A"&amp;$U47):INDIRECT("Table!" &amp; $X$159 &amp; $U47),0)),"",INDIRECT(CONCATENATE("Table!",ADDRESS($Q47,MATCH(B$1,INDIRECT("Table!A" &amp; $U47):INDIRECT("Table!" &amp; $X$159 &amp; $U47),0))))/1024)</f>
        <v>0.6083984375</v>
      </c>
      <c r="C47" s="31">
        <f ca="1">IF(ISERROR(MATCH(C$1,INDIRECT("Table!A"&amp;$U47):INDIRECT("Table!" &amp; $X$159 &amp; $U47),0)),"",INDIRECT(CONCATENATE("Table!",ADDRESS($Q47,MATCH(C$1,INDIRECT("Table!A" &amp; $U47):INDIRECT("Table!" &amp; $X$159 &amp; $U47),0))))/1024)</f>
        <v>0.7275390625</v>
      </c>
      <c r="D47" s="31">
        <f ca="1">IF(ISERROR(MATCH(D$1,INDIRECT("Table!A"&amp;$U47):INDIRECT("Table!" &amp; $X$159 &amp; $U47),0)),"",INDIRECT(CONCATENATE("Table!",ADDRESS($Q47,MATCH(D$1,INDIRECT("Table!A" &amp; $U47):INDIRECT("Table!" &amp; $X$159 &amp; $U47),0))))/1024)</f>
        <v>0.5390625</v>
      </c>
      <c r="E47" s="31">
        <f ca="1">IF(ISERROR(MATCH(E$1,INDIRECT("Table!A"&amp;$U47):INDIRECT("Table!" &amp; $X$159 &amp; $U47),0)),"",INDIRECT(CONCATENATE("Table!",ADDRESS($Q47,MATCH(E$1,INDIRECT("Table!A" &amp; $U47):INDIRECT("Table!" &amp; $X$159 &amp; $U47),0))))/1024)</f>
        <v>0.662109375</v>
      </c>
      <c r="F47" s="31">
        <f ca="1">IF(ISERROR(MATCH(F$1,INDIRECT("Table!A"&amp;$U47):INDIRECT("Table!" &amp; $X$159 &amp; $U47),0)),"",INDIRECT(CONCATENATE("Table!",ADDRESS($Q47,MATCH(F$1,INDIRECT("Table!A" &amp; $U47):INDIRECT("Table!" &amp; $X$159 &amp; $U47),0))))/1024)</f>
        <v>3.208984375</v>
      </c>
      <c r="G47" s="31">
        <f ca="1">IF(ISERROR(MATCH(G$1,INDIRECT("Table!A"&amp;$U47):INDIRECT("Table!" &amp; $X$159 &amp; $U47),0)),"",INDIRECT(CONCATENATE("Table!",ADDRESS($Q47,MATCH(G$1,INDIRECT("Table!A" &amp; $U47):INDIRECT("Table!" &amp; $X$159 &amp; $U47),0))))/1024)</f>
        <v>3.0009765625</v>
      </c>
      <c r="H47" s="31">
        <f ca="1">IF(ISERROR(MATCH(H$1,INDIRECT("Table!A"&amp;$U47):INDIRECT("Table!" &amp; $X$159 &amp; $U47),0)),"",INDIRECT(CONCATENATE("Table!",ADDRESS($Q47,MATCH(H$1,INDIRECT("Table!A" &amp; $U47):INDIRECT("Table!" &amp; $X$159 &amp; $U47),0))))/1024)</f>
        <v>2.177734375</v>
      </c>
      <c r="I47" s="31">
        <f ca="1">IF(ISERROR(MATCH(I$1,INDIRECT("Table!A"&amp;$U47):INDIRECT("Table!" &amp; $X$159 &amp; $U47),0)),"",INDIRECT(CONCATENATE("Table!",ADDRESS($Q47,MATCH(I$1,INDIRECT("Table!A" &amp; $U47):INDIRECT("Table!" &amp; $X$159 &amp; $U47),0))))/1024)</f>
        <v>0.8583984375</v>
      </c>
      <c r="J47" s="31">
        <f ca="1">IF(ISERROR(MATCH(J$1,INDIRECT("Table!A"&amp;$U47):INDIRECT("Table!" &amp; $X$159 &amp; $U47),0)),"",INDIRECT(CONCATENATE("Table!",ADDRESS($Q47,MATCH(J$1,INDIRECT("Table!A" &amp; $U47):INDIRECT("Table!" &amp; $X$159 &amp; $U47),0))))/1024)</f>
        <v>2.93359375</v>
      </c>
      <c r="K47" s="31">
        <f ca="1">IF(ISERROR(MATCH(K$1,INDIRECT("Table!A"&amp;$U47):INDIRECT("Table!" &amp; $X$159 &amp; $U47),0)),"",INDIRECT(CONCATENATE("Table!",ADDRESS($Q47,MATCH(K$1,INDIRECT("Table!A" &amp; $U47):INDIRECT("Table!" &amp; $X$159 &amp; $U47),0))))/1024)</f>
        <v>2.73828125</v>
      </c>
      <c r="L47" s="31">
        <f ca="1">IF(ISERROR(MATCH(L$1,INDIRECT("Table!A"&amp;$U47):INDIRECT("Table!" &amp; $X$159 &amp; $U47),0)),"",INDIRECT(CONCATENATE("Table!",ADDRESS($Q47,MATCH(L$1,INDIRECT("Table!A" &amp; $U47):INDIRECT("Table!" &amp; $X$159 &amp; $U47),0))))/1024)</f>
        <v>2.1787109375</v>
      </c>
      <c r="M47" s="31">
        <f ca="1">IF(ISERROR(MATCH(M$1,INDIRECT("Table!A"&amp;$U47):INDIRECT("Table!" &amp; $X$159 &amp; $U47),0)),"",INDIRECT(CONCATENATE("Table!",ADDRESS($Q47,MATCH(M$1,INDIRECT("Table!A" &amp; $U47):INDIRECT("Table!" &amp; $X$159 &amp; $U47),0))))/1024)</f>
        <v>2.208984375</v>
      </c>
      <c r="N47" s="31"/>
      <c r="O47" s="233"/>
      <c r="P47" s="233"/>
      <c r="Q47" s="31">
        <f>MATCH($A47,Table!$A:$A,0)+$S$2-1</f>
        <v>804</v>
      </c>
      <c r="R47" s="233"/>
      <c r="S47" s="233"/>
      <c r="T47" s="233"/>
      <c r="U47" s="31">
        <f>MATCH($A47,Table!$A:$A,0)+$W$2-1</f>
        <v>791</v>
      </c>
      <c r="V47" s="233"/>
      <c r="W47" s="233"/>
      <c r="X47" s="233" t="s">
        <v>118</v>
      </c>
    </row>
    <row r="48" spans="1:24">
      <c r="A48" s="5">
        <v>41124</v>
      </c>
      <c r="B48" s="31">
        <f ca="1">IF(ISERROR(MATCH(B$1,INDIRECT("Table!A"&amp;$U48):INDIRECT("Table!" &amp; $X$159 &amp; $U48),0)),"",INDIRECT(CONCATENATE("Table!",ADDRESS($Q48,MATCH(B$1,INDIRECT("Table!A" &amp; $U48):INDIRECT("Table!" &amp; $X$159 &amp; $U48),0))))/1024)</f>
        <v>0.6083984375</v>
      </c>
      <c r="C48" s="31">
        <f ca="1">IF(ISERROR(MATCH(C$1,INDIRECT("Table!A"&amp;$U48):INDIRECT("Table!" &amp; $X$159 &amp; $U48),0)),"",INDIRECT(CONCATENATE("Table!",ADDRESS($Q48,MATCH(C$1,INDIRECT("Table!A" &amp; $U48):INDIRECT("Table!" &amp; $X$159 &amp; $U48),0))))/1024)</f>
        <v>0.7275390625</v>
      </c>
      <c r="D48" s="31">
        <f ca="1">IF(ISERROR(MATCH(D$1,INDIRECT("Table!A"&amp;$U48):INDIRECT("Table!" &amp; $X$159 &amp; $U48),0)),"",INDIRECT(CONCATENATE("Table!",ADDRESS($Q48,MATCH(D$1,INDIRECT("Table!A" &amp; $U48):INDIRECT("Table!" &amp; $X$159 &amp; $U48),0))))/1024)</f>
        <v>0.5390625</v>
      </c>
      <c r="E48" s="31">
        <f ca="1">IF(ISERROR(MATCH(E$1,INDIRECT("Table!A"&amp;$U48):INDIRECT("Table!" &amp; $X$159 &amp; $U48),0)),"",INDIRECT(CONCATENATE("Table!",ADDRESS($Q48,MATCH(E$1,INDIRECT("Table!A" &amp; $U48):INDIRECT("Table!" &amp; $X$159 &amp; $U48),0))))/1024)</f>
        <v>0.662109375</v>
      </c>
      <c r="F48" s="31">
        <f ca="1">IF(ISERROR(MATCH(F$1,INDIRECT("Table!A"&amp;$U48):INDIRECT("Table!" &amp; $X$159 &amp; $U48),0)),"",INDIRECT(CONCATENATE("Table!",ADDRESS($Q48,MATCH(F$1,INDIRECT("Table!A" &amp; $U48):INDIRECT("Table!" &amp; $X$159 &amp; $U48),0))))/1024)</f>
        <v>3.208984375</v>
      </c>
      <c r="G48" s="31">
        <f ca="1">IF(ISERROR(MATCH(G$1,INDIRECT("Table!A"&amp;$U48):INDIRECT("Table!" &amp; $X$159 &amp; $U48),0)),"",INDIRECT(CONCATENATE("Table!",ADDRESS($Q48,MATCH(G$1,INDIRECT("Table!A" &amp; $U48):INDIRECT("Table!" &amp; $X$159 &amp; $U48),0))))/1024)</f>
        <v>3.0009765625</v>
      </c>
      <c r="H48" s="31">
        <f ca="1">IF(ISERROR(MATCH(H$1,INDIRECT("Table!A"&amp;$U48):INDIRECT("Table!" &amp; $X$159 &amp; $U48),0)),"",INDIRECT(CONCATENATE("Table!",ADDRESS($Q48,MATCH(H$1,INDIRECT("Table!A" &amp; $U48):INDIRECT("Table!" &amp; $X$159 &amp; $U48),0))))/1024)</f>
        <v>2.177734375</v>
      </c>
      <c r="I48" s="31">
        <f ca="1">IF(ISERROR(MATCH(I$1,INDIRECT("Table!A"&amp;$U48):INDIRECT("Table!" &amp; $X$159 &amp; $U48),0)),"",INDIRECT(CONCATENATE("Table!",ADDRESS($Q48,MATCH(I$1,INDIRECT("Table!A" &amp; $U48):INDIRECT("Table!" &amp; $X$159 &amp; $U48),0))))/1024)</f>
        <v>0.8583984375</v>
      </c>
      <c r="J48" s="31">
        <f ca="1">IF(ISERROR(MATCH(J$1,INDIRECT("Table!A"&amp;$U48):INDIRECT("Table!" &amp; $X$159 &amp; $U48),0)),"",INDIRECT(CONCATENATE("Table!",ADDRESS($Q48,MATCH(J$1,INDIRECT("Table!A" &amp; $U48):INDIRECT("Table!" &amp; $X$159 &amp; $U48),0))))/1024)</f>
        <v>2.93359375</v>
      </c>
      <c r="K48" s="31">
        <f ca="1">IF(ISERROR(MATCH(K$1,INDIRECT("Table!A"&amp;$U48):INDIRECT("Table!" &amp; $X$159 &amp; $U48),0)),"",INDIRECT(CONCATENATE("Table!",ADDRESS($Q48,MATCH(K$1,INDIRECT("Table!A" &amp; $U48):INDIRECT("Table!" &amp; $X$159 &amp; $U48),0))))/1024)</f>
        <v>2.73828125</v>
      </c>
      <c r="L48" s="31">
        <f ca="1">IF(ISERROR(MATCH(L$1,INDIRECT("Table!A"&amp;$U48):INDIRECT("Table!" &amp; $X$159 &amp; $U48),0)),"",INDIRECT(CONCATENATE("Table!",ADDRESS($Q48,MATCH(L$1,INDIRECT("Table!A" &amp; $U48):INDIRECT("Table!" &amp; $X$159 &amp; $U48),0))))/1024)</f>
        <v>2.1787109375</v>
      </c>
      <c r="M48" s="31">
        <f ca="1">IF(ISERROR(MATCH(M$1,INDIRECT("Table!A"&amp;$U48):INDIRECT("Table!" &amp; $X$159 &amp; $U48),0)),"",INDIRECT(CONCATENATE("Table!",ADDRESS($Q48,MATCH(M$1,INDIRECT("Table!A" &amp; $U48):INDIRECT("Table!" &amp; $X$159 &amp; $U48),0))))/1024)</f>
        <v>2.208984375</v>
      </c>
      <c r="N48" s="31"/>
      <c r="O48" s="232"/>
      <c r="P48" s="232"/>
      <c r="Q48" s="31">
        <f>MATCH($A48,Table!$A:$A,0)+$S$2-1</f>
        <v>817</v>
      </c>
      <c r="R48" s="232"/>
      <c r="S48" s="232"/>
      <c r="T48" s="232"/>
      <c r="U48" s="31">
        <f>MATCH($A48,Table!$A:$A,0)+$W$2-1</f>
        <v>804</v>
      </c>
      <c r="V48" s="232"/>
      <c r="W48" s="232"/>
      <c r="X48" s="232" t="s">
        <v>118</v>
      </c>
    </row>
    <row r="49" spans="1:24">
      <c r="A49" s="5">
        <v>41123</v>
      </c>
      <c r="B49" s="31">
        <f ca="1">IF(ISERROR(MATCH(B$1,INDIRECT("Table!A"&amp;$U49):INDIRECT("Table!" &amp; $X$159 &amp; $U49),0)),"",INDIRECT(CONCATENATE("Table!",ADDRESS($Q49,MATCH(B$1,INDIRECT("Table!A" &amp; $U49):INDIRECT("Table!" &amp; $X$159 &amp; $U49),0))))/1024)</f>
        <v>0.6083984375</v>
      </c>
      <c r="C49" s="31">
        <f ca="1">IF(ISERROR(MATCH(C$1,INDIRECT("Table!A"&amp;$U49):INDIRECT("Table!" &amp; $X$159 &amp; $U49),0)),"",INDIRECT(CONCATENATE("Table!",ADDRESS($Q49,MATCH(C$1,INDIRECT("Table!A" &amp; $U49):INDIRECT("Table!" &amp; $X$159 &amp; $U49),0))))/1024)</f>
        <v>0.7275390625</v>
      </c>
      <c r="D49" s="31">
        <f ca="1">IF(ISERROR(MATCH(D$1,INDIRECT("Table!A"&amp;$U49):INDIRECT("Table!" &amp; $X$159 &amp; $U49),0)),"",INDIRECT(CONCATENATE("Table!",ADDRESS($Q49,MATCH(D$1,INDIRECT("Table!A" &amp; $U49):INDIRECT("Table!" &amp; $X$159 &amp; $U49),0))))/1024)</f>
        <v>0.5390625</v>
      </c>
      <c r="E49" s="31">
        <f ca="1">IF(ISERROR(MATCH(E$1,INDIRECT("Table!A"&amp;$U49):INDIRECT("Table!" &amp; $X$159 &amp; $U49),0)),"",INDIRECT(CONCATENATE("Table!",ADDRESS($Q49,MATCH(E$1,INDIRECT("Table!A" &amp; $U49):INDIRECT("Table!" &amp; $X$159 &amp; $U49),0))))/1024)</f>
        <v>0.662109375</v>
      </c>
      <c r="F49" s="31">
        <f ca="1">IF(ISERROR(MATCH(F$1,INDIRECT("Table!A"&amp;$U49):INDIRECT("Table!" &amp; $X$159 &amp; $U49),0)),"",INDIRECT(CONCATENATE("Table!",ADDRESS($Q49,MATCH(F$1,INDIRECT("Table!A" &amp; $U49):INDIRECT("Table!" &amp; $X$159 &amp; $U49),0))))/1024)</f>
        <v>3.208984375</v>
      </c>
      <c r="G49" s="31">
        <f ca="1">IF(ISERROR(MATCH(G$1,INDIRECT("Table!A"&amp;$U49):INDIRECT("Table!" &amp; $X$159 &amp; $U49),0)),"",INDIRECT(CONCATENATE("Table!",ADDRESS($Q49,MATCH(G$1,INDIRECT("Table!A" &amp; $U49):INDIRECT("Table!" &amp; $X$159 &amp; $U49),0))))/1024)</f>
        <v>3.0009765625</v>
      </c>
      <c r="H49" s="31">
        <f ca="1">IF(ISERROR(MATCH(H$1,INDIRECT("Table!A"&amp;$U49):INDIRECT("Table!" &amp; $X$159 &amp; $U49),0)),"",INDIRECT(CONCATENATE("Table!",ADDRESS($Q49,MATCH(H$1,INDIRECT("Table!A" &amp; $U49):INDIRECT("Table!" &amp; $X$159 &amp; $U49),0))))/1024)</f>
        <v>2.177734375</v>
      </c>
      <c r="I49" s="31">
        <f ca="1">IF(ISERROR(MATCH(I$1,INDIRECT("Table!A"&amp;$U49):INDIRECT("Table!" &amp; $X$159 &amp; $U49),0)),"",INDIRECT(CONCATENATE("Table!",ADDRESS($Q49,MATCH(I$1,INDIRECT("Table!A" &amp; $U49):INDIRECT("Table!" &amp; $X$159 &amp; $U49),0))))/1024)</f>
        <v>0.8583984375</v>
      </c>
      <c r="J49" s="31">
        <f ca="1">IF(ISERROR(MATCH(J$1,INDIRECT("Table!A"&amp;$U49):INDIRECT("Table!" &amp; $X$159 &amp; $U49),0)),"",INDIRECT(CONCATENATE("Table!",ADDRESS($Q49,MATCH(J$1,INDIRECT("Table!A" &amp; $U49):INDIRECT("Table!" &amp; $X$159 &amp; $U49),0))))/1024)</f>
        <v>2.93359375</v>
      </c>
      <c r="K49" s="31">
        <f ca="1">IF(ISERROR(MATCH(K$1,INDIRECT("Table!A"&amp;$U49):INDIRECT("Table!" &amp; $X$159 &amp; $U49),0)),"",INDIRECT(CONCATENATE("Table!",ADDRESS($Q49,MATCH(K$1,INDIRECT("Table!A" &amp; $U49):INDIRECT("Table!" &amp; $X$159 &amp; $U49),0))))/1024)</f>
        <v>2.73828125</v>
      </c>
      <c r="L49" s="31">
        <f ca="1">IF(ISERROR(MATCH(L$1,INDIRECT("Table!A"&amp;$U49):INDIRECT("Table!" &amp; $X$159 &amp; $U49),0)),"",INDIRECT(CONCATENATE("Table!",ADDRESS($Q49,MATCH(L$1,INDIRECT("Table!A" &amp; $U49):INDIRECT("Table!" &amp; $X$159 &amp; $U49),0))))/1024)</f>
        <v>2.1787109375</v>
      </c>
      <c r="M49" s="31">
        <f ca="1">IF(ISERROR(MATCH(M$1,INDIRECT("Table!A"&amp;$U49):INDIRECT("Table!" &amp; $X$159 &amp; $U49),0)),"",INDIRECT(CONCATENATE("Table!",ADDRESS($Q49,MATCH(M$1,INDIRECT("Table!A" &amp; $U49):INDIRECT("Table!" &amp; $X$159 &amp; $U49),0))))/1024)</f>
        <v>2.208984375</v>
      </c>
      <c r="N49" s="31"/>
      <c r="O49" s="231"/>
      <c r="P49" s="231"/>
      <c r="Q49" s="31">
        <f>MATCH($A49,Table!$A:$A,0)+$S$2-1</f>
        <v>830</v>
      </c>
      <c r="R49" s="231"/>
      <c r="S49" s="231"/>
      <c r="T49" s="231"/>
      <c r="U49" s="31">
        <f>MATCH($A49,Table!$A:$A,0)+$W$2-1</f>
        <v>817</v>
      </c>
      <c r="V49" s="231"/>
      <c r="W49" s="231"/>
      <c r="X49" s="231" t="s">
        <v>118</v>
      </c>
    </row>
    <row r="50" spans="1:24">
      <c r="A50" s="5">
        <v>41120</v>
      </c>
      <c r="B50" s="31">
        <f ca="1">IF(ISERROR(MATCH(B$1,INDIRECT("Table!A"&amp;$U50):INDIRECT("Table!" &amp; $X$159 &amp; $U50),0)),"",INDIRECT(CONCATENATE("Table!",ADDRESS($Q50,MATCH(B$1,INDIRECT("Table!A" &amp; $U50):INDIRECT("Table!" &amp; $X$159 &amp; $U50),0))))/1024)</f>
        <v>0.6083984375</v>
      </c>
      <c r="C50" s="31">
        <f ca="1">IF(ISERROR(MATCH(C$1,INDIRECT("Table!A"&amp;$U50):INDIRECT("Table!" &amp; $X$159 &amp; $U50),0)),"",INDIRECT(CONCATENATE("Table!",ADDRESS($Q50,MATCH(C$1,INDIRECT("Table!A" &amp; $U50):INDIRECT("Table!" &amp; $X$159 &amp; $U50),0))))/1024)</f>
        <v>0.7275390625</v>
      </c>
      <c r="D50" s="31">
        <f ca="1">IF(ISERROR(MATCH(D$1,INDIRECT("Table!A"&amp;$U50):INDIRECT("Table!" &amp; $X$159 &amp; $U50),0)),"",INDIRECT(CONCATENATE("Table!",ADDRESS($Q50,MATCH(D$1,INDIRECT("Table!A" &amp; $U50):INDIRECT("Table!" &amp; $X$159 &amp; $U50),0))))/1024)</f>
        <v>0.5390625</v>
      </c>
      <c r="E50" s="31">
        <f ca="1">IF(ISERROR(MATCH(E$1,INDIRECT("Table!A"&amp;$U50):INDIRECT("Table!" &amp; $X$159 &amp; $U50),0)),"",INDIRECT(CONCATENATE("Table!",ADDRESS($Q50,MATCH(E$1,INDIRECT("Table!A" &amp; $U50):INDIRECT("Table!" &amp; $X$159 &amp; $U50),0))))/1024)</f>
        <v>0.662109375</v>
      </c>
      <c r="F50" s="31">
        <f ca="1">IF(ISERROR(MATCH(F$1,INDIRECT("Table!A"&amp;$U50):INDIRECT("Table!" &amp; $X$159 &amp; $U50),0)),"",INDIRECT(CONCATENATE("Table!",ADDRESS($Q50,MATCH(F$1,INDIRECT("Table!A" &amp; $U50):INDIRECT("Table!" &amp; $X$159 &amp; $U50),0))))/1024)</f>
        <v>3.208984375</v>
      </c>
      <c r="G50" s="31">
        <f ca="1">IF(ISERROR(MATCH(G$1,INDIRECT("Table!A"&amp;$U50):INDIRECT("Table!" &amp; $X$159 &amp; $U50),0)),"",INDIRECT(CONCATENATE("Table!",ADDRESS($Q50,MATCH(G$1,INDIRECT("Table!A" &amp; $U50):INDIRECT("Table!" &amp; $X$159 &amp; $U50),0))))/1024)</f>
        <v>3.0009765625</v>
      </c>
      <c r="H50" s="31">
        <f ca="1">IF(ISERROR(MATCH(H$1,INDIRECT("Table!A"&amp;$U50):INDIRECT("Table!" &amp; $X$159 &amp; $U50),0)),"",INDIRECT(CONCATENATE("Table!",ADDRESS($Q50,MATCH(H$1,INDIRECT("Table!A" &amp; $U50):INDIRECT("Table!" &amp; $X$159 &amp; $U50),0))))/1024)</f>
        <v>2.177734375</v>
      </c>
      <c r="I50" s="31">
        <f ca="1">IF(ISERROR(MATCH(I$1,INDIRECT("Table!A"&amp;$U50):INDIRECT("Table!" &amp; $X$159 &amp; $U50),0)),"",INDIRECT(CONCATENATE("Table!",ADDRESS($Q50,MATCH(I$1,INDIRECT("Table!A" &amp; $U50):INDIRECT("Table!" &amp; $X$159 &amp; $U50),0))))/1024)</f>
        <v>0.8583984375</v>
      </c>
      <c r="J50" s="31">
        <f ca="1">IF(ISERROR(MATCH(J$1,INDIRECT("Table!A"&amp;$U50):INDIRECT("Table!" &amp; $X$159 &amp; $U50),0)),"",INDIRECT(CONCATENATE("Table!",ADDRESS($Q50,MATCH(J$1,INDIRECT("Table!A" &amp; $U50):INDIRECT("Table!" &amp; $X$159 &amp; $U50),0))))/1024)</f>
        <v>2.93359375</v>
      </c>
      <c r="K50" s="31">
        <f ca="1">IF(ISERROR(MATCH(K$1,INDIRECT("Table!A"&amp;$U50):INDIRECT("Table!" &amp; $X$159 &amp; $U50),0)),"",INDIRECT(CONCATENATE("Table!",ADDRESS($Q50,MATCH(K$1,INDIRECT("Table!A" &amp; $U50):INDIRECT("Table!" &amp; $X$159 &amp; $U50),0))))/1024)</f>
        <v>2.73828125</v>
      </c>
      <c r="L50" s="31">
        <f ca="1">IF(ISERROR(MATCH(L$1,INDIRECT("Table!A"&amp;$U50):INDIRECT("Table!" &amp; $X$159 &amp; $U50),0)),"",INDIRECT(CONCATENATE("Table!",ADDRESS($Q50,MATCH(L$1,INDIRECT("Table!A" &amp; $U50):INDIRECT("Table!" &amp; $X$159 &amp; $U50),0))))/1024)</f>
        <v>2.1787109375</v>
      </c>
      <c r="M50" s="31">
        <f ca="1">IF(ISERROR(MATCH(M$1,INDIRECT("Table!A"&amp;$U50):INDIRECT("Table!" &amp; $X$159 &amp; $U50),0)),"",INDIRECT(CONCATENATE("Table!",ADDRESS($Q50,MATCH(M$1,INDIRECT("Table!A" &amp; $U50):INDIRECT("Table!" &amp; $X$159 &amp; $U50),0))))/1024)</f>
        <v>2.208984375</v>
      </c>
      <c r="N50" s="31"/>
      <c r="O50" s="230"/>
      <c r="P50" s="230"/>
      <c r="Q50" s="31">
        <f>MATCH($A50,Table!$A:$A,0)+$S$2-1</f>
        <v>843</v>
      </c>
      <c r="R50" s="230"/>
      <c r="S50" s="230"/>
      <c r="T50" s="230"/>
      <c r="U50" s="31">
        <f>MATCH($A50,Table!$A:$A,0)+$W$2-1</f>
        <v>830</v>
      </c>
      <c r="V50" s="230"/>
      <c r="W50" s="230"/>
      <c r="X50" s="230" t="s">
        <v>118</v>
      </c>
    </row>
    <row r="51" spans="1:24">
      <c r="A51" s="5">
        <v>41117</v>
      </c>
      <c r="B51" s="31">
        <f ca="1">IF(ISERROR(MATCH(B$1,INDIRECT("Table!A"&amp;$U51):INDIRECT("Table!" &amp; $X$159 &amp; $U51),0)),"",INDIRECT(CONCATENATE("Table!",ADDRESS($Q51,MATCH(B$1,INDIRECT("Table!A" &amp; $U51):INDIRECT("Table!" &amp; $X$159 &amp; $U51),0))))/1024)</f>
        <v>0.6083984375</v>
      </c>
      <c r="C51" s="31">
        <f ca="1">IF(ISERROR(MATCH(C$1,INDIRECT("Table!A"&amp;$U51):INDIRECT("Table!" &amp; $X$159 &amp; $U51),0)),"",INDIRECT(CONCATENATE("Table!",ADDRESS($Q51,MATCH(C$1,INDIRECT("Table!A" &amp; $U51):INDIRECT("Table!" &amp; $X$159 &amp; $U51),0))))/1024)</f>
        <v>0.7275390625</v>
      </c>
      <c r="D51" s="31">
        <f ca="1">IF(ISERROR(MATCH(D$1,INDIRECT("Table!A"&amp;$U51):INDIRECT("Table!" &amp; $X$159 &amp; $U51),0)),"",INDIRECT(CONCATENATE("Table!",ADDRESS($Q51,MATCH(D$1,INDIRECT("Table!A" &amp; $U51):INDIRECT("Table!" &amp; $X$159 &amp; $U51),0))))/1024)</f>
        <v>0.5390625</v>
      </c>
      <c r="E51" s="31">
        <f ca="1">IF(ISERROR(MATCH(E$1,INDIRECT("Table!A"&amp;$U51):INDIRECT("Table!" &amp; $X$159 &amp; $U51),0)),"",INDIRECT(CONCATENATE("Table!",ADDRESS($Q51,MATCH(E$1,INDIRECT("Table!A" &amp; $U51):INDIRECT("Table!" &amp; $X$159 &amp; $U51),0))))/1024)</f>
        <v>0.662109375</v>
      </c>
      <c r="F51" s="31">
        <f ca="1">IF(ISERROR(MATCH(F$1,INDIRECT("Table!A"&amp;$U51):INDIRECT("Table!" &amp; $X$159 &amp; $U51),0)),"",INDIRECT(CONCATENATE("Table!",ADDRESS($Q51,MATCH(F$1,INDIRECT("Table!A" &amp; $U51):INDIRECT("Table!" &amp; $X$159 &amp; $U51),0))))/1024)</f>
        <v>3.208984375</v>
      </c>
      <c r="G51" s="31">
        <f ca="1">IF(ISERROR(MATCH(G$1,INDIRECT("Table!A"&amp;$U51):INDIRECT("Table!" &amp; $X$159 &amp; $U51),0)),"",INDIRECT(CONCATENATE("Table!",ADDRESS($Q51,MATCH(G$1,INDIRECT("Table!A" &amp; $U51):INDIRECT("Table!" &amp; $X$159 &amp; $U51),0))))/1024)</f>
        <v>3.0009765625</v>
      </c>
      <c r="H51" s="31">
        <f ca="1">IF(ISERROR(MATCH(H$1,INDIRECT("Table!A"&amp;$U51):INDIRECT("Table!" &amp; $X$159 &amp; $U51),0)),"",INDIRECT(CONCATENATE("Table!",ADDRESS($Q51,MATCH(H$1,INDIRECT("Table!A" &amp; $U51):INDIRECT("Table!" &amp; $X$159 &amp; $U51),0))))/1024)</f>
        <v>2.177734375</v>
      </c>
      <c r="I51" s="31">
        <f ca="1">IF(ISERROR(MATCH(I$1,INDIRECT("Table!A"&amp;$U51):INDIRECT("Table!" &amp; $X$159 &amp; $U51),0)),"",INDIRECT(CONCATENATE("Table!",ADDRESS($Q51,MATCH(I$1,INDIRECT("Table!A" &amp; $U51):INDIRECT("Table!" &amp; $X$159 &amp; $U51),0))))/1024)</f>
        <v>0.8583984375</v>
      </c>
      <c r="J51" s="31">
        <f ca="1">IF(ISERROR(MATCH(J$1,INDIRECT("Table!A"&amp;$U51):INDIRECT("Table!" &amp; $X$159 &amp; $U51),0)),"",INDIRECT(CONCATENATE("Table!",ADDRESS($Q51,MATCH(J$1,INDIRECT("Table!A" &amp; $U51):INDIRECT("Table!" &amp; $X$159 &amp; $U51),0))))/1024)</f>
        <v>2.93359375</v>
      </c>
      <c r="K51" s="31">
        <f ca="1">IF(ISERROR(MATCH(K$1,INDIRECT("Table!A"&amp;$U51):INDIRECT("Table!" &amp; $X$159 &amp; $U51),0)),"",INDIRECT(CONCATENATE("Table!",ADDRESS($Q51,MATCH(K$1,INDIRECT("Table!A" &amp; $U51):INDIRECT("Table!" &amp; $X$159 &amp; $U51),0))))/1024)</f>
        <v>2.73828125</v>
      </c>
      <c r="L51" s="31">
        <f ca="1">IF(ISERROR(MATCH(L$1,INDIRECT("Table!A"&amp;$U51):INDIRECT("Table!" &amp; $X$159 &amp; $U51),0)),"",INDIRECT(CONCATENATE("Table!",ADDRESS($Q51,MATCH(L$1,INDIRECT("Table!A" &amp; $U51):INDIRECT("Table!" &amp; $X$159 &amp; $U51),0))))/1024)</f>
        <v>2.1787109375</v>
      </c>
      <c r="M51" s="31">
        <f ca="1">IF(ISERROR(MATCH(M$1,INDIRECT("Table!A"&amp;$U51):INDIRECT("Table!" &amp; $X$159 &amp; $U51),0)),"",INDIRECT(CONCATENATE("Table!",ADDRESS($Q51,MATCH(M$1,INDIRECT("Table!A" &amp; $U51):INDIRECT("Table!" &amp; $X$159 &amp; $U51),0))))/1024)</f>
        <v>2.208984375</v>
      </c>
      <c r="N51" s="31"/>
      <c r="O51" s="229"/>
      <c r="P51" s="229"/>
      <c r="Q51" s="31">
        <f>MATCH($A51,Table!$A:$A,0)+$S$2-1</f>
        <v>856</v>
      </c>
      <c r="R51" s="229"/>
      <c r="S51" s="229"/>
      <c r="T51" s="229"/>
      <c r="U51" s="31">
        <f>MATCH($A51,Table!$A:$A,0)+$W$2-1</f>
        <v>843</v>
      </c>
      <c r="V51" s="229"/>
      <c r="W51" s="229"/>
      <c r="X51" s="229" t="s">
        <v>118</v>
      </c>
    </row>
    <row r="52" spans="1:24">
      <c r="A52" s="5">
        <v>41115</v>
      </c>
      <c r="B52" s="31">
        <f ca="1">IF(ISERROR(MATCH(B$1,INDIRECT("Table!A"&amp;$U52):INDIRECT("Table!" &amp; $X$159 &amp; $U52),0)),"",INDIRECT(CONCATENATE("Table!",ADDRESS($Q52,MATCH(B$1,INDIRECT("Table!A" &amp; $U52):INDIRECT("Table!" &amp; $X$159 &amp; $U52),0))))/1024)</f>
        <v>0.6083984375</v>
      </c>
      <c r="C52" s="31">
        <f ca="1">IF(ISERROR(MATCH(C$1,INDIRECT("Table!A"&amp;$U52):INDIRECT("Table!" &amp; $X$159 &amp; $U52),0)),"",INDIRECT(CONCATENATE("Table!",ADDRESS($Q52,MATCH(C$1,INDIRECT("Table!A" &amp; $U52):INDIRECT("Table!" &amp; $X$159 &amp; $U52),0))))/1024)</f>
        <v>0.7275390625</v>
      </c>
      <c r="D52" s="31">
        <f ca="1">IF(ISERROR(MATCH(D$1,INDIRECT("Table!A"&amp;$U52):INDIRECT("Table!" &amp; $X$159 &amp; $U52),0)),"",INDIRECT(CONCATENATE("Table!",ADDRESS($Q52,MATCH(D$1,INDIRECT("Table!A" &amp; $U52):INDIRECT("Table!" &amp; $X$159 &amp; $U52),0))))/1024)</f>
        <v>0.5390625</v>
      </c>
      <c r="E52" s="31">
        <f ca="1">IF(ISERROR(MATCH(E$1,INDIRECT("Table!A"&amp;$U52):INDIRECT("Table!" &amp; $X$159 &amp; $U52),0)),"",INDIRECT(CONCATENATE("Table!",ADDRESS($Q52,MATCH(E$1,INDIRECT("Table!A" &amp; $U52):INDIRECT("Table!" &amp; $X$159 &amp; $U52),0))))/1024)</f>
        <v>0.662109375</v>
      </c>
      <c r="F52" s="31">
        <f ca="1">IF(ISERROR(MATCH(F$1,INDIRECT("Table!A"&amp;$U52):INDIRECT("Table!" &amp; $X$159 &amp; $U52),0)),"",INDIRECT(CONCATENATE("Table!",ADDRESS($Q52,MATCH(F$1,INDIRECT("Table!A" &amp; $U52):INDIRECT("Table!" &amp; $X$159 &amp; $U52),0))))/1024)</f>
        <v>3.208984375</v>
      </c>
      <c r="G52" s="31">
        <f ca="1">IF(ISERROR(MATCH(G$1,INDIRECT("Table!A"&amp;$U52):INDIRECT("Table!" &amp; $X$159 &amp; $U52),0)),"",INDIRECT(CONCATENATE("Table!",ADDRESS($Q52,MATCH(G$1,INDIRECT("Table!A" &amp; $U52):INDIRECT("Table!" &amp; $X$159 &amp; $U52),0))))/1024)</f>
        <v>3.0009765625</v>
      </c>
      <c r="H52" s="31">
        <f ca="1">IF(ISERROR(MATCH(H$1,INDIRECT("Table!A"&amp;$U52):INDIRECT("Table!" &amp; $X$159 &amp; $U52),0)),"",INDIRECT(CONCATENATE("Table!",ADDRESS($Q52,MATCH(H$1,INDIRECT("Table!A" &amp; $U52):INDIRECT("Table!" &amp; $X$159 &amp; $U52),0))))/1024)</f>
        <v>2.177734375</v>
      </c>
      <c r="I52" s="31">
        <f ca="1">IF(ISERROR(MATCH(I$1,INDIRECT("Table!A"&amp;$U52):INDIRECT("Table!" &amp; $X$159 &amp; $U52),0)),"",INDIRECT(CONCATENATE("Table!",ADDRESS($Q52,MATCH(I$1,INDIRECT("Table!A" &amp; $U52):INDIRECT("Table!" &amp; $X$159 &amp; $U52),0))))/1024)</f>
        <v>0.8583984375</v>
      </c>
      <c r="J52" s="31">
        <f ca="1">IF(ISERROR(MATCH(J$1,INDIRECT("Table!A"&amp;$U52):INDIRECT("Table!" &amp; $X$159 &amp; $U52),0)),"",INDIRECT(CONCATENATE("Table!",ADDRESS($Q52,MATCH(J$1,INDIRECT("Table!A" &amp; $U52):INDIRECT("Table!" &amp; $X$159 &amp; $U52),0))))/1024)</f>
        <v>2.93359375</v>
      </c>
      <c r="K52" s="31">
        <f ca="1">IF(ISERROR(MATCH(K$1,INDIRECT("Table!A"&amp;$U52):INDIRECT("Table!" &amp; $X$159 &amp; $U52),0)),"",INDIRECT(CONCATENATE("Table!",ADDRESS($Q52,MATCH(K$1,INDIRECT("Table!A" &amp; $U52):INDIRECT("Table!" &amp; $X$159 &amp; $U52),0))))/1024)</f>
        <v>2.73828125</v>
      </c>
      <c r="L52" s="31">
        <f ca="1">IF(ISERROR(MATCH(L$1,INDIRECT("Table!A"&amp;$U52):INDIRECT("Table!" &amp; $X$159 &amp; $U52),0)),"",INDIRECT(CONCATENATE("Table!",ADDRESS($Q52,MATCH(L$1,INDIRECT("Table!A" &amp; $U52):INDIRECT("Table!" &amp; $X$159 &amp; $U52),0))))/1024)</f>
        <v>2.1787109375</v>
      </c>
      <c r="M52" s="31">
        <f ca="1">IF(ISERROR(MATCH(M$1,INDIRECT("Table!A"&amp;$U52):INDIRECT("Table!" &amp; $X$159 &amp; $U52),0)),"",INDIRECT(CONCATENATE("Table!",ADDRESS($Q52,MATCH(M$1,INDIRECT("Table!A" &amp; $U52):INDIRECT("Table!" &amp; $X$159 &amp; $U52),0))))/1024)</f>
        <v>2.208984375</v>
      </c>
      <c r="N52" s="31"/>
      <c r="O52" s="228"/>
      <c r="P52" s="228"/>
      <c r="Q52" s="31">
        <f>MATCH($A52,Table!$A:$A,0)+$S$2-1</f>
        <v>869</v>
      </c>
      <c r="R52" s="228"/>
      <c r="S52" s="228"/>
      <c r="T52" s="228"/>
      <c r="U52" s="31">
        <f>MATCH($A52,Table!$A:$A,0)+$W$2-1</f>
        <v>856</v>
      </c>
      <c r="V52" s="228"/>
      <c r="W52" s="228"/>
      <c r="X52" s="228" t="s">
        <v>118</v>
      </c>
    </row>
    <row r="53" spans="1:24">
      <c r="A53" s="5">
        <v>41113</v>
      </c>
      <c r="B53" s="31">
        <f ca="1">IF(ISERROR(MATCH(B$1,INDIRECT("Table!A"&amp;$U53):INDIRECT("Table!" &amp; $X$159 &amp; $U53),0)),"",INDIRECT(CONCATENATE("Table!",ADDRESS($Q53,MATCH(B$1,INDIRECT("Table!A" &amp; $U53):INDIRECT("Table!" &amp; $X$159 &amp; $U53),0))))/1024)</f>
        <v>0.6083984375</v>
      </c>
      <c r="C53" s="31">
        <f ca="1">IF(ISERROR(MATCH(C$1,INDIRECT("Table!A"&amp;$U53):INDIRECT("Table!" &amp; $X$159 &amp; $U53),0)),"",INDIRECT(CONCATENATE("Table!",ADDRESS($Q53,MATCH(C$1,INDIRECT("Table!A" &amp; $U53):INDIRECT("Table!" &amp; $X$159 &amp; $U53),0))))/1024)</f>
        <v>0.7275390625</v>
      </c>
      <c r="D53" s="31">
        <f ca="1">IF(ISERROR(MATCH(D$1,INDIRECT("Table!A"&amp;$U53):INDIRECT("Table!" &amp; $X$159 &amp; $U53),0)),"",INDIRECT(CONCATENATE("Table!",ADDRESS($Q53,MATCH(D$1,INDIRECT("Table!A" &amp; $U53):INDIRECT("Table!" &amp; $X$159 &amp; $U53),0))))/1024)</f>
        <v>0.5390625</v>
      </c>
      <c r="E53" s="31">
        <f ca="1">IF(ISERROR(MATCH(E$1,INDIRECT("Table!A"&amp;$U53):INDIRECT("Table!" &amp; $X$159 &amp; $U53),0)),"",INDIRECT(CONCATENATE("Table!",ADDRESS($Q53,MATCH(E$1,INDIRECT("Table!A" &amp; $U53):INDIRECT("Table!" &amp; $X$159 &amp; $U53),0))))/1024)</f>
        <v>0.662109375</v>
      </c>
      <c r="F53" s="31">
        <f ca="1">IF(ISERROR(MATCH(F$1,INDIRECT("Table!A"&amp;$U53):INDIRECT("Table!" &amp; $X$159 &amp; $U53),0)),"",INDIRECT(CONCATENATE("Table!",ADDRESS($Q53,MATCH(F$1,INDIRECT("Table!A" &amp; $U53):INDIRECT("Table!" &amp; $X$159 &amp; $U53),0))))/1024)</f>
        <v>3.208984375</v>
      </c>
      <c r="G53" s="31">
        <f ca="1">IF(ISERROR(MATCH(G$1,INDIRECT("Table!A"&amp;$U53):INDIRECT("Table!" &amp; $X$159 &amp; $U53),0)),"",INDIRECT(CONCATENATE("Table!",ADDRESS($Q53,MATCH(G$1,INDIRECT("Table!A" &amp; $U53):INDIRECT("Table!" &amp; $X$159 &amp; $U53),0))))/1024)</f>
        <v>3.0009765625</v>
      </c>
      <c r="H53" s="31">
        <f ca="1">IF(ISERROR(MATCH(H$1,INDIRECT("Table!A"&amp;$U53):INDIRECT("Table!" &amp; $X$159 &amp; $U53),0)),"",INDIRECT(CONCATENATE("Table!",ADDRESS($Q53,MATCH(H$1,INDIRECT("Table!A" &amp; $U53):INDIRECT("Table!" &amp; $X$159 &amp; $U53),0))))/1024)</f>
        <v>2.177734375</v>
      </c>
      <c r="I53" s="31">
        <f ca="1">IF(ISERROR(MATCH(I$1,INDIRECT("Table!A"&amp;$U53):INDIRECT("Table!" &amp; $X$159 &amp; $U53),0)),"",INDIRECT(CONCATENATE("Table!",ADDRESS($Q53,MATCH(I$1,INDIRECT("Table!A" &amp; $U53):INDIRECT("Table!" &amp; $X$159 &amp; $U53),0))))/1024)</f>
        <v>0.8583984375</v>
      </c>
      <c r="J53" s="31">
        <f ca="1">IF(ISERROR(MATCH(J$1,INDIRECT("Table!A"&amp;$U53):INDIRECT("Table!" &amp; $X$159 &amp; $U53),0)),"",INDIRECT(CONCATENATE("Table!",ADDRESS($Q53,MATCH(J$1,INDIRECT("Table!A" &amp; $U53):INDIRECT("Table!" &amp; $X$159 &amp; $U53),0))))/1024)</f>
        <v>2.93359375</v>
      </c>
      <c r="K53" s="31">
        <f ca="1">IF(ISERROR(MATCH(K$1,INDIRECT("Table!A"&amp;$U53):INDIRECT("Table!" &amp; $X$159 &amp; $U53),0)),"",INDIRECT(CONCATENATE("Table!",ADDRESS($Q53,MATCH(K$1,INDIRECT("Table!A" &amp; $U53):INDIRECT("Table!" &amp; $X$159 &amp; $U53),0))))/1024)</f>
        <v>2.73828125</v>
      </c>
      <c r="L53" s="31">
        <f ca="1">IF(ISERROR(MATCH(L$1,INDIRECT("Table!A"&amp;$U53):INDIRECT("Table!" &amp; $X$159 &amp; $U53),0)),"",INDIRECT(CONCATENATE("Table!",ADDRESS($Q53,MATCH(L$1,INDIRECT("Table!A" &amp; $U53):INDIRECT("Table!" &amp; $X$159 &amp; $U53),0))))/1024)</f>
        <v>2.1787109375</v>
      </c>
      <c r="M53" s="31">
        <f ca="1">IF(ISERROR(MATCH(M$1,INDIRECT("Table!A"&amp;$U53):INDIRECT("Table!" &amp; $X$159 &amp; $U53),0)),"",INDIRECT(CONCATENATE("Table!",ADDRESS($Q53,MATCH(M$1,INDIRECT("Table!A" &amp; $U53):INDIRECT("Table!" &amp; $X$159 &amp; $U53),0))))/1024)</f>
        <v>2.208984375</v>
      </c>
      <c r="N53" s="31"/>
      <c r="O53" s="228"/>
      <c r="P53" s="228"/>
      <c r="Q53" s="31">
        <f>MATCH($A53,Table!$A:$A,0)+$S$2-1</f>
        <v>882</v>
      </c>
      <c r="R53" s="228"/>
      <c r="S53" s="228"/>
      <c r="T53" s="228"/>
      <c r="U53" s="31">
        <f>MATCH($A53,Table!$A:$A,0)+$W$2-1</f>
        <v>869</v>
      </c>
      <c r="V53" s="228"/>
      <c r="W53" s="228"/>
      <c r="X53" s="228" t="s">
        <v>118</v>
      </c>
    </row>
    <row r="54" spans="1:24">
      <c r="A54" s="5">
        <v>41110</v>
      </c>
      <c r="B54" s="31">
        <f ca="1">IF(ISERROR(MATCH(B$1,INDIRECT("Table!A"&amp;$U54):INDIRECT("Table!" &amp; $X$159 &amp; $U54),0)),"",INDIRECT(CONCATENATE("Table!",ADDRESS($Q54,MATCH(B$1,INDIRECT("Table!A" &amp; $U54):INDIRECT("Table!" &amp; $X$159 &amp; $U54),0))))/1024)</f>
        <v>0.6083984375</v>
      </c>
      <c r="C54" s="31">
        <f ca="1">IF(ISERROR(MATCH(C$1,INDIRECT("Table!A"&amp;$U54):INDIRECT("Table!" &amp; $X$159 &amp; $U54),0)),"",INDIRECT(CONCATENATE("Table!",ADDRESS($Q54,MATCH(C$1,INDIRECT("Table!A" &amp; $U54):INDIRECT("Table!" &amp; $X$159 &amp; $U54),0))))/1024)</f>
        <v>0.7275390625</v>
      </c>
      <c r="D54" s="31">
        <f ca="1">IF(ISERROR(MATCH(D$1,INDIRECT("Table!A"&amp;$U54):INDIRECT("Table!" &amp; $X$159 &amp; $U54),0)),"",INDIRECT(CONCATENATE("Table!",ADDRESS($Q54,MATCH(D$1,INDIRECT("Table!A" &amp; $U54):INDIRECT("Table!" &amp; $X$159 &amp; $U54),0))))/1024)</f>
        <v>0.5390625</v>
      </c>
      <c r="E54" s="31">
        <f ca="1">IF(ISERROR(MATCH(E$1,INDIRECT("Table!A"&amp;$U54):INDIRECT("Table!" &amp; $X$159 &amp; $U54),0)),"",INDIRECT(CONCATENATE("Table!",ADDRESS($Q54,MATCH(E$1,INDIRECT("Table!A" &amp; $U54):INDIRECT("Table!" &amp; $X$159 &amp; $U54),0))))/1024)</f>
        <v>0.662109375</v>
      </c>
      <c r="F54" s="31">
        <f ca="1">IF(ISERROR(MATCH(F$1,INDIRECT("Table!A"&amp;$U54):INDIRECT("Table!" &amp; $X$159 &amp; $U54),0)),"",INDIRECT(CONCATENATE("Table!",ADDRESS($Q54,MATCH(F$1,INDIRECT("Table!A" &amp; $U54):INDIRECT("Table!" &amp; $X$159 &amp; $U54),0))))/1024)</f>
        <v>3.208984375</v>
      </c>
      <c r="G54" s="31">
        <f ca="1">IF(ISERROR(MATCH(G$1,INDIRECT("Table!A"&amp;$U54):INDIRECT("Table!" &amp; $X$159 &amp; $U54),0)),"",INDIRECT(CONCATENATE("Table!",ADDRESS($Q54,MATCH(G$1,INDIRECT("Table!A" &amp; $U54):INDIRECT("Table!" &amp; $X$159 &amp; $U54),0))))/1024)</f>
        <v>3.0009765625</v>
      </c>
      <c r="H54" s="31">
        <f ca="1">IF(ISERROR(MATCH(H$1,INDIRECT("Table!A"&amp;$U54):INDIRECT("Table!" &amp; $X$159 &amp; $U54),0)),"",INDIRECT(CONCATENATE("Table!",ADDRESS($Q54,MATCH(H$1,INDIRECT("Table!A" &amp; $U54):INDIRECT("Table!" &amp; $X$159 &amp; $U54),0))))/1024)</f>
        <v>2.177734375</v>
      </c>
      <c r="I54" s="31">
        <f ca="1">IF(ISERROR(MATCH(I$1,INDIRECT("Table!A"&amp;$U54):INDIRECT("Table!" &amp; $X$159 &amp; $U54),0)),"",INDIRECT(CONCATENATE("Table!",ADDRESS($Q54,MATCH(I$1,INDIRECT("Table!A" &amp; $U54):INDIRECT("Table!" &amp; $X$159 &amp; $U54),0))))/1024)</f>
        <v>0.8583984375</v>
      </c>
      <c r="J54" s="31">
        <f ca="1">IF(ISERROR(MATCH(J$1,INDIRECT("Table!A"&amp;$U54):INDIRECT("Table!" &amp; $X$159 &amp; $U54),0)),"",INDIRECT(CONCATENATE("Table!",ADDRESS($Q54,MATCH(J$1,INDIRECT("Table!A" &amp; $U54):INDIRECT("Table!" &amp; $X$159 &amp; $U54),0))))/1024)</f>
        <v>2.93359375</v>
      </c>
      <c r="K54" s="31">
        <f ca="1">IF(ISERROR(MATCH(K$1,INDIRECT("Table!A"&amp;$U54):INDIRECT("Table!" &amp; $X$159 &amp; $U54),0)),"",INDIRECT(CONCATENATE("Table!",ADDRESS($Q54,MATCH(K$1,INDIRECT("Table!A" &amp; $U54):INDIRECT("Table!" &amp; $X$159 &amp; $U54),0))))/1024)</f>
        <v>2.73828125</v>
      </c>
      <c r="L54" s="31">
        <f ca="1">IF(ISERROR(MATCH(L$1,INDIRECT("Table!A"&amp;$U54):INDIRECT("Table!" &amp; $X$159 &amp; $U54),0)),"",INDIRECT(CONCATENATE("Table!",ADDRESS($Q54,MATCH(L$1,INDIRECT("Table!A" &amp; $U54):INDIRECT("Table!" &amp; $X$159 &amp; $U54),0))))/1024)</f>
        <v>2.1787109375</v>
      </c>
      <c r="M54" s="31">
        <f ca="1">IF(ISERROR(MATCH(M$1,INDIRECT("Table!A"&amp;$U54):INDIRECT("Table!" &amp; $X$159 &amp; $U54),0)),"",INDIRECT(CONCATENATE("Table!",ADDRESS($Q54,MATCH(M$1,INDIRECT("Table!A" &amp; $U54):INDIRECT("Table!" &amp; $X$159 &amp; $U54),0))))/1024)</f>
        <v>2.208984375</v>
      </c>
      <c r="N54" s="31"/>
      <c r="O54" s="227"/>
      <c r="P54" s="227"/>
      <c r="Q54" s="31">
        <f>MATCH($A54,Table!$A:$A,0)+$S$2-1</f>
        <v>895</v>
      </c>
      <c r="R54" s="227"/>
      <c r="S54" s="227"/>
      <c r="T54" s="227"/>
      <c r="U54" s="31">
        <f>MATCH($A54,Table!$A:$A,0)+$W$2-1</f>
        <v>882</v>
      </c>
      <c r="V54" s="227"/>
      <c r="W54" s="227"/>
      <c r="X54" s="227" t="s">
        <v>118</v>
      </c>
    </row>
    <row r="55" spans="1:24">
      <c r="A55" s="5">
        <v>41109</v>
      </c>
      <c r="B55" s="31">
        <f ca="1">IF(ISERROR(MATCH(B$1,INDIRECT("Table!A"&amp;$U55):INDIRECT("Table!" &amp; $X$159 &amp; $U55),0)),"",INDIRECT(CONCATENATE("Table!",ADDRESS($Q55,MATCH(B$1,INDIRECT("Table!A" &amp; $U55):INDIRECT("Table!" &amp; $X$159 &amp; $U55),0))))/1024)</f>
        <v>0.6083984375</v>
      </c>
      <c r="C55" s="31">
        <f ca="1">IF(ISERROR(MATCH(C$1,INDIRECT("Table!A"&amp;$U55):INDIRECT("Table!" &amp; $X$159 &amp; $U55),0)),"",INDIRECT(CONCATENATE("Table!",ADDRESS($Q55,MATCH(C$1,INDIRECT("Table!A" &amp; $U55):INDIRECT("Table!" &amp; $X$159 &amp; $U55),0))))/1024)</f>
        <v>0.7275390625</v>
      </c>
      <c r="D55" s="31">
        <f ca="1">IF(ISERROR(MATCH(D$1,INDIRECT("Table!A"&amp;$U55):INDIRECT("Table!" &amp; $X$159 &amp; $U55),0)),"",INDIRECT(CONCATENATE("Table!",ADDRESS($Q55,MATCH(D$1,INDIRECT("Table!A" &amp; $U55):INDIRECT("Table!" &amp; $X$159 &amp; $U55),0))))/1024)</f>
        <v>0.5390625</v>
      </c>
      <c r="E55" s="31">
        <f ca="1">IF(ISERROR(MATCH(E$1,INDIRECT("Table!A"&amp;$U55):INDIRECT("Table!" &amp; $X$159 &amp; $U55),0)),"",INDIRECT(CONCATENATE("Table!",ADDRESS($Q55,MATCH(E$1,INDIRECT("Table!A" &amp; $U55):INDIRECT("Table!" &amp; $X$159 &amp; $U55),0))))/1024)</f>
        <v>0.662109375</v>
      </c>
      <c r="F55" s="31">
        <f ca="1">IF(ISERROR(MATCH(F$1,INDIRECT("Table!A"&amp;$U55):INDIRECT("Table!" &amp; $X$159 &amp; $U55),0)),"",INDIRECT(CONCATENATE("Table!",ADDRESS($Q55,MATCH(F$1,INDIRECT("Table!A" &amp; $U55):INDIRECT("Table!" &amp; $X$159 &amp; $U55),0))))/1024)</f>
        <v>3.208984375</v>
      </c>
      <c r="G55" s="31">
        <f ca="1">IF(ISERROR(MATCH(G$1,INDIRECT("Table!A"&amp;$U55):INDIRECT("Table!" &amp; $X$159 &amp; $U55),0)),"",INDIRECT(CONCATENATE("Table!",ADDRESS($Q55,MATCH(G$1,INDIRECT("Table!A" &amp; $U55):INDIRECT("Table!" &amp; $X$159 &amp; $U55),0))))/1024)</f>
        <v>3.0009765625</v>
      </c>
      <c r="H55" s="31">
        <f ca="1">IF(ISERROR(MATCH(H$1,INDIRECT("Table!A"&amp;$U55):INDIRECT("Table!" &amp; $X$159 &amp; $U55),0)),"",INDIRECT(CONCATENATE("Table!",ADDRESS($Q55,MATCH(H$1,INDIRECT("Table!A" &amp; $U55):INDIRECT("Table!" &amp; $X$159 &amp; $U55),0))))/1024)</f>
        <v>2.177734375</v>
      </c>
      <c r="I55" s="31">
        <f ca="1">IF(ISERROR(MATCH(I$1,INDIRECT("Table!A"&amp;$U55):INDIRECT("Table!" &amp; $X$159 &amp; $U55),0)),"",INDIRECT(CONCATENATE("Table!",ADDRESS($Q55,MATCH(I$1,INDIRECT("Table!A" &amp; $U55):INDIRECT("Table!" &amp; $X$159 &amp; $U55),0))))/1024)</f>
        <v>0.8583984375</v>
      </c>
      <c r="J55" s="31">
        <f ca="1">IF(ISERROR(MATCH(J$1,INDIRECT("Table!A"&amp;$U55):INDIRECT("Table!" &amp; $X$159 &amp; $U55),0)),"",INDIRECT(CONCATENATE("Table!",ADDRESS($Q55,MATCH(J$1,INDIRECT("Table!A" &amp; $U55):INDIRECT("Table!" &amp; $X$159 &amp; $U55),0))))/1024)</f>
        <v>2.93359375</v>
      </c>
      <c r="K55" s="31">
        <f ca="1">IF(ISERROR(MATCH(K$1,INDIRECT("Table!A"&amp;$U55):INDIRECT("Table!" &amp; $X$159 &amp; $U55),0)),"",INDIRECT(CONCATENATE("Table!",ADDRESS($Q55,MATCH(K$1,INDIRECT("Table!A" &amp; $U55):INDIRECT("Table!" &amp; $X$159 &amp; $U55),0))))/1024)</f>
        <v>2.73828125</v>
      </c>
      <c r="L55" s="31">
        <f ca="1">IF(ISERROR(MATCH(L$1,INDIRECT("Table!A"&amp;$U55):INDIRECT("Table!" &amp; $X$159 &amp; $U55),0)),"",INDIRECT(CONCATENATE("Table!",ADDRESS($Q55,MATCH(L$1,INDIRECT("Table!A" &amp; $U55):INDIRECT("Table!" &amp; $X$159 &amp; $U55),0))))/1024)</f>
        <v>2.1787109375</v>
      </c>
      <c r="M55" s="31">
        <f ca="1">IF(ISERROR(MATCH(M$1,INDIRECT("Table!A"&amp;$U55):INDIRECT("Table!" &amp; $X$159 &amp; $U55),0)),"",INDIRECT(CONCATENATE("Table!",ADDRESS($Q55,MATCH(M$1,INDIRECT("Table!A" &amp; $U55):INDIRECT("Table!" &amp; $X$159 &amp; $U55),0))))/1024)</f>
        <v>2.208984375</v>
      </c>
      <c r="N55" s="31"/>
      <c r="O55" s="226"/>
      <c r="P55" s="226"/>
      <c r="Q55" s="31">
        <f>MATCH($A55,Table!$A:$A,0)+$S$2-1</f>
        <v>908</v>
      </c>
      <c r="R55" s="226"/>
      <c r="S55" s="226"/>
      <c r="T55" s="226"/>
      <c r="U55" s="31">
        <f>MATCH($A55,Table!$A:$A,0)+$W$2-1</f>
        <v>895</v>
      </c>
      <c r="V55" s="226"/>
      <c r="W55" s="226"/>
      <c r="X55" s="226" t="s">
        <v>118</v>
      </c>
    </row>
    <row r="56" spans="1:24">
      <c r="A56" s="5">
        <v>41108</v>
      </c>
      <c r="B56" s="31">
        <f ca="1">IF(ISERROR(MATCH(B$1,INDIRECT("Table!A"&amp;$U56):INDIRECT("Table!" &amp; $X$159 &amp; $U56),0)),"",INDIRECT(CONCATENATE("Table!",ADDRESS($Q56,MATCH(B$1,INDIRECT("Table!A" &amp; $U56):INDIRECT("Table!" &amp; $X$159 &amp; $U56),0))))/1024)</f>
        <v>0.6083984375</v>
      </c>
      <c r="C56" s="31">
        <f ca="1">IF(ISERROR(MATCH(C$1,INDIRECT("Table!A"&amp;$U56):INDIRECT("Table!" &amp; $X$159 &amp; $U56),0)),"",INDIRECT(CONCATENATE("Table!",ADDRESS($Q56,MATCH(C$1,INDIRECT("Table!A" &amp; $U56):INDIRECT("Table!" &amp; $X$159 &amp; $U56),0))))/1024)</f>
        <v>0.7275390625</v>
      </c>
      <c r="D56" s="31">
        <f ca="1">IF(ISERROR(MATCH(D$1,INDIRECT("Table!A"&amp;$U56):INDIRECT("Table!" &amp; $X$159 &amp; $U56),0)),"",INDIRECT(CONCATENATE("Table!",ADDRESS($Q56,MATCH(D$1,INDIRECT("Table!A" &amp; $U56):INDIRECT("Table!" &amp; $X$159 &amp; $U56),0))))/1024)</f>
        <v>0.5390625</v>
      </c>
      <c r="E56" s="31">
        <f ca="1">IF(ISERROR(MATCH(E$1,INDIRECT("Table!A"&amp;$U56):INDIRECT("Table!" &amp; $X$159 &amp; $U56),0)),"",INDIRECT(CONCATENATE("Table!",ADDRESS($Q56,MATCH(E$1,INDIRECT("Table!A" &amp; $U56):INDIRECT("Table!" &amp; $X$159 &amp; $U56),0))))/1024)</f>
        <v>0.662109375</v>
      </c>
      <c r="F56" s="31">
        <f ca="1">IF(ISERROR(MATCH(F$1,INDIRECT("Table!A"&amp;$U56):INDIRECT("Table!" &amp; $X$159 &amp; $U56),0)),"",INDIRECT(CONCATENATE("Table!",ADDRESS($Q56,MATCH(F$1,INDIRECT("Table!A" &amp; $U56):INDIRECT("Table!" &amp; $X$159 &amp; $U56),0))))/1024)</f>
        <v>3.208984375</v>
      </c>
      <c r="G56" s="31">
        <f ca="1">IF(ISERROR(MATCH(G$1,INDIRECT("Table!A"&amp;$U56):INDIRECT("Table!" &amp; $X$159 &amp; $U56),0)),"",INDIRECT(CONCATENATE("Table!",ADDRESS($Q56,MATCH(G$1,INDIRECT("Table!A" &amp; $U56):INDIRECT("Table!" &amp; $X$159 &amp; $U56),0))))/1024)</f>
        <v>3.0009765625</v>
      </c>
      <c r="H56" s="31">
        <f ca="1">IF(ISERROR(MATCH(H$1,INDIRECT("Table!A"&amp;$U56):INDIRECT("Table!" &amp; $X$159 &amp; $U56),0)),"",INDIRECT(CONCATENATE("Table!",ADDRESS($Q56,MATCH(H$1,INDIRECT("Table!A" &amp; $U56):INDIRECT("Table!" &amp; $X$159 &amp; $U56),0))))/1024)</f>
        <v>2.177734375</v>
      </c>
      <c r="I56" s="31">
        <f ca="1">IF(ISERROR(MATCH(I$1,INDIRECT("Table!A"&amp;$U56):INDIRECT("Table!" &amp; $X$159 &amp; $U56),0)),"",INDIRECT(CONCATENATE("Table!",ADDRESS($Q56,MATCH(I$1,INDIRECT("Table!A" &amp; $U56):INDIRECT("Table!" &amp; $X$159 &amp; $U56),0))))/1024)</f>
        <v>0.8583984375</v>
      </c>
      <c r="J56" s="31">
        <f ca="1">IF(ISERROR(MATCH(J$1,INDIRECT("Table!A"&amp;$U56):INDIRECT("Table!" &amp; $X$159 &amp; $U56),0)),"",INDIRECT(CONCATENATE("Table!",ADDRESS($Q56,MATCH(J$1,INDIRECT("Table!A" &amp; $U56):INDIRECT("Table!" &amp; $X$159 &amp; $U56),0))))/1024)</f>
        <v>2.93359375</v>
      </c>
      <c r="K56" s="31">
        <f ca="1">IF(ISERROR(MATCH(K$1,INDIRECT("Table!A"&amp;$U56):INDIRECT("Table!" &amp; $X$159 &amp; $U56),0)),"",INDIRECT(CONCATENATE("Table!",ADDRESS($Q56,MATCH(K$1,INDIRECT("Table!A" &amp; $U56):INDIRECT("Table!" &amp; $X$159 &amp; $U56),0))))/1024)</f>
        <v>2.73828125</v>
      </c>
      <c r="L56" s="31">
        <f ca="1">IF(ISERROR(MATCH(L$1,INDIRECT("Table!A"&amp;$U56):INDIRECT("Table!" &amp; $X$159 &amp; $U56),0)),"",INDIRECT(CONCATENATE("Table!",ADDRESS($Q56,MATCH(L$1,INDIRECT("Table!A" &amp; $U56):INDIRECT("Table!" &amp; $X$159 &amp; $U56),0))))/1024)</f>
        <v>2.1787109375</v>
      </c>
      <c r="M56" s="31">
        <f ca="1">IF(ISERROR(MATCH(M$1,INDIRECT("Table!A"&amp;$U56):INDIRECT("Table!" &amp; $X$159 &amp; $U56),0)),"",INDIRECT(CONCATENATE("Table!",ADDRESS($Q56,MATCH(M$1,INDIRECT("Table!A" &amp; $U56):INDIRECT("Table!" &amp; $X$159 &amp; $U56),0))))/1024)</f>
        <v>2.208984375</v>
      </c>
      <c r="N56" s="31"/>
      <c r="O56" s="226"/>
      <c r="P56" s="226"/>
      <c r="Q56" s="31">
        <f>MATCH($A56,Table!$A:$A,0)+$S$2-1</f>
        <v>921</v>
      </c>
      <c r="R56" s="226"/>
      <c r="S56" s="226"/>
      <c r="T56" s="226"/>
      <c r="U56" s="31">
        <f>MATCH($A56,Table!$A:$A,0)+$W$2-1</f>
        <v>908</v>
      </c>
      <c r="V56" s="226"/>
      <c r="W56" s="226"/>
      <c r="X56" s="226" t="s">
        <v>118</v>
      </c>
    </row>
    <row r="57" spans="1:24">
      <c r="A57" s="5">
        <v>41106</v>
      </c>
      <c r="B57" s="31">
        <f ca="1">IF(ISERROR(MATCH(B$1,INDIRECT("Table!A"&amp;$U57):INDIRECT("Table!" &amp; $X$159 &amp; $U57),0)),"",INDIRECT(CONCATENATE("Table!",ADDRESS($Q57,MATCH(B$1,INDIRECT("Table!A" &amp; $U57):INDIRECT("Table!" &amp; $X$159 &amp; $U57),0))))/1024)</f>
        <v>0.6083984375</v>
      </c>
      <c r="C57" s="31">
        <f ca="1">IF(ISERROR(MATCH(C$1,INDIRECT("Table!A"&amp;$U57):INDIRECT("Table!" &amp; $X$159 &amp; $U57),0)),"",INDIRECT(CONCATENATE("Table!",ADDRESS($Q57,MATCH(C$1,INDIRECT("Table!A" &amp; $U57):INDIRECT("Table!" &amp; $X$159 &amp; $U57),0))))/1024)</f>
        <v>0.7275390625</v>
      </c>
      <c r="D57" s="31">
        <f ca="1">IF(ISERROR(MATCH(D$1,INDIRECT("Table!A"&amp;$U57):INDIRECT("Table!" &amp; $X$159 &amp; $U57),0)),"",INDIRECT(CONCATENATE("Table!",ADDRESS($Q57,MATCH(D$1,INDIRECT("Table!A" &amp; $U57):INDIRECT("Table!" &amp; $X$159 &amp; $U57),0))))/1024)</f>
        <v>0.5390625</v>
      </c>
      <c r="E57" s="31">
        <f ca="1">IF(ISERROR(MATCH(E$1,INDIRECT("Table!A"&amp;$U57):INDIRECT("Table!" &amp; $X$159 &amp; $U57),0)),"",INDIRECT(CONCATENATE("Table!",ADDRESS($Q57,MATCH(E$1,INDIRECT("Table!A" &amp; $U57):INDIRECT("Table!" &amp; $X$159 &amp; $U57),0))))/1024)</f>
        <v>0.662109375</v>
      </c>
      <c r="F57" s="31">
        <f ca="1">IF(ISERROR(MATCH(F$1,INDIRECT("Table!A"&amp;$U57):INDIRECT("Table!" &amp; $X$159 &amp; $U57),0)),"",INDIRECT(CONCATENATE("Table!",ADDRESS($Q57,MATCH(F$1,INDIRECT("Table!A" &amp; $U57):INDIRECT("Table!" &amp; $X$159 &amp; $U57),0))))/1024)</f>
        <v>3.208984375</v>
      </c>
      <c r="G57" s="31">
        <f ca="1">IF(ISERROR(MATCH(G$1,INDIRECT("Table!A"&amp;$U57):INDIRECT("Table!" &amp; $X$159 &amp; $U57),0)),"",INDIRECT(CONCATENATE("Table!",ADDRESS($Q57,MATCH(G$1,INDIRECT("Table!A" &amp; $U57):INDIRECT("Table!" &amp; $X$159 &amp; $U57),0))))/1024)</f>
        <v>3.0009765625</v>
      </c>
      <c r="H57" s="31">
        <f ca="1">IF(ISERROR(MATCH(H$1,INDIRECT("Table!A"&amp;$U57):INDIRECT("Table!" &amp; $X$159 &amp; $U57),0)),"",INDIRECT(CONCATENATE("Table!",ADDRESS($Q57,MATCH(H$1,INDIRECT("Table!A" &amp; $U57):INDIRECT("Table!" &amp; $X$159 &amp; $U57),0))))/1024)</f>
        <v>2.177734375</v>
      </c>
      <c r="I57" s="31">
        <f ca="1">IF(ISERROR(MATCH(I$1,INDIRECT("Table!A"&amp;$U57):INDIRECT("Table!" &amp; $X$159 &amp; $U57),0)),"",INDIRECT(CONCATENATE("Table!",ADDRESS($Q57,MATCH(I$1,INDIRECT("Table!A" &amp; $U57):INDIRECT("Table!" &amp; $X$159 &amp; $U57),0))))/1024)</f>
        <v>0.8583984375</v>
      </c>
      <c r="J57" s="31">
        <f ca="1">IF(ISERROR(MATCH(J$1,INDIRECT("Table!A"&amp;$U57):INDIRECT("Table!" &amp; $X$159 &amp; $U57),0)),"",INDIRECT(CONCATENATE("Table!",ADDRESS($Q57,MATCH(J$1,INDIRECT("Table!A" &amp; $U57):INDIRECT("Table!" &amp; $X$159 &amp; $U57),0))))/1024)</f>
        <v>2.93359375</v>
      </c>
      <c r="K57" s="31">
        <f ca="1">IF(ISERROR(MATCH(K$1,INDIRECT("Table!A"&amp;$U57):INDIRECT("Table!" &amp; $X$159 &amp; $U57),0)),"",INDIRECT(CONCATENATE("Table!",ADDRESS($Q57,MATCH(K$1,INDIRECT("Table!A" &amp; $U57):INDIRECT("Table!" &amp; $X$159 &amp; $U57),0))))/1024)</f>
        <v>2.73828125</v>
      </c>
      <c r="L57" s="31">
        <f ca="1">IF(ISERROR(MATCH(L$1,INDIRECT("Table!A"&amp;$U57):INDIRECT("Table!" &amp; $X$159 &amp; $U57),0)),"",INDIRECT(CONCATENATE("Table!",ADDRESS($Q57,MATCH(L$1,INDIRECT("Table!A" &amp; $U57):INDIRECT("Table!" &amp; $X$159 &amp; $U57),0))))/1024)</f>
        <v>2.1787109375</v>
      </c>
      <c r="M57" s="31">
        <f ca="1">IF(ISERROR(MATCH(M$1,INDIRECT("Table!A"&amp;$U57):INDIRECT("Table!" &amp; $X$159 &amp; $U57),0)),"",INDIRECT(CONCATENATE("Table!",ADDRESS($Q57,MATCH(M$1,INDIRECT("Table!A" &amp; $U57):INDIRECT("Table!" &amp; $X$159 &amp; $U57),0))))/1024)</f>
        <v>2.208984375</v>
      </c>
      <c r="N57" s="31"/>
      <c r="O57" s="220"/>
      <c r="P57" s="220"/>
      <c r="Q57" s="31">
        <f>MATCH($A57,Table!$A:$A,0)+$S$2-1</f>
        <v>934</v>
      </c>
      <c r="R57" s="220"/>
      <c r="S57" s="220"/>
      <c r="T57" s="220"/>
      <c r="U57" s="31">
        <f>MATCH($A57,Table!$A:$A,0)+$W$2-1</f>
        <v>921</v>
      </c>
      <c r="V57" s="220"/>
      <c r="W57" s="220"/>
      <c r="X57" s="220" t="s">
        <v>118</v>
      </c>
    </row>
    <row r="58" spans="1:24">
      <c r="A58" s="5">
        <v>41103</v>
      </c>
      <c r="B58" s="31">
        <f ca="1">IF(ISERROR(MATCH(B$1,INDIRECT("Table!A"&amp;$U58):INDIRECT("Table!" &amp; $X$159 &amp; $U58),0)),"",INDIRECT(CONCATENATE("Table!",ADDRESS($Q58,MATCH(B$1,INDIRECT("Table!A" &amp; $U58):INDIRECT("Table!" &amp; $X$159 &amp; $U58),0))))/1024)</f>
        <v>0.6083984375</v>
      </c>
      <c r="C58" s="31">
        <f ca="1">IF(ISERROR(MATCH(C$1,INDIRECT("Table!A"&amp;$U58):INDIRECT("Table!" &amp; $X$159 &amp; $U58),0)),"",INDIRECT(CONCATENATE("Table!",ADDRESS($Q58,MATCH(C$1,INDIRECT("Table!A" &amp; $U58):INDIRECT("Table!" &amp; $X$159 &amp; $U58),0))))/1024)</f>
        <v>0.7275390625</v>
      </c>
      <c r="D58" s="31">
        <f ca="1">IF(ISERROR(MATCH(D$1,INDIRECT("Table!A"&amp;$U58):INDIRECT("Table!" &amp; $X$159 &amp; $U58),0)),"",INDIRECT(CONCATENATE("Table!",ADDRESS($Q58,MATCH(D$1,INDIRECT("Table!A" &amp; $U58):INDIRECT("Table!" &amp; $X$159 &amp; $U58),0))))/1024)</f>
        <v>0.5390625</v>
      </c>
      <c r="E58" s="31">
        <f ca="1">IF(ISERROR(MATCH(E$1,INDIRECT("Table!A"&amp;$U58):INDIRECT("Table!" &amp; $X$159 &amp; $U58),0)),"",INDIRECT(CONCATENATE("Table!",ADDRESS($Q58,MATCH(E$1,INDIRECT("Table!A" &amp; $U58):INDIRECT("Table!" &amp; $X$159 &amp; $U58),0))))/1024)</f>
        <v>0.662109375</v>
      </c>
      <c r="F58" s="31">
        <f ca="1">IF(ISERROR(MATCH(F$1,INDIRECT("Table!A"&amp;$U58):INDIRECT("Table!" &amp; $X$159 &amp; $U58),0)),"",INDIRECT(CONCATENATE("Table!",ADDRESS($Q58,MATCH(F$1,INDIRECT("Table!A" &amp; $U58):INDIRECT("Table!" &amp; $X$159 &amp; $U58),0))))/1024)</f>
        <v>3.208984375</v>
      </c>
      <c r="G58" s="31">
        <f ca="1">IF(ISERROR(MATCH(G$1,INDIRECT("Table!A"&amp;$U58):INDIRECT("Table!" &amp; $X$159 &amp; $U58),0)),"",INDIRECT(CONCATENATE("Table!",ADDRESS($Q58,MATCH(G$1,INDIRECT("Table!A" &amp; $U58):INDIRECT("Table!" &amp; $X$159 &amp; $U58),0))))/1024)</f>
        <v>3.0009765625</v>
      </c>
      <c r="H58" s="31">
        <f ca="1">IF(ISERROR(MATCH(H$1,INDIRECT("Table!A"&amp;$U58):INDIRECT("Table!" &amp; $X$159 &amp; $U58),0)),"",INDIRECT(CONCATENATE("Table!",ADDRESS($Q58,MATCH(H$1,INDIRECT("Table!A" &amp; $U58):INDIRECT("Table!" &amp; $X$159 &amp; $U58),0))))/1024)</f>
        <v>2.177734375</v>
      </c>
      <c r="I58" s="31">
        <f ca="1">IF(ISERROR(MATCH(I$1,INDIRECT("Table!A"&amp;$U58):INDIRECT("Table!" &amp; $X$159 &amp; $U58),0)),"",INDIRECT(CONCATENATE("Table!",ADDRESS($Q58,MATCH(I$1,INDIRECT("Table!A" &amp; $U58):INDIRECT("Table!" &amp; $X$159 &amp; $U58),0))))/1024)</f>
        <v>0.8583984375</v>
      </c>
      <c r="J58" s="31">
        <f ca="1">IF(ISERROR(MATCH(J$1,INDIRECT("Table!A"&amp;$U58):INDIRECT("Table!" &amp; $X$159 &amp; $U58),0)),"",INDIRECT(CONCATENATE("Table!",ADDRESS($Q58,MATCH(J$1,INDIRECT("Table!A" &amp; $U58):INDIRECT("Table!" &amp; $X$159 &amp; $U58),0))))/1024)</f>
        <v>2.93359375</v>
      </c>
      <c r="K58" s="31">
        <f ca="1">IF(ISERROR(MATCH(K$1,INDIRECT("Table!A"&amp;$U58):INDIRECT("Table!" &amp; $X$159 &amp; $U58),0)),"",INDIRECT(CONCATENATE("Table!",ADDRESS($Q58,MATCH(K$1,INDIRECT("Table!A" &amp; $U58):INDIRECT("Table!" &amp; $X$159 &amp; $U58),0))))/1024)</f>
        <v>2.73828125</v>
      </c>
      <c r="L58" s="31">
        <f ca="1">IF(ISERROR(MATCH(L$1,INDIRECT("Table!A"&amp;$U58):INDIRECT("Table!" &amp; $X$159 &amp; $U58),0)),"",INDIRECT(CONCATENATE("Table!",ADDRESS($Q58,MATCH(L$1,INDIRECT("Table!A" &amp; $U58):INDIRECT("Table!" &amp; $X$159 &amp; $U58),0))))/1024)</f>
        <v>2.1787109375</v>
      </c>
      <c r="M58" s="31">
        <f ca="1">IF(ISERROR(MATCH(M$1,INDIRECT("Table!A"&amp;$U58):INDIRECT("Table!" &amp; $X$159 &amp; $U58),0)),"",INDIRECT(CONCATENATE("Table!",ADDRESS($Q58,MATCH(M$1,INDIRECT("Table!A" &amp; $U58):INDIRECT("Table!" &amp; $X$159 &amp; $U58),0))))/1024)</f>
        <v>2.208984375</v>
      </c>
      <c r="N58" s="31"/>
      <c r="O58" s="219"/>
      <c r="P58" s="219"/>
      <c r="Q58" s="31">
        <f>MATCH($A58,Table!$A:$A,0)+$S$2-1</f>
        <v>947</v>
      </c>
      <c r="R58" s="219"/>
      <c r="S58" s="219"/>
      <c r="T58" s="219"/>
      <c r="U58" s="31">
        <f>MATCH($A58,Table!$A:$A,0)+$W$2-1</f>
        <v>934</v>
      </c>
      <c r="V58" s="219"/>
      <c r="W58" s="219"/>
      <c r="X58" s="219" t="s">
        <v>118</v>
      </c>
    </row>
    <row r="59" spans="1:24">
      <c r="A59" s="5">
        <v>41102</v>
      </c>
      <c r="B59" s="31">
        <f ca="1">IF(ISERROR(MATCH(B$1,INDIRECT("Table!A"&amp;$U59):INDIRECT("Table!" &amp; $X$159 &amp; $U59),0)),"",INDIRECT(CONCATENATE("Table!",ADDRESS($Q59,MATCH(B$1,INDIRECT("Table!A" &amp; $U59):INDIRECT("Table!" &amp; $X$159 &amp; $U59),0))))/1024)</f>
        <v>0.6083984375</v>
      </c>
      <c r="C59" s="31">
        <f ca="1">IF(ISERROR(MATCH(C$1,INDIRECT("Table!A"&amp;$U59):INDIRECT("Table!" &amp; $X$159 &amp; $U59),0)),"",INDIRECT(CONCATENATE("Table!",ADDRESS($Q59,MATCH(C$1,INDIRECT("Table!A" &amp; $U59):INDIRECT("Table!" &amp; $X$159 &amp; $U59),0))))/1024)</f>
        <v>0.7275390625</v>
      </c>
      <c r="D59" s="31">
        <f ca="1">IF(ISERROR(MATCH(D$1,INDIRECT("Table!A"&amp;$U59):INDIRECT("Table!" &amp; $X$159 &amp; $U59),0)),"",INDIRECT(CONCATENATE("Table!",ADDRESS($Q59,MATCH(D$1,INDIRECT("Table!A" &amp; $U59):INDIRECT("Table!" &amp; $X$159 &amp; $U59),0))))/1024)</f>
        <v>0.5390625</v>
      </c>
      <c r="E59" s="31">
        <f ca="1">IF(ISERROR(MATCH(E$1,INDIRECT("Table!A"&amp;$U59):INDIRECT("Table!" &amp; $X$159 &amp; $U59),0)),"",INDIRECT(CONCATENATE("Table!",ADDRESS($Q59,MATCH(E$1,INDIRECT("Table!A" &amp; $U59):INDIRECT("Table!" &amp; $X$159 &amp; $U59),0))))/1024)</f>
        <v>0.662109375</v>
      </c>
      <c r="F59" s="31">
        <f ca="1">IF(ISERROR(MATCH(F$1,INDIRECT("Table!A"&amp;$U59):INDIRECT("Table!" &amp; $X$159 &amp; $U59),0)),"",INDIRECT(CONCATENATE("Table!",ADDRESS($Q59,MATCH(F$1,INDIRECT("Table!A" &amp; $U59):INDIRECT("Table!" &amp; $X$159 &amp; $U59),0))))/1024)</f>
        <v>3.208984375</v>
      </c>
      <c r="G59" s="31">
        <f ca="1">IF(ISERROR(MATCH(G$1,INDIRECT("Table!A"&amp;$U59):INDIRECT("Table!" &amp; $X$159 &amp; $U59),0)),"",INDIRECT(CONCATENATE("Table!",ADDRESS($Q59,MATCH(G$1,INDIRECT("Table!A" &amp; $U59):INDIRECT("Table!" &amp; $X$159 &amp; $U59),0))))/1024)</f>
        <v>3.0009765625</v>
      </c>
      <c r="H59" s="31">
        <f ca="1">IF(ISERROR(MATCH(H$1,INDIRECT("Table!A"&amp;$U59):INDIRECT("Table!" &amp; $X$159 &amp; $U59),0)),"",INDIRECT(CONCATENATE("Table!",ADDRESS($Q59,MATCH(H$1,INDIRECT("Table!A" &amp; $U59):INDIRECT("Table!" &amp; $X$159 &amp; $U59),0))))/1024)</f>
        <v>2.177734375</v>
      </c>
      <c r="I59" s="31">
        <f ca="1">IF(ISERROR(MATCH(I$1,INDIRECT("Table!A"&amp;$U59):INDIRECT("Table!" &amp; $X$159 &amp; $U59),0)),"",INDIRECT(CONCATENATE("Table!",ADDRESS($Q59,MATCH(I$1,INDIRECT("Table!A" &amp; $U59):INDIRECT("Table!" &amp; $X$159 &amp; $U59),0))))/1024)</f>
        <v>0.8583984375</v>
      </c>
      <c r="J59" s="31">
        <f ca="1">IF(ISERROR(MATCH(J$1,INDIRECT("Table!A"&amp;$U59):INDIRECT("Table!" &amp; $X$159 &amp; $U59),0)),"",INDIRECT(CONCATENATE("Table!",ADDRESS($Q59,MATCH(J$1,INDIRECT("Table!A" &amp; $U59):INDIRECT("Table!" &amp; $X$159 &amp; $U59),0))))/1024)</f>
        <v>2.93359375</v>
      </c>
      <c r="K59" s="31">
        <f ca="1">IF(ISERROR(MATCH(K$1,INDIRECT("Table!A"&amp;$U59):INDIRECT("Table!" &amp; $X$159 &amp; $U59),0)),"",INDIRECT(CONCATENATE("Table!",ADDRESS($Q59,MATCH(K$1,INDIRECT("Table!A" &amp; $U59):INDIRECT("Table!" &amp; $X$159 &amp; $U59),0))))/1024)</f>
        <v>2.73828125</v>
      </c>
      <c r="L59" s="31">
        <f ca="1">IF(ISERROR(MATCH(L$1,INDIRECT("Table!A"&amp;$U59):INDIRECT("Table!" &amp; $X$159 &amp; $U59),0)),"",INDIRECT(CONCATENATE("Table!",ADDRESS($Q59,MATCH(L$1,INDIRECT("Table!A" &amp; $U59):INDIRECT("Table!" &amp; $X$159 &amp; $U59),0))))/1024)</f>
        <v>2.1787109375</v>
      </c>
      <c r="M59" s="31">
        <f ca="1">IF(ISERROR(MATCH(M$1,INDIRECT("Table!A"&amp;$U59):INDIRECT("Table!" &amp; $X$159 &amp; $U59),0)),"",INDIRECT(CONCATENATE("Table!",ADDRESS($Q59,MATCH(M$1,INDIRECT("Table!A" &amp; $U59):INDIRECT("Table!" &amp; $X$159 &amp; $U59),0))))/1024)</f>
        <v>2.208984375</v>
      </c>
      <c r="N59" s="31"/>
      <c r="O59" s="218"/>
      <c r="P59" s="218"/>
      <c r="Q59" s="31">
        <f>MATCH($A59,Table!$A:$A,0)+$S$2-1</f>
        <v>960</v>
      </c>
      <c r="R59" s="218"/>
      <c r="S59" s="218"/>
      <c r="T59" s="218"/>
      <c r="U59" s="31">
        <f>MATCH($A59,Table!$A:$A,0)+$W$2-1</f>
        <v>947</v>
      </c>
      <c r="V59" s="218"/>
      <c r="W59" s="218"/>
      <c r="X59" s="218" t="s">
        <v>118</v>
      </c>
    </row>
    <row r="60" spans="1:24">
      <c r="A60" s="5">
        <v>41101</v>
      </c>
      <c r="B60" s="31">
        <f ca="1">IF(ISERROR(MATCH(B$1,INDIRECT("Table!A"&amp;$U60):INDIRECT("Table!" &amp; $X$159 &amp; $U60),0)),"",INDIRECT(CONCATENATE("Table!",ADDRESS($Q60,MATCH(B$1,INDIRECT("Table!A" &amp; $U60):INDIRECT("Table!" &amp; $X$159 &amp; $U60),0))))/1024)</f>
        <v>0.6083984375</v>
      </c>
      <c r="C60" s="31">
        <f ca="1">IF(ISERROR(MATCH(C$1,INDIRECT("Table!A"&amp;$U60):INDIRECT("Table!" &amp; $X$159 &amp; $U60),0)),"",INDIRECT(CONCATENATE("Table!",ADDRESS($Q60,MATCH(C$1,INDIRECT("Table!A" &amp; $U60):INDIRECT("Table!" &amp; $X$159 &amp; $U60),0))))/1024)</f>
        <v>0.7275390625</v>
      </c>
      <c r="D60" s="31">
        <f ca="1">IF(ISERROR(MATCH(D$1,INDIRECT("Table!A"&amp;$U60):INDIRECT("Table!" &amp; $X$159 &amp; $U60),0)),"",INDIRECT(CONCATENATE("Table!",ADDRESS($Q60,MATCH(D$1,INDIRECT("Table!A" &amp; $U60):INDIRECT("Table!" &amp; $X$159 &amp; $U60),0))))/1024)</f>
        <v>0.5390625</v>
      </c>
      <c r="E60" s="31">
        <f ca="1">IF(ISERROR(MATCH(E$1,INDIRECT("Table!A"&amp;$U60):INDIRECT("Table!" &amp; $X$159 &amp; $U60),0)),"",INDIRECT(CONCATENATE("Table!",ADDRESS($Q60,MATCH(E$1,INDIRECT("Table!A" &amp; $U60):INDIRECT("Table!" &amp; $X$159 &amp; $U60),0))))/1024)</f>
        <v>0.662109375</v>
      </c>
      <c r="F60" s="31">
        <f ca="1">IF(ISERROR(MATCH(F$1,INDIRECT("Table!A"&amp;$U60):INDIRECT("Table!" &amp; $X$159 &amp; $U60),0)),"",INDIRECT(CONCATENATE("Table!",ADDRESS($Q60,MATCH(F$1,INDIRECT("Table!A" &amp; $U60):INDIRECT("Table!" &amp; $X$159 &amp; $U60),0))))/1024)</f>
        <v>3.208984375</v>
      </c>
      <c r="G60" s="31">
        <f ca="1">IF(ISERROR(MATCH(G$1,INDIRECT("Table!A"&amp;$U60):INDIRECT("Table!" &amp; $X$159 &amp; $U60),0)),"",INDIRECT(CONCATENATE("Table!",ADDRESS($Q60,MATCH(G$1,INDIRECT("Table!A" &amp; $U60):INDIRECT("Table!" &amp; $X$159 &amp; $U60),0))))/1024)</f>
        <v>3.0009765625</v>
      </c>
      <c r="H60" s="31">
        <f ca="1">IF(ISERROR(MATCH(H$1,INDIRECT("Table!A"&amp;$U60):INDIRECT("Table!" &amp; $X$159 &amp; $U60),0)),"",INDIRECT(CONCATENATE("Table!",ADDRESS($Q60,MATCH(H$1,INDIRECT("Table!A" &amp; $U60):INDIRECT("Table!" &amp; $X$159 &amp; $U60),0))))/1024)</f>
        <v>2.177734375</v>
      </c>
      <c r="I60" s="31">
        <f ca="1">IF(ISERROR(MATCH(I$1,INDIRECT("Table!A"&amp;$U60):INDIRECT("Table!" &amp; $X$159 &amp; $U60),0)),"",INDIRECT(CONCATENATE("Table!",ADDRESS($Q60,MATCH(I$1,INDIRECT("Table!A" &amp; $U60):INDIRECT("Table!" &amp; $X$159 &amp; $U60),0))))/1024)</f>
        <v>0.8583984375</v>
      </c>
      <c r="J60" s="31">
        <f ca="1">IF(ISERROR(MATCH(J$1,INDIRECT("Table!A"&amp;$U60):INDIRECT("Table!" &amp; $X$159 &amp; $U60),0)),"",INDIRECT(CONCATENATE("Table!",ADDRESS($Q60,MATCH(J$1,INDIRECT("Table!A" &amp; $U60):INDIRECT("Table!" &amp; $X$159 &amp; $U60),0))))/1024)</f>
        <v>2.93359375</v>
      </c>
      <c r="K60" s="31">
        <f ca="1">IF(ISERROR(MATCH(K$1,INDIRECT("Table!A"&amp;$U60):INDIRECT("Table!" &amp; $X$159 &amp; $U60),0)),"",INDIRECT(CONCATENATE("Table!",ADDRESS($Q60,MATCH(K$1,INDIRECT("Table!A" &amp; $U60):INDIRECT("Table!" &amp; $X$159 &amp; $U60),0))))/1024)</f>
        <v>2.73828125</v>
      </c>
      <c r="L60" s="31">
        <f ca="1">IF(ISERROR(MATCH(L$1,INDIRECT("Table!A"&amp;$U60):INDIRECT("Table!" &amp; $X$159 &amp; $U60),0)),"",INDIRECT(CONCATENATE("Table!",ADDRESS($Q60,MATCH(L$1,INDIRECT("Table!A" &amp; $U60):INDIRECT("Table!" &amp; $X$159 &amp; $U60),0))))/1024)</f>
        <v>2.1787109375</v>
      </c>
      <c r="M60" s="31">
        <f ca="1">IF(ISERROR(MATCH(M$1,INDIRECT("Table!A"&amp;$U60):INDIRECT("Table!" &amp; $X$159 &amp; $U60),0)),"",INDIRECT(CONCATENATE("Table!",ADDRESS($Q60,MATCH(M$1,INDIRECT("Table!A" &amp; $U60):INDIRECT("Table!" &amp; $X$159 &amp; $U60),0))))/1024)</f>
        <v>2.208984375</v>
      </c>
      <c r="N60" s="31"/>
      <c r="O60" s="217"/>
      <c r="P60" s="217"/>
      <c r="Q60" s="31">
        <f>MATCH($A60,Table!$A:$A,0)+$S$2-1</f>
        <v>973</v>
      </c>
      <c r="R60" s="217"/>
      <c r="S60" s="217"/>
      <c r="T60" s="217"/>
      <c r="U60" s="31">
        <f>MATCH($A60,Table!$A:$A,0)+$W$2-1</f>
        <v>960</v>
      </c>
      <c r="V60" s="217"/>
      <c r="W60" s="217"/>
      <c r="X60" s="217" t="s">
        <v>118</v>
      </c>
    </row>
    <row r="61" spans="1:24">
      <c r="A61" s="5">
        <v>41099</v>
      </c>
      <c r="B61" s="31">
        <f ca="1">IF(ISERROR(MATCH(B$1,INDIRECT("Table!A"&amp;$U61):INDIRECT("Table!" &amp; $X$159 &amp; $U61),0)),"",INDIRECT(CONCATENATE("Table!",ADDRESS($Q61,MATCH(B$1,INDIRECT("Table!A" &amp; $U61):INDIRECT("Table!" &amp; $X$159 &amp; $U61),0))))/1024)</f>
        <v>0.6083984375</v>
      </c>
      <c r="C61" s="31">
        <f ca="1">IF(ISERROR(MATCH(C$1,INDIRECT("Table!A"&amp;$U61):INDIRECT("Table!" &amp; $X$159 &amp; $U61),0)),"",INDIRECT(CONCATENATE("Table!",ADDRESS($Q61,MATCH(C$1,INDIRECT("Table!A" &amp; $U61):INDIRECT("Table!" &amp; $X$159 &amp; $U61),0))))/1024)</f>
        <v>0.7275390625</v>
      </c>
      <c r="D61" s="31">
        <f ca="1">IF(ISERROR(MATCH(D$1,INDIRECT("Table!A"&amp;$U61):INDIRECT("Table!" &amp; $X$159 &amp; $U61),0)),"",INDIRECT(CONCATENATE("Table!",ADDRESS($Q61,MATCH(D$1,INDIRECT("Table!A" &amp; $U61):INDIRECT("Table!" &amp; $X$159 &amp; $U61),0))))/1024)</f>
        <v>0.5390625</v>
      </c>
      <c r="E61" s="31">
        <f ca="1">IF(ISERROR(MATCH(E$1,INDIRECT("Table!A"&amp;$U61):INDIRECT("Table!" &amp; $X$159 &amp; $U61),0)),"",INDIRECT(CONCATENATE("Table!",ADDRESS($Q61,MATCH(E$1,INDIRECT("Table!A" &amp; $U61):INDIRECT("Table!" &amp; $X$159 &amp; $U61),0))))/1024)</f>
        <v>0.662109375</v>
      </c>
      <c r="F61" s="31">
        <f ca="1">IF(ISERROR(MATCH(F$1,INDIRECT("Table!A"&amp;$U61):INDIRECT("Table!" &amp; $X$159 &amp; $U61),0)),"",INDIRECT(CONCATENATE("Table!",ADDRESS($Q61,MATCH(F$1,INDIRECT("Table!A" &amp; $U61):INDIRECT("Table!" &amp; $X$159 &amp; $U61),0))))/1024)</f>
        <v>3.208984375</v>
      </c>
      <c r="G61" s="31">
        <f ca="1">IF(ISERROR(MATCH(G$1,INDIRECT("Table!A"&amp;$U61):INDIRECT("Table!" &amp; $X$159 &amp; $U61),0)),"",INDIRECT(CONCATENATE("Table!",ADDRESS($Q61,MATCH(G$1,INDIRECT("Table!A" &amp; $U61):INDIRECT("Table!" &amp; $X$159 &amp; $U61),0))))/1024)</f>
        <v>3.0009765625</v>
      </c>
      <c r="H61" s="31">
        <f ca="1">IF(ISERROR(MATCH(H$1,INDIRECT("Table!A"&amp;$U61):INDIRECT("Table!" &amp; $X$159 &amp; $U61),0)),"",INDIRECT(CONCATENATE("Table!",ADDRESS($Q61,MATCH(H$1,INDIRECT("Table!A" &amp; $U61):INDIRECT("Table!" &amp; $X$159 &amp; $U61),0))))/1024)</f>
        <v>2.177734375</v>
      </c>
      <c r="I61" s="31">
        <f ca="1">IF(ISERROR(MATCH(I$1,INDIRECT("Table!A"&amp;$U61):INDIRECT("Table!" &amp; $X$159 &amp; $U61),0)),"",INDIRECT(CONCATENATE("Table!",ADDRESS($Q61,MATCH(I$1,INDIRECT("Table!A" &amp; $U61):INDIRECT("Table!" &amp; $X$159 &amp; $U61),0))))/1024)</f>
        <v>0.8583984375</v>
      </c>
      <c r="J61" s="31">
        <f ca="1">IF(ISERROR(MATCH(J$1,INDIRECT("Table!A"&amp;$U61):INDIRECT("Table!" &amp; $X$159 &amp; $U61),0)),"",INDIRECT(CONCATENATE("Table!",ADDRESS($Q61,MATCH(J$1,INDIRECT("Table!A" &amp; $U61):INDIRECT("Table!" &amp; $X$159 &amp; $U61),0))))/1024)</f>
        <v>2.93359375</v>
      </c>
      <c r="K61" s="31">
        <f ca="1">IF(ISERROR(MATCH(K$1,INDIRECT("Table!A"&amp;$U61):INDIRECT("Table!" &amp; $X$159 &amp; $U61),0)),"",INDIRECT(CONCATENATE("Table!",ADDRESS($Q61,MATCH(K$1,INDIRECT("Table!A" &amp; $U61):INDIRECT("Table!" &amp; $X$159 &amp; $U61),0))))/1024)</f>
        <v>2.73828125</v>
      </c>
      <c r="L61" s="31">
        <f ca="1">IF(ISERROR(MATCH(L$1,INDIRECT("Table!A"&amp;$U61):INDIRECT("Table!" &amp; $X$159 &amp; $U61),0)),"",INDIRECT(CONCATENATE("Table!",ADDRESS($Q61,MATCH(L$1,INDIRECT("Table!A" &amp; $U61):INDIRECT("Table!" &amp; $X$159 &amp; $U61),0))))/1024)</f>
        <v>2.1787109375</v>
      </c>
      <c r="M61" s="31">
        <f ca="1">IF(ISERROR(MATCH(M$1,INDIRECT("Table!A"&amp;$U61):INDIRECT("Table!" &amp; $X$159 &amp; $U61),0)),"",INDIRECT(CONCATENATE("Table!",ADDRESS($Q61,MATCH(M$1,INDIRECT("Table!A" &amp; $U61):INDIRECT("Table!" &amp; $X$159 &amp; $U61),0))))/1024)</f>
        <v>2.208984375</v>
      </c>
      <c r="N61" s="31"/>
      <c r="O61" s="216"/>
      <c r="P61" s="216"/>
      <c r="Q61" s="31">
        <f>MATCH($A61,Table!$A:$A,0)+$S$2-1</f>
        <v>986</v>
      </c>
      <c r="R61" s="216"/>
      <c r="S61" s="216"/>
      <c r="T61" s="216"/>
      <c r="U61" s="31">
        <f>MATCH($A61,Table!$A:$A,0)+$W$2-1</f>
        <v>973</v>
      </c>
      <c r="V61" s="216"/>
      <c r="W61" s="216"/>
      <c r="X61" s="216" t="s">
        <v>118</v>
      </c>
    </row>
    <row r="62" spans="1:24">
      <c r="A62" s="5">
        <v>41095</v>
      </c>
      <c r="B62" s="31">
        <f ca="1">IF(ISERROR(MATCH(B$1,INDIRECT("Table!A"&amp;$U62):INDIRECT("Table!" &amp; $X$159 &amp; $U62),0)),"",INDIRECT(CONCATENATE("Table!",ADDRESS($Q62,MATCH(B$1,INDIRECT("Table!A" &amp; $U62):INDIRECT("Table!" &amp; $X$159 &amp; $U62),0))))/1024)</f>
        <v>0.6083984375</v>
      </c>
      <c r="C62" s="31">
        <f ca="1">IF(ISERROR(MATCH(C$1,INDIRECT("Table!A"&amp;$U62):INDIRECT("Table!" &amp; $X$159 &amp; $U62),0)),"",INDIRECT(CONCATENATE("Table!",ADDRESS($Q62,MATCH(C$1,INDIRECT("Table!A" &amp; $U62):INDIRECT("Table!" &amp; $X$159 &amp; $U62),0))))/1024)</f>
        <v>0.7275390625</v>
      </c>
      <c r="D62" s="31">
        <f ca="1">IF(ISERROR(MATCH(D$1,INDIRECT("Table!A"&amp;$U62):INDIRECT("Table!" &amp; $X$159 &amp; $U62),0)),"",INDIRECT(CONCATENATE("Table!",ADDRESS($Q62,MATCH(D$1,INDIRECT("Table!A" &amp; $U62):INDIRECT("Table!" &amp; $X$159 &amp; $U62),0))))/1024)</f>
        <v>0.5390625</v>
      </c>
      <c r="E62" s="31">
        <f ca="1">IF(ISERROR(MATCH(E$1,INDIRECT("Table!A"&amp;$U62):INDIRECT("Table!" &amp; $X$159 &amp; $U62),0)),"",INDIRECT(CONCATENATE("Table!",ADDRESS($Q62,MATCH(E$1,INDIRECT("Table!A" &amp; $U62):INDIRECT("Table!" &amp; $X$159 &amp; $U62),0))))/1024)</f>
        <v>0.662109375</v>
      </c>
      <c r="F62" s="31">
        <f ca="1">IF(ISERROR(MATCH(F$1,INDIRECT("Table!A"&amp;$U62):INDIRECT("Table!" &amp; $X$159 &amp; $U62),0)),"",INDIRECT(CONCATENATE("Table!",ADDRESS($Q62,MATCH(F$1,INDIRECT("Table!A" &amp; $U62):INDIRECT("Table!" &amp; $X$159 &amp; $U62),0))))/1024)</f>
        <v>3.208984375</v>
      </c>
      <c r="G62" s="31">
        <f ca="1">IF(ISERROR(MATCH(G$1,INDIRECT("Table!A"&amp;$U62):INDIRECT("Table!" &amp; $X$159 &amp; $U62),0)),"",INDIRECT(CONCATENATE("Table!",ADDRESS($Q62,MATCH(G$1,INDIRECT("Table!A" &amp; $U62):INDIRECT("Table!" &amp; $X$159 &amp; $U62),0))))/1024)</f>
        <v>3.0009765625</v>
      </c>
      <c r="H62" s="31">
        <f ca="1">IF(ISERROR(MATCH(H$1,INDIRECT("Table!A"&amp;$U62):INDIRECT("Table!" &amp; $X$159 &amp; $U62),0)),"",INDIRECT(CONCATENATE("Table!",ADDRESS($Q62,MATCH(H$1,INDIRECT("Table!A" &amp; $U62):INDIRECT("Table!" &amp; $X$159 &amp; $U62),0))))/1024)</f>
        <v>2.177734375</v>
      </c>
      <c r="I62" s="31">
        <f ca="1">IF(ISERROR(MATCH(I$1,INDIRECT("Table!A"&amp;$U62):INDIRECT("Table!" &amp; $X$159 &amp; $U62),0)),"",INDIRECT(CONCATENATE("Table!",ADDRESS($Q62,MATCH(I$1,INDIRECT("Table!A" &amp; $U62):INDIRECT("Table!" &amp; $X$159 &amp; $U62),0))))/1024)</f>
        <v>0.8583984375</v>
      </c>
      <c r="J62" s="31">
        <f ca="1">IF(ISERROR(MATCH(J$1,INDIRECT("Table!A"&amp;$U62):INDIRECT("Table!" &amp; $X$159 &amp; $U62),0)),"",INDIRECT(CONCATENATE("Table!",ADDRESS($Q62,MATCH(J$1,INDIRECT("Table!A" &amp; $U62):INDIRECT("Table!" &amp; $X$159 &amp; $U62),0))))/1024)</f>
        <v>2.93359375</v>
      </c>
      <c r="K62" s="31">
        <f ca="1">IF(ISERROR(MATCH(K$1,INDIRECT("Table!A"&amp;$U62):INDIRECT("Table!" &amp; $X$159 &amp; $U62),0)),"",INDIRECT(CONCATENATE("Table!",ADDRESS($Q62,MATCH(K$1,INDIRECT("Table!A" &amp; $U62):INDIRECT("Table!" &amp; $X$159 &amp; $U62),0))))/1024)</f>
        <v>2.73828125</v>
      </c>
      <c r="L62" s="31">
        <f ca="1">IF(ISERROR(MATCH(L$1,INDIRECT("Table!A"&amp;$U62):INDIRECT("Table!" &amp; $X$159 &amp; $U62),0)),"",INDIRECT(CONCATENATE("Table!",ADDRESS($Q62,MATCH(L$1,INDIRECT("Table!A" &amp; $U62):INDIRECT("Table!" &amp; $X$159 &amp; $U62),0))))/1024)</f>
        <v>2.1787109375</v>
      </c>
      <c r="M62" s="31">
        <f ca="1">IF(ISERROR(MATCH(M$1,INDIRECT("Table!A"&amp;$U62):INDIRECT("Table!" &amp; $X$159 &amp; $U62),0)),"",INDIRECT(CONCATENATE("Table!",ADDRESS($Q62,MATCH(M$1,INDIRECT("Table!A" &amp; $U62):INDIRECT("Table!" &amp; $X$159 &amp; $U62),0))))/1024)</f>
        <v>2.208984375</v>
      </c>
      <c r="N62" s="31"/>
      <c r="O62" s="215"/>
      <c r="P62" s="215"/>
      <c r="Q62" s="31">
        <f>MATCH($A62,Table!$A:$A,0)+$S$2-1</f>
        <v>999</v>
      </c>
      <c r="R62" s="215"/>
      <c r="S62" s="215"/>
      <c r="T62" s="215"/>
      <c r="U62" s="31">
        <f>MATCH($A62,Table!$A:$A,0)+$W$2-1</f>
        <v>986</v>
      </c>
      <c r="V62" s="215"/>
      <c r="W62" s="215"/>
      <c r="X62" s="215" t="s">
        <v>118</v>
      </c>
    </row>
    <row r="63" spans="1:24">
      <c r="A63" s="5">
        <v>41094</v>
      </c>
      <c r="B63" s="31">
        <f ca="1">IF(ISERROR(MATCH(B$1,INDIRECT("Table!A"&amp;$U63):INDIRECT("Table!" &amp; $X$159 &amp; $U63),0)),"",INDIRECT(CONCATENATE("Table!",ADDRESS($Q63,MATCH(B$1,INDIRECT("Table!A" &amp; $U63):INDIRECT("Table!" &amp; $X$159 &amp; $U63),0))))/1024)</f>
        <v>0.6083984375</v>
      </c>
      <c r="C63" s="31">
        <f ca="1">IF(ISERROR(MATCH(C$1,INDIRECT("Table!A"&amp;$U63):INDIRECT("Table!" &amp; $X$159 &amp; $U63),0)),"",INDIRECT(CONCATENATE("Table!",ADDRESS($Q63,MATCH(C$1,INDIRECT("Table!A" &amp; $U63):INDIRECT("Table!" &amp; $X$159 &amp; $U63),0))))/1024)</f>
        <v>0.7275390625</v>
      </c>
      <c r="D63" s="31">
        <f ca="1">IF(ISERROR(MATCH(D$1,INDIRECT("Table!A"&amp;$U63):INDIRECT("Table!" &amp; $X$159 &amp; $U63),0)),"",INDIRECT(CONCATENATE("Table!",ADDRESS($Q63,MATCH(D$1,INDIRECT("Table!A" &amp; $U63):INDIRECT("Table!" &amp; $X$159 &amp; $U63),0))))/1024)</f>
        <v>0.5390625</v>
      </c>
      <c r="E63" s="31">
        <f ca="1">IF(ISERROR(MATCH(E$1,INDIRECT("Table!A"&amp;$U63):INDIRECT("Table!" &amp; $X$159 &amp; $U63),0)),"",INDIRECT(CONCATENATE("Table!",ADDRESS($Q63,MATCH(E$1,INDIRECT("Table!A" &amp; $U63):INDIRECT("Table!" &amp; $X$159 &amp; $U63),0))))/1024)</f>
        <v>0.662109375</v>
      </c>
      <c r="F63" s="31">
        <f ca="1">IF(ISERROR(MATCH(F$1,INDIRECT("Table!A"&amp;$U63):INDIRECT("Table!" &amp; $X$159 &amp; $U63),0)),"",INDIRECT(CONCATENATE("Table!",ADDRESS($Q63,MATCH(F$1,INDIRECT("Table!A" &amp; $U63):INDIRECT("Table!" &amp; $X$159 &amp; $U63),0))))/1024)</f>
        <v>3.208984375</v>
      </c>
      <c r="G63" s="31">
        <f ca="1">IF(ISERROR(MATCH(G$1,INDIRECT("Table!A"&amp;$U63):INDIRECT("Table!" &amp; $X$159 &amp; $U63),0)),"",INDIRECT(CONCATENATE("Table!",ADDRESS($Q63,MATCH(G$1,INDIRECT("Table!A" &amp; $U63):INDIRECT("Table!" &amp; $X$159 &amp; $U63),0))))/1024)</f>
        <v>3.0009765625</v>
      </c>
      <c r="H63" s="31">
        <f ca="1">IF(ISERROR(MATCH(H$1,INDIRECT("Table!A"&amp;$U63):INDIRECT("Table!" &amp; $X$159 &amp; $U63),0)),"",INDIRECT(CONCATENATE("Table!",ADDRESS($Q63,MATCH(H$1,INDIRECT("Table!A" &amp; $U63):INDIRECT("Table!" &amp; $X$159 &amp; $U63),0))))/1024)</f>
        <v>2.177734375</v>
      </c>
      <c r="I63" s="31">
        <f ca="1">IF(ISERROR(MATCH(I$1,INDIRECT("Table!A"&amp;$U63):INDIRECT("Table!" &amp; $X$159 &amp; $U63),0)),"",INDIRECT(CONCATENATE("Table!",ADDRESS($Q63,MATCH(I$1,INDIRECT("Table!A" &amp; $U63):INDIRECT("Table!" &amp; $X$159 &amp; $U63),0))))/1024)</f>
        <v>0.8583984375</v>
      </c>
      <c r="J63" s="31">
        <f ca="1">IF(ISERROR(MATCH(J$1,INDIRECT("Table!A"&amp;$U63):INDIRECT("Table!" &amp; $X$159 &amp; $U63),0)),"",INDIRECT(CONCATENATE("Table!",ADDRESS($Q63,MATCH(J$1,INDIRECT("Table!A" &amp; $U63):INDIRECT("Table!" &amp; $X$159 &amp; $U63),0))))/1024)</f>
        <v>2.93359375</v>
      </c>
      <c r="K63" s="31">
        <f ca="1">IF(ISERROR(MATCH(K$1,INDIRECT("Table!A"&amp;$U63):INDIRECT("Table!" &amp; $X$159 &amp; $U63),0)),"",INDIRECT(CONCATENATE("Table!",ADDRESS($Q63,MATCH(K$1,INDIRECT("Table!A" &amp; $U63):INDIRECT("Table!" &amp; $X$159 &amp; $U63),0))))/1024)</f>
        <v>2.73828125</v>
      </c>
      <c r="L63" s="31">
        <f ca="1">IF(ISERROR(MATCH(L$1,INDIRECT("Table!A"&amp;$U63):INDIRECT("Table!" &amp; $X$159 &amp; $U63),0)),"",INDIRECT(CONCATENATE("Table!",ADDRESS($Q63,MATCH(L$1,INDIRECT("Table!A" &amp; $U63):INDIRECT("Table!" &amp; $X$159 &amp; $U63),0))))/1024)</f>
        <v>2.1787109375</v>
      </c>
      <c r="M63" s="31">
        <f ca="1">IF(ISERROR(MATCH(M$1,INDIRECT("Table!A"&amp;$U63):INDIRECT("Table!" &amp; $X$159 &amp; $U63),0)),"",INDIRECT(CONCATENATE("Table!",ADDRESS($Q63,MATCH(M$1,INDIRECT("Table!A" &amp; $U63):INDIRECT("Table!" &amp; $X$159 &amp; $U63),0))))/1024)</f>
        <v>2.208984375</v>
      </c>
      <c r="N63" s="31"/>
      <c r="O63" s="214"/>
      <c r="P63" s="214"/>
      <c r="Q63" s="31">
        <f>MATCH($A63,Table!$A:$A,0)+$S$2-1</f>
        <v>1012</v>
      </c>
      <c r="R63" s="214"/>
      <c r="S63" s="214"/>
      <c r="T63" s="214"/>
      <c r="U63" s="31">
        <f>MATCH($A63,Table!$A:$A,0)+$W$2-1</f>
        <v>999</v>
      </c>
      <c r="V63" s="214"/>
      <c r="W63" s="214"/>
      <c r="X63" s="214" t="s">
        <v>118</v>
      </c>
    </row>
    <row r="64" spans="1:24">
      <c r="A64" s="5">
        <v>41093</v>
      </c>
      <c r="B64" s="31">
        <f ca="1">IF(ISERROR(MATCH(B$1,INDIRECT("Table!A"&amp;$U64):INDIRECT("Table!" &amp; $X$159 &amp; $U64),0)),"",INDIRECT(CONCATENATE("Table!",ADDRESS($Q64,MATCH(B$1,INDIRECT("Table!A" &amp; $U64):INDIRECT("Table!" &amp; $X$159 &amp; $U64),0))))/1024)</f>
        <v>0.6083984375</v>
      </c>
      <c r="C64" s="31">
        <f ca="1">IF(ISERROR(MATCH(C$1,INDIRECT("Table!A"&amp;$U64):INDIRECT("Table!" &amp; $X$159 &amp; $U64),0)),"",INDIRECT(CONCATENATE("Table!",ADDRESS($Q64,MATCH(C$1,INDIRECT("Table!A" &amp; $U64):INDIRECT("Table!" &amp; $X$159 &amp; $U64),0))))/1024)</f>
        <v>0.7275390625</v>
      </c>
      <c r="D64" s="31">
        <f ca="1">IF(ISERROR(MATCH(D$1,INDIRECT("Table!A"&amp;$U64):INDIRECT("Table!" &amp; $X$159 &amp; $U64),0)),"",INDIRECT(CONCATENATE("Table!",ADDRESS($Q64,MATCH(D$1,INDIRECT("Table!A" &amp; $U64):INDIRECT("Table!" &amp; $X$159 &amp; $U64),0))))/1024)</f>
        <v>0.5390625</v>
      </c>
      <c r="E64" s="31">
        <f ca="1">IF(ISERROR(MATCH(E$1,INDIRECT("Table!A"&amp;$U64):INDIRECT("Table!" &amp; $X$159 &amp; $U64),0)),"",INDIRECT(CONCATENATE("Table!",ADDRESS($Q64,MATCH(E$1,INDIRECT("Table!A" &amp; $U64):INDIRECT("Table!" &amp; $X$159 &amp; $U64),0))))/1024)</f>
        <v>0.662109375</v>
      </c>
      <c r="F64" s="31">
        <f ca="1">IF(ISERROR(MATCH(F$1,INDIRECT("Table!A"&amp;$U64):INDIRECT("Table!" &amp; $X$159 &amp; $U64),0)),"",INDIRECT(CONCATENATE("Table!",ADDRESS($Q64,MATCH(F$1,INDIRECT("Table!A" &amp; $U64):INDIRECT("Table!" &amp; $X$159 &amp; $U64),0))))/1024)</f>
        <v>3.208984375</v>
      </c>
      <c r="G64" s="31">
        <f ca="1">IF(ISERROR(MATCH(G$1,INDIRECT("Table!A"&amp;$U64):INDIRECT("Table!" &amp; $X$159 &amp; $U64),0)),"",INDIRECT(CONCATENATE("Table!",ADDRESS($Q64,MATCH(G$1,INDIRECT("Table!A" &amp; $U64):INDIRECT("Table!" &amp; $X$159 &amp; $U64),0))))/1024)</f>
        <v>3.0009765625</v>
      </c>
      <c r="H64" s="31">
        <f ca="1">IF(ISERROR(MATCH(H$1,INDIRECT("Table!A"&amp;$U64):INDIRECT("Table!" &amp; $X$159 &amp; $U64),0)),"",INDIRECT(CONCATENATE("Table!",ADDRESS($Q64,MATCH(H$1,INDIRECT("Table!A" &amp; $U64):INDIRECT("Table!" &amp; $X$159 &amp; $U64),0))))/1024)</f>
        <v>2.177734375</v>
      </c>
      <c r="I64" s="31">
        <f ca="1">IF(ISERROR(MATCH(I$1,INDIRECT("Table!A"&amp;$U64):INDIRECT("Table!" &amp; $X$159 &amp; $U64),0)),"",INDIRECT(CONCATENATE("Table!",ADDRESS($Q64,MATCH(I$1,INDIRECT("Table!A" &amp; $U64):INDIRECT("Table!" &amp; $X$159 &amp; $U64),0))))/1024)</f>
        <v>0.8583984375</v>
      </c>
      <c r="J64" s="31">
        <f ca="1">IF(ISERROR(MATCH(J$1,INDIRECT("Table!A"&amp;$U64):INDIRECT("Table!" &amp; $X$159 &amp; $U64),0)),"",INDIRECT(CONCATENATE("Table!",ADDRESS($Q64,MATCH(J$1,INDIRECT("Table!A" &amp; $U64):INDIRECT("Table!" &amp; $X$159 &amp; $U64),0))))/1024)</f>
        <v>2.93359375</v>
      </c>
      <c r="K64" s="31">
        <f ca="1">IF(ISERROR(MATCH(K$1,INDIRECT("Table!A"&amp;$U64):INDIRECT("Table!" &amp; $X$159 &amp; $U64),0)),"",INDIRECT(CONCATENATE("Table!",ADDRESS($Q64,MATCH(K$1,INDIRECT("Table!A" &amp; $U64):INDIRECT("Table!" &amp; $X$159 &amp; $U64),0))))/1024)</f>
        <v>2.73828125</v>
      </c>
      <c r="L64" s="31">
        <f ca="1">IF(ISERROR(MATCH(L$1,INDIRECT("Table!A"&amp;$U64):INDIRECT("Table!" &amp; $X$159 &amp; $U64),0)),"",INDIRECT(CONCATENATE("Table!",ADDRESS($Q64,MATCH(L$1,INDIRECT("Table!A" &amp; $U64):INDIRECT("Table!" &amp; $X$159 &amp; $U64),0))))/1024)</f>
        <v>2.1787109375</v>
      </c>
      <c r="M64" s="31">
        <f ca="1">IF(ISERROR(MATCH(M$1,INDIRECT("Table!A"&amp;$U64):INDIRECT("Table!" &amp; $X$159 &amp; $U64),0)),"",INDIRECT(CONCATENATE("Table!",ADDRESS($Q64,MATCH(M$1,INDIRECT("Table!A" &amp; $U64):INDIRECT("Table!" &amp; $X$159 &amp; $U64),0))))/1024)</f>
        <v>2.208984375</v>
      </c>
      <c r="N64" s="31"/>
      <c r="O64" s="212"/>
      <c r="P64" s="212"/>
      <c r="Q64" s="31">
        <f>MATCH($A64,Table!$A:$A,0)+$S$2-1</f>
        <v>1025</v>
      </c>
      <c r="R64" s="212"/>
      <c r="S64" s="212"/>
      <c r="T64" s="212"/>
      <c r="U64" s="31">
        <f>MATCH($A64,Table!$A:$A,0)+$W$2-1</f>
        <v>1012</v>
      </c>
      <c r="V64" s="212"/>
      <c r="W64" s="212"/>
      <c r="X64" s="212" t="s">
        <v>118</v>
      </c>
    </row>
    <row r="65" spans="1:24">
      <c r="A65" s="5">
        <v>41092</v>
      </c>
      <c r="B65" s="31">
        <f ca="1">IF(ISERROR(MATCH(B$1,INDIRECT("Table!A"&amp;$U65):INDIRECT("Table!" &amp; $X$159 &amp; $U65),0)),"",INDIRECT(CONCATENATE("Table!",ADDRESS($Q65,MATCH(B$1,INDIRECT("Table!A" &amp; $U65):INDIRECT("Table!" &amp; $X$159 &amp; $U65),0))))/1024)</f>
        <v>0.6083984375</v>
      </c>
      <c r="C65" s="31">
        <f ca="1">IF(ISERROR(MATCH(C$1,INDIRECT("Table!A"&amp;$U65):INDIRECT("Table!" &amp; $X$159 &amp; $U65),0)),"",INDIRECT(CONCATENATE("Table!",ADDRESS($Q65,MATCH(C$1,INDIRECT("Table!A" &amp; $U65):INDIRECT("Table!" &amp; $X$159 &amp; $U65),0))))/1024)</f>
        <v>0.7275390625</v>
      </c>
      <c r="D65" s="31">
        <f ca="1">IF(ISERROR(MATCH(D$1,INDIRECT("Table!A"&amp;$U65):INDIRECT("Table!" &amp; $X$159 &amp; $U65),0)),"",INDIRECT(CONCATENATE("Table!",ADDRESS($Q65,MATCH(D$1,INDIRECT("Table!A" &amp; $U65):INDIRECT("Table!" &amp; $X$159 &amp; $U65),0))))/1024)</f>
        <v>0.5390625</v>
      </c>
      <c r="E65" s="31">
        <f ca="1">IF(ISERROR(MATCH(E$1,INDIRECT("Table!A"&amp;$U65):INDIRECT("Table!" &amp; $X$159 &amp; $U65),0)),"",INDIRECT(CONCATENATE("Table!",ADDRESS($Q65,MATCH(E$1,INDIRECT("Table!A" &amp; $U65):INDIRECT("Table!" &amp; $X$159 &amp; $U65),0))))/1024)</f>
        <v>0.662109375</v>
      </c>
      <c r="F65" s="31">
        <f ca="1">IF(ISERROR(MATCH(F$1,INDIRECT("Table!A"&amp;$U65):INDIRECT("Table!" &amp; $X$159 &amp; $U65),0)),"",INDIRECT(CONCATENATE("Table!",ADDRESS($Q65,MATCH(F$1,INDIRECT("Table!A" &amp; $U65):INDIRECT("Table!" &amp; $X$159 &amp; $U65),0))))/1024)</f>
        <v>3.208984375</v>
      </c>
      <c r="G65" s="31">
        <f ca="1">IF(ISERROR(MATCH(G$1,INDIRECT("Table!A"&amp;$U65):INDIRECT("Table!" &amp; $X$159 &amp; $U65),0)),"",INDIRECT(CONCATENATE("Table!",ADDRESS($Q65,MATCH(G$1,INDIRECT("Table!A" &amp; $U65):INDIRECT("Table!" &amp; $X$159 &amp; $U65),0))))/1024)</f>
        <v>3.0009765625</v>
      </c>
      <c r="H65" s="31">
        <f ca="1">IF(ISERROR(MATCH(H$1,INDIRECT("Table!A"&amp;$U65):INDIRECT("Table!" &amp; $X$159 &amp; $U65),0)),"",INDIRECT(CONCATENATE("Table!",ADDRESS($Q65,MATCH(H$1,INDIRECT("Table!A" &amp; $U65):INDIRECT("Table!" &amp; $X$159 &amp; $U65),0))))/1024)</f>
        <v>2.177734375</v>
      </c>
      <c r="I65" s="31">
        <f ca="1">IF(ISERROR(MATCH(I$1,INDIRECT("Table!A"&amp;$U65):INDIRECT("Table!" &amp; $X$159 &amp; $U65),0)),"",INDIRECT(CONCATENATE("Table!",ADDRESS($Q65,MATCH(I$1,INDIRECT("Table!A" &amp; $U65):INDIRECT("Table!" &amp; $X$159 &amp; $U65),0))))/1024)</f>
        <v>0.8583984375</v>
      </c>
      <c r="J65" s="31">
        <f ca="1">IF(ISERROR(MATCH(J$1,INDIRECT("Table!A"&amp;$U65):INDIRECT("Table!" &amp; $X$159 &amp; $U65),0)),"",INDIRECT(CONCATENATE("Table!",ADDRESS($Q65,MATCH(J$1,INDIRECT("Table!A" &amp; $U65):INDIRECT("Table!" &amp; $X$159 &amp; $U65),0))))/1024)</f>
        <v>2.93359375</v>
      </c>
      <c r="K65" s="31">
        <f ca="1">IF(ISERROR(MATCH(K$1,INDIRECT("Table!A"&amp;$U65):INDIRECT("Table!" &amp; $X$159 &amp; $U65),0)),"",INDIRECT(CONCATENATE("Table!",ADDRESS($Q65,MATCH(K$1,INDIRECT("Table!A" &amp; $U65):INDIRECT("Table!" &amp; $X$159 &amp; $U65),0))))/1024)</f>
        <v>2.73828125</v>
      </c>
      <c r="L65" s="31">
        <f ca="1">IF(ISERROR(MATCH(L$1,INDIRECT("Table!A"&amp;$U65):INDIRECT("Table!" &amp; $X$159 &amp; $U65),0)),"",INDIRECT(CONCATENATE("Table!",ADDRESS($Q65,MATCH(L$1,INDIRECT("Table!A" &amp; $U65):INDIRECT("Table!" &amp; $X$159 &amp; $U65),0))))/1024)</f>
        <v>2.1787109375</v>
      </c>
      <c r="M65" s="31">
        <f ca="1">IF(ISERROR(MATCH(M$1,INDIRECT("Table!A"&amp;$U65):INDIRECT("Table!" &amp; $X$159 &amp; $U65),0)),"",INDIRECT(CONCATENATE("Table!",ADDRESS($Q65,MATCH(M$1,INDIRECT("Table!A" &amp; $U65):INDIRECT("Table!" &amp; $X$159 &amp; $U65),0))))/1024)</f>
        <v>2.208984375</v>
      </c>
      <c r="N65" s="31"/>
      <c r="O65" s="173"/>
      <c r="P65" s="173"/>
      <c r="Q65" s="31">
        <f>MATCH($A65,Table!$A:$A,0)+$S$2-1</f>
        <v>1038</v>
      </c>
      <c r="R65" s="173"/>
      <c r="S65" s="173"/>
      <c r="T65" s="173"/>
      <c r="U65" s="31">
        <f>MATCH($A65,Table!$A:$A,0)+$W$2-1</f>
        <v>1025</v>
      </c>
      <c r="V65" s="173"/>
      <c r="W65" s="173"/>
      <c r="X65" s="173" t="s">
        <v>118</v>
      </c>
    </row>
    <row r="66" spans="1:24">
      <c r="A66" s="5">
        <v>41087</v>
      </c>
      <c r="B66" s="31">
        <f ca="1">IF(ISERROR(MATCH(B$1,INDIRECT("Table!A"&amp;$U66):INDIRECT("Table!" &amp; $X$159 &amp; $U66),0)),"",INDIRECT(CONCATENATE("Table!",ADDRESS($Q66,MATCH(B$1,INDIRECT("Table!A" &amp; $U66):INDIRECT("Table!" &amp; $X$159 &amp; $U66),0))))/1024)</f>
        <v>0.6083984375</v>
      </c>
      <c r="C66" s="31">
        <f ca="1">IF(ISERROR(MATCH(C$1,INDIRECT("Table!A"&amp;$U66):INDIRECT("Table!" &amp; $X$159 &amp; $U66),0)),"",INDIRECT(CONCATENATE("Table!",ADDRESS($Q66,MATCH(C$1,INDIRECT("Table!A" &amp; $U66):INDIRECT("Table!" &amp; $X$159 &amp; $U66),0))))/1024)</f>
        <v>0.7275390625</v>
      </c>
      <c r="D66" s="31">
        <f ca="1">IF(ISERROR(MATCH(D$1,INDIRECT("Table!A"&amp;$U66):INDIRECT("Table!" &amp; $X$159 &amp; $U66),0)),"",INDIRECT(CONCATENATE("Table!",ADDRESS($Q66,MATCH(D$1,INDIRECT("Table!A" &amp; $U66):INDIRECT("Table!" &amp; $X$159 &amp; $U66),0))))/1024)</f>
        <v>0.5390625</v>
      </c>
      <c r="E66" s="31">
        <f ca="1">IF(ISERROR(MATCH(E$1,INDIRECT("Table!A"&amp;$U66):INDIRECT("Table!" &amp; $X$159 &amp; $U66),0)),"",INDIRECT(CONCATENATE("Table!",ADDRESS($Q66,MATCH(E$1,INDIRECT("Table!A" &amp; $U66):INDIRECT("Table!" &amp; $X$159 &amp; $U66),0))))/1024)</f>
        <v>0.662109375</v>
      </c>
      <c r="F66" s="31">
        <f ca="1">IF(ISERROR(MATCH(F$1,INDIRECT("Table!A"&amp;$U66):INDIRECT("Table!" &amp; $X$159 &amp; $U66),0)),"",INDIRECT(CONCATENATE("Table!",ADDRESS($Q66,MATCH(F$1,INDIRECT("Table!A" &amp; $U66):INDIRECT("Table!" &amp; $X$159 &amp; $U66),0))))/1024)</f>
        <v>3.208984375</v>
      </c>
      <c r="G66" s="31">
        <f ca="1">IF(ISERROR(MATCH(G$1,INDIRECT("Table!A"&amp;$U66):INDIRECT("Table!" &amp; $X$159 &amp; $U66),0)),"",INDIRECT(CONCATENATE("Table!",ADDRESS($Q66,MATCH(G$1,INDIRECT("Table!A" &amp; $U66):INDIRECT("Table!" &amp; $X$159 &amp; $U66),0))))/1024)</f>
        <v>3.0009765625</v>
      </c>
      <c r="H66" s="31">
        <f ca="1">IF(ISERROR(MATCH(H$1,INDIRECT("Table!A"&amp;$U66):INDIRECT("Table!" &amp; $X$159 &amp; $U66),0)),"",INDIRECT(CONCATENATE("Table!",ADDRESS($Q66,MATCH(H$1,INDIRECT("Table!A" &amp; $U66):INDIRECT("Table!" &amp; $X$159 &amp; $U66),0))))/1024)</f>
        <v>2.177734375</v>
      </c>
      <c r="I66" s="31">
        <f ca="1">IF(ISERROR(MATCH(I$1,INDIRECT("Table!A"&amp;$U66):INDIRECT("Table!" &amp; $X$159 &amp; $U66),0)),"",INDIRECT(CONCATENATE("Table!",ADDRESS($Q66,MATCH(I$1,INDIRECT("Table!A" &amp; $U66):INDIRECT("Table!" &amp; $X$159 &amp; $U66),0))))/1024)</f>
        <v>0.8583984375</v>
      </c>
      <c r="J66" s="31">
        <f ca="1">IF(ISERROR(MATCH(J$1,INDIRECT("Table!A"&amp;$U66):INDIRECT("Table!" &amp; $X$159 &amp; $U66),0)),"",INDIRECT(CONCATENATE("Table!",ADDRESS($Q66,MATCH(J$1,INDIRECT("Table!A" &amp; $U66):INDIRECT("Table!" &amp; $X$159 &amp; $U66),0))))/1024)</f>
        <v>2.93359375</v>
      </c>
      <c r="K66" s="31">
        <f ca="1">IF(ISERROR(MATCH(K$1,INDIRECT("Table!A"&amp;$U66):INDIRECT("Table!" &amp; $X$159 &amp; $U66),0)),"",INDIRECT(CONCATENATE("Table!",ADDRESS($Q66,MATCH(K$1,INDIRECT("Table!A" &amp; $U66):INDIRECT("Table!" &amp; $X$159 &amp; $U66),0))))/1024)</f>
        <v>2.73828125</v>
      </c>
      <c r="L66" s="31">
        <f ca="1">IF(ISERROR(MATCH(L$1,INDIRECT("Table!A"&amp;$U66):INDIRECT("Table!" &amp; $X$159 &amp; $U66),0)),"",INDIRECT(CONCATENATE("Table!",ADDRESS($Q66,MATCH(L$1,INDIRECT("Table!A" &amp; $U66):INDIRECT("Table!" &amp; $X$159 &amp; $U66),0))))/1024)</f>
        <v>2.1787109375</v>
      </c>
      <c r="M66" s="31">
        <f ca="1">IF(ISERROR(MATCH(M$1,INDIRECT("Table!A"&amp;$U66):INDIRECT("Table!" &amp; $X$159 &amp; $U66),0)),"",INDIRECT(CONCATENATE("Table!",ADDRESS($Q66,MATCH(M$1,INDIRECT("Table!A" &amp; $U66):INDIRECT("Table!" &amp; $X$159 &amp; $U66),0))))/1024)</f>
        <v>2.208984375</v>
      </c>
      <c r="N66" s="31"/>
      <c r="O66" s="211"/>
      <c r="P66" s="211"/>
      <c r="Q66" s="31">
        <f>MATCH($A66,Table!$A:$A,0)+$S$2-1</f>
        <v>1051</v>
      </c>
      <c r="R66" s="211"/>
      <c r="S66" s="211"/>
      <c r="T66" s="211"/>
      <c r="U66" s="31">
        <f>MATCH($A66,Table!$A:$A,0)+$W$2-1</f>
        <v>1038</v>
      </c>
      <c r="V66" s="211"/>
      <c r="W66" s="211"/>
      <c r="X66" s="211" t="s">
        <v>118</v>
      </c>
    </row>
    <row r="67" spans="1:24">
      <c r="A67" s="5">
        <v>41086</v>
      </c>
      <c r="B67" s="31">
        <f ca="1">IF(ISERROR(MATCH(B$1,INDIRECT("Table!A"&amp;$U67):INDIRECT("Table!" &amp; $X$159 &amp; $U67),0)),"",INDIRECT(CONCATENATE("Table!",ADDRESS($Q67,MATCH(B$1,INDIRECT("Table!A" &amp; $U67):INDIRECT("Table!" &amp; $X$159 &amp; $U67),0))))/1024)</f>
        <v>0.6083984375</v>
      </c>
      <c r="C67" s="31">
        <f ca="1">IF(ISERROR(MATCH(C$1,INDIRECT("Table!A"&amp;$U67):INDIRECT("Table!" &amp; $X$159 &amp; $U67),0)),"",INDIRECT(CONCATENATE("Table!",ADDRESS($Q67,MATCH(C$1,INDIRECT("Table!A" &amp; $U67):INDIRECT("Table!" &amp; $X$159 &amp; $U67),0))))/1024)</f>
        <v>0.7275390625</v>
      </c>
      <c r="D67" s="31">
        <f ca="1">IF(ISERROR(MATCH(D$1,INDIRECT("Table!A"&amp;$U67):INDIRECT("Table!" &amp; $X$159 &amp; $U67),0)),"",INDIRECT(CONCATENATE("Table!",ADDRESS($Q67,MATCH(D$1,INDIRECT("Table!A" &amp; $U67):INDIRECT("Table!" &amp; $X$159 &amp; $U67),0))))/1024)</f>
        <v>0.5390625</v>
      </c>
      <c r="E67" s="31">
        <f ca="1">IF(ISERROR(MATCH(E$1,INDIRECT("Table!A"&amp;$U67):INDIRECT("Table!" &amp; $X$159 &amp; $U67),0)),"",INDIRECT(CONCATENATE("Table!",ADDRESS($Q67,MATCH(E$1,INDIRECT("Table!A" &amp; $U67):INDIRECT("Table!" &amp; $X$159 &amp; $U67),0))))/1024)</f>
        <v>0.662109375</v>
      </c>
      <c r="F67" s="31">
        <f ca="1">IF(ISERROR(MATCH(F$1,INDIRECT("Table!A"&amp;$U67):INDIRECT("Table!" &amp; $X$159 &amp; $U67),0)),"",INDIRECT(CONCATENATE("Table!",ADDRESS($Q67,MATCH(F$1,INDIRECT("Table!A" &amp; $U67):INDIRECT("Table!" &amp; $X$159 &amp; $U67),0))))/1024)</f>
        <v>3.208984375</v>
      </c>
      <c r="G67" s="31">
        <f ca="1">IF(ISERROR(MATCH(G$1,INDIRECT("Table!A"&amp;$U67):INDIRECT("Table!" &amp; $X$159 &amp; $U67),0)),"",INDIRECT(CONCATENATE("Table!",ADDRESS($Q67,MATCH(G$1,INDIRECT("Table!A" &amp; $U67):INDIRECT("Table!" &amp; $X$159 &amp; $U67),0))))/1024)</f>
        <v>3.0009765625</v>
      </c>
      <c r="H67" s="31">
        <f ca="1">IF(ISERROR(MATCH(H$1,INDIRECT("Table!A"&amp;$U67):INDIRECT("Table!" &amp; $X$159 &amp; $U67),0)),"",INDIRECT(CONCATENATE("Table!",ADDRESS($Q67,MATCH(H$1,INDIRECT("Table!A" &amp; $U67):INDIRECT("Table!" &amp; $X$159 &amp; $U67),0))))/1024)</f>
        <v>2.177734375</v>
      </c>
      <c r="I67" s="31">
        <f ca="1">IF(ISERROR(MATCH(I$1,INDIRECT("Table!A"&amp;$U67):INDIRECT("Table!" &amp; $X$159 &amp; $U67),0)),"",INDIRECT(CONCATENATE("Table!",ADDRESS($Q67,MATCH(I$1,INDIRECT("Table!A" &amp; $U67):INDIRECT("Table!" &amp; $X$159 &amp; $U67),0))))/1024)</f>
        <v>0.8583984375</v>
      </c>
      <c r="J67" s="31">
        <f ca="1">IF(ISERROR(MATCH(J$1,INDIRECT("Table!A"&amp;$U67):INDIRECT("Table!" &amp; $X$159 &amp; $U67),0)),"",INDIRECT(CONCATENATE("Table!",ADDRESS($Q67,MATCH(J$1,INDIRECT("Table!A" &amp; $U67):INDIRECT("Table!" &amp; $X$159 &amp; $U67),0))))/1024)</f>
        <v>2.93359375</v>
      </c>
      <c r="K67" s="31">
        <f ca="1">IF(ISERROR(MATCH(K$1,INDIRECT("Table!A"&amp;$U67):INDIRECT("Table!" &amp; $X$159 &amp; $U67),0)),"",INDIRECT(CONCATENATE("Table!",ADDRESS($Q67,MATCH(K$1,INDIRECT("Table!A" &amp; $U67):INDIRECT("Table!" &amp; $X$159 &amp; $U67),0))))/1024)</f>
        <v>2.73828125</v>
      </c>
      <c r="L67" s="31">
        <f ca="1">IF(ISERROR(MATCH(L$1,INDIRECT("Table!A"&amp;$U67):INDIRECT("Table!" &amp; $X$159 &amp; $U67),0)),"",INDIRECT(CONCATENATE("Table!",ADDRESS($Q67,MATCH(L$1,INDIRECT("Table!A" &amp; $U67):INDIRECT("Table!" &amp; $X$159 &amp; $U67),0))))/1024)</f>
        <v>2.1787109375</v>
      </c>
      <c r="M67" s="31">
        <f ca="1">IF(ISERROR(MATCH(M$1,INDIRECT("Table!A"&amp;$U67):INDIRECT("Table!" &amp; $X$159 &amp; $U67),0)),"",INDIRECT(CONCATENATE("Table!",ADDRESS($Q67,MATCH(M$1,INDIRECT("Table!A" &amp; $U67):INDIRECT("Table!" &amp; $X$159 &amp; $U67),0))))/1024)</f>
        <v>2.208984375</v>
      </c>
      <c r="N67" s="31"/>
      <c r="O67" s="210"/>
      <c r="P67" s="210"/>
      <c r="Q67" s="31">
        <f>MATCH($A67,Table!$A:$A,0)+$S$2-1</f>
        <v>1064</v>
      </c>
      <c r="R67" s="210"/>
      <c r="S67" s="210"/>
      <c r="T67" s="210"/>
      <c r="U67" s="31">
        <f>MATCH($A67,Table!$A:$A,0)+$W$2-1</f>
        <v>1051</v>
      </c>
      <c r="V67" s="210"/>
      <c r="W67" s="210"/>
      <c r="X67" s="210" t="s">
        <v>118</v>
      </c>
    </row>
    <row r="68" spans="1:24">
      <c r="A68" s="5">
        <v>41085</v>
      </c>
      <c r="B68" s="31">
        <f ca="1">IF(ISERROR(MATCH(B$1,INDIRECT("Table!A"&amp;$U68):INDIRECT("Table!" &amp; $X$159 &amp; $U68),0)),"",INDIRECT(CONCATENATE("Table!",ADDRESS($Q68,MATCH(B$1,INDIRECT("Table!A" &amp; $U68):INDIRECT("Table!" &amp; $X$159 &amp; $U68),0))))/1024)</f>
        <v>0.6083984375</v>
      </c>
      <c r="C68" s="31">
        <f ca="1">IF(ISERROR(MATCH(C$1,INDIRECT("Table!A"&amp;$U68):INDIRECT("Table!" &amp; $X$159 &amp; $U68),0)),"",INDIRECT(CONCATENATE("Table!",ADDRESS($Q68,MATCH(C$1,INDIRECT("Table!A" &amp; $U68):INDIRECT("Table!" &amp; $X$159 &amp; $U68),0))))/1024)</f>
        <v>0.7275390625</v>
      </c>
      <c r="D68" s="31">
        <f ca="1">IF(ISERROR(MATCH(D$1,INDIRECT("Table!A"&amp;$U68):INDIRECT("Table!" &amp; $X$159 &amp; $U68),0)),"",INDIRECT(CONCATENATE("Table!",ADDRESS($Q68,MATCH(D$1,INDIRECT("Table!A" &amp; $U68):INDIRECT("Table!" &amp; $X$159 &amp; $U68),0))))/1024)</f>
        <v>0.5390625</v>
      </c>
      <c r="E68" s="31">
        <f ca="1">IF(ISERROR(MATCH(E$1,INDIRECT("Table!A"&amp;$U68):INDIRECT("Table!" &amp; $X$159 &amp; $U68),0)),"",INDIRECT(CONCATENATE("Table!",ADDRESS($Q68,MATCH(E$1,INDIRECT("Table!A" &amp; $U68):INDIRECT("Table!" &amp; $X$159 &amp; $U68),0))))/1024)</f>
        <v>0.662109375</v>
      </c>
      <c r="F68" s="31">
        <f ca="1">IF(ISERROR(MATCH(F$1,INDIRECT("Table!A"&amp;$U68):INDIRECT("Table!" &amp; $X$159 &amp; $U68),0)),"",INDIRECT(CONCATENATE("Table!",ADDRESS($Q68,MATCH(F$1,INDIRECT("Table!A" &amp; $U68):INDIRECT("Table!" &amp; $X$159 &amp; $U68),0))))/1024)</f>
        <v>3.208984375</v>
      </c>
      <c r="G68" s="31">
        <f ca="1">IF(ISERROR(MATCH(G$1,INDIRECT("Table!A"&amp;$U68):INDIRECT("Table!" &amp; $X$159 &amp; $U68),0)),"",INDIRECT(CONCATENATE("Table!",ADDRESS($Q68,MATCH(G$1,INDIRECT("Table!A" &amp; $U68):INDIRECT("Table!" &amp; $X$159 &amp; $U68),0))))/1024)</f>
        <v>3.0009765625</v>
      </c>
      <c r="H68" s="31">
        <f ca="1">IF(ISERROR(MATCH(H$1,INDIRECT("Table!A"&amp;$U68):INDIRECT("Table!" &amp; $X$159 &amp; $U68),0)),"",INDIRECT(CONCATENATE("Table!",ADDRESS($Q68,MATCH(H$1,INDIRECT("Table!A" &amp; $U68):INDIRECT("Table!" &amp; $X$159 &amp; $U68),0))))/1024)</f>
        <v>2.177734375</v>
      </c>
      <c r="I68" s="31">
        <f ca="1">IF(ISERROR(MATCH(I$1,INDIRECT("Table!A"&amp;$U68):INDIRECT("Table!" &amp; $X$159 &amp; $U68),0)),"",INDIRECT(CONCATENATE("Table!",ADDRESS($Q68,MATCH(I$1,INDIRECT("Table!A" &amp; $U68):INDIRECT("Table!" &amp; $X$159 &amp; $U68),0))))/1024)</f>
        <v>0.8583984375</v>
      </c>
      <c r="J68" s="31">
        <f ca="1">IF(ISERROR(MATCH(J$1,INDIRECT("Table!A"&amp;$U68):INDIRECT("Table!" &amp; $X$159 &amp; $U68),0)),"",INDIRECT(CONCATENATE("Table!",ADDRESS($Q68,MATCH(J$1,INDIRECT("Table!A" &amp; $U68):INDIRECT("Table!" &amp; $X$159 &amp; $U68),0))))/1024)</f>
        <v>2.93359375</v>
      </c>
      <c r="K68" s="31">
        <f ca="1">IF(ISERROR(MATCH(K$1,INDIRECT("Table!A"&amp;$U68):INDIRECT("Table!" &amp; $X$159 &amp; $U68),0)),"",INDIRECT(CONCATENATE("Table!",ADDRESS($Q68,MATCH(K$1,INDIRECT("Table!A" &amp; $U68):INDIRECT("Table!" &amp; $X$159 &amp; $U68),0))))/1024)</f>
        <v>2.73828125</v>
      </c>
      <c r="L68" s="31">
        <f ca="1">IF(ISERROR(MATCH(L$1,INDIRECT("Table!A"&amp;$U68):INDIRECT("Table!" &amp; $X$159 &amp; $U68),0)),"",INDIRECT(CONCATENATE("Table!",ADDRESS($Q68,MATCH(L$1,INDIRECT("Table!A" &amp; $U68):INDIRECT("Table!" &amp; $X$159 &amp; $U68),0))))/1024)</f>
        <v>2.1787109375</v>
      </c>
      <c r="M68" s="31">
        <f ca="1">IF(ISERROR(MATCH(M$1,INDIRECT("Table!A"&amp;$U68):INDIRECT("Table!" &amp; $X$159 &amp; $U68),0)),"",INDIRECT(CONCATENATE("Table!",ADDRESS($Q68,MATCH(M$1,INDIRECT("Table!A" &amp; $U68):INDIRECT("Table!" &amp; $X$159 &amp; $U68),0))))/1024)</f>
        <v>2.208984375</v>
      </c>
      <c r="N68" s="31"/>
      <c r="O68" s="209"/>
      <c r="P68" s="209"/>
      <c r="Q68" s="31">
        <f>MATCH($A68,Table!$A:$A,0)+$S$2-1</f>
        <v>1077</v>
      </c>
      <c r="R68" s="209"/>
      <c r="S68" s="209"/>
      <c r="T68" s="209"/>
      <c r="U68" s="31">
        <f>MATCH($A68,Table!$A:$A,0)+$W$2-1</f>
        <v>1064</v>
      </c>
      <c r="V68" s="209"/>
      <c r="W68" s="209"/>
      <c r="X68" s="209" t="s">
        <v>118</v>
      </c>
    </row>
    <row r="69" spans="1:24">
      <c r="A69" s="5">
        <v>41081</v>
      </c>
      <c r="B69" s="31">
        <f ca="1">IF(ISERROR(MATCH(B$1,INDIRECT("Table!A"&amp;$U69):INDIRECT("Table!" &amp; $X$159 &amp; $U69),0)),"",INDIRECT(CONCATENATE("Table!",ADDRESS($Q69,MATCH(B$1,INDIRECT("Table!A" &amp; $U69):INDIRECT("Table!" &amp; $X$159 &amp; $U69),0))))/1024)</f>
        <v>0.6083984375</v>
      </c>
      <c r="C69" s="31">
        <f ca="1">IF(ISERROR(MATCH(C$1,INDIRECT("Table!A"&amp;$U69):INDIRECT("Table!" &amp; $X$159 &amp; $U69),0)),"",INDIRECT(CONCATENATE("Table!",ADDRESS($Q69,MATCH(C$1,INDIRECT("Table!A" &amp; $U69):INDIRECT("Table!" &amp; $X$159 &amp; $U69),0))))/1024)</f>
        <v>0.7275390625</v>
      </c>
      <c r="D69" s="31">
        <f ca="1">IF(ISERROR(MATCH(D$1,INDIRECT("Table!A"&amp;$U69):INDIRECT("Table!" &amp; $X$159 &amp; $U69),0)),"",INDIRECT(CONCATENATE("Table!",ADDRESS($Q69,MATCH(D$1,INDIRECT("Table!A" &amp; $U69):INDIRECT("Table!" &amp; $X$159 &amp; $U69),0))))/1024)</f>
        <v>0.5390625</v>
      </c>
      <c r="E69" s="31">
        <f ca="1">IF(ISERROR(MATCH(E$1,INDIRECT("Table!A"&amp;$U69):INDIRECT("Table!" &amp; $X$159 &amp; $U69),0)),"",INDIRECT(CONCATENATE("Table!",ADDRESS($Q69,MATCH(E$1,INDIRECT("Table!A" &amp; $U69):INDIRECT("Table!" &amp; $X$159 &amp; $U69),0))))/1024)</f>
        <v>0.662109375</v>
      </c>
      <c r="F69" s="31">
        <f ca="1">IF(ISERROR(MATCH(F$1,INDIRECT("Table!A"&amp;$U69):INDIRECT("Table!" &amp; $X$159 &amp; $U69),0)),"",INDIRECT(CONCATENATE("Table!",ADDRESS($Q69,MATCH(F$1,INDIRECT("Table!A" &amp; $U69):INDIRECT("Table!" &amp; $X$159 &amp; $U69),0))))/1024)</f>
        <v>3.208984375</v>
      </c>
      <c r="G69" s="31">
        <f ca="1">IF(ISERROR(MATCH(G$1,INDIRECT("Table!A"&amp;$U69):INDIRECT("Table!" &amp; $X$159 &amp; $U69),0)),"",INDIRECT(CONCATENATE("Table!",ADDRESS($Q69,MATCH(G$1,INDIRECT("Table!A" &amp; $U69):INDIRECT("Table!" &amp; $X$159 &amp; $U69),0))))/1024)</f>
        <v>3.0009765625</v>
      </c>
      <c r="H69" s="31">
        <f ca="1">IF(ISERROR(MATCH(H$1,INDIRECT("Table!A"&amp;$U69):INDIRECT("Table!" &amp; $X$159 &amp; $U69),0)),"",INDIRECT(CONCATENATE("Table!",ADDRESS($Q69,MATCH(H$1,INDIRECT("Table!A" &amp; $U69):INDIRECT("Table!" &amp; $X$159 &amp; $U69),0))))/1024)</f>
        <v>2.177734375</v>
      </c>
      <c r="I69" s="31">
        <f ca="1">IF(ISERROR(MATCH(I$1,INDIRECT("Table!A"&amp;$U69):INDIRECT("Table!" &amp; $X$159 &amp; $U69),0)),"",INDIRECT(CONCATENATE("Table!",ADDRESS($Q69,MATCH(I$1,INDIRECT("Table!A" &amp; $U69):INDIRECT("Table!" &amp; $X$159 &amp; $U69),0))))/1024)</f>
        <v>0.8583984375</v>
      </c>
      <c r="J69" s="31">
        <f ca="1">IF(ISERROR(MATCH(J$1,INDIRECT("Table!A"&amp;$U69):INDIRECT("Table!" &amp; $X$159 &amp; $U69),0)),"",INDIRECT(CONCATENATE("Table!",ADDRESS($Q69,MATCH(J$1,INDIRECT("Table!A" &amp; $U69):INDIRECT("Table!" &amp; $X$159 &amp; $U69),0))))/1024)</f>
        <v>2.93359375</v>
      </c>
      <c r="K69" s="31">
        <f ca="1">IF(ISERROR(MATCH(K$1,INDIRECT("Table!A"&amp;$U69):INDIRECT("Table!" &amp; $X$159 &amp; $U69),0)),"",INDIRECT(CONCATENATE("Table!",ADDRESS($Q69,MATCH(K$1,INDIRECT("Table!A" &amp; $U69):INDIRECT("Table!" &amp; $X$159 &amp; $U69),0))))/1024)</f>
        <v>2.73828125</v>
      </c>
      <c r="L69" s="31">
        <f ca="1">IF(ISERROR(MATCH(L$1,INDIRECT("Table!A"&amp;$U69):INDIRECT("Table!" &amp; $X$159 &amp; $U69),0)),"",INDIRECT(CONCATENATE("Table!",ADDRESS($Q69,MATCH(L$1,INDIRECT("Table!A" &amp; $U69):INDIRECT("Table!" &amp; $X$159 &amp; $U69),0))))/1024)</f>
        <v>2.1787109375</v>
      </c>
      <c r="M69" s="31">
        <f ca="1">IF(ISERROR(MATCH(M$1,INDIRECT("Table!A"&amp;$U69):INDIRECT("Table!" &amp; $X$159 &amp; $U69),0)),"",INDIRECT(CONCATENATE("Table!",ADDRESS($Q69,MATCH(M$1,INDIRECT("Table!A" &amp; $U69):INDIRECT("Table!" &amp; $X$159 &amp; $U69),0))))/1024)</f>
        <v>2.208984375</v>
      </c>
      <c r="N69" s="31"/>
      <c r="O69" s="208"/>
      <c r="P69" s="208"/>
      <c r="Q69" s="31">
        <f>MATCH($A69,Table!$A:$A,0)+$S$2-1</f>
        <v>1090</v>
      </c>
      <c r="R69" s="208"/>
      <c r="S69" s="208"/>
      <c r="T69" s="208"/>
      <c r="U69" s="31">
        <f>MATCH($A69,Table!$A:$A,0)+$W$2-1</f>
        <v>1077</v>
      </c>
      <c r="V69" s="208"/>
      <c r="W69" s="208"/>
      <c r="X69" s="208" t="s">
        <v>118</v>
      </c>
    </row>
    <row r="70" spans="1:24">
      <c r="A70" s="5">
        <v>41080</v>
      </c>
      <c r="B70" s="31">
        <f ca="1">IF(ISERROR(MATCH(B$1,INDIRECT("Table!A"&amp;$U70):INDIRECT("Table!" &amp; $X$159 &amp; $U70),0)),"",INDIRECT(CONCATENATE("Table!",ADDRESS($Q70,MATCH(B$1,INDIRECT("Table!A" &amp; $U70):INDIRECT("Table!" &amp; $X$159 &amp; $U70),0))))/1024)</f>
        <v>0.6083984375</v>
      </c>
      <c r="C70" s="31">
        <f ca="1">IF(ISERROR(MATCH(C$1,INDIRECT("Table!A"&amp;$U70):INDIRECT("Table!" &amp; $X$159 &amp; $U70),0)),"",INDIRECT(CONCATENATE("Table!",ADDRESS($Q70,MATCH(C$1,INDIRECT("Table!A" &amp; $U70):INDIRECT("Table!" &amp; $X$159 &amp; $U70),0))))/1024)</f>
        <v>0.7275390625</v>
      </c>
      <c r="D70" s="31">
        <f ca="1">IF(ISERROR(MATCH(D$1,INDIRECT("Table!A"&amp;$U70):INDIRECT("Table!" &amp; $X$159 &amp; $U70),0)),"",INDIRECT(CONCATENATE("Table!",ADDRESS($Q70,MATCH(D$1,INDIRECT("Table!A" &amp; $U70):INDIRECT("Table!" &amp; $X$159 &amp; $U70),0))))/1024)</f>
        <v>0.5390625</v>
      </c>
      <c r="E70" s="31">
        <f ca="1">IF(ISERROR(MATCH(E$1,INDIRECT("Table!A"&amp;$U70):INDIRECT("Table!" &amp; $X$159 &amp; $U70),0)),"",INDIRECT(CONCATENATE("Table!",ADDRESS($Q70,MATCH(E$1,INDIRECT("Table!A" &amp; $U70):INDIRECT("Table!" &amp; $X$159 &amp; $U70),0))))/1024)</f>
        <v>0.662109375</v>
      </c>
      <c r="F70" s="31">
        <f ca="1">IF(ISERROR(MATCH(F$1,INDIRECT("Table!A"&amp;$U70):INDIRECT("Table!" &amp; $X$159 &amp; $U70),0)),"",INDIRECT(CONCATENATE("Table!",ADDRESS($Q70,MATCH(F$1,INDIRECT("Table!A" &amp; $U70):INDIRECT("Table!" &amp; $X$159 &amp; $U70),0))))/1024)</f>
        <v>3.208984375</v>
      </c>
      <c r="G70" s="31">
        <f ca="1">IF(ISERROR(MATCH(G$1,INDIRECT("Table!A"&amp;$U70):INDIRECT("Table!" &amp; $X$159 &amp; $U70),0)),"",INDIRECT(CONCATENATE("Table!",ADDRESS($Q70,MATCH(G$1,INDIRECT("Table!A" &amp; $U70):INDIRECT("Table!" &amp; $X$159 &amp; $U70),0))))/1024)</f>
        <v>3.0009765625</v>
      </c>
      <c r="H70" s="31">
        <f ca="1">IF(ISERROR(MATCH(H$1,INDIRECT("Table!A"&amp;$U70):INDIRECT("Table!" &amp; $X$159 &amp; $U70),0)),"",INDIRECT(CONCATENATE("Table!",ADDRESS($Q70,MATCH(H$1,INDIRECT("Table!A" &amp; $U70):INDIRECT("Table!" &amp; $X$159 &amp; $U70),0))))/1024)</f>
        <v>2.177734375</v>
      </c>
      <c r="I70" s="31">
        <f ca="1">IF(ISERROR(MATCH(I$1,INDIRECT("Table!A"&amp;$U70):INDIRECT("Table!" &amp; $X$159 &amp; $U70),0)),"",INDIRECT(CONCATENATE("Table!",ADDRESS($Q70,MATCH(I$1,INDIRECT("Table!A" &amp; $U70):INDIRECT("Table!" &amp; $X$159 &amp; $U70),0))))/1024)</f>
        <v>0.8583984375</v>
      </c>
      <c r="J70" s="31">
        <f ca="1">IF(ISERROR(MATCH(J$1,INDIRECT("Table!A"&amp;$U70):INDIRECT("Table!" &amp; $X$159 &amp; $U70),0)),"",INDIRECT(CONCATENATE("Table!",ADDRESS($Q70,MATCH(J$1,INDIRECT("Table!A" &amp; $U70):INDIRECT("Table!" &amp; $X$159 &amp; $U70),0))))/1024)</f>
        <v>2.93359375</v>
      </c>
      <c r="K70" s="31">
        <f ca="1">IF(ISERROR(MATCH(K$1,INDIRECT("Table!A"&amp;$U70):INDIRECT("Table!" &amp; $X$159 &amp; $U70),0)),"",INDIRECT(CONCATENATE("Table!",ADDRESS($Q70,MATCH(K$1,INDIRECT("Table!A" &amp; $U70):INDIRECT("Table!" &amp; $X$159 &amp; $U70),0))))/1024)</f>
        <v>2.73828125</v>
      </c>
      <c r="L70" s="31">
        <f ca="1">IF(ISERROR(MATCH(L$1,INDIRECT("Table!A"&amp;$U70):INDIRECT("Table!" &amp; $X$159 &amp; $U70),0)),"",INDIRECT(CONCATENATE("Table!",ADDRESS($Q70,MATCH(L$1,INDIRECT("Table!A" &amp; $U70):INDIRECT("Table!" &amp; $X$159 &amp; $U70),0))))/1024)</f>
        <v>2.1787109375</v>
      </c>
      <c r="M70" s="31">
        <f ca="1">IF(ISERROR(MATCH(M$1,INDIRECT("Table!A"&amp;$U70):INDIRECT("Table!" &amp; $X$159 &amp; $U70),0)),"",INDIRECT(CONCATENATE("Table!",ADDRESS($Q70,MATCH(M$1,INDIRECT("Table!A" &amp; $U70):INDIRECT("Table!" &amp; $X$159 &amp; $U70),0))))/1024)</f>
        <v>2.208984375</v>
      </c>
      <c r="N70" s="31"/>
      <c r="O70" s="207"/>
      <c r="P70" s="207"/>
      <c r="Q70" s="31">
        <f>MATCH($A70,Table!$A:$A,0)+$S$2-1</f>
        <v>1103</v>
      </c>
      <c r="R70" s="207"/>
      <c r="S70" s="207"/>
      <c r="T70" s="207"/>
      <c r="U70" s="31">
        <f>MATCH($A70,Table!$A:$A,0)+$W$2-1</f>
        <v>1090</v>
      </c>
      <c r="V70" s="207"/>
      <c r="W70" s="207"/>
      <c r="X70" s="207" t="s">
        <v>118</v>
      </c>
    </row>
    <row r="71" spans="1:24">
      <c r="A71" s="5">
        <v>41078</v>
      </c>
      <c r="B71" s="31">
        <f ca="1">IF(ISERROR(MATCH(B$1,INDIRECT("Table!A"&amp;$U71):INDIRECT("Table!" &amp; $X$159 &amp; $U71),0)),"",INDIRECT(CONCATENATE("Table!",ADDRESS($Q71,MATCH(B$1,INDIRECT("Table!A" &amp; $U71):INDIRECT("Table!" &amp; $X$159 &amp; $U71),0))))/1024)</f>
        <v>0.6083984375</v>
      </c>
      <c r="C71" s="31">
        <f ca="1">IF(ISERROR(MATCH(C$1,INDIRECT("Table!A"&amp;$U71):INDIRECT("Table!" &amp; $X$159 &amp; $U71),0)),"",INDIRECT(CONCATENATE("Table!",ADDRESS($Q71,MATCH(C$1,INDIRECT("Table!A" &amp; $U71):INDIRECT("Table!" &amp; $X$159 &amp; $U71),0))))/1024)</f>
        <v>0.7275390625</v>
      </c>
      <c r="D71" s="31">
        <f ca="1">IF(ISERROR(MATCH(D$1,INDIRECT("Table!A"&amp;$U71):INDIRECT("Table!" &amp; $X$159 &amp; $U71),0)),"",INDIRECT(CONCATENATE("Table!",ADDRESS($Q71,MATCH(D$1,INDIRECT("Table!A" &amp; $U71):INDIRECT("Table!" &amp; $X$159 &amp; $U71),0))))/1024)</f>
        <v>0.5390625</v>
      </c>
      <c r="E71" s="31">
        <f ca="1">IF(ISERROR(MATCH(E$1,INDIRECT("Table!A"&amp;$U71):INDIRECT("Table!" &amp; $X$159 &amp; $U71),0)),"",INDIRECT(CONCATENATE("Table!",ADDRESS($Q71,MATCH(E$1,INDIRECT("Table!A" &amp; $U71):INDIRECT("Table!" &amp; $X$159 &amp; $U71),0))))/1024)</f>
        <v>0.662109375</v>
      </c>
      <c r="F71" s="31">
        <f ca="1">IF(ISERROR(MATCH(F$1,INDIRECT("Table!A"&amp;$U71):INDIRECT("Table!" &amp; $X$159 &amp; $U71),0)),"",INDIRECT(CONCATENATE("Table!",ADDRESS($Q71,MATCH(F$1,INDIRECT("Table!A" &amp; $U71):INDIRECT("Table!" &amp; $X$159 &amp; $U71),0))))/1024)</f>
        <v>3.208984375</v>
      </c>
      <c r="G71" s="31">
        <f ca="1">IF(ISERROR(MATCH(G$1,INDIRECT("Table!A"&amp;$U71):INDIRECT("Table!" &amp; $X$159 &amp; $U71),0)),"",INDIRECT(CONCATENATE("Table!",ADDRESS($Q71,MATCH(G$1,INDIRECT("Table!A" &amp; $U71):INDIRECT("Table!" &amp; $X$159 &amp; $U71),0))))/1024)</f>
        <v>3.0009765625</v>
      </c>
      <c r="H71" s="31">
        <f ca="1">IF(ISERROR(MATCH(H$1,INDIRECT("Table!A"&amp;$U71):INDIRECT("Table!" &amp; $X$159 &amp; $U71),0)),"",INDIRECT(CONCATENATE("Table!",ADDRESS($Q71,MATCH(H$1,INDIRECT("Table!A" &amp; $U71):INDIRECT("Table!" &amp; $X$159 &amp; $U71),0))))/1024)</f>
        <v>2.177734375</v>
      </c>
      <c r="I71" s="31">
        <f ca="1">IF(ISERROR(MATCH(I$1,INDIRECT("Table!A"&amp;$U71):INDIRECT("Table!" &amp; $X$159 &amp; $U71),0)),"",INDIRECT(CONCATENATE("Table!",ADDRESS($Q71,MATCH(I$1,INDIRECT("Table!A" &amp; $U71):INDIRECT("Table!" &amp; $X$159 &amp; $U71),0))))/1024)</f>
        <v>0.8583984375</v>
      </c>
      <c r="J71" s="31">
        <f ca="1">IF(ISERROR(MATCH(J$1,INDIRECT("Table!A"&amp;$U71):INDIRECT("Table!" &amp; $X$159 &amp; $U71),0)),"",INDIRECT(CONCATENATE("Table!",ADDRESS($Q71,MATCH(J$1,INDIRECT("Table!A" &amp; $U71):INDIRECT("Table!" &amp; $X$159 &amp; $U71),0))))/1024)</f>
        <v>2.93359375</v>
      </c>
      <c r="K71" s="31">
        <f ca="1">IF(ISERROR(MATCH(K$1,INDIRECT("Table!A"&amp;$U71):INDIRECT("Table!" &amp; $X$159 &amp; $U71),0)),"",INDIRECT(CONCATENATE("Table!",ADDRESS($Q71,MATCH(K$1,INDIRECT("Table!A" &amp; $U71):INDIRECT("Table!" &amp; $X$159 &amp; $U71),0))))/1024)</f>
        <v>2.73828125</v>
      </c>
      <c r="L71" s="31">
        <f ca="1">IF(ISERROR(MATCH(L$1,INDIRECT("Table!A"&amp;$U71):INDIRECT("Table!" &amp; $X$159 &amp; $U71),0)),"",INDIRECT(CONCATENATE("Table!",ADDRESS($Q71,MATCH(L$1,INDIRECT("Table!A" &amp; $U71):INDIRECT("Table!" &amp; $X$159 &amp; $U71),0))))/1024)</f>
        <v>2.1787109375</v>
      </c>
      <c r="M71" s="31">
        <f ca="1">IF(ISERROR(MATCH(M$1,INDIRECT("Table!A"&amp;$U71):INDIRECT("Table!" &amp; $X$159 &amp; $U71),0)),"",INDIRECT(CONCATENATE("Table!",ADDRESS($Q71,MATCH(M$1,INDIRECT("Table!A" &amp; $U71):INDIRECT("Table!" &amp; $X$159 &amp; $U71),0))))/1024)</f>
        <v>2.208984375</v>
      </c>
      <c r="N71" s="31"/>
      <c r="O71" s="206"/>
      <c r="P71" s="206"/>
      <c r="Q71" s="31">
        <f>MATCH($A71,Table!$A:$A,0)+$S$2-1</f>
        <v>1116</v>
      </c>
      <c r="R71" s="206"/>
      <c r="S71" s="206"/>
      <c r="T71" s="206"/>
      <c r="U71" s="31">
        <f>MATCH($A71,Table!$A:$A,0)+$W$2-1</f>
        <v>1103</v>
      </c>
      <c r="V71" s="206"/>
      <c r="W71" s="206"/>
      <c r="X71" s="206" t="s">
        <v>118</v>
      </c>
    </row>
    <row r="72" spans="1:24">
      <c r="A72" s="5">
        <v>41075</v>
      </c>
      <c r="B72" s="31">
        <f ca="1">IF(ISERROR(MATCH(B$1,INDIRECT("Table!A"&amp;$U72):INDIRECT("Table!" &amp; $X$159 &amp; $U72),0)),"",INDIRECT(CONCATENATE("Table!",ADDRESS($Q72,MATCH(B$1,INDIRECT("Table!A" &amp; $U72):INDIRECT("Table!" &amp; $X$159 &amp; $U72),0))))/1024)</f>
        <v>0.6083984375</v>
      </c>
      <c r="C72" s="31">
        <f ca="1">IF(ISERROR(MATCH(C$1,INDIRECT("Table!A"&amp;$U72):INDIRECT("Table!" &amp; $X$159 &amp; $U72),0)),"",INDIRECT(CONCATENATE("Table!",ADDRESS($Q72,MATCH(C$1,INDIRECT("Table!A" &amp; $U72):INDIRECT("Table!" &amp; $X$159 &amp; $U72),0))))/1024)</f>
        <v>0.7275390625</v>
      </c>
      <c r="D72" s="31">
        <f ca="1">IF(ISERROR(MATCH(D$1,INDIRECT("Table!A"&amp;$U72):INDIRECT("Table!" &amp; $X$159 &amp; $U72),0)),"",INDIRECT(CONCATENATE("Table!",ADDRESS($Q72,MATCH(D$1,INDIRECT("Table!A" &amp; $U72):INDIRECT("Table!" &amp; $X$159 &amp; $U72),0))))/1024)</f>
        <v>0.5390625</v>
      </c>
      <c r="E72" s="31">
        <f ca="1">IF(ISERROR(MATCH(E$1,INDIRECT("Table!A"&amp;$U72):INDIRECT("Table!" &amp; $X$159 &amp; $U72),0)),"",INDIRECT(CONCATENATE("Table!",ADDRESS($Q72,MATCH(E$1,INDIRECT("Table!A" &amp; $U72):INDIRECT("Table!" &amp; $X$159 &amp; $U72),0))))/1024)</f>
        <v>0.662109375</v>
      </c>
      <c r="F72" s="31">
        <f ca="1">IF(ISERROR(MATCH(F$1,INDIRECT("Table!A"&amp;$U72):INDIRECT("Table!" &amp; $X$159 &amp; $U72),0)),"",INDIRECT(CONCATENATE("Table!",ADDRESS($Q72,MATCH(F$1,INDIRECT("Table!A" &amp; $U72):INDIRECT("Table!" &amp; $X$159 &amp; $U72),0))))/1024)</f>
        <v>3.208984375</v>
      </c>
      <c r="G72" s="31">
        <f ca="1">IF(ISERROR(MATCH(G$1,INDIRECT("Table!A"&amp;$U72):INDIRECT("Table!" &amp; $X$159 &amp; $U72),0)),"",INDIRECT(CONCATENATE("Table!",ADDRESS($Q72,MATCH(G$1,INDIRECT("Table!A" &amp; $U72):INDIRECT("Table!" &amp; $X$159 &amp; $U72),0))))/1024)</f>
        <v>3.0009765625</v>
      </c>
      <c r="H72" s="31">
        <f ca="1">IF(ISERROR(MATCH(H$1,INDIRECT("Table!A"&amp;$U72):INDIRECT("Table!" &amp; $X$159 &amp; $U72),0)),"",INDIRECT(CONCATENATE("Table!",ADDRESS($Q72,MATCH(H$1,INDIRECT("Table!A" &amp; $U72):INDIRECT("Table!" &amp; $X$159 &amp; $U72),0))))/1024)</f>
        <v>2.177734375</v>
      </c>
      <c r="I72" s="31">
        <f ca="1">IF(ISERROR(MATCH(I$1,INDIRECT("Table!A"&amp;$U72):INDIRECT("Table!" &amp; $X$159 &amp; $U72),0)),"",INDIRECT(CONCATENATE("Table!",ADDRESS($Q72,MATCH(I$1,INDIRECT("Table!A" &amp; $U72):INDIRECT("Table!" &amp; $X$159 &amp; $U72),0))))/1024)</f>
        <v>0.8583984375</v>
      </c>
      <c r="J72" s="31">
        <f ca="1">IF(ISERROR(MATCH(J$1,INDIRECT("Table!A"&amp;$U72):INDIRECT("Table!" &amp; $X$159 &amp; $U72),0)),"",INDIRECT(CONCATENATE("Table!",ADDRESS($Q72,MATCH(J$1,INDIRECT("Table!A" &amp; $U72):INDIRECT("Table!" &amp; $X$159 &amp; $U72),0))))/1024)</f>
        <v>2.93359375</v>
      </c>
      <c r="K72" s="31">
        <f ca="1">IF(ISERROR(MATCH(K$1,INDIRECT("Table!A"&amp;$U72):INDIRECT("Table!" &amp; $X$159 &amp; $U72),0)),"",INDIRECT(CONCATENATE("Table!",ADDRESS($Q72,MATCH(K$1,INDIRECT("Table!A" &amp; $U72):INDIRECT("Table!" &amp; $X$159 &amp; $U72),0))))/1024)</f>
        <v>2.73828125</v>
      </c>
      <c r="L72" s="31">
        <f ca="1">IF(ISERROR(MATCH(L$1,INDIRECT("Table!A"&amp;$U72):INDIRECT("Table!" &amp; $X$159 &amp; $U72),0)),"",INDIRECT(CONCATENATE("Table!",ADDRESS($Q72,MATCH(L$1,INDIRECT("Table!A" &amp; $U72):INDIRECT("Table!" &amp; $X$159 &amp; $U72),0))))/1024)</f>
        <v>2.1787109375</v>
      </c>
      <c r="M72" s="31">
        <f ca="1">IF(ISERROR(MATCH(M$1,INDIRECT("Table!A"&amp;$U72):INDIRECT("Table!" &amp; $X$159 &amp; $U72),0)),"",INDIRECT(CONCATENATE("Table!",ADDRESS($Q72,MATCH(M$1,INDIRECT("Table!A" &amp; $U72):INDIRECT("Table!" &amp; $X$159 &amp; $U72),0))))/1024)</f>
        <v>2.208984375</v>
      </c>
      <c r="N72" s="31"/>
      <c r="O72" s="205"/>
      <c r="P72" s="205"/>
      <c r="Q72" s="31">
        <f>MATCH($A72,Table!$A:$A,0)+$S$2-1</f>
        <v>1129</v>
      </c>
      <c r="R72" s="205"/>
      <c r="S72" s="205"/>
      <c r="T72" s="205"/>
      <c r="U72" s="31">
        <f>MATCH($A72,Table!$A:$A,0)+$W$2-1</f>
        <v>1116</v>
      </c>
      <c r="V72" s="205"/>
      <c r="W72" s="205"/>
      <c r="X72" s="205" t="s">
        <v>118</v>
      </c>
    </row>
    <row r="73" spans="1:24">
      <c r="A73" s="5">
        <v>41074</v>
      </c>
      <c r="B73" s="31">
        <f ca="1">IF(ISERROR(MATCH(B$1,INDIRECT("Table!A"&amp;$U73):INDIRECT("Table!" &amp; $X$159 &amp; $U73),0)),"",INDIRECT(CONCATENATE("Table!",ADDRESS($Q73,MATCH(B$1,INDIRECT("Table!A" &amp; $U73):INDIRECT("Table!" &amp; $X$159 &amp; $U73),0))))/1024)</f>
        <v>0.6083984375</v>
      </c>
      <c r="C73" s="31">
        <f ca="1">IF(ISERROR(MATCH(C$1,INDIRECT("Table!A"&amp;$U73):INDIRECT("Table!" &amp; $X$159 &amp; $U73),0)),"",INDIRECT(CONCATENATE("Table!",ADDRESS($Q73,MATCH(C$1,INDIRECT("Table!A" &amp; $U73):INDIRECT("Table!" &amp; $X$159 &amp; $U73),0))))/1024)</f>
        <v>0.7275390625</v>
      </c>
      <c r="D73" s="31">
        <f ca="1">IF(ISERROR(MATCH(D$1,INDIRECT("Table!A"&amp;$U73):INDIRECT("Table!" &amp; $X$159 &amp; $U73),0)),"",INDIRECT(CONCATENATE("Table!",ADDRESS($Q73,MATCH(D$1,INDIRECT("Table!A" &amp; $U73):INDIRECT("Table!" &amp; $X$159 &amp; $U73),0))))/1024)</f>
        <v>0.5390625</v>
      </c>
      <c r="E73" s="31">
        <f ca="1">IF(ISERROR(MATCH(E$1,INDIRECT("Table!A"&amp;$U73):INDIRECT("Table!" &amp; $X$159 &amp; $U73),0)),"",INDIRECT(CONCATENATE("Table!",ADDRESS($Q73,MATCH(E$1,INDIRECT("Table!A" &amp; $U73):INDIRECT("Table!" &amp; $X$159 &amp; $U73),0))))/1024)</f>
        <v>0.662109375</v>
      </c>
      <c r="F73" s="31">
        <f ca="1">IF(ISERROR(MATCH(F$1,INDIRECT("Table!A"&amp;$U73):INDIRECT("Table!" &amp; $X$159 &amp; $U73),0)),"",INDIRECT(CONCATENATE("Table!",ADDRESS($Q73,MATCH(F$1,INDIRECT("Table!A" &amp; $U73):INDIRECT("Table!" &amp; $X$159 &amp; $U73),0))))/1024)</f>
        <v>3.208984375</v>
      </c>
      <c r="G73" s="31">
        <f ca="1">IF(ISERROR(MATCH(G$1,INDIRECT("Table!A"&amp;$U73):INDIRECT("Table!" &amp; $X$159 &amp; $U73),0)),"",INDIRECT(CONCATENATE("Table!",ADDRESS($Q73,MATCH(G$1,INDIRECT("Table!A" &amp; $U73):INDIRECT("Table!" &amp; $X$159 &amp; $U73),0))))/1024)</f>
        <v>3.0009765625</v>
      </c>
      <c r="H73" s="31">
        <f ca="1">IF(ISERROR(MATCH(H$1,INDIRECT("Table!A"&amp;$U73):INDIRECT("Table!" &amp; $X$159 &amp; $U73),0)),"",INDIRECT(CONCATENATE("Table!",ADDRESS($Q73,MATCH(H$1,INDIRECT("Table!A" &amp; $U73):INDIRECT("Table!" &amp; $X$159 &amp; $U73),0))))/1024)</f>
        <v>2.177734375</v>
      </c>
      <c r="I73" s="31">
        <f ca="1">IF(ISERROR(MATCH(I$1,INDIRECT("Table!A"&amp;$U73):INDIRECT("Table!" &amp; $X$159 &amp; $U73),0)),"",INDIRECT(CONCATENATE("Table!",ADDRESS($Q73,MATCH(I$1,INDIRECT("Table!A" &amp; $U73):INDIRECT("Table!" &amp; $X$159 &amp; $U73),0))))/1024)</f>
        <v>0.8583984375</v>
      </c>
      <c r="J73" s="31">
        <f ca="1">IF(ISERROR(MATCH(J$1,INDIRECT("Table!A"&amp;$U73):INDIRECT("Table!" &amp; $X$159 &amp; $U73),0)),"",INDIRECT(CONCATENATE("Table!",ADDRESS($Q73,MATCH(J$1,INDIRECT("Table!A" &amp; $U73):INDIRECT("Table!" &amp; $X$159 &amp; $U73),0))))/1024)</f>
        <v>2.93359375</v>
      </c>
      <c r="K73" s="31">
        <f ca="1">IF(ISERROR(MATCH(K$1,INDIRECT("Table!A"&amp;$U73):INDIRECT("Table!" &amp; $X$159 &amp; $U73),0)),"",INDIRECT(CONCATENATE("Table!",ADDRESS($Q73,MATCH(K$1,INDIRECT("Table!A" &amp; $U73):INDIRECT("Table!" &amp; $X$159 &amp; $U73),0))))/1024)</f>
        <v>2.73828125</v>
      </c>
      <c r="L73" s="31">
        <f ca="1">IF(ISERROR(MATCH(L$1,INDIRECT("Table!A"&amp;$U73):INDIRECT("Table!" &amp; $X$159 &amp; $U73),0)),"",INDIRECT(CONCATENATE("Table!",ADDRESS($Q73,MATCH(L$1,INDIRECT("Table!A" &amp; $U73):INDIRECT("Table!" &amp; $X$159 &amp; $U73),0))))/1024)</f>
        <v>2.1787109375</v>
      </c>
      <c r="M73" s="31">
        <f ca="1">IF(ISERROR(MATCH(M$1,INDIRECT("Table!A"&amp;$U73):INDIRECT("Table!" &amp; $X$159 &amp; $U73),0)),"",INDIRECT(CONCATENATE("Table!",ADDRESS($Q73,MATCH(M$1,INDIRECT("Table!A" &amp; $U73):INDIRECT("Table!" &amp; $X$159 &amp; $U73),0))))/1024)</f>
        <v>2.208984375</v>
      </c>
      <c r="N73" s="31"/>
      <c r="O73" s="204"/>
      <c r="P73" s="204"/>
      <c r="Q73" s="31">
        <f>MATCH($A73,Table!$A:$A,0)+$S$2-1</f>
        <v>1142</v>
      </c>
      <c r="R73" s="204"/>
      <c r="S73" s="204"/>
      <c r="T73" s="204"/>
      <c r="U73" s="31">
        <f>MATCH($A73,Table!$A:$A,0)+$W$2-1</f>
        <v>1129</v>
      </c>
      <c r="V73" s="204"/>
      <c r="W73" s="204"/>
      <c r="X73" s="204" t="s">
        <v>118</v>
      </c>
    </row>
    <row r="74" spans="1:24">
      <c r="A74" s="5">
        <v>41071</v>
      </c>
      <c r="B74" s="31">
        <f ca="1">IF(ISERROR(MATCH(B$1,INDIRECT("Table!A"&amp;$U74):INDIRECT("Table!" &amp; $X$159 &amp; $U74),0)),"",INDIRECT(CONCATENATE("Table!",ADDRESS($Q74,MATCH(B$1,INDIRECT("Table!A" &amp; $U74):INDIRECT("Table!" &amp; $X$159 &amp; $U74),0))))/1024)</f>
        <v>0.6083984375</v>
      </c>
      <c r="C74" s="31">
        <f ca="1">IF(ISERROR(MATCH(C$1,INDIRECT("Table!A"&amp;$U74):INDIRECT("Table!" &amp; $X$159 &amp; $U74),0)),"",INDIRECT(CONCATENATE("Table!",ADDRESS($Q74,MATCH(C$1,INDIRECT("Table!A" &amp; $U74):INDIRECT("Table!" &amp; $X$159 &amp; $U74),0))))/1024)</f>
        <v>0.7275390625</v>
      </c>
      <c r="D74" s="31">
        <f ca="1">IF(ISERROR(MATCH(D$1,INDIRECT("Table!A"&amp;$U74):INDIRECT("Table!" &amp; $X$159 &amp; $U74),0)),"",INDIRECT(CONCATENATE("Table!",ADDRESS($Q74,MATCH(D$1,INDIRECT("Table!A" &amp; $U74):INDIRECT("Table!" &amp; $X$159 &amp; $U74),0))))/1024)</f>
        <v>0.5390625</v>
      </c>
      <c r="E74" s="31">
        <f ca="1">IF(ISERROR(MATCH(E$1,INDIRECT("Table!A"&amp;$U74):INDIRECT("Table!" &amp; $X$159 &amp; $U74),0)),"",INDIRECT(CONCATENATE("Table!",ADDRESS($Q74,MATCH(E$1,INDIRECT("Table!A" &amp; $U74):INDIRECT("Table!" &amp; $X$159 &amp; $U74),0))))/1024)</f>
        <v>0.662109375</v>
      </c>
      <c r="F74" s="31">
        <f ca="1">IF(ISERROR(MATCH(F$1,INDIRECT("Table!A"&amp;$U74):INDIRECT("Table!" &amp; $X$159 &amp; $U74),0)),"",INDIRECT(CONCATENATE("Table!",ADDRESS($Q74,MATCH(F$1,INDIRECT("Table!A" &amp; $U74):INDIRECT("Table!" &amp; $X$159 &amp; $U74),0))))/1024)</f>
        <v>3.208984375</v>
      </c>
      <c r="G74" s="31">
        <f ca="1">IF(ISERROR(MATCH(G$1,INDIRECT("Table!A"&amp;$U74):INDIRECT("Table!" &amp; $X$159 &amp; $U74),0)),"",INDIRECT(CONCATENATE("Table!",ADDRESS($Q74,MATCH(G$1,INDIRECT("Table!A" &amp; $U74):INDIRECT("Table!" &amp; $X$159 &amp; $U74),0))))/1024)</f>
        <v>3.0009765625</v>
      </c>
      <c r="H74" s="31">
        <f ca="1">IF(ISERROR(MATCH(H$1,INDIRECT("Table!A"&amp;$U74):INDIRECT("Table!" &amp; $X$159 &amp; $U74),0)),"",INDIRECT(CONCATENATE("Table!",ADDRESS($Q74,MATCH(H$1,INDIRECT("Table!A" &amp; $U74):INDIRECT("Table!" &amp; $X$159 &amp; $U74),0))))/1024)</f>
        <v>2.177734375</v>
      </c>
      <c r="I74" s="31">
        <f ca="1">IF(ISERROR(MATCH(I$1,INDIRECT("Table!A"&amp;$U74):INDIRECT("Table!" &amp; $X$159 &amp; $U74),0)),"",INDIRECT(CONCATENATE("Table!",ADDRESS($Q74,MATCH(I$1,INDIRECT("Table!A" &amp; $U74):INDIRECT("Table!" &amp; $X$159 &amp; $U74),0))))/1024)</f>
        <v>0.8583984375</v>
      </c>
      <c r="J74" s="31">
        <f ca="1">IF(ISERROR(MATCH(J$1,INDIRECT("Table!A"&amp;$U74):INDIRECT("Table!" &amp; $X$159 &amp; $U74),0)),"",INDIRECT(CONCATENATE("Table!",ADDRESS($Q74,MATCH(J$1,INDIRECT("Table!A" &amp; $U74):INDIRECT("Table!" &amp; $X$159 &amp; $U74),0))))/1024)</f>
        <v>2.93359375</v>
      </c>
      <c r="K74" s="31">
        <f ca="1">IF(ISERROR(MATCH(K$1,INDIRECT("Table!A"&amp;$U74):INDIRECT("Table!" &amp; $X$159 &amp; $U74),0)),"",INDIRECT(CONCATENATE("Table!",ADDRESS($Q74,MATCH(K$1,INDIRECT("Table!A" &amp; $U74):INDIRECT("Table!" &amp; $X$159 &amp; $U74),0))))/1024)</f>
        <v>2.73828125</v>
      </c>
      <c r="L74" s="31">
        <f ca="1">IF(ISERROR(MATCH(L$1,INDIRECT("Table!A"&amp;$U74):INDIRECT("Table!" &amp; $X$159 &amp; $U74),0)),"",INDIRECT(CONCATENATE("Table!",ADDRESS($Q74,MATCH(L$1,INDIRECT("Table!A" &amp; $U74):INDIRECT("Table!" &amp; $X$159 &amp; $U74),0))))/1024)</f>
        <v>2.1787109375</v>
      </c>
      <c r="M74" s="31">
        <f ca="1">IF(ISERROR(MATCH(M$1,INDIRECT("Table!A"&amp;$U74):INDIRECT("Table!" &amp; $X$159 &amp; $U74),0)),"",INDIRECT(CONCATENATE("Table!",ADDRESS($Q74,MATCH(M$1,INDIRECT("Table!A" &amp; $U74):INDIRECT("Table!" &amp; $X$159 &amp; $U74),0))))/1024)</f>
        <v>2.208984375</v>
      </c>
      <c r="N74" s="31"/>
      <c r="O74" s="203"/>
      <c r="P74" s="203"/>
      <c r="Q74" s="31">
        <f>MATCH($A74,Table!$A:$A,0)+$S$2-1</f>
        <v>1155</v>
      </c>
      <c r="R74" s="203"/>
      <c r="S74" s="203"/>
      <c r="T74" s="203"/>
      <c r="U74" s="31">
        <f>MATCH($A74,Table!$A:$A,0)+$W$2-1</f>
        <v>1142</v>
      </c>
      <c r="V74" s="203"/>
      <c r="W74" s="203"/>
      <c r="X74" s="203" t="s">
        <v>118</v>
      </c>
    </row>
    <row r="75" spans="1:24">
      <c r="A75" s="5">
        <v>41068</v>
      </c>
      <c r="B75" s="31">
        <f ca="1">IF(ISERROR(MATCH(B$1,INDIRECT("Table!A"&amp;$U75):INDIRECT("Table!" &amp; $X$159 &amp; $U75),0)),"",INDIRECT(CONCATENATE("Table!",ADDRESS($Q75,MATCH(B$1,INDIRECT("Table!A" &amp; $U75):INDIRECT("Table!" &amp; $X$159 &amp; $U75),0))))/1024)</f>
        <v>0.6083984375</v>
      </c>
      <c r="C75" s="31">
        <f ca="1">IF(ISERROR(MATCH(C$1,INDIRECT("Table!A"&amp;$U75):INDIRECT("Table!" &amp; $X$159 &amp; $U75),0)),"",INDIRECT(CONCATENATE("Table!",ADDRESS($Q75,MATCH(C$1,INDIRECT("Table!A" &amp; $U75):INDIRECT("Table!" &amp; $X$159 &amp; $U75),0))))/1024)</f>
        <v>0.7275390625</v>
      </c>
      <c r="D75" s="31">
        <f ca="1">IF(ISERROR(MATCH(D$1,INDIRECT("Table!A"&amp;$U75):INDIRECT("Table!" &amp; $X$159 &amp; $U75),0)),"",INDIRECT(CONCATENATE("Table!",ADDRESS($Q75,MATCH(D$1,INDIRECT("Table!A" &amp; $U75):INDIRECT("Table!" &amp; $X$159 &amp; $U75),0))))/1024)</f>
        <v>0.5390625</v>
      </c>
      <c r="E75" s="31">
        <f ca="1">IF(ISERROR(MATCH(E$1,INDIRECT("Table!A"&amp;$U75):INDIRECT("Table!" &amp; $X$159 &amp; $U75),0)),"",INDIRECT(CONCATENATE("Table!",ADDRESS($Q75,MATCH(E$1,INDIRECT("Table!A" &amp; $U75):INDIRECT("Table!" &amp; $X$159 &amp; $U75),0))))/1024)</f>
        <v>0.662109375</v>
      </c>
      <c r="F75" s="31">
        <f ca="1">IF(ISERROR(MATCH(F$1,INDIRECT("Table!A"&amp;$U75):INDIRECT("Table!" &amp; $X$159 &amp; $U75),0)),"",INDIRECT(CONCATENATE("Table!",ADDRESS($Q75,MATCH(F$1,INDIRECT("Table!A" &amp; $U75):INDIRECT("Table!" &amp; $X$159 &amp; $U75),0))))/1024)</f>
        <v>3.208984375</v>
      </c>
      <c r="G75" s="31">
        <f ca="1">IF(ISERROR(MATCH(G$1,INDIRECT("Table!A"&amp;$U75):INDIRECT("Table!" &amp; $X$159 &amp; $U75),0)),"",INDIRECT(CONCATENATE("Table!",ADDRESS($Q75,MATCH(G$1,INDIRECT("Table!A" &amp; $U75):INDIRECT("Table!" &amp; $X$159 &amp; $U75),0))))/1024)</f>
        <v>3.0009765625</v>
      </c>
      <c r="H75" s="31">
        <f ca="1">IF(ISERROR(MATCH(H$1,INDIRECT("Table!A"&amp;$U75):INDIRECT("Table!" &amp; $X$159 &amp; $U75),0)),"",INDIRECT(CONCATENATE("Table!",ADDRESS($Q75,MATCH(H$1,INDIRECT("Table!A" &amp; $U75):INDIRECT("Table!" &amp; $X$159 &amp; $U75),0))))/1024)</f>
        <v>2.177734375</v>
      </c>
      <c r="I75" s="31">
        <f ca="1">IF(ISERROR(MATCH(I$1,INDIRECT("Table!A"&amp;$U75):INDIRECT("Table!" &amp; $X$159 &amp; $U75),0)),"",INDIRECT(CONCATENATE("Table!",ADDRESS($Q75,MATCH(I$1,INDIRECT("Table!A" &amp; $U75):INDIRECT("Table!" &amp; $X$159 &amp; $U75),0))))/1024)</f>
        <v>0.8583984375</v>
      </c>
      <c r="J75" s="31">
        <f ca="1">IF(ISERROR(MATCH(J$1,INDIRECT("Table!A"&amp;$U75):INDIRECT("Table!" &amp; $X$159 &amp; $U75),0)),"",INDIRECT(CONCATENATE("Table!",ADDRESS($Q75,MATCH(J$1,INDIRECT("Table!A" &amp; $U75):INDIRECT("Table!" &amp; $X$159 &amp; $U75),0))))/1024)</f>
        <v>2.93359375</v>
      </c>
      <c r="K75" s="31">
        <f ca="1">IF(ISERROR(MATCH(K$1,INDIRECT("Table!A"&amp;$U75):INDIRECT("Table!" &amp; $X$159 &amp; $U75),0)),"",INDIRECT(CONCATENATE("Table!",ADDRESS($Q75,MATCH(K$1,INDIRECT("Table!A" &amp; $U75):INDIRECT("Table!" &amp; $X$159 &amp; $U75),0))))/1024)</f>
        <v>2.73828125</v>
      </c>
      <c r="L75" s="31">
        <f ca="1">IF(ISERROR(MATCH(L$1,INDIRECT("Table!A"&amp;$U75):INDIRECT("Table!" &amp; $X$159 &amp; $U75),0)),"",INDIRECT(CONCATENATE("Table!",ADDRESS($Q75,MATCH(L$1,INDIRECT("Table!A" &amp; $U75):INDIRECT("Table!" &amp; $X$159 &amp; $U75),0))))/1024)</f>
        <v>2.1787109375</v>
      </c>
      <c r="M75" s="31">
        <f ca="1">IF(ISERROR(MATCH(M$1,INDIRECT("Table!A"&amp;$U75):INDIRECT("Table!" &amp; $X$159 &amp; $U75),0)),"",INDIRECT(CONCATENATE("Table!",ADDRESS($Q75,MATCH(M$1,INDIRECT("Table!A" &amp; $U75):INDIRECT("Table!" &amp; $X$159 &amp; $U75),0))))/1024)</f>
        <v>2.208984375</v>
      </c>
      <c r="N75" s="31"/>
      <c r="O75" s="202"/>
      <c r="P75" s="202"/>
      <c r="Q75" s="31">
        <f>MATCH($A75,Table!$A:$A,0)+$S$2-1</f>
        <v>1168</v>
      </c>
      <c r="R75" s="202"/>
      <c r="S75" s="202"/>
      <c r="T75" s="202"/>
      <c r="U75" s="31">
        <f>MATCH($A75,Table!$A:$A,0)+$W$2-1</f>
        <v>1155</v>
      </c>
      <c r="V75" s="202"/>
      <c r="W75" s="202"/>
      <c r="X75" s="202" t="s">
        <v>118</v>
      </c>
    </row>
    <row r="76" spans="1:24">
      <c r="A76" s="5">
        <v>41067</v>
      </c>
      <c r="B76" s="31">
        <f ca="1">IF(ISERROR(MATCH(B$1,INDIRECT("Table!A"&amp;$U76):INDIRECT("Table!" &amp; $X$159 &amp; $U76),0)),"",INDIRECT(CONCATENATE("Table!",ADDRESS($Q76,MATCH(B$1,INDIRECT("Table!A" &amp; $U76):INDIRECT("Table!" &amp; $X$159 &amp; $U76),0))))/1024)</f>
        <v>0.6083984375</v>
      </c>
      <c r="C76" s="31">
        <f ca="1">IF(ISERROR(MATCH(C$1,INDIRECT("Table!A"&amp;$U76):INDIRECT("Table!" &amp; $X$159 &amp; $U76),0)),"",INDIRECT(CONCATENATE("Table!",ADDRESS($Q76,MATCH(C$1,INDIRECT("Table!A" &amp; $U76):INDIRECT("Table!" &amp; $X$159 &amp; $U76),0))))/1024)</f>
        <v>0.7275390625</v>
      </c>
      <c r="D76" s="31">
        <f ca="1">IF(ISERROR(MATCH(D$1,INDIRECT("Table!A"&amp;$U76):INDIRECT("Table!" &amp; $X$159 &amp; $U76),0)),"",INDIRECT(CONCATENATE("Table!",ADDRESS($Q76,MATCH(D$1,INDIRECT("Table!A" &amp; $U76):INDIRECT("Table!" &amp; $X$159 &amp; $U76),0))))/1024)</f>
        <v>0.5390625</v>
      </c>
      <c r="E76" s="31">
        <f ca="1">IF(ISERROR(MATCH(E$1,INDIRECT("Table!A"&amp;$U76):INDIRECT("Table!" &amp; $X$159 &amp; $U76),0)),"",INDIRECT(CONCATENATE("Table!",ADDRESS($Q76,MATCH(E$1,INDIRECT("Table!A" &amp; $U76):INDIRECT("Table!" &amp; $X$159 &amp; $U76),0))))/1024)</f>
        <v>0.662109375</v>
      </c>
      <c r="F76" s="31">
        <f ca="1">IF(ISERROR(MATCH(F$1,INDIRECT("Table!A"&amp;$U76):INDIRECT("Table!" &amp; $X$159 &amp; $U76),0)),"",INDIRECT(CONCATENATE("Table!",ADDRESS($Q76,MATCH(F$1,INDIRECT("Table!A" &amp; $U76):INDIRECT("Table!" &amp; $X$159 &amp; $U76),0))))/1024)</f>
        <v>3.208984375</v>
      </c>
      <c r="G76" s="31">
        <f ca="1">IF(ISERROR(MATCH(G$1,INDIRECT("Table!A"&amp;$U76):INDIRECT("Table!" &amp; $X$159 &amp; $U76),0)),"",INDIRECT(CONCATENATE("Table!",ADDRESS($Q76,MATCH(G$1,INDIRECT("Table!A" &amp; $U76):INDIRECT("Table!" &amp; $X$159 &amp; $U76),0))))/1024)</f>
        <v>3.0009765625</v>
      </c>
      <c r="H76" s="31">
        <f ca="1">IF(ISERROR(MATCH(H$1,INDIRECT("Table!A"&amp;$U76):INDIRECT("Table!" &amp; $X$159 &amp; $U76),0)),"",INDIRECT(CONCATENATE("Table!",ADDRESS($Q76,MATCH(H$1,INDIRECT("Table!A" &amp; $U76):INDIRECT("Table!" &amp; $X$159 &amp; $U76),0))))/1024)</f>
        <v>2.177734375</v>
      </c>
      <c r="I76" s="31">
        <f ca="1">IF(ISERROR(MATCH(I$1,INDIRECT("Table!A"&amp;$U76):INDIRECT("Table!" &amp; $X$159 &amp; $U76),0)),"",INDIRECT(CONCATENATE("Table!",ADDRESS($Q76,MATCH(I$1,INDIRECT("Table!A" &amp; $U76):INDIRECT("Table!" &amp; $X$159 &amp; $U76),0))))/1024)</f>
        <v>0.8583984375</v>
      </c>
      <c r="J76" s="31">
        <f ca="1">IF(ISERROR(MATCH(J$1,INDIRECT("Table!A"&amp;$U76):INDIRECT("Table!" &amp; $X$159 &amp; $U76),0)),"",INDIRECT(CONCATENATE("Table!",ADDRESS($Q76,MATCH(J$1,INDIRECT("Table!A" &amp; $U76):INDIRECT("Table!" &amp; $X$159 &amp; $U76),0))))/1024)</f>
        <v>2.93359375</v>
      </c>
      <c r="K76" s="31">
        <f ca="1">IF(ISERROR(MATCH(K$1,INDIRECT("Table!A"&amp;$U76):INDIRECT("Table!" &amp; $X$159 &amp; $U76),0)),"",INDIRECT(CONCATENATE("Table!",ADDRESS($Q76,MATCH(K$1,INDIRECT("Table!A" &amp; $U76):INDIRECT("Table!" &amp; $X$159 &amp; $U76),0))))/1024)</f>
        <v>2.73828125</v>
      </c>
      <c r="L76" s="31">
        <f ca="1">IF(ISERROR(MATCH(L$1,INDIRECT("Table!A"&amp;$U76):INDIRECT("Table!" &amp; $X$159 &amp; $U76),0)),"",INDIRECT(CONCATENATE("Table!",ADDRESS($Q76,MATCH(L$1,INDIRECT("Table!A" &amp; $U76):INDIRECT("Table!" &amp; $X$159 &amp; $U76),0))))/1024)</f>
        <v>2.1787109375</v>
      </c>
      <c r="M76" s="31">
        <f ca="1">IF(ISERROR(MATCH(M$1,INDIRECT("Table!A"&amp;$U76):INDIRECT("Table!" &amp; $X$159 &amp; $U76),0)),"",INDIRECT(CONCATENATE("Table!",ADDRESS($Q76,MATCH(M$1,INDIRECT("Table!A" &amp; $U76):INDIRECT("Table!" &amp; $X$159 &amp; $U76),0))))/1024)</f>
        <v>2.208984375</v>
      </c>
      <c r="N76" s="31"/>
      <c r="O76" s="201"/>
      <c r="P76" s="201"/>
      <c r="Q76" s="31">
        <f>MATCH($A76,Table!$A:$A,0)+$S$2-1</f>
        <v>1181</v>
      </c>
      <c r="R76" s="201"/>
      <c r="S76" s="201"/>
      <c r="T76" s="201"/>
      <c r="U76" s="31">
        <f>MATCH($A76,Table!$A:$A,0)+$W$2-1</f>
        <v>1168</v>
      </c>
      <c r="V76" s="201"/>
      <c r="W76" s="201"/>
      <c r="X76" s="201" t="s">
        <v>118</v>
      </c>
    </row>
    <row r="77" spans="1:24">
      <c r="A77" s="5">
        <v>41066</v>
      </c>
      <c r="B77" s="31">
        <f ca="1">IF(ISERROR(MATCH(B$1,INDIRECT("Table!A"&amp;$U77):INDIRECT("Table!" &amp; $X$159 &amp; $U77),0)),"",INDIRECT(CONCATENATE("Table!",ADDRESS($Q77,MATCH(B$1,INDIRECT("Table!A" &amp; $U77):INDIRECT("Table!" &amp; $X$159 &amp; $U77),0))))/1024)</f>
        <v>0.6083984375</v>
      </c>
      <c r="C77" s="31">
        <f ca="1">IF(ISERROR(MATCH(C$1,INDIRECT("Table!A"&amp;$U77):INDIRECT("Table!" &amp; $X$159 &amp; $U77),0)),"",INDIRECT(CONCATENATE("Table!",ADDRESS($Q77,MATCH(C$1,INDIRECT("Table!A" &amp; $U77):INDIRECT("Table!" &amp; $X$159 &amp; $U77),0))))/1024)</f>
        <v>0.7275390625</v>
      </c>
      <c r="D77" s="31">
        <f ca="1">IF(ISERROR(MATCH(D$1,INDIRECT("Table!A"&amp;$U77):INDIRECT("Table!" &amp; $X$159 &amp; $U77),0)),"",INDIRECT(CONCATENATE("Table!",ADDRESS($Q77,MATCH(D$1,INDIRECT("Table!A" &amp; $U77):INDIRECT("Table!" &amp; $X$159 &amp; $U77),0))))/1024)</f>
        <v>0.5390625</v>
      </c>
      <c r="E77" s="31">
        <f ca="1">IF(ISERROR(MATCH(E$1,INDIRECT("Table!A"&amp;$U77):INDIRECT("Table!" &amp; $X$159 &amp; $U77),0)),"",INDIRECT(CONCATENATE("Table!",ADDRESS($Q77,MATCH(E$1,INDIRECT("Table!A" &amp; $U77):INDIRECT("Table!" &amp; $X$159 &amp; $U77),0))))/1024)</f>
        <v>0.662109375</v>
      </c>
      <c r="F77" s="31">
        <f ca="1">IF(ISERROR(MATCH(F$1,INDIRECT("Table!A"&amp;$U77):INDIRECT("Table!" &amp; $X$159 &amp; $U77),0)),"",INDIRECT(CONCATENATE("Table!",ADDRESS($Q77,MATCH(F$1,INDIRECT("Table!A" &amp; $U77):INDIRECT("Table!" &amp; $X$159 &amp; $U77),0))))/1024)</f>
        <v>3.208984375</v>
      </c>
      <c r="G77" s="31">
        <f ca="1">IF(ISERROR(MATCH(G$1,INDIRECT("Table!A"&amp;$U77):INDIRECT("Table!" &amp; $X$159 &amp; $U77),0)),"",INDIRECT(CONCATENATE("Table!",ADDRESS($Q77,MATCH(G$1,INDIRECT("Table!A" &amp; $U77):INDIRECT("Table!" &amp; $X$159 &amp; $U77),0))))/1024)</f>
        <v>3.0009765625</v>
      </c>
      <c r="H77" s="31">
        <f ca="1">IF(ISERROR(MATCH(H$1,INDIRECT("Table!A"&amp;$U77):INDIRECT("Table!" &amp; $X$159 &amp; $U77),0)),"",INDIRECT(CONCATENATE("Table!",ADDRESS($Q77,MATCH(H$1,INDIRECT("Table!A" &amp; $U77):INDIRECT("Table!" &amp; $X$159 &amp; $U77),0))))/1024)</f>
        <v>2.177734375</v>
      </c>
      <c r="I77" s="31">
        <f ca="1">IF(ISERROR(MATCH(I$1,INDIRECT("Table!A"&amp;$U77):INDIRECT("Table!" &amp; $X$159 &amp; $U77),0)),"",INDIRECT(CONCATENATE("Table!",ADDRESS($Q77,MATCH(I$1,INDIRECT("Table!A" &amp; $U77):INDIRECT("Table!" &amp; $X$159 &amp; $U77),0))))/1024)</f>
        <v>0.8583984375</v>
      </c>
      <c r="J77" s="31">
        <f ca="1">IF(ISERROR(MATCH(J$1,INDIRECT("Table!A"&amp;$U77):INDIRECT("Table!" &amp; $X$159 &amp; $U77),0)),"",INDIRECT(CONCATENATE("Table!",ADDRESS($Q77,MATCH(J$1,INDIRECT("Table!A" &amp; $U77):INDIRECT("Table!" &amp; $X$159 &amp; $U77),0))))/1024)</f>
        <v>2.93359375</v>
      </c>
      <c r="K77" s="31">
        <f ca="1">IF(ISERROR(MATCH(K$1,INDIRECT("Table!A"&amp;$U77):INDIRECT("Table!" &amp; $X$159 &amp; $U77),0)),"",INDIRECT(CONCATENATE("Table!",ADDRESS($Q77,MATCH(K$1,INDIRECT("Table!A" &amp; $U77):INDIRECT("Table!" &amp; $X$159 &amp; $U77),0))))/1024)</f>
        <v>2.73828125</v>
      </c>
      <c r="L77" s="31">
        <f ca="1">IF(ISERROR(MATCH(L$1,INDIRECT("Table!A"&amp;$U77):INDIRECT("Table!" &amp; $X$159 &amp; $U77),0)),"",INDIRECT(CONCATENATE("Table!",ADDRESS($Q77,MATCH(L$1,INDIRECT("Table!A" &amp; $U77):INDIRECT("Table!" &amp; $X$159 &amp; $U77),0))))/1024)</f>
        <v>2.1787109375</v>
      </c>
      <c r="M77" s="31">
        <f ca="1">IF(ISERROR(MATCH(M$1,INDIRECT("Table!A"&amp;$U77):INDIRECT("Table!" &amp; $X$159 &amp; $U77),0)),"",INDIRECT(CONCATENATE("Table!",ADDRESS($Q77,MATCH(M$1,INDIRECT("Table!A" &amp; $U77):INDIRECT("Table!" &amp; $X$159 &amp; $U77),0))))/1024)</f>
        <v>2.208984375</v>
      </c>
      <c r="N77" s="31"/>
      <c r="O77" s="200"/>
      <c r="P77" s="200"/>
      <c r="Q77" s="31">
        <f>MATCH($A77,Table!$A:$A,0)+$S$2-1</f>
        <v>1194</v>
      </c>
      <c r="R77" s="200"/>
      <c r="S77" s="200"/>
      <c r="T77" s="200"/>
      <c r="U77" s="31">
        <f>MATCH($A77,Table!$A:$A,0)+$W$2-1</f>
        <v>1181</v>
      </c>
      <c r="V77" s="200"/>
      <c r="W77" s="200"/>
      <c r="X77" s="200" t="s">
        <v>118</v>
      </c>
    </row>
    <row r="78" spans="1:24">
      <c r="A78" s="5">
        <v>41059</v>
      </c>
      <c r="B78" s="31">
        <f ca="1">IF(ISERROR(MATCH(B$1,INDIRECT("Table!A"&amp;$U78):INDIRECT("Table!" &amp; $X$159 &amp; $U78),0)),"",INDIRECT(CONCATENATE("Table!",ADDRESS($Q78,MATCH(B$1,INDIRECT("Table!A" &amp; $U78):INDIRECT("Table!" &amp; $X$159 &amp; $U78),0))))/1024)</f>
        <v>0.6083984375</v>
      </c>
      <c r="C78" s="31">
        <f ca="1">IF(ISERROR(MATCH(C$1,INDIRECT("Table!A"&amp;$U78):INDIRECT("Table!" &amp; $X$159 &amp; $U78),0)),"",INDIRECT(CONCATENATE("Table!",ADDRESS($Q78,MATCH(C$1,INDIRECT("Table!A" &amp; $U78):INDIRECT("Table!" &amp; $X$159 &amp; $U78),0))))/1024)</f>
        <v>0.7275390625</v>
      </c>
      <c r="D78" s="31">
        <f ca="1">IF(ISERROR(MATCH(D$1,INDIRECT("Table!A"&amp;$U78):INDIRECT("Table!" &amp; $X$159 &amp; $U78),0)),"",INDIRECT(CONCATENATE("Table!",ADDRESS($Q78,MATCH(D$1,INDIRECT("Table!A" &amp; $U78):INDIRECT("Table!" &amp; $X$159 &amp; $U78),0))))/1024)</f>
        <v>0.5390625</v>
      </c>
      <c r="E78" s="31">
        <f ca="1">IF(ISERROR(MATCH(E$1,INDIRECT("Table!A"&amp;$U78):INDIRECT("Table!" &amp; $X$159 &amp; $U78),0)),"",INDIRECT(CONCATENATE("Table!",ADDRESS($Q78,MATCH(E$1,INDIRECT("Table!A" &amp; $U78):INDIRECT("Table!" &amp; $X$159 &amp; $U78),0))))/1024)</f>
        <v>0.662109375</v>
      </c>
      <c r="F78" s="31">
        <f ca="1">IF(ISERROR(MATCH(F$1,INDIRECT("Table!A"&amp;$U78):INDIRECT("Table!" &amp; $X$159 &amp; $U78),0)),"",INDIRECT(CONCATENATE("Table!",ADDRESS($Q78,MATCH(F$1,INDIRECT("Table!A" &amp; $U78):INDIRECT("Table!" &amp; $X$159 &amp; $U78),0))))/1024)</f>
        <v>3.208984375</v>
      </c>
      <c r="G78" s="31">
        <f ca="1">IF(ISERROR(MATCH(G$1,INDIRECT("Table!A"&amp;$U78):INDIRECT("Table!" &amp; $X$159 &amp; $U78),0)),"",INDIRECT(CONCATENATE("Table!",ADDRESS($Q78,MATCH(G$1,INDIRECT("Table!A" &amp; $U78):INDIRECT("Table!" &amp; $X$159 &amp; $U78),0))))/1024)</f>
        <v>3.0009765625</v>
      </c>
      <c r="H78" s="31">
        <f ca="1">IF(ISERROR(MATCH(H$1,INDIRECT("Table!A"&amp;$U78):INDIRECT("Table!" &amp; $X$159 &amp; $U78),0)),"",INDIRECT(CONCATENATE("Table!",ADDRESS($Q78,MATCH(H$1,INDIRECT("Table!A" &amp; $U78):INDIRECT("Table!" &amp; $X$159 &amp; $U78),0))))/1024)</f>
        <v>2.177734375</v>
      </c>
      <c r="I78" s="31">
        <f ca="1">IF(ISERROR(MATCH(I$1,INDIRECT("Table!A"&amp;$U78):INDIRECT("Table!" &amp; $X$159 &amp; $U78),0)),"",INDIRECT(CONCATENATE("Table!",ADDRESS($Q78,MATCH(I$1,INDIRECT("Table!A" &amp; $U78):INDIRECT("Table!" &amp; $X$159 &amp; $U78),0))))/1024)</f>
        <v>0.8583984375</v>
      </c>
      <c r="J78" s="31">
        <f ca="1">IF(ISERROR(MATCH(J$1,INDIRECT("Table!A"&amp;$U78):INDIRECT("Table!" &amp; $X$159 &amp; $U78),0)),"",INDIRECT(CONCATENATE("Table!",ADDRESS($Q78,MATCH(J$1,INDIRECT("Table!A" &amp; $U78):INDIRECT("Table!" &amp; $X$159 &amp; $U78),0))))/1024)</f>
        <v>2.93359375</v>
      </c>
      <c r="K78" s="31">
        <f ca="1">IF(ISERROR(MATCH(K$1,INDIRECT("Table!A"&amp;$U78):INDIRECT("Table!" &amp; $X$159 &amp; $U78),0)),"",INDIRECT(CONCATENATE("Table!",ADDRESS($Q78,MATCH(K$1,INDIRECT("Table!A" &amp; $U78):INDIRECT("Table!" &amp; $X$159 &amp; $U78),0))))/1024)</f>
        <v>2.73828125</v>
      </c>
      <c r="L78" s="31">
        <f ca="1">IF(ISERROR(MATCH(L$1,INDIRECT("Table!A"&amp;$U78):INDIRECT("Table!" &amp; $X$159 &amp; $U78),0)),"",INDIRECT(CONCATENATE("Table!",ADDRESS($Q78,MATCH(L$1,INDIRECT("Table!A" &amp; $U78):INDIRECT("Table!" &amp; $X$159 &amp; $U78),0))))/1024)</f>
        <v>2.1787109375</v>
      </c>
      <c r="M78" s="31">
        <f ca="1">IF(ISERROR(MATCH(M$1,INDIRECT("Table!A"&amp;$U78):INDIRECT("Table!" &amp; $X$159 &amp; $U78),0)),"",INDIRECT(CONCATENATE("Table!",ADDRESS($Q78,MATCH(M$1,INDIRECT("Table!A" &amp; $U78):INDIRECT("Table!" &amp; $X$159 &amp; $U78),0))))/1024)</f>
        <v>2.208984375</v>
      </c>
      <c r="N78" s="31"/>
      <c r="O78" s="200"/>
      <c r="P78" s="200"/>
      <c r="Q78" s="31">
        <f>MATCH($A78,Table!$A:$A,0)+$S$2-1</f>
        <v>1207</v>
      </c>
      <c r="R78" s="200"/>
      <c r="S78" s="200"/>
      <c r="T78" s="200"/>
      <c r="U78" s="31">
        <f>MATCH($A78,Table!$A:$A,0)+$W$2-1</f>
        <v>1194</v>
      </c>
      <c r="V78" s="200"/>
      <c r="W78" s="200"/>
      <c r="X78" s="200" t="s">
        <v>118</v>
      </c>
    </row>
    <row r="79" spans="1:24">
      <c r="A79" s="5">
        <v>41058</v>
      </c>
      <c r="B79" s="31">
        <f ca="1">IF(ISERROR(MATCH(B$1,INDIRECT("Table!A"&amp;$U79):INDIRECT("Table!" &amp; $X$159 &amp; $U79),0)),"",INDIRECT(CONCATENATE("Table!",ADDRESS($Q79,MATCH(B$1,INDIRECT("Table!A" &amp; $U79):INDIRECT("Table!" &amp; $X$159 &amp; $U79),0))))/1024)</f>
        <v>0.6083984375</v>
      </c>
      <c r="C79" s="31">
        <f ca="1">IF(ISERROR(MATCH(C$1,INDIRECT("Table!A"&amp;$U79):INDIRECT("Table!" &amp; $X$159 &amp; $U79),0)),"",INDIRECT(CONCATENATE("Table!",ADDRESS($Q79,MATCH(C$1,INDIRECT("Table!A" &amp; $U79):INDIRECT("Table!" &amp; $X$159 &amp; $U79),0))))/1024)</f>
        <v>0.7275390625</v>
      </c>
      <c r="D79" s="31">
        <f ca="1">IF(ISERROR(MATCH(D$1,INDIRECT("Table!A"&amp;$U79):INDIRECT("Table!" &amp; $X$159 &amp; $U79),0)),"",INDIRECT(CONCATENATE("Table!",ADDRESS($Q79,MATCH(D$1,INDIRECT("Table!A" &amp; $U79):INDIRECT("Table!" &amp; $X$159 &amp; $U79),0))))/1024)</f>
        <v>0.5390625</v>
      </c>
      <c r="E79" s="31">
        <f ca="1">IF(ISERROR(MATCH(E$1,INDIRECT("Table!A"&amp;$U79):INDIRECT("Table!" &amp; $X$159 &amp; $U79),0)),"",INDIRECT(CONCATENATE("Table!",ADDRESS($Q79,MATCH(E$1,INDIRECT("Table!A" &amp; $U79):INDIRECT("Table!" &amp; $X$159 &amp; $U79),0))))/1024)</f>
        <v>0.662109375</v>
      </c>
      <c r="F79" s="31">
        <f ca="1">IF(ISERROR(MATCH(F$1,INDIRECT("Table!A"&amp;$U79):INDIRECT("Table!" &amp; $X$159 &amp; $U79),0)),"",INDIRECT(CONCATENATE("Table!",ADDRESS($Q79,MATCH(F$1,INDIRECT("Table!A" &amp; $U79):INDIRECT("Table!" &amp; $X$159 &amp; $U79),0))))/1024)</f>
        <v>3.208984375</v>
      </c>
      <c r="G79" s="31">
        <f ca="1">IF(ISERROR(MATCH(G$1,INDIRECT("Table!A"&amp;$U79):INDIRECT("Table!" &amp; $X$159 &amp; $U79),0)),"",INDIRECT(CONCATENATE("Table!",ADDRESS($Q79,MATCH(G$1,INDIRECT("Table!A" &amp; $U79):INDIRECT("Table!" &amp; $X$159 &amp; $U79),0))))/1024)</f>
        <v>3.0009765625</v>
      </c>
      <c r="H79" s="31">
        <f ca="1">IF(ISERROR(MATCH(H$1,INDIRECT("Table!A"&amp;$U79):INDIRECT("Table!" &amp; $X$159 &amp; $U79),0)),"",INDIRECT(CONCATENATE("Table!",ADDRESS($Q79,MATCH(H$1,INDIRECT("Table!A" &amp; $U79):INDIRECT("Table!" &amp; $X$159 &amp; $U79),0))))/1024)</f>
        <v>2.177734375</v>
      </c>
      <c r="I79" s="31">
        <f ca="1">IF(ISERROR(MATCH(I$1,INDIRECT("Table!A"&amp;$U79):INDIRECT("Table!" &amp; $X$159 &amp; $U79),0)),"",INDIRECT(CONCATENATE("Table!",ADDRESS($Q79,MATCH(I$1,INDIRECT("Table!A" &amp; $U79):INDIRECT("Table!" &amp; $X$159 &amp; $U79),0))))/1024)</f>
        <v>0.8583984375</v>
      </c>
      <c r="J79" s="31">
        <f ca="1">IF(ISERROR(MATCH(J$1,INDIRECT("Table!A"&amp;$U79):INDIRECT("Table!" &amp; $X$159 &amp; $U79),0)),"",INDIRECT(CONCATENATE("Table!",ADDRESS($Q79,MATCH(J$1,INDIRECT("Table!A" &amp; $U79):INDIRECT("Table!" &amp; $X$159 &amp; $U79),0))))/1024)</f>
        <v>2.93359375</v>
      </c>
      <c r="K79" s="31">
        <f ca="1">IF(ISERROR(MATCH(K$1,INDIRECT("Table!A"&amp;$U79):INDIRECT("Table!" &amp; $X$159 &amp; $U79),0)),"",INDIRECT(CONCATENATE("Table!",ADDRESS($Q79,MATCH(K$1,INDIRECT("Table!A" &amp; $U79):INDIRECT("Table!" &amp; $X$159 &amp; $U79),0))))/1024)</f>
        <v>2.73828125</v>
      </c>
      <c r="L79" s="31">
        <f ca="1">IF(ISERROR(MATCH(L$1,INDIRECT("Table!A"&amp;$U79):INDIRECT("Table!" &amp; $X$159 &amp; $U79),0)),"",INDIRECT(CONCATENATE("Table!",ADDRESS($Q79,MATCH(L$1,INDIRECT("Table!A" &amp; $U79):INDIRECT("Table!" &amp; $X$159 &amp; $U79),0))))/1024)</f>
        <v>2.1787109375</v>
      </c>
      <c r="M79" s="31">
        <f ca="1">IF(ISERROR(MATCH(M$1,INDIRECT("Table!A"&amp;$U79):INDIRECT("Table!" &amp; $X$159 &amp; $U79),0)),"",INDIRECT(CONCATENATE("Table!",ADDRESS($Q79,MATCH(M$1,INDIRECT("Table!A" &amp; $U79):INDIRECT("Table!" &amp; $X$159 &amp; $U79),0))))/1024)</f>
        <v>2.208984375</v>
      </c>
      <c r="N79" s="31"/>
      <c r="O79" s="199"/>
      <c r="P79" s="199"/>
      <c r="Q79" s="31">
        <f>MATCH($A79,Table!$A:$A,0)+$S$2-1</f>
        <v>1220</v>
      </c>
      <c r="R79" s="199"/>
      <c r="S79" s="199"/>
      <c r="T79" s="199"/>
      <c r="U79" s="31">
        <f>MATCH($A79,Table!$A:$A,0)+$W$2-1</f>
        <v>1207</v>
      </c>
      <c r="V79" s="199"/>
      <c r="W79" s="199"/>
      <c r="X79" s="199" t="s">
        <v>118</v>
      </c>
    </row>
    <row r="80" spans="1:24">
      <c r="A80" s="5">
        <v>41057</v>
      </c>
      <c r="B80" s="31">
        <f ca="1">IF(ISERROR(MATCH(B$1,INDIRECT("Table!A"&amp;$U80):INDIRECT("Table!" &amp; $X$159 &amp; $U80),0)),"",INDIRECT(CONCATENATE("Table!",ADDRESS($Q80,MATCH(B$1,INDIRECT("Table!A" &amp; $U80):INDIRECT("Table!" &amp; $X$159 &amp; $U80),0))))/1024)</f>
        <v>0.6083984375</v>
      </c>
      <c r="C80" s="31">
        <f ca="1">IF(ISERROR(MATCH(C$1,INDIRECT("Table!A"&amp;$U80):INDIRECT("Table!" &amp; $X$159 &amp; $U80),0)),"",INDIRECT(CONCATENATE("Table!",ADDRESS($Q80,MATCH(C$1,INDIRECT("Table!A" &amp; $U80):INDIRECT("Table!" &amp; $X$159 &amp; $U80),0))))/1024)</f>
        <v>0.7275390625</v>
      </c>
      <c r="D80" s="31">
        <f ca="1">IF(ISERROR(MATCH(D$1,INDIRECT("Table!A"&amp;$U80):INDIRECT("Table!" &amp; $X$159 &amp; $U80),0)),"",INDIRECT(CONCATENATE("Table!",ADDRESS($Q80,MATCH(D$1,INDIRECT("Table!A" &amp; $U80):INDIRECT("Table!" &amp; $X$159 &amp; $U80),0))))/1024)</f>
        <v>0.5390625</v>
      </c>
      <c r="E80" s="31">
        <f ca="1">IF(ISERROR(MATCH(E$1,INDIRECT("Table!A"&amp;$U80):INDIRECT("Table!" &amp; $X$159 &amp; $U80),0)),"",INDIRECT(CONCATENATE("Table!",ADDRESS($Q80,MATCH(E$1,INDIRECT("Table!A" &amp; $U80):INDIRECT("Table!" &amp; $X$159 &amp; $U80),0))))/1024)</f>
        <v>0.662109375</v>
      </c>
      <c r="F80" s="31">
        <f ca="1">IF(ISERROR(MATCH(F$1,INDIRECT("Table!A"&amp;$U80):INDIRECT("Table!" &amp; $X$159 &amp; $U80),0)),"",INDIRECT(CONCATENATE("Table!",ADDRESS($Q80,MATCH(F$1,INDIRECT("Table!A" &amp; $U80):INDIRECT("Table!" &amp; $X$159 &amp; $U80),0))))/1024)</f>
        <v>3.208984375</v>
      </c>
      <c r="G80" s="31">
        <f ca="1">IF(ISERROR(MATCH(G$1,INDIRECT("Table!A"&amp;$U80):INDIRECT("Table!" &amp; $X$159 &amp; $U80),0)),"",INDIRECT(CONCATENATE("Table!",ADDRESS($Q80,MATCH(G$1,INDIRECT("Table!A" &amp; $U80):INDIRECT("Table!" &amp; $X$159 &amp; $U80),0))))/1024)</f>
        <v>3.0009765625</v>
      </c>
      <c r="H80" s="31">
        <f ca="1">IF(ISERROR(MATCH(H$1,INDIRECT("Table!A"&amp;$U80):INDIRECT("Table!" &amp; $X$159 &amp; $U80),0)),"",INDIRECT(CONCATENATE("Table!",ADDRESS($Q80,MATCH(H$1,INDIRECT("Table!A" &amp; $U80):INDIRECT("Table!" &amp; $X$159 &amp; $U80),0))))/1024)</f>
        <v>2.177734375</v>
      </c>
      <c r="I80" s="31">
        <f ca="1">IF(ISERROR(MATCH(I$1,INDIRECT("Table!A"&amp;$U80):INDIRECT("Table!" &amp; $X$159 &amp; $U80),0)),"",INDIRECT(CONCATENATE("Table!",ADDRESS($Q80,MATCH(I$1,INDIRECT("Table!A" &amp; $U80):INDIRECT("Table!" &amp; $X$159 &amp; $U80),0))))/1024)</f>
        <v>0.8583984375</v>
      </c>
      <c r="J80" s="31">
        <f ca="1">IF(ISERROR(MATCH(J$1,INDIRECT("Table!A"&amp;$U80):INDIRECT("Table!" &amp; $X$159 &amp; $U80),0)),"",INDIRECT(CONCATENATE("Table!",ADDRESS($Q80,MATCH(J$1,INDIRECT("Table!A" &amp; $U80):INDIRECT("Table!" &amp; $X$159 &amp; $U80),0))))/1024)</f>
        <v>2.93359375</v>
      </c>
      <c r="K80" s="31">
        <f ca="1">IF(ISERROR(MATCH(K$1,INDIRECT("Table!A"&amp;$U80):INDIRECT("Table!" &amp; $X$159 &amp; $U80),0)),"",INDIRECT(CONCATENATE("Table!",ADDRESS($Q80,MATCH(K$1,INDIRECT("Table!A" &amp; $U80):INDIRECT("Table!" &amp; $X$159 &amp; $U80),0))))/1024)</f>
        <v>2.73828125</v>
      </c>
      <c r="L80" s="31">
        <f ca="1">IF(ISERROR(MATCH(L$1,INDIRECT("Table!A"&amp;$U80):INDIRECT("Table!" &amp; $X$159 &amp; $U80),0)),"",INDIRECT(CONCATENATE("Table!",ADDRESS($Q80,MATCH(L$1,INDIRECT("Table!A" &amp; $U80):INDIRECT("Table!" &amp; $X$159 &amp; $U80),0))))/1024)</f>
        <v>2.1787109375</v>
      </c>
      <c r="M80" s="31">
        <f ca="1">IF(ISERROR(MATCH(M$1,INDIRECT("Table!A"&amp;$U80):INDIRECT("Table!" &amp; $X$159 &amp; $U80),0)),"",INDIRECT(CONCATENATE("Table!",ADDRESS($Q80,MATCH(M$1,INDIRECT("Table!A" &amp; $U80):INDIRECT("Table!" &amp; $X$159 &amp; $U80),0))))/1024)</f>
        <v>2.208984375</v>
      </c>
      <c r="N80" s="31"/>
      <c r="O80" s="198"/>
      <c r="P80" s="198"/>
      <c r="Q80" s="31">
        <f>MATCH($A80,Table!$A:$A,0)+$S$2-1</f>
        <v>1233</v>
      </c>
      <c r="R80" s="198"/>
      <c r="S80" s="198"/>
      <c r="T80" s="198"/>
      <c r="U80" s="31">
        <f>MATCH($A80,Table!$A:$A,0)+$W$2-1</f>
        <v>1220</v>
      </c>
      <c r="V80" s="198"/>
      <c r="W80" s="198"/>
      <c r="X80" s="198" t="s">
        <v>118</v>
      </c>
    </row>
    <row r="81" spans="1:24">
      <c r="A81" s="5">
        <v>41054</v>
      </c>
      <c r="B81" s="31">
        <f ca="1">IF(ISERROR(MATCH(B$1,INDIRECT("Table!A"&amp;$U81):INDIRECT("Table!" &amp; $X$159 &amp; $U81),0)),"",INDIRECT(CONCATENATE("Table!",ADDRESS($Q81,MATCH(B$1,INDIRECT("Table!A" &amp; $U81):INDIRECT("Table!" &amp; $X$159 &amp; $U81),0))))/1024)</f>
        <v>0.6083984375</v>
      </c>
      <c r="C81" s="31">
        <f ca="1">IF(ISERROR(MATCH(C$1,INDIRECT("Table!A"&amp;$U81):INDIRECT("Table!" &amp; $X$159 &amp; $U81),0)),"",INDIRECT(CONCATENATE("Table!",ADDRESS($Q81,MATCH(C$1,INDIRECT("Table!A" &amp; $U81):INDIRECT("Table!" &amp; $X$159 &amp; $U81),0))))/1024)</f>
        <v>0.7275390625</v>
      </c>
      <c r="D81" s="31">
        <f ca="1">IF(ISERROR(MATCH(D$1,INDIRECT("Table!A"&amp;$U81):INDIRECT("Table!" &amp; $X$159 &amp; $U81),0)),"",INDIRECT(CONCATENATE("Table!",ADDRESS($Q81,MATCH(D$1,INDIRECT("Table!A" &amp; $U81):INDIRECT("Table!" &amp; $X$159 &amp; $U81),0))))/1024)</f>
        <v>0.5390625</v>
      </c>
      <c r="E81" s="31">
        <f ca="1">IF(ISERROR(MATCH(E$1,INDIRECT("Table!A"&amp;$U81):INDIRECT("Table!" &amp; $X$159 &amp; $U81),0)),"",INDIRECT(CONCATENATE("Table!",ADDRESS($Q81,MATCH(E$1,INDIRECT("Table!A" &amp; $U81):INDIRECT("Table!" &amp; $X$159 &amp; $U81),0))))/1024)</f>
        <v>0.662109375</v>
      </c>
      <c r="F81" s="31">
        <f ca="1">IF(ISERROR(MATCH(F$1,INDIRECT("Table!A"&amp;$U81):INDIRECT("Table!" &amp; $X$159 &amp; $U81),0)),"",INDIRECT(CONCATENATE("Table!",ADDRESS($Q81,MATCH(F$1,INDIRECT("Table!A" &amp; $U81):INDIRECT("Table!" &amp; $X$159 &amp; $U81),0))))/1024)</f>
        <v>3.208984375</v>
      </c>
      <c r="G81" s="31">
        <f ca="1">IF(ISERROR(MATCH(G$1,INDIRECT("Table!A"&amp;$U81):INDIRECT("Table!" &amp; $X$159 &amp; $U81),0)),"",INDIRECT(CONCATENATE("Table!",ADDRESS($Q81,MATCH(G$1,INDIRECT("Table!A" &amp; $U81):INDIRECT("Table!" &amp; $X$159 &amp; $U81),0))))/1024)</f>
        <v>3.0009765625</v>
      </c>
      <c r="H81" s="31">
        <f ca="1">IF(ISERROR(MATCH(H$1,INDIRECT("Table!A"&amp;$U81):INDIRECT("Table!" &amp; $X$159 &amp; $U81),0)),"",INDIRECT(CONCATENATE("Table!",ADDRESS($Q81,MATCH(H$1,INDIRECT("Table!A" &amp; $U81):INDIRECT("Table!" &amp; $X$159 &amp; $U81),0))))/1024)</f>
        <v>2.177734375</v>
      </c>
      <c r="I81" s="31">
        <f ca="1">IF(ISERROR(MATCH(I$1,INDIRECT("Table!A"&amp;$U81):INDIRECT("Table!" &amp; $X$159 &amp; $U81),0)),"",INDIRECT(CONCATENATE("Table!",ADDRESS($Q81,MATCH(I$1,INDIRECT("Table!A" &amp; $U81):INDIRECT("Table!" &amp; $X$159 &amp; $U81),0))))/1024)</f>
        <v>0.8583984375</v>
      </c>
      <c r="J81" s="31">
        <f ca="1">IF(ISERROR(MATCH(J$1,INDIRECT("Table!A"&amp;$U81):INDIRECT("Table!" &amp; $X$159 &amp; $U81),0)),"",INDIRECT(CONCATENATE("Table!",ADDRESS($Q81,MATCH(J$1,INDIRECT("Table!A" &amp; $U81):INDIRECT("Table!" &amp; $X$159 &amp; $U81),0))))/1024)</f>
        <v>2.93359375</v>
      </c>
      <c r="K81" s="31">
        <f ca="1">IF(ISERROR(MATCH(K$1,INDIRECT("Table!A"&amp;$U81):INDIRECT("Table!" &amp; $X$159 &amp; $U81),0)),"",INDIRECT(CONCATENATE("Table!",ADDRESS($Q81,MATCH(K$1,INDIRECT("Table!A" &amp; $U81):INDIRECT("Table!" &amp; $X$159 &amp; $U81),0))))/1024)</f>
        <v>2.73828125</v>
      </c>
      <c r="L81" s="31">
        <f ca="1">IF(ISERROR(MATCH(L$1,INDIRECT("Table!A"&amp;$U81):INDIRECT("Table!" &amp; $X$159 &amp; $U81),0)),"",INDIRECT(CONCATENATE("Table!",ADDRESS($Q81,MATCH(L$1,INDIRECT("Table!A" &amp; $U81):INDIRECT("Table!" &amp; $X$159 &amp; $U81),0))))/1024)</f>
        <v>2.1787109375</v>
      </c>
      <c r="M81" s="31">
        <f ca="1">IF(ISERROR(MATCH(M$1,INDIRECT("Table!A"&amp;$U81):INDIRECT("Table!" &amp; $X$159 &amp; $U81),0)),"",INDIRECT(CONCATENATE("Table!",ADDRESS($Q81,MATCH(M$1,INDIRECT("Table!A" &amp; $U81):INDIRECT("Table!" &amp; $X$159 &amp; $U81),0))))/1024)</f>
        <v>2.208984375</v>
      </c>
      <c r="N81" s="31"/>
      <c r="O81" s="197"/>
      <c r="P81" s="197"/>
      <c r="Q81" s="31">
        <f>MATCH($A81,Table!$A:$A,0)+$S$2-1</f>
        <v>1246</v>
      </c>
      <c r="R81" s="197"/>
      <c r="S81" s="197"/>
      <c r="T81" s="197"/>
      <c r="U81" s="31">
        <f>MATCH($A81,Table!$A:$A,0)+$W$2-1</f>
        <v>1233</v>
      </c>
      <c r="V81" s="197"/>
      <c r="W81" s="197"/>
      <c r="X81" s="197" t="s">
        <v>118</v>
      </c>
    </row>
    <row r="82" spans="1:24">
      <c r="A82" s="5">
        <v>41053</v>
      </c>
      <c r="B82" s="31">
        <f ca="1">IF(ISERROR(MATCH(B$1,INDIRECT("Table!A"&amp;$U82):INDIRECT("Table!" &amp; $X$159 &amp; $U82),0)),"",INDIRECT(CONCATENATE("Table!",ADDRESS($Q82,MATCH(B$1,INDIRECT("Table!A" &amp; $U82):INDIRECT("Table!" &amp; $X$159 &amp; $U82),0))))/1024)</f>
        <v>0.6083984375</v>
      </c>
      <c r="C82" s="31">
        <f ca="1">IF(ISERROR(MATCH(C$1,INDIRECT("Table!A"&amp;$U82):INDIRECT("Table!" &amp; $X$159 &amp; $U82),0)),"",INDIRECT(CONCATENATE("Table!",ADDRESS($Q82,MATCH(C$1,INDIRECT("Table!A" &amp; $U82):INDIRECT("Table!" &amp; $X$159 &amp; $U82),0))))/1024)</f>
        <v>0.7275390625</v>
      </c>
      <c r="D82" s="31">
        <f ca="1">IF(ISERROR(MATCH(D$1,INDIRECT("Table!A"&amp;$U82):INDIRECT("Table!" &amp; $X$159 &amp; $U82),0)),"",INDIRECT(CONCATENATE("Table!",ADDRESS($Q82,MATCH(D$1,INDIRECT("Table!A" &amp; $U82):INDIRECT("Table!" &amp; $X$159 &amp; $U82),0))))/1024)</f>
        <v>0.5390625</v>
      </c>
      <c r="E82" s="31">
        <f ca="1">IF(ISERROR(MATCH(E$1,INDIRECT("Table!A"&amp;$U82):INDIRECT("Table!" &amp; $X$159 &amp; $U82),0)),"",INDIRECT(CONCATENATE("Table!",ADDRESS($Q82,MATCH(E$1,INDIRECT("Table!A" &amp; $U82):INDIRECT("Table!" &amp; $X$159 &amp; $U82),0))))/1024)</f>
        <v>0.662109375</v>
      </c>
      <c r="F82" s="31">
        <f ca="1">IF(ISERROR(MATCH(F$1,INDIRECT("Table!A"&amp;$U82):INDIRECT("Table!" &amp; $X$159 &amp; $U82),0)),"",INDIRECT(CONCATENATE("Table!",ADDRESS($Q82,MATCH(F$1,INDIRECT("Table!A" &amp; $U82):INDIRECT("Table!" &amp; $X$159 &amp; $U82),0))))/1024)</f>
        <v>3.208984375</v>
      </c>
      <c r="G82" s="31">
        <f ca="1">IF(ISERROR(MATCH(G$1,INDIRECT("Table!A"&amp;$U82):INDIRECT("Table!" &amp; $X$159 &amp; $U82),0)),"",INDIRECT(CONCATENATE("Table!",ADDRESS($Q82,MATCH(G$1,INDIRECT("Table!A" &amp; $U82):INDIRECT("Table!" &amp; $X$159 &amp; $U82),0))))/1024)</f>
        <v>3.0009765625</v>
      </c>
      <c r="H82" s="31">
        <f ca="1">IF(ISERROR(MATCH(H$1,INDIRECT("Table!A"&amp;$U82):INDIRECT("Table!" &amp; $X$159 &amp; $U82),0)),"",INDIRECT(CONCATENATE("Table!",ADDRESS($Q82,MATCH(H$1,INDIRECT("Table!A" &amp; $U82):INDIRECT("Table!" &amp; $X$159 &amp; $U82),0))))/1024)</f>
        <v>2.177734375</v>
      </c>
      <c r="I82" s="31">
        <f ca="1">IF(ISERROR(MATCH(I$1,INDIRECT("Table!A"&amp;$U82):INDIRECT("Table!" &amp; $X$159 &amp; $U82),0)),"",INDIRECT(CONCATENATE("Table!",ADDRESS($Q82,MATCH(I$1,INDIRECT("Table!A" &amp; $U82):INDIRECT("Table!" &amp; $X$159 &amp; $U82),0))))/1024)</f>
        <v>0.8583984375</v>
      </c>
      <c r="J82" s="31">
        <f ca="1">IF(ISERROR(MATCH(J$1,INDIRECT("Table!A"&amp;$U82):INDIRECT("Table!" &amp; $X$159 &amp; $U82),0)),"",INDIRECT(CONCATENATE("Table!",ADDRESS($Q82,MATCH(J$1,INDIRECT("Table!A" &amp; $U82):INDIRECT("Table!" &amp; $X$159 &amp; $U82),0))))/1024)</f>
        <v>2.93359375</v>
      </c>
      <c r="K82" s="31">
        <f ca="1">IF(ISERROR(MATCH(K$1,INDIRECT("Table!A"&amp;$U82):INDIRECT("Table!" &amp; $X$159 &amp; $U82),0)),"",INDIRECT(CONCATENATE("Table!",ADDRESS($Q82,MATCH(K$1,INDIRECT("Table!A" &amp; $U82):INDIRECT("Table!" &amp; $X$159 &amp; $U82),0))))/1024)</f>
        <v>2.73828125</v>
      </c>
      <c r="L82" s="31">
        <f ca="1">IF(ISERROR(MATCH(L$1,INDIRECT("Table!A"&amp;$U82):INDIRECT("Table!" &amp; $X$159 &amp; $U82),0)),"",INDIRECT(CONCATENATE("Table!",ADDRESS($Q82,MATCH(L$1,INDIRECT("Table!A" &amp; $U82):INDIRECT("Table!" &amp; $X$159 &amp; $U82),0))))/1024)</f>
        <v>2.1787109375</v>
      </c>
      <c r="M82" s="31">
        <f ca="1">IF(ISERROR(MATCH(M$1,INDIRECT("Table!A"&amp;$U82):INDIRECT("Table!" &amp; $X$159 &amp; $U82),0)),"",INDIRECT(CONCATENATE("Table!",ADDRESS($Q82,MATCH(M$1,INDIRECT("Table!A" &amp; $U82):INDIRECT("Table!" &amp; $X$159 &amp; $U82),0))))/1024)</f>
        <v>2.208984375</v>
      </c>
      <c r="N82" s="31"/>
      <c r="O82" s="196"/>
      <c r="P82" s="196"/>
      <c r="Q82" s="31">
        <f>MATCH($A82,Table!$A:$A,0)+$S$2-1</f>
        <v>1259</v>
      </c>
      <c r="R82" s="196"/>
      <c r="S82" s="196"/>
      <c r="T82" s="196"/>
      <c r="U82" s="31">
        <f>MATCH($A82,Table!$A:$A,0)+$W$2-1</f>
        <v>1246</v>
      </c>
      <c r="V82" s="196"/>
      <c r="W82" s="196"/>
      <c r="X82" s="196" t="s">
        <v>118</v>
      </c>
    </row>
    <row r="83" spans="1:24">
      <c r="A83" s="5">
        <v>41051</v>
      </c>
      <c r="B83" s="31">
        <f ca="1">IF(ISERROR(MATCH(B$1,INDIRECT("Table!A"&amp;$U83):INDIRECT("Table!" &amp; $X$159 &amp; $U83),0)),"",INDIRECT(CONCATENATE("Table!",ADDRESS($Q83,MATCH(B$1,INDIRECT("Table!A" &amp; $U83):INDIRECT("Table!" &amp; $X$159 &amp; $U83),0))))/1024)</f>
        <v>0.6083984375</v>
      </c>
      <c r="C83" s="31">
        <f ca="1">IF(ISERROR(MATCH(C$1,INDIRECT("Table!A"&amp;$U83):INDIRECT("Table!" &amp; $X$159 &amp; $U83),0)),"",INDIRECT(CONCATENATE("Table!",ADDRESS($Q83,MATCH(C$1,INDIRECT("Table!A" &amp; $U83):INDIRECT("Table!" &amp; $X$159 &amp; $U83),0))))/1024)</f>
        <v>0.7275390625</v>
      </c>
      <c r="D83" s="31">
        <f ca="1">IF(ISERROR(MATCH(D$1,INDIRECT("Table!A"&amp;$U83):INDIRECT("Table!" &amp; $X$159 &amp; $U83),0)),"",INDIRECT(CONCATENATE("Table!",ADDRESS($Q83,MATCH(D$1,INDIRECT("Table!A" &amp; $U83):INDIRECT("Table!" &amp; $X$159 &amp; $U83),0))))/1024)</f>
        <v>0.5390625</v>
      </c>
      <c r="E83" s="31">
        <f ca="1">IF(ISERROR(MATCH(E$1,INDIRECT("Table!A"&amp;$U83):INDIRECT("Table!" &amp; $X$159 &amp; $U83),0)),"",INDIRECT(CONCATENATE("Table!",ADDRESS($Q83,MATCH(E$1,INDIRECT("Table!A" &amp; $U83):INDIRECT("Table!" &amp; $X$159 &amp; $U83),0))))/1024)</f>
        <v>0.662109375</v>
      </c>
      <c r="F83" s="31">
        <f ca="1">IF(ISERROR(MATCH(F$1,INDIRECT("Table!A"&amp;$U83):INDIRECT("Table!" &amp; $X$159 &amp; $U83),0)),"",INDIRECT(CONCATENATE("Table!",ADDRESS($Q83,MATCH(F$1,INDIRECT("Table!A" &amp; $U83):INDIRECT("Table!" &amp; $X$159 &amp; $U83),0))))/1024)</f>
        <v>3.208984375</v>
      </c>
      <c r="G83" s="31">
        <f ca="1">IF(ISERROR(MATCH(G$1,INDIRECT("Table!A"&amp;$U83):INDIRECT("Table!" &amp; $X$159 &amp; $U83),0)),"",INDIRECT(CONCATENATE("Table!",ADDRESS($Q83,MATCH(G$1,INDIRECT("Table!A" &amp; $U83):INDIRECT("Table!" &amp; $X$159 &amp; $U83),0))))/1024)</f>
        <v>3.0009765625</v>
      </c>
      <c r="H83" s="31">
        <f ca="1">IF(ISERROR(MATCH(H$1,INDIRECT("Table!A"&amp;$U83):INDIRECT("Table!" &amp; $X$159 &amp; $U83),0)),"",INDIRECT(CONCATENATE("Table!",ADDRESS($Q83,MATCH(H$1,INDIRECT("Table!A" &amp; $U83):INDIRECT("Table!" &amp; $X$159 &amp; $U83),0))))/1024)</f>
        <v>2.177734375</v>
      </c>
      <c r="I83" s="31">
        <f ca="1">IF(ISERROR(MATCH(I$1,INDIRECT("Table!A"&amp;$U83):INDIRECT("Table!" &amp; $X$159 &amp; $U83),0)),"",INDIRECT(CONCATENATE("Table!",ADDRESS($Q83,MATCH(I$1,INDIRECT("Table!A" &amp; $U83):INDIRECT("Table!" &amp; $X$159 &amp; $U83),0))))/1024)</f>
        <v>0.8583984375</v>
      </c>
      <c r="J83" s="31">
        <f ca="1">IF(ISERROR(MATCH(J$1,INDIRECT("Table!A"&amp;$U83):INDIRECT("Table!" &amp; $X$159 &amp; $U83),0)),"",INDIRECT(CONCATENATE("Table!",ADDRESS($Q83,MATCH(J$1,INDIRECT("Table!A" &amp; $U83):INDIRECT("Table!" &amp; $X$159 &amp; $U83),0))))/1024)</f>
        <v>2.93359375</v>
      </c>
      <c r="K83" s="31">
        <f ca="1">IF(ISERROR(MATCH(K$1,INDIRECT("Table!A"&amp;$U83):INDIRECT("Table!" &amp; $X$159 &amp; $U83),0)),"",INDIRECT(CONCATENATE("Table!",ADDRESS($Q83,MATCH(K$1,INDIRECT("Table!A" &amp; $U83):INDIRECT("Table!" &amp; $X$159 &amp; $U83),0))))/1024)</f>
        <v>2.73828125</v>
      </c>
      <c r="L83" s="31">
        <f ca="1">IF(ISERROR(MATCH(L$1,INDIRECT("Table!A"&amp;$U83):INDIRECT("Table!" &amp; $X$159 &amp; $U83),0)),"",INDIRECT(CONCATENATE("Table!",ADDRESS($Q83,MATCH(L$1,INDIRECT("Table!A" &amp; $U83):INDIRECT("Table!" &amp; $X$159 &amp; $U83),0))))/1024)</f>
        <v>2.1787109375</v>
      </c>
      <c r="M83" s="31">
        <f ca="1">IF(ISERROR(MATCH(M$1,INDIRECT("Table!A"&amp;$U83):INDIRECT("Table!" &amp; $X$159 &amp; $U83),0)),"",INDIRECT(CONCATENATE("Table!",ADDRESS($Q83,MATCH(M$1,INDIRECT("Table!A" &amp; $U83):INDIRECT("Table!" &amp; $X$159 &amp; $U83),0))))/1024)</f>
        <v>2.208984375</v>
      </c>
      <c r="N83" s="31"/>
      <c r="O83" s="195"/>
      <c r="P83" s="195"/>
      <c r="Q83" s="31">
        <f>MATCH($A83,Table!$A:$A,0)+$S$2-1</f>
        <v>1272</v>
      </c>
      <c r="R83" s="195"/>
      <c r="S83" s="195"/>
      <c r="T83" s="195"/>
      <c r="U83" s="31">
        <f>MATCH($A83,Table!$A:$A,0)+$W$2-1</f>
        <v>1259</v>
      </c>
      <c r="V83" s="195"/>
      <c r="W83" s="195"/>
      <c r="X83" s="195" t="s">
        <v>118</v>
      </c>
    </row>
    <row r="84" spans="1:24">
      <c r="A84" s="5">
        <v>41050</v>
      </c>
      <c r="B84" s="31">
        <f ca="1">IF(ISERROR(MATCH(B$1,INDIRECT("Table!A"&amp;$U84):INDIRECT("Table!" &amp; $X$159 &amp; $U84),0)),"",INDIRECT(CONCATENATE("Table!",ADDRESS($Q84,MATCH(B$1,INDIRECT("Table!A" &amp; $U84):INDIRECT("Table!" &amp; $X$159 &amp; $U84),0))))/1024)</f>
        <v>0.6083984375</v>
      </c>
      <c r="C84" s="31">
        <f ca="1">IF(ISERROR(MATCH(C$1,INDIRECT("Table!A"&amp;$U84):INDIRECT("Table!" &amp; $X$159 &amp; $U84),0)),"",INDIRECT(CONCATENATE("Table!",ADDRESS($Q84,MATCH(C$1,INDIRECT("Table!A" &amp; $U84):INDIRECT("Table!" &amp; $X$159 &amp; $U84),0))))/1024)</f>
        <v>0.7275390625</v>
      </c>
      <c r="D84" s="31">
        <f ca="1">IF(ISERROR(MATCH(D$1,INDIRECT("Table!A"&amp;$U84):INDIRECT("Table!" &amp; $X$159 &amp; $U84),0)),"",INDIRECT(CONCATENATE("Table!",ADDRESS($Q84,MATCH(D$1,INDIRECT("Table!A" &amp; $U84):INDIRECT("Table!" &amp; $X$159 &amp; $U84),0))))/1024)</f>
        <v>0.5390625</v>
      </c>
      <c r="E84" s="31">
        <f ca="1">IF(ISERROR(MATCH(E$1,INDIRECT("Table!A"&amp;$U84):INDIRECT("Table!" &amp; $X$159 &amp; $U84),0)),"",INDIRECT(CONCATENATE("Table!",ADDRESS($Q84,MATCH(E$1,INDIRECT("Table!A" &amp; $U84):INDIRECT("Table!" &amp; $X$159 &amp; $U84),0))))/1024)</f>
        <v>0.662109375</v>
      </c>
      <c r="F84" s="31">
        <f ca="1">IF(ISERROR(MATCH(F$1,INDIRECT("Table!A"&amp;$U84):INDIRECT("Table!" &amp; $X$159 &amp; $U84),0)),"",INDIRECT(CONCATENATE("Table!",ADDRESS($Q84,MATCH(F$1,INDIRECT("Table!A" &amp; $U84):INDIRECT("Table!" &amp; $X$159 &amp; $U84),0))))/1024)</f>
        <v>3.208984375</v>
      </c>
      <c r="G84" s="31">
        <f ca="1">IF(ISERROR(MATCH(G$1,INDIRECT("Table!A"&amp;$U84):INDIRECT("Table!" &amp; $X$159 &amp; $U84),0)),"",INDIRECT(CONCATENATE("Table!",ADDRESS($Q84,MATCH(G$1,INDIRECT("Table!A" &amp; $U84):INDIRECT("Table!" &amp; $X$159 &amp; $U84),0))))/1024)</f>
        <v>3.0009765625</v>
      </c>
      <c r="H84" s="31">
        <f ca="1">IF(ISERROR(MATCH(H$1,INDIRECT("Table!A"&amp;$U84):INDIRECT("Table!" &amp; $X$159 &amp; $U84),0)),"",INDIRECT(CONCATENATE("Table!",ADDRESS($Q84,MATCH(H$1,INDIRECT("Table!A" &amp; $U84):INDIRECT("Table!" &amp; $X$159 &amp; $U84),0))))/1024)</f>
        <v>2.177734375</v>
      </c>
      <c r="I84" s="31">
        <f ca="1">IF(ISERROR(MATCH(I$1,INDIRECT("Table!A"&amp;$U84):INDIRECT("Table!" &amp; $X$159 &amp; $U84),0)),"",INDIRECT(CONCATENATE("Table!",ADDRESS($Q84,MATCH(I$1,INDIRECT("Table!A" &amp; $U84):INDIRECT("Table!" &amp; $X$159 &amp; $U84),0))))/1024)</f>
        <v>0.8583984375</v>
      </c>
      <c r="J84" s="31">
        <f ca="1">IF(ISERROR(MATCH(J$1,INDIRECT("Table!A"&amp;$U84):INDIRECT("Table!" &amp; $X$159 &amp; $U84),0)),"",INDIRECT(CONCATENATE("Table!",ADDRESS($Q84,MATCH(J$1,INDIRECT("Table!A" &amp; $U84):INDIRECT("Table!" &amp; $X$159 &amp; $U84),0))))/1024)</f>
        <v>2.93359375</v>
      </c>
      <c r="K84" s="31">
        <f ca="1">IF(ISERROR(MATCH(K$1,INDIRECT("Table!A"&amp;$U84):INDIRECT("Table!" &amp; $X$159 &amp; $U84),0)),"",INDIRECT(CONCATENATE("Table!",ADDRESS($Q84,MATCH(K$1,INDIRECT("Table!A" &amp; $U84):INDIRECT("Table!" &amp; $X$159 &amp; $U84),0))))/1024)</f>
        <v>2.73828125</v>
      </c>
      <c r="L84" s="31">
        <f ca="1">IF(ISERROR(MATCH(L$1,INDIRECT("Table!A"&amp;$U84):INDIRECT("Table!" &amp; $X$159 &amp; $U84),0)),"",INDIRECT(CONCATENATE("Table!",ADDRESS($Q84,MATCH(L$1,INDIRECT("Table!A" &amp; $U84):INDIRECT("Table!" &amp; $X$159 &amp; $U84),0))))/1024)</f>
        <v>2.1787109375</v>
      </c>
      <c r="M84" s="31">
        <f ca="1">IF(ISERROR(MATCH(M$1,INDIRECT("Table!A"&amp;$U84):INDIRECT("Table!" &amp; $X$159 &amp; $U84),0)),"",INDIRECT(CONCATENATE("Table!",ADDRESS($Q84,MATCH(M$1,INDIRECT("Table!A" &amp; $U84):INDIRECT("Table!" &amp; $X$159 &amp; $U84),0))))/1024)</f>
        <v>2.208984375</v>
      </c>
      <c r="N84" s="31"/>
      <c r="O84" s="194"/>
      <c r="P84" s="194"/>
      <c r="Q84" s="31">
        <f>MATCH($A84,Table!$A:$A,0)+$S$2-1</f>
        <v>1285</v>
      </c>
      <c r="R84" s="194"/>
      <c r="S84" s="194"/>
      <c r="T84" s="194"/>
      <c r="U84" s="31">
        <f>MATCH($A84,Table!$A:$A,0)+$W$2-1</f>
        <v>1272</v>
      </c>
      <c r="V84" s="194"/>
      <c r="W84" s="194"/>
      <c r="X84" s="194" t="s">
        <v>118</v>
      </c>
    </row>
    <row r="85" spans="1:24">
      <c r="A85" s="5">
        <v>41047</v>
      </c>
      <c r="B85" s="31">
        <f ca="1">IF(ISERROR(MATCH(B$1,INDIRECT("Table!A"&amp;$U85):INDIRECT("Table!" &amp; $X$159 &amp; $U85),0)),"",INDIRECT(CONCATENATE("Table!",ADDRESS($Q85,MATCH(B$1,INDIRECT("Table!A" &amp; $U85):INDIRECT("Table!" &amp; $X$159 &amp; $U85),0))))/1024)</f>
        <v>0.6083984375</v>
      </c>
      <c r="C85" s="31">
        <f ca="1">IF(ISERROR(MATCH(C$1,INDIRECT("Table!A"&amp;$U85):INDIRECT("Table!" &amp; $X$159 &amp; $U85),0)),"",INDIRECT(CONCATENATE("Table!",ADDRESS($Q85,MATCH(C$1,INDIRECT("Table!A" &amp; $U85):INDIRECT("Table!" &amp; $X$159 &amp; $U85),0))))/1024)</f>
        <v>0.7275390625</v>
      </c>
      <c r="D85" s="31">
        <f ca="1">IF(ISERROR(MATCH(D$1,INDIRECT("Table!A"&amp;$U85):INDIRECT("Table!" &amp; $X$159 &amp; $U85),0)),"",INDIRECT(CONCATENATE("Table!",ADDRESS($Q85,MATCH(D$1,INDIRECT("Table!A" &amp; $U85):INDIRECT("Table!" &amp; $X$159 &amp; $U85),0))))/1024)</f>
        <v>0.5390625</v>
      </c>
      <c r="E85" s="31">
        <f ca="1">IF(ISERROR(MATCH(E$1,INDIRECT("Table!A"&amp;$U85):INDIRECT("Table!" &amp; $X$159 &amp; $U85),0)),"",INDIRECT(CONCATENATE("Table!",ADDRESS($Q85,MATCH(E$1,INDIRECT("Table!A" &amp; $U85):INDIRECT("Table!" &amp; $X$159 &amp; $U85),0))))/1024)</f>
        <v>0.662109375</v>
      </c>
      <c r="F85" s="31">
        <f ca="1">IF(ISERROR(MATCH(F$1,INDIRECT("Table!A"&amp;$U85):INDIRECT("Table!" &amp; $X$159 &amp; $U85),0)),"",INDIRECT(CONCATENATE("Table!",ADDRESS($Q85,MATCH(F$1,INDIRECT("Table!A" &amp; $U85):INDIRECT("Table!" &amp; $X$159 &amp; $U85),0))))/1024)</f>
        <v>3.208984375</v>
      </c>
      <c r="G85" s="31">
        <f ca="1">IF(ISERROR(MATCH(G$1,INDIRECT("Table!A"&amp;$U85):INDIRECT("Table!" &amp; $X$159 &amp; $U85),0)),"",INDIRECT(CONCATENATE("Table!",ADDRESS($Q85,MATCH(G$1,INDIRECT("Table!A" &amp; $U85):INDIRECT("Table!" &amp; $X$159 &amp; $U85),0))))/1024)</f>
        <v>3.0009765625</v>
      </c>
      <c r="H85" s="31">
        <f ca="1">IF(ISERROR(MATCH(H$1,INDIRECT("Table!A"&amp;$U85):INDIRECT("Table!" &amp; $X$159 &amp; $U85),0)),"",INDIRECT(CONCATENATE("Table!",ADDRESS($Q85,MATCH(H$1,INDIRECT("Table!A" &amp; $U85):INDIRECT("Table!" &amp; $X$159 &amp; $U85),0))))/1024)</f>
        <v>2.177734375</v>
      </c>
      <c r="I85" s="31">
        <f ca="1">IF(ISERROR(MATCH(I$1,INDIRECT("Table!A"&amp;$U85):INDIRECT("Table!" &amp; $X$159 &amp; $U85),0)),"",INDIRECT(CONCATENATE("Table!",ADDRESS($Q85,MATCH(I$1,INDIRECT("Table!A" &amp; $U85):INDIRECT("Table!" &amp; $X$159 &amp; $U85),0))))/1024)</f>
        <v>0.8583984375</v>
      </c>
      <c r="J85" s="31">
        <f ca="1">IF(ISERROR(MATCH(J$1,INDIRECT("Table!A"&amp;$U85):INDIRECT("Table!" &amp; $X$159 &amp; $U85),0)),"",INDIRECT(CONCATENATE("Table!",ADDRESS($Q85,MATCH(J$1,INDIRECT("Table!A" &amp; $U85):INDIRECT("Table!" &amp; $X$159 &amp; $U85),0))))/1024)</f>
        <v>2.93359375</v>
      </c>
      <c r="K85" s="31">
        <f ca="1">IF(ISERROR(MATCH(K$1,INDIRECT("Table!A"&amp;$U85):INDIRECT("Table!" &amp; $X$159 &amp; $U85),0)),"",INDIRECT(CONCATENATE("Table!",ADDRESS($Q85,MATCH(K$1,INDIRECT("Table!A" &amp; $U85):INDIRECT("Table!" &amp; $X$159 &amp; $U85),0))))/1024)</f>
        <v>2.73828125</v>
      </c>
      <c r="L85" s="31">
        <f ca="1">IF(ISERROR(MATCH(L$1,INDIRECT("Table!A"&amp;$U85):INDIRECT("Table!" &amp; $X$159 &amp; $U85),0)),"",INDIRECT(CONCATENATE("Table!",ADDRESS($Q85,MATCH(L$1,INDIRECT("Table!A" &amp; $U85):INDIRECT("Table!" &amp; $X$159 &amp; $U85),0))))/1024)</f>
        <v>2.1787109375</v>
      </c>
      <c r="M85" s="31">
        <f ca="1">IF(ISERROR(MATCH(M$1,INDIRECT("Table!A"&amp;$U85):INDIRECT("Table!" &amp; $X$159 &amp; $U85),0)),"",INDIRECT(CONCATENATE("Table!",ADDRESS($Q85,MATCH(M$1,INDIRECT("Table!A" &amp; $U85):INDIRECT("Table!" &amp; $X$159 &amp; $U85),0))))/1024)</f>
        <v>2.208984375</v>
      </c>
      <c r="N85" s="31"/>
      <c r="O85" s="193"/>
      <c r="P85" s="193"/>
      <c r="Q85" s="31">
        <f>MATCH($A85,Table!$A:$A,0)+$S$2-1</f>
        <v>1298</v>
      </c>
      <c r="R85" s="193"/>
      <c r="S85" s="193"/>
      <c r="T85" s="193"/>
      <c r="U85" s="31">
        <f>MATCH($A85,Table!$A:$A,0)+$W$2-1</f>
        <v>1285</v>
      </c>
      <c r="V85" s="193"/>
      <c r="W85" s="193"/>
      <c r="X85" s="193" t="s">
        <v>118</v>
      </c>
    </row>
    <row r="86" spans="1:24">
      <c r="A86" s="5">
        <v>41046</v>
      </c>
      <c r="B86" s="31">
        <f ca="1">IF(ISERROR(MATCH(B$1,INDIRECT("Table!A"&amp;$U86):INDIRECT("Table!" &amp; $X$159 &amp; $U86),0)),"",INDIRECT(CONCATENATE("Table!",ADDRESS($Q86,MATCH(B$1,INDIRECT("Table!A" &amp; $U86):INDIRECT("Table!" &amp; $X$159 &amp; $U86),0))))/1024)</f>
        <v>0.6083984375</v>
      </c>
      <c r="C86" s="31">
        <f ca="1">IF(ISERROR(MATCH(C$1,INDIRECT("Table!A"&amp;$U86):INDIRECT("Table!" &amp; $X$159 &amp; $U86),0)),"",INDIRECT(CONCATENATE("Table!",ADDRESS($Q86,MATCH(C$1,INDIRECT("Table!A" &amp; $U86):INDIRECT("Table!" &amp; $X$159 &amp; $U86),0))))/1024)</f>
        <v>0.7275390625</v>
      </c>
      <c r="D86" s="31">
        <f ca="1">IF(ISERROR(MATCH(D$1,INDIRECT("Table!A"&amp;$U86):INDIRECT("Table!" &amp; $X$159 &amp; $U86),0)),"",INDIRECT(CONCATENATE("Table!",ADDRESS($Q86,MATCH(D$1,INDIRECT("Table!A" &amp; $U86):INDIRECT("Table!" &amp; $X$159 &amp; $U86),0))))/1024)</f>
        <v>0.5390625</v>
      </c>
      <c r="E86" s="31">
        <f ca="1">IF(ISERROR(MATCH(E$1,INDIRECT("Table!A"&amp;$U86):INDIRECT("Table!" &amp; $X$159 &amp; $U86),0)),"",INDIRECT(CONCATENATE("Table!",ADDRESS($Q86,MATCH(E$1,INDIRECT("Table!A" &amp; $U86):INDIRECT("Table!" &amp; $X$159 &amp; $U86),0))))/1024)</f>
        <v>0.662109375</v>
      </c>
      <c r="F86" s="31">
        <f ca="1">IF(ISERROR(MATCH(F$1,INDIRECT("Table!A"&amp;$U86):INDIRECT("Table!" &amp; $X$159 &amp; $U86),0)),"",INDIRECT(CONCATENATE("Table!",ADDRESS($Q86,MATCH(F$1,INDIRECT("Table!A" &amp; $U86):INDIRECT("Table!" &amp; $X$159 &amp; $U86),0))))/1024)</f>
        <v>3.208984375</v>
      </c>
      <c r="G86" s="31">
        <f ca="1">IF(ISERROR(MATCH(G$1,INDIRECT("Table!A"&amp;$U86):INDIRECT("Table!" &amp; $X$159 &amp; $U86),0)),"",INDIRECT(CONCATENATE("Table!",ADDRESS($Q86,MATCH(G$1,INDIRECT("Table!A" &amp; $U86):INDIRECT("Table!" &amp; $X$159 &amp; $U86),0))))/1024)</f>
        <v>3.0009765625</v>
      </c>
      <c r="H86" s="31">
        <f ca="1">IF(ISERROR(MATCH(H$1,INDIRECT("Table!A"&amp;$U86):INDIRECT("Table!" &amp; $X$159 &amp; $U86),0)),"",INDIRECT(CONCATENATE("Table!",ADDRESS($Q86,MATCH(H$1,INDIRECT("Table!A" &amp; $U86):INDIRECT("Table!" &amp; $X$159 &amp; $U86),0))))/1024)</f>
        <v>2.177734375</v>
      </c>
      <c r="I86" s="31">
        <f ca="1">IF(ISERROR(MATCH(I$1,INDIRECT("Table!A"&amp;$U86):INDIRECT("Table!" &amp; $X$159 &amp; $U86),0)),"",INDIRECT(CONCATENATE("Table!",ADDRESS($Q86,MATCH(I$1,INDIRECT("Table!A" &amp; $U86):INDIRECT("Table!" &amp; $X$159 &amp; $U86),0))))/1024)</f>
        <v>0.8583984375</v>
      </c>
      <c r="J86" s="31">
        <f ca="1">IF(ISERROR(MATCH(J$1,INDIRECT("Table!A"&amp;$U86):INDIRECT("Table!" &amp; $X$159 &amp; $U86),0)),"",INDIRECT(CONCATENATE("Table!",ADDRESS($Q86,MATCH(J$1,INDIRECT("Table!A" &amp; $U86):INDIRECT("Table!" &amp; $X$159 &amp; $U86),0))))/1024)</f>
        <v>2.93359375</v>
      </c>
      <c r="K86" s="31">
        <f ca="1">IF(ISERROR(MATCH(K$1,INDIRECT("Table!A"&amp;$U86):INDIRECT("Table!" &amp; $X$159 &amp; $U86),0)),"",INDIRECT(CONCATENATE("Table!",ADDRESS($Q86,MATCH(K$1,INDIRECT("Table!A" &amp; $U86):INDIRECT("Table!" &amp; $X$159 &amp; $U86),0))))/1024)</f>
        <v>2.73828125</v>
      </c>
      <c r="L86" s="31">
        <f ca="1">IF(ISERROR(MATCH(L$1,INDIRECT("Table!A"&amp;$U86):INDIRECT("Table!" &amp; $X$159 &amp; $U86),0)),"",INDIRECT(CONCATENATE("Table!",ADDRESS($Q86,MATCH(L$1,INDIRECT("Table!A" &amp; $U86):INDIRECT("Table!" &amp; $X$159 &amp; $U86),0))))/1024)</f>
        <v>2.1787109375</v>
      </c>
      <c r="M86" s="31">
        <f ca="1">IF(ISERROR(MATCH(M$1,INDIRECT("Table!A"&amp;$U86):INDIRECT("Table!" &amp; $X$159 &amp; $U86),0)),"",INDIRECT(CONCATENATE("Table!",ADDRESS($Q86,MATCH(M$1,INDIRECT("Table!A" &amp; $U86):INDIRECT("Table!" &amp; $X$159 &amp; $U86),0))))/1024)</f>
        <v>2.208984375</v>
      </c>
      <c r="N86" s="31"/>
      <c r="O86" s="192"/>
      <c r="P86" s="192"/>
      <c r="Q86" s="31">
        <f>MATCH($A86,Table!$A:$A,0)+$S$2-1</f>
        <v>1311</v>
      </c>
      <c r="R86" s="192"/>
      <c r="S86" s="192"/>
      <c r="T86" s="192"/>
      <c r="U86" s="31">
        <f>MATCH($A86,Table!$A:$A,0)+$W$2-1</f>
        <v>1298</v>
      </c>
      <c r="V86" s="192"/>
      <c r="W86" s="192"/>
      <c r="X86" s="192" t="s">
        <v>118</v>
      </c>
    </row>
    <row r="87" spans="1:24">
      <c r="A87" s="5">
        <v>41045</v>
      </c>
      <c r="B87" s="31">
        <f ca="1">IF(ISERROR(MATCH(B$1,INDIRECT("Table!A"&amp;$U87):INDIRECT("Table!" &amp; $X$159 &amp; $U87),0)),"",INDIRECT(CONCATENATE("Table!",ADDRESS($Q87,MATCH(B$1,INDIRECT("Table!A" &amp; $U87):INDIRECT("Table!" &amp; $X$159 &amp; $U87),0))))/1024)</f>
        <v>0.6083984375</v>
      </c>
      <c r="C87" s="31">
        <f ca="1">IF(ISERROR(MATCH(C$1,INDIRECT("Table!A"&amp;$U87):INDIRECT("Table!" &amp; $X$159 &amp; $U87),0)),"",INDIRECT(CONCATENATE("Table!",ADDRESS($Q87,MATCH(C$1,INDIRECT("Table!A" &amp; $U87):INDIRECT("Table!" &amp; $X$159 &amp; $U87),0))))/1024)</f>
        <v>0.7275390625</v>
      </c>
      <c r="D87" s="31">
        <f ca="1">IF(ISERROR(MATCH(D$1,INDIRECT("Table!A"&amp;$U87):INDIRECT("Table!" &amp; $X$159 &amp; $U87),0)),"",INDIRECT(CONCATENATE("Table!",ADDRESS($Q87,MATCH(D$1,INDIRECT("Table!A" &amp; $U87):INDIRECT("Table!" &amp; $X$159 &amp; $U87),0))))/1024)</f>
        <v>0.5390625</v>
      </c>
      <c r="E87" s="31">
        <f ca="1">IF(ISERROR(MATCH(E$1,INDIRECT("Table!A"&amp;$U87):INDIRECT("Table!" &amp; $X$159 &amp; $U87),0)),"",INDIRECT(CONCATENATE("Table!",ADDRESS($Q87,MATCH(E$1,INDIRECT("Table!A" &amp; $U87):INDIRECT("Table!" &amp; $X$159 &amp; $U87),0))))/1024)</f>
        <v>0.662109375</v>
      </c>
      <c r="F87" s="31">
        <f ca="1">IF(ISERROR(MATCH(F$1,INDIRECT("Table!A"&amp;$U87):INDIRECT("Table!" &amp; $X$159 &amp; $U87),0)),"",INDIRECT(CONCATENATE("Table!",ADDRESS($Q87,MATCH(F$1,INDIRECT("Table!A" &amp; $U87):INDIRECT("Table!" &amp; $X$159 &amp; $U87),0))))/1024)</f>
        <v>3.208984375</v>
      </c>
      <c r="G87" s="31">
        <f ca="1">IF(ISERROR(MATCH(G$1,INDIRECT("Table!A"&amp;$U87):INDIRECT("Table!" &amp; $X$159 &amp; $U87),0)),"",INDIRECT(CONCATENATE("Table!",ADDRESS($Q87,MATCH(G$1,INDIRECT("Table!A" &amp; $U87):INDIRECT("Table!" &amp; $X$159 &amp; $U87),0))))/1024)</f>
        <v>3.0009765625</v>
      </c>
      <c r="H87" s="31">
        <f ca="1">IF(ISERROR(MATCH(H$1,INDIRECT("Table!A"&amp;$U87):INDIRECT("Table!" &amp; $X$159 &amp; $U87),0)),"",INDIRECT(CONCATENATE("Table!",ADDRESS($Q87,MATCH(H$1,INDIRECT("Table!A" &amp; $U87):INDIRECT("Table!" &amp; $X$159 &amp; $U87),0))))/1024)</f>
        <v>2.177734375</v>
      </c>
      <c r="I87" s="31">
        <f ca="1">IF(ISERROR(MATCH(I$1,INDIRECT("Table!A"&amp;$U87):INDIRECT("Table!" &amp; $X$159 &amp; $U87),0)),"",INDIRECT(CONCATENATE("Table!",ADDRESS($Q87,MATCH(I$1,INDIRECT("Table!A" &amp; $U87):INDIRECT("Table!" &amp; $X$159 &amp; $U87),0))))/1024)</f>
        <v>0.8583984375</v>
      </c>
      <c r="J87" s="31">
        <f ca="1">IF(ISERROR(MATCH(J$1,INDIRECT("Table!A"&amp;$U87):INDIRECT("Table!" &amp; $X$159 &amp; $U87),0)),"",INDIRECT(CONCATENATE("Table!",ADDRESS($Q87,MATCH(J$1,INDIRECT("Table!A" &amp; $U87):INDIRECT("Table!" &amp; $X$159 &amp; $U87),0))))/1024)</f>
        <v>2.93359375</v>
      </c>
      <c r="K87" s="31">
        <f ca="1">IF(ISERROR(MATCH(K$1,INDIRECT("Table!A"&amp;$U87):INDIRECT("Table!" &amp; $X$159 &amp; $U87),0)),"",INDIRECT(CONCATENATE("Table!",ADDRESS($Q87,MATCH(K$1,INDIRECT("Table!A" &amp; $U87):INDIRECT("Table!" &amp; $X$159 &amp; $U87),0))))/1024)</f>
        <v>2.73828125</v>
      </c>
      <c r="L87" s="31">
        <f ca="1">IF(ISERROR(MATCH(L$1,INDIRECT("Table!A"&amp;$U87):INDIRECT("Table!" &amp; $X$159 &amp; $U87),0)),"",INDIRECT(CONCATENATE("Table!",ADDRESS($Q87,MATCH(L$1,INDIRECT("Table!A" &amp; $U87):INDIRECT("Table!" &amp; $X$159 &amp; $U87),0))))/1024)</f>
        <v>2.1787109375</v>
      </c>
      <c r="M87" s="31">
        <f ca="1">IF(ISERROR(MATCH(M$1,INDIRECT("Table!A"&amp;$U87):INDIRECT("Table!" &amp; $X$159 &amp; $U87),0)),"",INDIRECT(CONCATENATE("Table!",ADDRESS($Q87,MATCH(M$1,INDIRECT("Table!A" &amp; $U87):INDIRECT("Table!" &amp; $X$159 &amp; $U87),0))))/1024)</f>
        <v>2.208984375</v>
      </c>
      <c r="N87" s="31"/>
      <c r="O87" s="191"/>
      <c r="P87" s="191"/>
      <c r="Q87" s="31">
        <f>MATCH($A87,Table!$A:$A,0)+$S$2-1</f>
        <v>1324</v>
      </c>
      <c r="R87" s="191"/>
      <c r="S87" s="191"/>
      <c r="T87" s="191"/>
      <c r="U87" s="31">
        <f>MATCH($A87,Table!$A:$A,0)+$W$2-1</f>
        <v>1311</v>
      </c>
      <c r="V87" s="191"/>
      <c r="W87" s="191"/>
      <c r="X87" s="191" t="s">
        <v>118</v>
      </c>
    </row>
    <row r="88" spans="1:24">
      <c r="A88" s="5">
        <v>41044</v>
      </c>
      <c r="B88" s="31">
        <f ca="1">IF(ISERROR(MATCH(B$1,INDIRECT("Table!A"&amp;$U88):INDIRECT("Table!" &amp; $X$159 &amp; $U88),0)),"",INDIRECT(CONCATENATE("Table!",ADDRESS($Q88,MATCH(B$1,INDIRECT("Table!A" &amp; $U88):INDIRECT("Table!" &amp; $X$159 &amp; $U88),0))))/1024)</f>
        <v>0.6083984375</v>
      </c>
      <c r="C88" s="31">
        <f ca="1">IF(ISERROR(MATCH(C$1,INDIRECT("Table!A"&amp;$U88):INDIRECT("Table!" &amp; $X$159 &amp; $U88),0)),"",INDIRECT(CONCATENATE("Table!",ADDRESS($Q88,MATCH(C$1,INDIRECT("Table!A" &amp; $U88):INDIRECT("Table!" &amp; $X$159 &amp; $U88),0))))/1024)</f>
        <v>0.7275390625</v>
      </c>
      <c r="D88" s="31">
        <f ca="1">IF(ISERROR(MATCH(D$1,INDIRECT("Table!A"&amp;$U88):INDIRECT("Table!" &amp; $X$159 &amp; $U88),0)),"",INDIRECT(CONCATENATE("Table!",ADDRESS($Q88,MATCH(D$1,INDIRECT("Table!A" &amp; $U88):INDIRECT("Table!" &amp; $X$159 &amp; $U88),0))))/1024)</f>
        <v>0.5390625</v>
      </c>
      <c r="E88" s="31">
        <f ca="1">IF(ISERROR(MATCH(E$1,INDIRECT("Table!A"&amp;$U88):INDIRECT("Table!" &amp; $X$159 &amp; $U88),0)),"",INDIRECT(CONCATENATE("Table!",ADDRESS($Q88,MATCH(E$1,INDIRECT("Table!A" &amp; $U88):INDIRECT("Table!" &amp; $X$159 &amp; $U88),0))))/1024)</f>
        <v>0.662109375</v>
      </c>
      <c r="F88" s="31">
        <f ca="1">IF(ISERROR(MATCH(F$1,INDIRECT("Table!A"&amp;$U88):INDIRECT("Table!" &amp; $X$159 &amp; $U88),0)),"",INDIRECT(CONCATENATE("Table!",ADDRESS($Q88,MATCH(F$1,INDIRECT("Table!A" &amp; $U88):INDIRECT("Table!" &amp; $X$159 &amp; $U88),0))))/1024)</f>
        <v>3.208984375</v>
      </c>
      <c r="G88" s="31">
        <f ca="1">IF(ISERROR(MATCH(G$1,INDIRECT("Table!A"&amp;$U88):INDIRECT("Table!" &amp; $X$159 &amp; $U88),0)),"",INDIRECT(CONCATENATE("Table!",ADDRESS($Q88,MATCH(G$1,INDIRECT("Table!A" &amp; $U88):INDIRECT("Table!" &amp; $X$159 &amp; $U88),0))))/1024)</f>
        <v>3.0009765625</v>
      </c>
      <c r="H88" s="31">
        <f ca="1">IF(ISERROR(MATCH(H$1,INDIRECT("Table!A"&amp;$U88):INDIRECT("Table!" &amp; $X$159 &amp; $U88),0)),"",INDIRECT(CONCATENATE("Table!",ADDRESS($Q88,MATCH(H$1,INDIRECT("Table!A" &amp; $U88):INDIRECT("Table!" &amp; $X$159 &amp; $U88),0))))/1024)</f>
        <v>2.177734375</v>
      </c>
      <c r="I88" s="31">
        <f ca="1">IF(ISERROR(MATCH(I$1,INDIRECT("Table!A"&amp;$U88):INDIRECT("Table!" &amp; $X$159 &amp; $U88),0)),"",INDIRECT(CONCATENATE("Table!",ADDRESS($Q88,MATCH(I$1,INDIRECT("Table!A" &amp; $U88):INDIRECT("Table!" &amp; $X$159 &amp; $U88),0))))/1024)</f>
        <v>0.8583984375</v>
      </c>
      <c r="J88" s="31">
        <f ca="1">IF(ISERROR(MATCH(J$1,INDIRECT("Table!A"&amp;$U88):INDIRECT("Table!" &amp; $X$159 &amp; $U88),0)),"",INDIRECT(CONCATENATE("Table!",ADDRESS($Q88,MATCH(J$1,INDIRECT("Table!A" &amp; $U88):INDIRECT("Table!" &amp; $X$159 &amp; $U88),0))))/1024)</f>
        <v>2.93359375</v>
      </c>
      <c r="K88" s="31">
        <f ca="1">IF(ISERROR(MATCH(K$1,INDIRECT("Table!A"&amp;$U88):INDIRECT("Table!" &amp; $X$159 &amp; $U88),0)),"",INDIRECT(CONCATENATE("Table!",ADDRESS($Q88,MATCH(K$1,INDIRECT("Table!A" &amp; $U88):INDIRECT("Table!" &amp; $X$159 &amp; $U88),0))))/1024)</f>
        <v>2.73828125</v>
      </c>
      <c r="L88" s="31">
        <f ca="1">IF(ISERROR(MATCH(L$1,INDIRECT("Table!A"&amp;$U88):INDIRECT("Table!" &amp; $X$159 &amp; $U88),0)),"",INDIRECT(CONCATENATE("Table!",ADDRESS($Q88,MATCH(L$1,INDIRECT("Table!A" &amp; $U88):INDIRECT("Table!" &amp; $X$159 &amp; $U88),0))))/1024)</f>
        <v>2.1787109375</v>
      </c>
      <c r="M88" s="31">
        <f ca="1">IF(ISERROR(MATCH(M$1,INDIRECT("Table!A"&amp;$U88):INDIRECT("Table!" &amp; $X$159 &amp; $U88),0)),"",INDIRECT(CONCATENATE("Table!",ADDRESS($Q88,MATCH(M$1,INDIRECT("Table!A" &amp; $U88):INDIRECT("Table!" &amp; $X$159 &amp; $U88),0))))/1024)</f>
        <v>2.208984375</v>
      </c>
      <c r="N88" s="31"/>
      <c r="O88" s="190"/>
      <c r="P88" s="190"/>
      <c r="Q88" s="31">
        <f>MATCH($A88,Table!$A:$A,0)+$S$2-1</f>
        <v>1337</v>
      </c>
      <c r="R88" s="190"/>
      <c r="S88" s="190"/>
      <c r="T88" s="190"/>
      <c r="U88" s="31">
        <f>MATCH($A88,Table!$A:$A,0)+$W$2-1</f>
        <v>1324</v>
      </c>
      <c r="V88" s="190"/>
      <c r="W88" s="190"/>
      <c r="X88" s="190" t="s">
        <v>118</v>
      </c>
    </row>
    <row r="89" spans="1:24">
      <c r="A89" s="5">
        <v>41043</v>
      </c>
      <c r="B89" s="31">
        <f ca="1">IF(ISERROR(MATCH(B$1,INDIRECT("Table!A"&amp;$U89):INDIRECT("Table!" &amp; $X$159 &amp; $U89),0)),"",INDIRECT(CONCATENATE("Table!",ADDRESS($Q89,MATCH(B$1,INDIRECT("Table!A" &amp; $U89):INDIRECT("Table!" &amp; $X$159 &amp; $U89),0))))/1024)</f>
        <v>0.6083984375</v>
      </c>
      <c r="C89" s="31">
        <f ca="1">IF(ISERROR(MATCH(C$1,INDIRECT("Table!A"&amp;$U89):INDIRECT("Table!" &amp; $X$159 &amp; $U89),0)),"",INDIRECT(CONCATENATE("Table!",ADDRESS($Q89,MATCH(C$1,INDIRECT("Table!A" &amp; $U89):INDIRECT("Table!" &amp; $X$159 &amp; $U89),0))))/1024)</f>
        <v>0.7275390625</v>
      </c>
      <c r="D89" s="31">
        <f ca="1">IF(ISERROR(MATCH(D$1,INDIRECT("Table!A"&amp;$U89):INDIRECT("Table!" &amp; $X$159 &amp; $U89),0)),"",INDIRECT(CONCATENATE("Table!",ADDRESS($Q89,MATCH(D$1,INDIRECT("Table!A" &amp; $U89):INDIRECT("Table!" &amp; $X$159 &amp; $U89),0))))/1024)</f>
        <v>0.5390625</v>
      </c>
      <c r="E89" s="31">
        <f ca="1">IF(ISERROR(MATCH(E$1,INDIRECT("Table!A"&amp;$U89):INDIRECT("Table!" &amp; $X$159 &amp; $U89),0)),"",INDIRECT(CONCATENATE("Table!",ADDRESS($Q89,MATCH(E$1,INDIRECT("Table!A" &amp; $U89):INDIRECT("Table!" &amp; $X$159 &amp; $U89),0))))/1024)</f>
        <v>0.662109375</v>
      </c>
      <c r="F89" s="31">
        <f ca="1">IF(ISERROR(MATCH(F$1,INDIRECT("Table!A"&amp;$U89):INDIRECT("Table!" &amp; $X$159 &amp; $U89),0)),"",INDIRECT(CONCATENATE("Table!",ADDRESS($Q89,MATCH(F$1,INDIRECT("Table!A" &amp; $U89):INDIRECT("Table!" &amp; $X$159 &amp; $U89),0))))/1024)</f>
        <v>3.208984375</v>
      </c>
      <c r="G89" s="31">
        <f ca="1">IF(ISERROR(MATCH(G$1,INDIRECT("Table!A"&amp;$U89):INDIRECT("Table!" &amp; $X$159 &amp; $U89),0)),"",INDIRECT(CONCATENATE("Table!",ADDRESS($Q89,MATCH(G$1,INDIRECT("Table!A" &amp; $U89):INDIRECT("Table!" &amp; $X$159 &amp; $U89),0))))/1024)</f>
        <v>3.0009765625</v>
      </c>
      <c r="H89" s="31">
        <f ca="1">IF(ISERROR(MATCH(H$1,INDIRECT("Table!A"&amp;$U89):INDIRECT("Table!" &amp; $X$159 &amp; $U89),0)),"",INDIRECT(CONCATENATE("Table!",ADDRESS($Q89,MATCH(H$1,INDIRECT("Table!A" &amp; $U89):INDIRECT("Table!" &amp; $X$159 &amp; $U89),0))))/1024)</f>
        <v>2.177734375</v>
      </c>
      <c r="I89" s="31">
        <f ca="1">IF(ISERROR(MATCH(I$1,INDIRECT("Table!A"&amp;$U89):INDIRECT("Table!" &amp; $X$159 &amp; $U89),0)),"",INDIRECT(CONCATENATE("Table!",ADDRESS($Q89,MATCH(I$1,INDIRECT("Table!A" &amp; $U89):INDIRECT("Table!" &amp; $X$159 &amp; $U89),0))))/1024)</f>
        <v>0.8583984375</v>
      </c>
      <c r="J89" s="31">
        <f ca="1">IF(ISERROR(MATCH(J$1,INDIRECT("Table!A"&amp;$U89):INDIRECT("Table!" &amp; $X$159 &amp; $U89),0)),"",INDIRECT(CONCATENATE("Table!",ADDRESS($Q89,MATCH(J$1,INDIRECT("Table!A" &amp; $U89):INDIRECT("Table!" &amp; $X$159 &amp; $U89),0))))/1024)</f>
        <v>2.93359375</v>
      </c>
      <c r="K89" s="31">
        <f ca="1">IF(ISERROR(MATCH(K$1,INDIRECT("Table!A"&amp;$U89):INDIRECT("Table!" &amp; $X$159 &amp; $U89),0)),"",INDIRECT(CONCATENATE("Table!",ADDRESS($Q89,MATCH(K$1,INDIRECT("Table!A" &amp; $U89):INDIRECT("Table!" &amp; $X$159 &amp; $U89),0))))/1024)</f>
        <v>2.73828125</v>
      </c>
      <c r="L89" s="31">
        <f ca="1">IF(ISERROR(MATCH(L$1,INDIRECT("Table!A"&amp;$U89):INDIRECT("Table!" &amp; $X$159 &amp; $U89),0)),"",INDIRECT(CONCATENATE("Table!",ADDRESS($Q89,MATCH(L$1,INDIRECT("Table!A" &amp; $U89):INDIRECT("Table!" &amp; $X$159 &amp; $U89),0))))/1024)</f>
        <v>2.1787109375</v>
      </c>
      <c r="M89" s="31">
        <f ca="1">IF(ISERROR(MATCH(M$1,INDIRECT("Table!A"&amp;$U89):INDIRECT("Table!" &amp; $X$159 &amp; $U89),0)),"",INDIRECT(CONCATENATE("Table!",ADDRESS($Q89,MATCH(M$1,INDIRECT("Table!A" &amp; $U89):INDIRECT("Table!" &amp; $X$159 &amp; $U89),0))))/1024)</f>
        <v>2.208984375</v>
      </c>
      <c r="N89" s="31"/>
      <c r="O89" s="189"/>
      <c r="P89" s="189"/>
      <c r="Q89" s="31">
        <f>MATCH($A89,Table!$A:$A,0)+$S$2-1</f>
        <v>1350</v>
      </c>
      <c r="R89" s="189"/>
      <c r="S89" s="189"/>
      <c r="T89" s="189"/>
      <c r="U89" s="31">
        <f>MATCH($A89,Table!$A:$A,0)+$W$2-1</f>
        <v>1337</v>
      </c>
      <c r="V89" s="189"/>
      <c r="W89" s="189"/>
      <c r="X89" s="189" t="s">
        <v>118</v>
      </c>
    </row>
    <row r="90" spans="1:24">
      <c r="A90" s="5">
        <v>41040</v>
      </c>
      <c r="B90" s="31">
        <f ca="1">IF(ISERROR(MATCH(B$1,INDIRECT("Table!A"&amp;$U90):INDIRECT("Table!" &amp; $X$159 &amp; $U90),0)),"",INDIRECT(CONCATENATE("Table!",ADDRESS($Q90,MATCH(B$1,INDIRECT("Table!A" &amp; $U90):INDIRECT("Table!" &amp; $X$159 &amp; $U90),0))))/1024)</f>
        <v>0.6083984375</v>
      </c>
      <c r="C90" s="31">
        <f ca="1">IF(ISERROR(MATCH(C$1,INDIRECT("Table!A"&amp;$U90):INDIRECT("Table!" &amp; $X$159 &amp; $U90),0)),"",INDIRECT(CONCATENATE("Table!",ADDRESS($Q90,MATCH(C$1,INDIRECT("Table!A" &amp; $U90):INDIRECT("Table!" &amp; $X$159 &amp; $U90),0))))/1024)</f>
        <v>0.7275390625</v>
      </c>
      <c r="D90" s="31">
        <f ca="1">IF(ISERROR(MATCH(D$1,INDIRECT("Table!A"&amp;$U90):INDIRECT("Table!" &amp; $X$159 &amp; $U90),0)),"",INDIRECT(CONCATENATE("Table!",ADDRESS($Q90,MATCH(D$1,INDIRECT("Table!A" &amp; $U90):INDIRECT("Table!" &amp; $X$159 &amp; $U90),0))))/1024)</f>
        <v>0.5390625</v>
      </c>
      <c r="E90" s="31">
        <f ca="1">IF(ISERROR(MATCH(E$1,INDIRECT("Table!A"&amp;$U90):INDIRECT("Table!" &amp; $X$159 &amp; $U90),0)),"",INDIRECT(CONCATENATE("Table!",ADDRESS($Q90,MATCH(E$1,INDIRECT("Table!A" &amp; $U90):INDIRECT("Table!" &amp; $X$159 &amp; $U90),0))))/1024)</f>
        <v>0.662109375</v>
      </c>
      <c r="F90" s="31">
        <f ca="1">IF(ISERROR(MATCH(F$1,INDIRECT("Table!A"&amp;$U90):INDIRECT("Table!" &amp; $X$159 &amp; $U90),0)),"",INDIRECT(CONCATENATE("Table!",ADDRESS($Q90,MATCH(F$1,INDIRECT("Table!A" &amp; $U90):INDIRECT("Table!" &amp; $X$159 &amp; $U90),0))))/1024)</f>
        <v>3.208984375</v>
      </c>
      <c r="G90" s="31">
        <f ca="1">IF(ISERROR(MATCH(G$1,INDIRECT("Table!A"&amp;$U90):INDIRECT("Table!" &amp; $X$159 &amp; $U90),0)),"",INDIRECT(CONCATENATE("Table!",ADDRESS($Q90,MATCH(G$1,INDIRECT("Table!A" &amp; $U90):INDIRECT("Table!" &amp; $X$159 &amp; $U90),0))))/1024)</f>
        <v>3.0009765625</v>
      </c>
      <c r="H90" s="31">
        <f ca="1">IF(ISERROR(MATCH(H$1,INDIRECT("Table!A"&amp;$U90):INDIRECT("Table!" &amp; $X$159 &amp; $U90),0)),"",INDIRECT(CONCATENATE("Table!",ADDRESS($Q90,MATCH(H$1,INDIRECT("Table!A" &amp; $U90):INDIRECT("Table!" &amp; $X$159 &amp; $U90),0))))/1024)</f>
        <v>2.177734375</v>
      </c>
      <c r="I90" s="31">
        <f ca="1">IF(ISERROR(MATCH(I$1,INDIRECT("Table!A"&amp;$U90):INDIRECT("Table!" &amp; $X$159 &amp; $U90),0)),"",INDIRECT(CONCATENATE("Table!",ADDRESS($Q90,MATCH(I$1,INDIRECT("Table!A" &amp; $U90):INDIRECT("Table!" &amp; $X$159 &amp; $U90),0))))/1024)</f>
        <v>0.8583984375</v>
      </c>
      <c r="J90" s="31">
        <f ca="1">IF(ISERROR(MATCH(J$1,INDIRECT("Table!A"&amp;$U90):INDIRECT("Table!" &amp; $X$159 &amp; $U90),0)),"",INDIRECT(CONCATENATE("Table!",ADDRESS($Q90,MATCH(J$1,INDIRECT("Table!A" &amp; $U90):INDIRECT("Table!" &amp; $X$159 &amp; $U90),0))))/1024)</f>
        <v>2.93359375</v>
      </c>
      <c r="K90" s="31">
        <f ca="1">IF(ISERROR(MATCH(K$1,INDIRECT("Table!A"&amp;$U90):INDIRECT("Table!" &amp; $X$159 &amp; $U90),0)),"",INDIRECT(CONCATENATE("Table!",ADDRESS($Q90,MATCH(K$1,INDIRECT("Table!A" &amp; $U90):INDIRECT("Table!" &amp; $X$159 &amp; $U90),0))))/1024)</f>
        <v>2.73828125</v>
      </c>
      <c r="L90" s="31">
        <f ca="1">IF(ISERROR(MATCH(L$1,INDIRECT("Table!A"&amp;$U90):INDIRECT("Table!" &amp; $X$159 &amp; $U90),0)),"",INDIRECT(CONCATENATE("Table!",ADDRESS($Q90,MATCH(L$1,INDIRECT("Table!A" &amp; $U90):INDIRECT("Table!" &amp; $X$159 &amp; $U90),0))))/1024)</f>
        <v>2.1787109375</v>
      </c>
      <c r="M90" s="31">
        <f ca="1">IF(ISERROR(MATCH(M$1,INDIRECT("Table!A"&amp;$U90):INDIRECT("Table!" &amp; $X$159 &amp; $U90),0)),"",INDIRECT(CONCATENATE("Table!",ADDRESS($Q90,MATCH(M$1,INDIRECT("Table!A" &amp; $U90):INDIRECT("Table!" &amp; $X$159 &amp; $U90),0))))/1024)</f>
        <v>2.208984375</v>
      </c>
      <c r="N90" s="31"/>
      <c r="O90" s="188"/>
      <c r="P90" s="188"/>
      <c r="Q90" s="31">
        <f>MATCH($A90,Table!$A:$A,0)+$S$2-1</f>
        <v>1363</v>
      </c>
      <c r="R90" s="188"/>
      <c r="S90" s="188"/>
      <c r="T90" s="188"/>
      <c r="U90" s="31">
        <f>MATCH($A90,Table!$A:$A,0)+$W$2-1</f>
        <v>1350</v>
      </c>
      <c r="V90" s="188"/>
      <c r="W90" s="188"/>
      <c r="X90" s="188" t="s">
        <v>118</v>
      </c>
    </row>
    <row r="91" spans="1:24">
      <c r="A91" s="5">
        <v>41039</v>
      </c>
      <c r="B91" s="31">
        <f ca="1">IF(ISERROR(MATCH(B$1,INDIRECT("Table!A"&amp;$U91):INDIRECT("Table!" &amp; $X$159 &amp; $U91),0)),"",INDIRECT(CONCATENATE("Table!",ADDRESS($Q91,MATCH(B$1,INDIRECT("Table!A" &amp; $U91):INDIRECT("Table!" &amp; $X$159 &amp; $U91),0))))/1024)</f>
        <v>0.6083984375</v>
      </c>
      <c r="C91" s="31">
        <f ca="1">IF(ISERROR(MATCH(C$1,INDIRECT("Table!A"&amp;$U91):INDIRECT("Table!" &amp; $X$159 &amp; $U91),0)),"",INDIRECT(CONCATENATE("Table!",ADDRESS($Q91,MATCH(C$1,INDIRECT("Table!A" &amp; $U91):INDIRECT("Table!" &amp; $X$159 &amp; $U91),0))))/1024)</f>
        <v>0.7275390625</v>
      </c>
      <c r="D91" s="31">
        <f ca="1">IF(ISERROR(MATCH(D$1,INDIRECT("Table!A"&amp;$U91):INDIRECT("Table!" &amp; $X$159 &amp; $U91),0)),"",INDIRECT(CONCATENATE("Table!",ADDRESS($Q91,MATCH(D$1,INDIRECT("Table!A" &amp; $U91):INDIRECT("Table!" &amp; $X$159 &amp; $U91),0))))/1024)</f>
        <v>0.5390625</v>
      </c>
      <c r="E91" s="31">
        <f ca="1">IF(ISERROR(MATCH(E$1,INDIRECT("Table!A"&amp;$U91):INDIRECT("Table!" &amp; $X$159 &amp; $U91),0)),"",INDIRECT(CONCATENATE("Table!",ADDRESS($Q91,MATCH(E$1,INDIRECT("Table!A" &amp; $U91):INDIRECT("Table!" &amp; $X$159 &amp; $U91),0))))/1024)</f>
        <v>0.662109375</v>
      </c>
      <c r="F91" s="31">
        <f ca="1">IF(ISERROR(MATCH(F$1,INDIRECT("Table!A"&amp;$U91):INDIRECT("Table!" &amp; $X$159 &amp; $U91),0)),"",INDIRECT(CONCATENATE("Table!",ADDRESS($Q91,MATCH(F$1,INDIRECT("Table!A" &amp; $U91):INDIRECT("Table!" &amp; $X$159 &amp; $U91),0))))/1024)</f>
        <v>3.208984375</v>
      </c>
      <c r="G91" s="31">
        <f ca="1">IF(ISERROR(MATCH(G$1,INDIRECT("Table!A"&amp;$U91):INDIRECT("Table!" &amp; $X$159 &amp; $U91),0)),"",INDIRECT(CONCATENATE("Table!",ADDRESS($Q91,MATCH(G$1,INDIRECT("Table!A" &amp; $U91):INDIRECT("Table!" &amp; $X$159 &amp; $U91),0))))/1024)</f>
        <v>3.0009765625</v>
      </c>
      <c r="H91" s="31">
        <f ca="1">IF(ISERROR(MATCH(H$1,INDIRECT("Table!A"&amp;$U91):INDIRECT("Table!" &amp; $X$159 &amp; $U91),0)),"",INDIRECT(CONCATENATE("Table!",ADDRESS($Q91,MATCH(H$1,INDIRECT("Table!A" &amp; $U91):INDIRECT("Table!" &amp; $X$159 &amp; $U91),0))))/1024)</f>
        <v>2.177734375</v>
      </c>
      <c r="I91" s="31">
        <f ca="1">IF(ISERROR(MATCH(I$1,INDIRECT("Table!A"&amp;$U91):INDIRECT("Table!" &amp; $X$159 &amp; $U91),0)),"",INDIRECT(CONCATENATE("Table!",ADDRESS($Q91,MATCH(I$1,INDIRECT("Table!A" &amp; $U91):INDIRECT("Table!" &amp; $X$159 &amp; $U91),0))))/1024)</f>
        <v>0.8583984375</v>
      </c>
      <c r="J91" s="31">
        <f ca="1">IF(ISERROR(MATCH(J$1,INDIRECT("Table!A"&amp;$U91):INDIRECT("Table!" &amp; $X$159 &amp; $U91),0)),"",INDIRECT(CONCATENATE("Table!",ADDRESS($Q91,MATCH(J$1,INDIRECT("Table!A" &amp; $U91):INDIRECT("Table!" &amp; $X$159 &amp; $U91),0))))/1024)</f>
        <v>2.93359375</v>
      </c>
      <c r="K91" s="31">
        <f ca="1">IF(ISERROR(MATCH(K$1,INDIRECT("Table!A"&amp;$U91):INDIRECT("Table!" &amp; $X$159 &amp; $U91),0)),"",INDIRECT(CONCATENATE("Table!",ADDRESS($Q91,MATCH(K$1,INDIRECT("Table!A" &amp; $U91):INDIRECT("Table!" &amp; $X$159 &amp; $U91),0))))/1024)</f>
        <v>2.73828125</v>
      </c>
      <c r="L91" s="31">
        <f ca="1">IF(ISERROR(MATCH(L$1,INDIRECT("Table!A"&amp;$U91):INDIRECT("Table!" &amp; $X$159 &amp; $U91),0)),"",INDIRECT(CONCATENATE("Table!",ADDRESS($Q91,MATCH(L$1,INDIRECT("Table!A" &amp; $U91):INDIRECT("Table!" &amp; $X$159 &amp; $U91),0))))/1024)</f>
        <v>2.1787109375</v>
      </c>
      <c r="M91" s="31">
        <f ca="1">IF(ISERROR(MATCH(M$1,INDIRECT("Table!A"&amp;$U91):INDIRECT("Table!" &amp; $X$159 &amp; $U91),0)),"",INDIRECT(CONCATENATE("Table!",ADDRESS($Q91,MATCH(M$1,INDIRECT("Table!A" &amp; $U91):INDIRECT("Table!" &amp; $X$159 &amp; $U91),0))))/1024)</f>
        <v>2.208984375</v>
      </c>
      <c r="N91" s="31"/>
      <c r="O91" s="187"/>
      <c r="P91" s="187"/>
      <c r="Q91" s="31">
        <f>MATCH($A91,Table!$A:$A,0)+$S$2-1</f>
        <v>1376</v>
      </c>
      <c r="R91" s="187"/>
      <c r="S91" s="187"/>
      <c r="T91" s="187"/>
      <c r="U91" s="31">
        <f>MATCH($A91,Table!$A:$A,0)+$W$2-1</f>
        <v>1363</v>
      </c>
      <c r="V91" s="187"/>
      <c r="W91" s="187"/>
      <c r="X91" s="187" t="s">
        <v>118</v>
      </c>
    </row>
    <row r="92" spans="1:24">
      <c r="A92" s="5">
        <v>41038</v>
      </c>
      <c r="B92" s="31">
        <f ca="1">IF(ISERROR(MATCH(B$1,INDIRECT("Table!A"&amp;$U92):INDIRECT("Table!" &amp; $X$159 &amp; $U92),0)),"",INDIRECT(CONCATENATE("Table!",ADDRESS($Q92,MATCH(B$1,INDIRECT("Table!A" &amp; $U92):INDIRECT("Table!" &amp; $X$159 &amp; $U92),0))))/1024)</f>
        <v>0.6083984375</v>
      </c>
      <c r="C92" s="31">
        <f ca="1">IF(ISERROR(MATCH(C$1,INDIRECT("Table!A"&amp;$U92):INDIRECT("Table!" &amp; $X$159 &amp; $U92),0)),"",INDIRECT(CONCATENATE("Table!",ADDRESS($Q92,MATCH(C$1,INDIRECT("Table!A" &amp; $U92):INDIRECT("Table!" &amp; $X$159 &amp; $U92),0))))/1024)</f>
        <v>0.7275390625</v>
      </c>
      <c r="D92" s="31">
        <f ca="1">IF(ISERROR(MATCH(D$1,INDIRECT("Table!A"&amp;$U92):INDIRECT("Table!" &amp; $X$159 &amp; $U92),0)),"",INDIRECT(CONCATENATE("Table!",ADDRESS($Q92,MATCH(D$1,INDIRECT("Table!A" &amp; $U92):INDIRECT("Table!" &amp; $X$159 &amp; $U92),0))))/1024)</f>
        <v>0.5390625</v>
      </c>
      <c r="E92" s="31">
        <f ca="1">IF(ISERROR(MATCH(E$1,INDIRECT("Table!A"&amp;$U92):INDIRECT("Table!" &amp; $X$159 &amp; $U92),0)),"",INDIRECT(CONCATENATE("Table!",ADDRESS($Q92,MATCH(E$1,INDIRECT("Table!A" &amp; $U92):INDIRECT("Table!" &amp; $X$159 &amp; $U92),0))))/1024)</f>
        <v>0.662109375</v>
      </c>
      <c r="F92" s="31">
        <f ca="1">IF(ISERROR(MATCH(F$1,INDIRECT("Table!A"&amp;$U92):INDIRECT("Table!" &amp; $X$159 &amp; $U92),0)),"",INDIRECT(CONCATENATE("Table!",ADDRESS($Q92,MATCH(F$1,INDIRECT("Table!A" &amp; $U92):INDIRECT("Table!" &amp; $X$159 &amp; $U92),0))))/1024)</f>
        <v>3.208984375</v>
      </c>
      <c r="G92" s="31">
        <f ca="1">IF(ISERROR(MATCH(G$1,INDIRECT("Table!A"&amp;$U92):INDIRECT("Table!" &amp; $X$159 &amp; $U92),0)),"",INDIRECT(CONCATENATE("Table!",ADDRESS($Q92,MATCH(G$1,INDIRECT("Table!A" &amp; $U92):INDIRECT("Table!" &amp; $X$159 &amp; $U92),0))))/1024)</f>
        <v>3.0009765625</v>
      </c>
      <c r="H92" s="31">
        <f ca="1">IF(ISERROR(MATCH(H$1,INDIRECT("Table!A"&amp;$U92):INDIRECT("Table!" &amp; $X$159 &amp; $U92),0)),"",INDIRECT(CONCATENATE("Table!",ADDRESS($Q92,MATCH(H$1,INDIRECT("Table!A" &amp; $U92):INDIRECT("Table!" &amp; $X$159 &amp; $U92),0))))/1024)</f>
        <v>2.177734375</v>
      </c>
      <c r="I92" s="31">
        <f ca="1">IF(ISERROR(MATCH(I$1,INDIRECT("Table!A"&amp;$U92):INDIRECT("Table!" &amp; $X$159 &amp; $U92),0)),"",INDIRECT(CONCATENATE("Table!",ADDRESS($Q92,MATCH(I$1,INDIRECT("Table!A" &amp; $U92):INDIRECT("Table!" &amp; $X$159 &amp; $U92),0))))/1024)</f>
        <v>0.8583984375</v>
      </c>
      <c r="J92" s="31">
        <f ca="1">IF(ISERROR(MATCH(J$1,INDIRECT("Table!A"&amp;$U92):INDIRECT("Table!" &amp; $X$159 &amp; $U92),0)),"",INDIRECT(CONCATENATE("Table!",ADDRESS($Q92,MATCH(J$1,INDIRECT("Table!A" &amp; $U92):INDIRECT("Table!" &amp; $X$159 &amp; $U92),0))))/1024)</f>
        <v>2.93359375</v>
      </c>
      <c r="K92" s="31">
        <f ca="1">IF(ISERROR(MATCH(K$1,INDIRECT("Table!A"&amp;$U92):INDIRECT("Table!" &amp; $X$159 &amp; $U92),0)),"",INDIRECT(CONCATENATE("Table!",ADDRESS($Q92,MATCH(K$1,INDIRECT("Table!A" &amp; $U92):INDIRECT("Table!" &amp; $X$159 &amp; $U92),0))))/1024)</f>
        <v>2.73828125</v>
      </c>
      <c r="L92" s="31">
        <f ca="1">IF(ISERROR(MATCH(L$1,INDIRECT("Table!A"&amp;$U92):INDIRECT("Table!" &amp; $X$159 &amp; $U92),0)),"",INDIRECT(CONCATENATE("Table!",ADDRESS($Q92,MATCH(L$1,INDIRECT("Table!A" &amp; $U92):INDIRECT("Table!" &amp; $X$159 &amp; $U92),0))))/1024)</f>
        <v>2.1787109375</v>
      </c>
      <c r="M92" s="31">
        <f ca="1">IF(ISERROR(MATCH(M$1,INDIRECT("Table!A"&amp;$U92):INDIRECT("Table!" &amp; $X$159 &amp; $U92),0)),"",INDIRECT(CONCATENATE("Table!",ADDRESS($Q92,MATCH(M$1,INDIRECT("Table!A" &amp; $U92):INDIRECT("Table!" &amp; $X$159 &amp; $U92),0))))/1024)</f>
        <v>2.208984375</v>
      </c>
      <c r="N92" s="31"/>
      <c r="O92" s="186"/>
      <c r="P92" s="186"/>
      <c r="Q92" s="31">
        <f>MATCH($A92,Table!$A:$A,0)+$S$2-1</f>
        <v>1389</v>
      </c>
      <c r="R92" s="186"/>
      <c r="S92" s="186"/>
      <c r="T92" s="186"/>
      <c r="U92" s="31">
        <f>MATCH($A92,Table!$A:$A,0)+$W$2-1</f>
        <v>1376</v>
      </c>
      <c r="V92" s="186"/>
      <c r="W92" s="186"/>
      <c r="X92" s="186" t="s">
        <v>118</v>
      </c>
    </row>
    <row r="93" spans="1:24">
      <c r="A93" s="5">
        <v>41037</v>
      </c>
      <c r="B93" s="31">
        <f ca="1">IF(ISERROR(MATCH(B$1,INDIRECT("Table!A"&amp;$U93):INDIRECT("Table!" &amp; $X$159 &amp; $U93),0)),"",INDIRECT(CONCATENATE("Table!",ADDRESS($Q93,MATCH(B$1,INDIRECT("Table!A" &amp; $U93):INDIRECT("Table!" &amp; $X$159 &amp; $U93),0))))/1024)</f>
        <v>0.6083984375</v>
      </c>
      <c r="C93" s="31">
        <f ca="1">IF(ISERROR(MATCH(C$1,INDIRECT("Table!A"&amp;$U93):INDIRECT("Table!" &amp; $X$159 &amp; $U93),0)),"",INDIRECT(CONCATENATE("Table!",ADDRESS($Q93,MATCH(C$1,INDIRECT("Table!A" &amp; $U93):INDIRECT("Table!" &amp; $X$159 &amp; $U93),0))))/1024)</f>
        <v>0.7275390625</v>
      </c>
      <c r="D93" s="31">
        <f ca="1">IF(ISERROR(MATCH(D$1,INDIRECT("Table!A"&amp;$U93):INDIRECT("Table!" &amp; $X$159 &amp; $U93),0)),"",INDIRECT(CONCATENATE("Table!",ADDRESS($Q93,MATCH(D$1,INDIRECT("Table!A" &amp; $U93):INDIRECT("Table!" &amp; $X$159 &amp; $U93),0))))/1024)</f>
        <v>0.5390625</v>
      </c>
      <c r="E93" s="31">
        <f ca="1">IF(ISERROR(MATCH(E$1,INDIRECT("Table!A"&amp;$U93):INDIRECT("Table!" &amp; $X$159 &amp; $U93),0)),"",INDIRECT(CONCATENATE("Table!",ADDRESS($Q93,MATCH(E$1,INDIRECT("Table!A" &amp; $U93):INDIRECT("Table!" &amp; $X$159 &amp; $U93),0))))/1024)</f>
        <v>0.662109375</v>
      </c>
      <c r="F93" s="31">
        <f ca="1">IF(ISERROR(MATCH(F$1,INDIRECT("Table!A"&amp;$U93):INDIRECT("Table!" &amp; $X$159 &amp; $U93),0)),"",INDIRECT(CONCATENATE("Table!",ADDRESS($Q93,MATCH(F$1,INDIRECT("Table!A" &amp; $U93):INDIRECT("Table!" &amp; $X$159 &amp; $U93),0))))/1024)</f>
        <v>3.208984375</v>
      </c>
      <c r="G93" s="31">
        <f ca="1">IF(ISERROR(MATCH(G$1,INDIRECT("Table!A"&amp;$U93):INDIRECT("Table!" &amp; $X$159 &amp; $U93),0)),"",INDIRECT(CONCATENATE("Table!",ADDRESS($Q93,MATCH(G$1,INDIRECT("Table!A" &amp; $U93):INDIRECT("Table!" &amp; $X$159 &amp; $U93),0))))/1024)</f>
        <v>3.0009765625</v>
      </c>
      <c r="H93" s="31">
        <f ca="1">IF(ISERROR(MATCH(H$1,INDIRECT("Table!A"&amp;$U93):INDIRECT("Table!" &amp; $X$159 &amp; $U93),0)),"",INDIRECT(CONCATENATE("Table!",ADDRESS($Q93,MATCH(H$1,INDIRECT("Table!A" &amp; $U93):INDIRECT("Table!" &amp; $X$159 &amp; $U93),0))))/1024)</f>
        <v>2.177734375</v>
      </c>
      <c r="I93" s="31">
        <f ca="1">IF(ISERROR(MATCH(I$1,INDIRECT("Table!A"&amp;$U93):INDIRECT("Table!" &amp; $X$159 &amp; $U93),0)),"",INDIRECT(CONCATENATE("Table!",ADDRESS($Q93,MATCH(I$1,INDIRECT("Table!A" &amp; $U93):INDIRECT("Table!" &amp; $X$159 &amp; $U93),0))))/1024)</f>
        <v>0.8583984375</v>
      </c>
      <c r="J93" s="31">
        <f ca="1">IF(ISERROR(MATCH(J$1,INDIRECT("Table!A"&amp;$U93):INDIRECT("Table!" &amp; $X$159 &amp; $U93),0)),"",INDIRECT(CONCATENATE("Table!",ADDRESS($Q93,MATCH(J$1,INDIRECT("Table!A" &amp; $U93):INDIRECT("Table!" &amp; $X$159 &amp; $U93),0))))/1024)</f>
        <v>2.93359375</v>
      </c>
      <c r="K93" s="31">
        <f ca="1">IF(ISERROR(MATCH(K$1,INDIRECT("Table!A"&amp;$U93):INDIRECT("Table!" &amp; $X$159 &amp; $U93),0)),"",INDIRECT(CONCATENATE("Table!",ADDRESS($Q93,MATCH(K$1,INDIRECT("Table!A" &amp; $U93):INDIRECT("Table!" &amp; $X$159 &amp; $U93),0))))/1024)</f>
        <v>2.73828125</v>
      </c>
      <c r="L93" s="31">
        <f ca="1">IF(ISERROR(MATCH(L$1,INDIRECT("Table!A"&amp;$U93):INDIRECT("Table!" &amp; $X$159 &amp; $U93),0)),"",INDIRECT(CONCATENATE("Table!",ADDRESS($Q93,MATCH(L$1,INDIRECT("Table!A" &amp; $U93):INDIRECT("Table!" &amp; $X$159 &amp; $U93),0))))/1024)</f>
        <v>2.1787109375</v>
      </c>
      <c r="M93" s="31">
        <f ca="1">IF(ISERROR(MATCH(M$1,INDIRECT("Table!A"&amp;$U93):INDIRECT("Table!" &amp; $X$159 &amp; $U93),0)),"",INDIRECT(CONCATENATE("Table!",ADDRESS($Q93,MATCH(M$1,INDIRECT("Table!A" &amp; $U93):INDIRECT("Table!" &amp; $X$159 &amp; $U93),0))))/1024)</f>
        <v>2.208984375</v>
      </c>
      <c r="N93" s="31"/>
      <c r="O93" s="185"/>
      <c r="P93" s="185"/>
      <c r="Q93" s="31">
        <f>MATCH($A93,Table!$A:$A,0)+$S$2-1</f>
        <v>1402</v>
      </c>
      <c r="R93" s="185"/>
      <c r="S93" s="185"/>
      <c r="T93" s="185"/>
      <c r="U93" s="31">
        <f>MATCH($A93,Table!$A:$A,0)+$W$2-1</f>
        <v>1389</v>
      </c>
      <c r="V93" s="185"/>
      <c r="W93" s="185"/>
      <c r="X93" s="185" t="s">
        <v>118</v>
      </c>
    </row>
    <row r="94" spans="1:24">
      <c r="A94" s="5">
        <v>41033</v>
      </c>
      <c r="B94" s="31">
        <f ca="1">IF(ISERROR(MATCH(B$1,INDIRECT("Table!A"&amp;$U94):INDIRECT("Table!" &amp; $X$159 &amp; $U94),0)),"",INDIRECT(CONCATENATE("Table!",ADDRESS($Q94,MATCH(B$1,INDIRECT("Table!A" &amp; $U94):INDIRECT("Table!" &amp; $X$159 &amp; $U94),0))))/1024)</f>
        <v>0.6083984375</v>
      </c>
      <c r="C94" s="31">
        <f ca="1">IF(ISERROR(MATCH(C$1,INDIRECT("Table!A"&amp;$U94):INDIRECT("Table!" &amp; $X$159 &amp; $U94),0)),"",INDIRECT(CONCATENATE("Table!",ADDRESS($Q94,MATCH(C$1,INDIRECT("Table!A" &amp; $U94):INDIRECT("Table!" &amp; $X$159 &amp; $U94),0))))/1024)</f>
        <v>0.7275390625</v>
      </c>
      <c r="D94" s="31">
        <f ca="1">IF(ISERROR(MATCH(D$1,INDIRECT("Table!A"&amp;$U94):INDIRECT("Table!" &amp; $X$159 &amp; $U94),0)),"",INDIRECT(CONCATENATE("Table!",ADDRESS($Q94,MATCH(D$1,INDIRECT("Table!A" &amp; $U94):INDIRECT("Table!" &amp; $X$159 &amp; $U94),0))))/1024)</f>
        <v>0.5390625</v>
      </c>
      <c r="E94" s="31">
        <f ca="1">IF(ISERROR(MATCH(E$1,INDIRECT("Table!A"&amp;$U94):INDIRECT("Table!" &amp; $X$159 &amp; $U94),0)),"",INDIRECT(CONCATENATE("Table!",ADDRESS($Q94,MATCH(E$1,INDIRECT("Table!A" &amp; $U94):INDIRECT("Table!" &amp; $X$159 &amp; $U94),0))))/1024)</f>
        <v>0.662109375</v>
      </c>
      <c r="F94" s="31">
        <f ca="1">IF(ISERROR(MATCH(F$1,INDIRECT("Table!A"&amp;$U94):INDIRECT("Table!" &amp; $X$159 &amp; $U94),0)),"",INDIRECT(CONCATENATE("Table!",ADDRESS($Q94,MATCH(F$1,INDIRECT("Table!A" &amp; $U94):INDIRECT("Table!" &amp; $X$159 &amp; $U94),0))))/1024)</f>
        <v>3.208984375</v>
      </c>
      <c r="G94" s="31">
        <f ca="1">IF(ISERROR(MATCH(G$1,INDIRECT("Table!A"&amp;$U94):INDIRECT("Table!" &amp; $X$159 &amp; $U94),0)),"",INDIRECT(CONCATENATE("Table!",ADDRESS($Q94,MATCH(G$1,INDIRECT("Table!A" &amp; $U94):INDIRECT("Table!" &amp; $X$159 &amp; $U94),0))))/1024)</f>
        <v>3.0009765625</v>
      </c>
      <c r="H94" s="31">
        <f ca="1">IF(ISERROR(MATCH(H$1,INDIRECT("Table!A"&amp;$U94):INDIRECT("Table!" &amp; $X$159 &amp; $U94),0)),"",INDIRECT(CONCATENATE("Table!",ADDRESS($Q94,MATCH(H$1,INDIRECT("Table!A" &amp; $U94):INDIRECT("Table!" &amp; $X$159 &amp; $U94),0))))/1024)</f>
        <v>2.177734375</v>
      </c>
      <c r="I94" s="31">
        <f ca="1">IF(ISERROR(MATCH(I$1,INDIRECT("Table!A"&amp;$U94):INDIRECT("Table!" &amp; $X$159 &amp; $U94),0)),"",INDIRECT(CONCATENATE("Table!",ADDRESS($Q94,MATCH(I$1,INDIRECT("Table!A" &amp; $U94):INDIRECT("Table!" &amp; $X$159 &amp; $U94),0))))/1024)</f>
        <v>0.8583984375</v>
      </c>
      <c r="J94" s="31">
        <f ca="1">IF(ISERROR(MATCH(J$1,INDIRECT("Table!A"&amp;$U94):INDIRECT("Table!" &amp; $X$159 &amp; $U94),0)),"",INDIRECT(CONCATENATE("Table!",ADDRESS($Q94,MATCH(J$1,INDIRECT("Table!A" &amp; $U94):INDIRECT("Table!" &amp; $X$159 &amp; $U94),0))))/1024)</f>
        <v>2.93359375</v>
      </c>
      <c r="K94" s="31">
        <f ca="1">IF(ISERROR(MATCH(K$1,INDIRECT("Table!A"&amp;$U94):INDIRECT("Table!" &amp; $X$159 &amp; $U94),0)),"",INDIRECT(CONCATENATE("Table!",ADDRESS($Q94,MATCH(K$1,INDIRECT("Table!A" &amp; $U94):INDIRECT("Table!" &amp; $X$159 &amp; $U94),0))))/1024)</f>
        <v>2.73828125</v>
      </c>
      <c r="L94" s="31">
        <f ca="1">IF(ISERROR(MATCH(L$1,INDIRECT("Table!A"&amp;$U94):INDIRECT("Table!" &amp; $X$159 &amp; $U94),0)),"",INDIRECT(CONCATENATE("Table!",ADDRESS($Q94,MATCH(L$1,INDIRECT("Table!A" &amp; $U94):INDIRECT("Table!" &amp; $X$159 &amp; $U94),0))))/1024)</f>
        <v>2.1787109375</v>
      </c>
      <c r="M94" s="31">
        <f ca="1">IF(ISERROR(MATCH(M$1,INDIRECT("Table!A"&amp;$U94):INDIRECT("Table!" &amp; $X$159 &amp; $U94),0)),"",INDIRECT(CONCATENATE("Table!",ADDRESS($Q94,MATCH(M$1,INDIRECT("Table!A" &amp; $U94):INDIRECT("Table!" &amp; $X$159 &amp; $U94),0))))/1024)</f>
        <v>2.208984375</v>
      </c>
      <c r="N94" s="31"/>
      <c r="O94" s="184"/>
      <c r="P94" s="184"/>
      <c r="Q94" s="31">
        <f>MATCH($A94,Table!$A:$A,0)+$S$2-1</f>
        <v>1415</v>
      </c>
      <c r="R94" s="184"/>
      <c r="S94" s="184"/>
      <c r="T94" s="184"/>
      <c r="U94" s="31">
        <f>MATCH($A94,Table!$A:$A,0)+$W$2-1</f>
        <v>1402</v>
      </c>
      <c r="V94" s="184"/>
      <c r="W94" s="184"/>
      <c r="X94" s="184" t="s">
        <v>118</v>
      </c>
    </row>
    <row r="95" spans="1:24">
      <c r="A95" s="5">
        <v>41031</v>
      </c>
      <c r="B95" s="31">
        <f ca="1">IF(ISERROR(MATCH(B$1,INDIRECT("Table!A"&amp;$U95):INDIRECT("Table!" &amp; $X$159 &amp; $U95),0)),"",INDIRECT(CONCATENATE("Table!",ADDRESS($Q95,MATCH(B$1,INDIRECT("Table!A" &amp; $U95):INDIRECT("Table!" &amp; $X$159 &amp; $U95),0))))/1024)</f>
        <v>0.6083984375</v>
      </c>
      <c r="C95" s="31">
        <f ca="1">IF(ISERROR(MATCH(C$1,INDIRECT("Table!A"&amp;$U95):INDIRECT("Table!" &amp; $X$159 &amp; $U95),0)),"",INDIRECT(CONCATENATE("Table!",ADDRESS($Q95,MATCH(C$1,INDIRECT("Table!A" &amp; $U95):INDIRECT("Table!" &amp; $X$159 &amp; $U95),0))))/1024)</f>
        <v>0.7275390625</v>
      </c>
      <c r="D95" s="31">
        <f ca="1">IF(ISERROR(MATCH(D$1,INDIRECT("Table!A"&amp;$U95):INDIRECT("Table!" &amp; $X$159 &amp; $U95),0)),"",INDIRECT(CONCATENATE("Table!",ADDRESS($Q95,MATCH(D$1,INDIRECT("Table!A" &amp; $U95):INDIRECT("Table!" &amp; $X$159 &amp; $U95),0))))/1024)</f>
        <v>0.5390625</v>
      </c>
      <c r="E95" s="31">
        <f ca="1">IF(ISERROR(MATCH(E$1,INDIRECT("Table!A"&amp;$U95):INDIRECT("Table!" &amp; $X$159 &amp; $U95),0)),"",INDIRECT(CONCATENATE("Table!",ADDRESS($Q95,MATCH(E$1,INDIRECT("Table!A" &amp; $U95):INDIRECT("Table!" &amp; $X$159 &amp; $U95),0))))/1024)</f>
        <v>0.662109375</v>
      </c>
      <c r="F95" s="31">
        <f ca="1">IF(ISERROR(MATCH(F$1,INDIRECT("Table!A"&amp;$U95):INDIRECT("Table!" &amp; $X$159 &amp; $U95),0)),"",INDIRECT(CONCATENATE("Table!",ADDRESS($Q95,MATCH(F$1,INDIRECT("Table!A" &amp; $U95):INDIRECT("Table!" &amp; $X$159 &amp; $U95),0))))/1024)</f>
        <v>3.208984375</v>
      </c>
      <c r="G95" s="31">
        <f ca="1">IF(ISERROR(MATCH(G$1,INDIRECT("Table!A"&amp;$U95):INDIRECT("Table!" &amp; $X$159 &amp; $U95),0)),"",INDIRECT(CONCATENATE("Table!",ADDRESS($Q95,MATCH(G$1,INDIRECT("Table!A" &amp; $U95):INDIRECT("Table!" &amp; $X$159 &amp; $U95),0))))/1024)</f>
        <v>3.0009765625</v>
      </c>
      <c r="H95" s="31">
        <f ca="1">IF(ISERROR(MATCH(H$1,INDIRECT("Table!A"&amp;$U95):INDIRECT("Table!" &amp; $X$159 &amp; $U95),0)),"",INDIRECT(CONCATENATE("Table!",ADDRESS($Q95,MATCH(H$1,INDIRECT("Table!A" &amp; $U95):INDIRECT("Table!" &amp; $X$159 &amp; $U95),0))))/1024)</f>
        <v>2.177734375</v>
      </c>
      <c r="I95" s="31">
        <f ca="1">IF(ISERROR(MATCH(I$1,INDIRECT("Table!A"&amp;$U95):INDIRECT("Table!" &amp; $X$159 &amp; $U95),0)),"",INDIRECT(CONCATENATE("Table!",ADDRESS($Q95,MATCH(I$1,INDIRECT("Table!A" &amp; $U95):INDIRECT("Table!" &amp; $X$159 &amp; $U95),0))))/1024)</f>
        <v>0.8583984375</v>
      </c>
      <c r="J95" s="31">
        <f ca="1">IF(ISERROR(MATCH(J$1,INDIRECT("Table!A"&amp;$U95):INDIRECT("Table!" &amp; $X$159 &amp; $U95),0)),"",INDIRECT(CONCATENATE("Table!",ADDRESS($Q95,MATCH(J$1,INDIRECT("Table!A" &amp; $U95):INDIRECT("Table!" &amp; $X$159 &amp; $U95),0))))/1024)</f>
        <v>2.93359375</v>
      </c>
      <c r="K95" s="31">
        <f ca="1">IF(ISERROR(MATCH(K$1,INDIRECT("Table!A"&amp;$U95):INDIRECT("Table!" &amp; $X$159 &amp; $U95),0)),"",INDIRECT(CONCATENATE("Table!",ADDRESS($Q95,MATCH(K$1,INDIRECT("Table!A" &amp; $U95):INDIRECT("Table!" &amp; $X$159 &amp; $U95),0))))/1024)</f>
        <v>2.73828125</v>
      </c>
      <c r="L95" s="31">
        <f ca="1">IF(ISERROR(MATCH(L$1,INDIRECT("Table!A"&amp;$U95):INDIRECT("Table!" &amp; $X$159 &amp; $U95),0)),"",INDIRECT(CONCATENATE("Table!",ADDRESS($Q95,MATCH(L$1,INDIRECT("Table!A" &amp; $U95):INDIRECT("Table!" &amp; $X$159 &amp; $U95),0))))/1024)</f>
        <v>2.1787109375</v>
      </c>
      <c r="M95" s="31">
        <f ca="1">IF(ISERROR(MATCH(M$1,INDIRECT("Table!A"&amp;$U95):INDIRECT("Table!" &amp; $X$159 &amp; $U95),0)),"",INDIRECT(CONCATENATE("Table!",ADDRESS($Q95,MATCH(M$1,INDIRECT("Table!A" &amp; $U95):INDIRECT("Table!" &amp; $X$159 &amp; $U95),0))))/1024)</f>
        <v>2.208984375</v>
      </c>
      <c r="N95" s="31"/>
      <c r="O95" s="183"/>
      <c r="P95" s="183"/>
      <c r="Q95" s="31">
        <f>MATCH($A95,Table!$A:$A,0)+$S$2-1</f>
        <v>1428</v>
      </c>
      <c r="R95" s="183"/>
      <c r="S95" s="183"/>
      <c r="T95" s="183"/>
      <c r="U95" s="31">
        <f>MATCH($A95,Table!$A:$A,0)+$W$2-1</f>
        <v>1415</v>
      </c>
      <c r="V95" s="183"/>
      <c r="W95" s="183"/>
      <c r="X95" s="183" t="s">
        <v>118</v>
      </c>
    </row>
    <row r="96" spans="1:24">
      <c r="A96" s="5">
        <v>41030</v>
      </c>
      <c r="B96" s="31">
        <f ca="1">IF(ISERROR(MATCH(B$1,INDIRECT("Table!A"&amp;$U96):INDIRECT("Table!" &amp; $X$159 &amp; $U96),0)),"",INDIRECT(CONCATENATE("Table!",ADDRESS($Q96,MATCH(B$1,INDIRECT("Table!A" &amp; $U96):INDIRECT("Table!" &amp; $X$159 &amp; $U96),0))))/1024)</f>
        <v>0.6083984375</v>
      </c>
      <c r="C96" s="31">
        <f ca="1">IF(ISERROR(MATCH(C$1,INDIRECT("Table!A"&amp;$U96):INDIRECT("Table!" &amp; $X$159 &amp; $U96),0)),"",INDIRECT(CONCATENATE("Table!",ADDRESS($Q96,MATCH(C$1,INDIRECT("Table!A" &amp; $U96):INDIRECT("Table!" &amp; $X$159 &amp; $U96),0))))/1024)</f>
        <v>0.7275390625</v>
      </c>
      <c r="D96" s="31">
        <f ca="1">IF(ISERROR(MATCH(D$1,INDIRECT("Table!A"&amp;$U96):INDIRECT("Table!" &amp; $X$159 &amp; $U96),0)),"",INDIRECT(CONCATENATE("Table!",ADDRESS($Q96,MATCH(D$1,INDIRECT("Table!A" &amp; $U96):INDIRECT("Table!" &amp; $X$159 &amp; $U96),0))))/1024)</f>
        <v>0.5390625</v>
      </c>
      <c r="E96" s="31">
        <f ca="1">IF(ISERROR(MATCH(E$1,INDIRECT("Table!A"&amp;$U96):INDIRECT("Table!" &amp; $X$159 &amp; $U96),0)),"",INDIRECT(CONCATENATE("Table!",ADDRESS($Q96,MATCH(E$1,INDIRECT("Table!A" &amp; $U96):INDIRECT("Table!" &amp; $X$159 &amp; $U96),0))))/1024)</f>
        <v>0.662109375</v>
      </c>
      <c r="F96" s="31">
        <f ca="1">IF(ISERROR(MATCH(F$1,INDIRECT("Table!A"&amp;$U96):INDIRECT("Table!" &amp; $X$159 &amp; $U96),0)),"",INDIRECT(CONCATENATE("Table!",ADDRESS($Q96,MATCH(F$1,INDIRECT("Table!A" &amp; $U96):INDIRECT("Table!" &amp; $X$159 &amp; $U96),0))))/1024)</f>
        <v>3.208984375</v>
      </c>
      <c r="G96" s="31">
        <f ca="1">IF(ISERROR(MATCH(G$1,INDIRECT("Table!A"&amp;$U96):INDIRECT("Table!" &amp; $X$159 &amp; $U96),0)),"",INDIRECT(CONCATENATE("Table!",ADDRESS($Q96,MATCH(G$1,INDIRECT("Table!A" &amp; $U96):INDIRECT("Table!" &amp; $X$159 &amp; $U96),0))))/1024)</f>
        <v>3.0009765625</v>
      </c>
      <c r="H96" s="31">
        <f ca="1">IF(ISERROR(MATCH(H$1,INDIRECT("Table!A"&amp;$U96):INDIRECT("Table!" &amp; $X$159 &amp; $U96),0)),"",INDIRECT(CONCATENATE("Table!",ADDRESS($Q96,MATCH(H$1,INDIRECT("Table!A" &amp; $U96):INDIRECT("Table!" &amp; $X$159 &amp; $U96),0))))/1024)</f>
        <v>2.177734375</v>
      </c>
      <c r="I96" s="31">
        <f ca="1">IF(ISERROR(MATCH(I$1,INDIRECT("Table!A"&amp;$U96):INDIRECT("Table!" &amp; $X$159 &amp; $U96),0)),"",INDIRECT(CONCATENATE("Table!",ADDRESS($Q96,MATCH(I$1,INDIRECT("Table!A" &amp; $U96):INDIRECT("Table!" &amp; $X$159 &amp; $U96),0))))/1024)</f>
        <v>0.8583984375</v>
      </c>
      <c r="J96" s="31">
        <f ca="1">IF(ISERROR(MATCH(J$1,INDIRECT("Table!A"&amp;$U96):INDIRECT("Table!" &amp; $X$159 &amp; $U96),0)),"",INDIRECT(CONCATENATE("Table!",ADDRESS($Q96,MATCH(J$1,INDIRECT("Table!A" &amp; $U96):INDIRECT("Table!" &amp; $X$159 &amp; $U96),0))))/1024)</f>
        <v>2.93359375</v>
      </c>
      <c r="K96" s="31">
        <f ca="1">IF(ISERROR(MATCH(K$1,INDIRECT("Table!A"&amp;$U96):INDIRECT("Table!" &amp; $X$159 &amp; $U96),0)),"",INDIRECT(CONCATENATE("Table!",ADDRESS($Q96,MATCH(K$1,INDIRECT("Table!A" &amp; $U96):INDIRECT("Table!" &amp; $X$159 &amp; $U96),0))))/1024)</f>
        <v>2.73828125</v>
      </c>
      <c r="L96" s="31">
        <f ca="1">IF(ISERROR(MATCH(L$1,INDIRECT("Table!A"&amp;$U96):INDIRECT("Table!" &amp; $X$159 &amp; $U96),0)),"",INDIRECT(CONCATENATE("Table!",ADDRESS($Q96,MATCH(L$1,INDIRECT("Table!A" &amp; $U96):INDIRECT("Table!" &amp; $X$159 &amp; $U96),0))))/1024)</f>
        <v>2.1787109375</v>
      </c>
      <c r="M96" s="31">
        <f ca="1">IF(ISERROR(MATCH(M$1,INDIRECT("Table!A"&amp;$U96):INDIRECT("Table!" &amp; $X$159 &amp; $U96),0)),"",INDIRECT(CONCATENATE("Table!",ADDRESS($Q96,MATCH(M$1,INDIRECT("Table!A" &amp; $U96):INDIRECT("Table!" &amp; $X$159 &amp; $U96),0))))/1024)</f>
        <v>2.208984375</v>
      </c>
      <c r="N96" s="31"/>
      <c r="O96" s="182"/>
      <c r="P96" s="182"/>
      <c r="Q96" s="31">
        <f>MATCH($A96,Table!$A:$A,0)+$S$2-1</f>
        <v>1441</v>
      </c>
      <c r="R96" s="182"/>
      <c r="S96" s="182"/>
      <c r="T96" s="182"/>
      <c r="U96" s="31">
        <f>MATCH($A96,Table!$A:$A,0)+$W$2-1</f>
        <v>1428</v>
      </c>
      <c r="V96" s="182"/>
      <c r="W96" s="182"/>
      <c r="X96" s="182" t="s">
        <v>118</v>
      </c>
    </row>
    <row r="97" spans="1:24">
      <c r="A97" s="5">
        <v>41026</v>
      </c>
      <c r="B97" s="31">
        <f ca="1">IF(ISERROR(MATCH(B$1,INDIRECT("Table!A"&amp;$U97):INDIRECT("Table!" &amp; $X$159 &amp; $U97),0)),"",INDIRECT(CONCATENATE("Table!",ADDRESS($Q97,MATCH(B$1,INDIRECT("Table!A" &amp; $U97):INDIRECT("Table!" &amp; $X$159 &amp; $U97),0))))/1024)</f>
        <v>0.6083984375</v>
      </c>
      <c r="C97" s="31">
        <f ca="1">IF(ISERROR(MATCH(C$1,INDIRECT("Table!A"&amp;$U97):INDIRECT("Table!" &amp; $X$159 &amp; $U97),0)),"",INDIRECT(CONCATENATE("Table!",ADDRESS($Q97,MATCH(C$1,INDIRECT("Table!A" &amp; $U97):INDIRECT("Table!" &amp; $X$159 &amp; $U97),0))))/1024)</f>
        <v>0.7275390625</v>
      </c>
      <c r="D97" s="31">
        <f ca="1">IF(ISERROR(MATCH(D$1,INDIRECT("Table!A"&amp;$U97):INDIRECT("Table!" &amp; $X$159 &amp; $U97),0)),"",INDIRECT(CONCATENATE("Table!",ADDRESS($Q97,MATCH(D$1,INDIRECT("Table!A" &amp; $U97):INDIRECT("Table!" &amp; $X$159 &amp; $U97),0))))/1024)</f>
        <v>0.5390625</v>
      </c>
      <c r="E97" s="31">
        <f ca="1">IF(ISERROR(MATCH(E$1,INDIRECT("Table!A"&amp;$U97):INDIRECT("Table!" &amp; $X$159 &amp; $U97),0)),"",INDIRECT(CONCATENATE("Table!",ADDRESS($Q97,MATCH(E$1,INDIRECT("Table!A" &amp; $U97):INDIRECT("Table!" &amp; $X$159 &amp; $U97),0))))/1024)</f>
        <v>0.662109375</v>
      </c>
      <c r="F97" s="31">
        <f ca="1">IF(ISERROR(MATCH(F$1,INDIRECT("Table!A"&amp;$U97):INDIRECT("Table!" &amp; $X$159 &amp; $U97),0)),"",INDIRECT(CONCATENATE("Table!",ADDRESS($Q97,MATCH(F$1,INDIRECT("Table!A" &amp; $U97):INDIRECT("Table!" &amp; $X$159 &amp; $U97),0))))/1024)</f>
        <v>3.208984375</v>
      </c>
      <c r="G97" s="31">
        <f ca="1">IF(ISERROR(MATCH(G$1,INDIRECT("Table!A"&amp;$U97):INDIRECT("Table!" &amp; $X$159 &amp; $U97),0)),"",INDIRECT(CONCATENATE("Table!",ADDRESS($Q97,MATCH(G$1,INDIRECT("Table!A" &amp; $U97):INDIRECT("Table!" &amp; $X$159 &amp; $U97),0))))/1024)</f>
        <v>3.0009765625</v>
      </c>
      <c r="H97" s="31">
        <f ca="1">IF(ISERROR(MATCH(H$1,INDIRECT("Table!A"&amp;$U97):INDIRECT("Table!" &amp; $X$159 &amp; $U97),0)),"",INDIRECT(CONCATENATE("Table!",ADDRESS($Q97,MATCH(H$1,INDIRECT("Table!A" &amp; $U97):INDIRECT("Table!" &amp; $X$159 &amp; $U97),0))))/1024)</f>
        <v>2.177734375</v>
      </c>
      <c r="I97" s="31">
        <f ca="1">IF(ISERROR(MATCH(I$1,INDIRECT("Table!A"&amp;$U97):INDIRECT("Table!" &amp; $X$159 &amp; $U97),0)),"",INDIRECT(CONCATENATE("Table!",ADDRESS($Q97,MATCH(I$1,INDIRECT("Table!A" &amp; $U97):INDIRECT("Table!" &amp; $X$159 &amp; $U97),0))))/1024)</f>
        <v>0.8583984375</v>
      </c>
      <c r="J97" s="31">
        <f ca="1">IF(ISERROR(MATCH(J$1,INDIRECT("Table!A"&amp;$U97):INDIRECT("Table!" &amp; $X$159 &amp; $U97),0)),"",INDIRECT(CONCATENATE("Table!",ADDRESS($Q97,MATCH(J$1,INDIRECT("Table!A" &amp; $U97):INDIRECT("Table!" &amp; $X$159 &amp; $U97),0))))/1024)</f>
        <v>2.93359375</v>
      </c>
      <c r="K97" s="31">
        <f ca="1">IF(ISERROR(MATCH(K$1,INDIRECT("Table!A"&amp;$U97):INDIRECT("Table!" &amp; $X$159 &amp; $U97),0)),"",INDIRECT(CONCATENATE("Table!",ADDRESS($Q97,MATCH(K$1,INDIRECT("Table!A" &amp; $U97):INDIRECT("Table!" &amp; $X$159 &amp; $U97),0))))/1024)</f>
        <v>2.73828125</v>
      </c>
      <c r="L97" s="31">
        <f ca="1">IF(ISERROR(MATCH(L$1,INDIRECT("Table!A"&amp;$U97):INDIRECT("Table!" &amp; $X$159 &amp; $U97),0)),"",INDIRECT(CONCATENATE("Table!",ADDRESS($Q97,MATCH(L$1,INDIRECT("Table!A" &amp; $U97):INDIRECT("Table!" &amp; $X$159 &amp; $U97),0))))/1024)</f>
        <v>2.1787109375</v>
      </c>
      <c r="M97" s="31">
        <f ca="1">IF(ISERROR(MATCH(M$1,INDIRECT("Table!A"&amp;$U97):INDIRECT("Table!" &amp; $X$159 &amp; $U97),0)),"",INDIRECT(CONCATENATE("Table!",ADDRESS($Q97,MATCH(M$1,INDIRECT("Table!A" &amp; $U97):INDIRECT("Table!" &amp; $X$159 &amp; $U97),0))))/1024)</f>
        <v>2.208984375</v>
      </c>
      <c r="N97" s="31"/>
      <c r="O97" s="181"/>
      <c r="P97" s="181"/>
      <c r="Q97" s="31">
        <f>MATCH($A97,Table!$A:$A,0)+$S$2-1</f>
        <v>1454</v>
      </c>
      <c r="R97" s="181"/>
      <c r="S97" s="181"/>
      <c r="T97" s="181"/>
      <c r="U97" s="31">
        <f>MATCH($A97,Table!$A:$A,0)+$W$2-1</f>
        <v>1441</v>
      </c>
      <c r="V97" s="181"/>
      <c r="W97" s="181"/>
      <c r="X97" s="181" t="s">
        <v>118</v>
      </c>
    </row>
    <row r="98" spans="1:24">
      <c r="A98" s="5">
        <v>41024</v>
      </c>
      <c r="B98" s="31">
        <f ca="1">IF(ISERROR(MATCH(B$1,INDIRECT("Table!A"&amp;$U98):INDIRECT("Table!" &amp; $X$159 &amp; $U98),0)),"",INDIRECT(CONCATENATE("Table!",ADDRESS($Q98,MATCH(B$1,INDIRECT("Table!A" &amp; $U98):INDIRECT("Table!" &amp; $X$159 &amp; $U98),0))))/1024)</f>
        <v>0.6083984375</v>
      </c>
      <c r="C98" s="31">
        <f ca="1">IF(ISERROR(MATCH(C$1,INDIRECT("Table!A"&amp;$U98):INDIRECT("Table!" &amp; $X$159 &amp; $U98),0)),"",INDIRECT(CONCATENATE("Table!",ADDRESS($Q98,MATCH(C$1,INDIRECT("Table!A" &amp; $U98):INDIRECT("Table!" &amp; $X$159 &amp; $U98),0))))/1024)</f>
        <v>0.7275390625</v>
      </c>
      <c r="D98" s="31">
        <f ca="1">IF(ISERROR(MATCH(D$1,INDIRECT("Table!A"&amp;$U98):INDIRECT("Table!" &amp; $X$159 &amp; $U98),0)),"",INDIRECT(CONCATENATE("Table!",ADDRESS($Q98,MATCH(D$1,INDIRECT("Table!A" &amp; $U98):INDIRECT("Table!" &amp; $X$159 &amp; $U98),0))))/1024)</f>
        <v>0.5390625</v>
      </c>
      <c r="E98" s="31">
        <f ca="1">IF(ISERROR(MATCH(E$1,INDIRECT("Table!A"&amp;$U98):INDIRECT("Table!" &amp; $X$159 &amp; $U98),0)),"",INDIRECT(CONCATENATE("Table!",ADDRESS($Q98,MATCH(E$1,INDIRECT("Table!A" &amp; $U98):INDIRECT("Table!" &amp; $X$159 &amp; $U98),0))))/1024)</f>
        <v>0.662109375</v>
      </c>
      <c r="F98" s="31">
        <f ca="1">IF(ISERROR(MATCH(F$1,INDIRECT("Table!A"&amp;$U98):INDIRECT("Table!" &amp; $X$159 &amp; $U98),0)),"",INDIRECT(CONCATENATE("Table!",ADDRESS($Q98,MATCH(F$1,INDIRECT("Table!A" &amp; $U98):INDIRECT("Table!" &amp; $X$159 &amp; $U98),0))))/1024)</f>
        <v>3.208984375</v>
      </c>
      <c r="G98" s="31">
        <f ca="1">IF(ISERROR(MATCH(G$1,INDIRECT("Table!A"&amp;$U98):INDIRECT("Table!" &amp; $X$159 &amp; $U98),0)),"",INDIRECT(CONCATENATE("Table!",ADDRESS($Q98,MATCH(G$1,INDIRECT("Table!A" &amp; $U98):INDIRECT("Table!" &amp; $X$159 &amp; $U98),0))))/1024)</f>
        <v>3.0009765625</v>
      </c>
      <c r="H98" s="31">
        <f ca="1">IF(ISERROR(MATCH(H$1,INDIRECT("Table!A"&amp;$U98):INDIRECT("Table!" &amp; $X$159 &amp; $U98),0)),"",INDIRECT(CONCATENATE("Table!",ADDRESS($Q98,MATCH(H$1,INDIRECT("Table!A" &amp; $U98):INDIRECT("Table!" &amp; $X$159 &amp; $U98),0))))/1024)</f>
        <v>2.177734375</v>
      </c>
      <c r="I98" s="31">
        <f ca="1">IF(ISERROR(MATCH(I$1,INDIRECT("Table!A"&amp;$U98):INDIRECT("Table!" &amp; $X$159 &amp; $U98),0)),"",INDIRECT(CONCATENATE("Table!",ADDRESS($Q98,MATCH(I$1,INDIRECT("Table!A" &amp; $U98):INDIRECT("Table!" &amp; $X$159 &amp; $U98),0))))/1024)</f>
        <v>0.8583984375</v>
      </c>
      <c r="J98" s="31">
        <f ca="1">IF(ISERROR(MATCH(J$1,INDIRECT("Table!A"&amp;$U98):INDIRECT("Table!" &amp; $X$159 &amp; $U98),0)),"",INDIRECT(CONCATENATE("Table!",ADDRESS($Q98,MATCH(J$1,INDIRECT("Table!A" &amp; $U98):INDIRECT("Table!" &amp; $X$159 &amp; $U98),0))))/1024)</f>
        <v>2.93359375</v>
      </c>
      <c r="K98" s="31">
        <f ca="1">IF(ISERROR(MATCH(K$1,INDIRECT("Table!A"&amp;$U98):INDIRECT("Table!" &amp; $X$159 &amp; $U98),0)),"",INDIRECT(CONCATENATE("Table!",ADDRESS($Q98,MATCH(K$1,INDIRECT("Table!A" &amp; $U98):INDIRECT("Table!" &amp; $X$159 &amp; $U98),0))))/1024)</f>
        <v>2.73828125</v>
      </c>
      <c r="L98" s="31">
        <f ca="1">IF(ISERROR(MATCH(L$1,INDIRECT("Table!A"&amp;$U98):INDIRECT("Table!" &amp; $X$159 &amp; $U98),0)),"",INDIRECT(CONCATENATE("Table!",ADDRESS($Q98,MATCH(L$1,INDIRECT("Table!A" &amp; $U98):INDIRECT("Table!" &amp; $X$159 &amp; $U98),0))))/1024)</f>
        <v>2.1787109375</v>
      </c>
      <c r="M98" s="31">
        <f ca="1">IF(ISERROR(MATCH(M$1,INDIRECT("Table!A"&amp;$U98):INDIRECT("Table!" &amp; $X$159 &amp; $U98),0)),"",INDIRECT(CONCATENATE("Table!",ADDRESS($Q98,MATCH(M$1,INDIRECT("Table!A" &amp; $U98):INDIRECT("Table!" &amp; $X$159 &amp; $U98),0))))/1024)</f>
        <v>2.208984375</v>
      </c>
      <c r="N98" s="31"/>
      <c r="O98" s="180"/>
      <c r="P98" s="180"/>
      <c r="Q98" s="31">
        <f>MATCH($A98,Table!$A:$A,0)+$S$2-1</f>
        <v>1467</v>
      </c>
      <c r="R98" s="180"/>
      <c r="S98" s="180"/>
      <c r="T98" s="180"/>
      <c r="U98" s="31">
        <f>MATCH($A98,Table!$A:$A,0)+$W$2-1</f>
        <v>1454</v>
      </c>
      <c r="V98" s="180"/>
      <c r="W98" s="180"/>
      <c r="X98" s="180" t="s">
        <v>118</v>
      </c>
    </row>
    <row r="99" spans="1:24">
      <c r="A99" s="5">
        <v>41023</v>
      </c>
      <c r="B99" s="31">
        <f ca="1">IF(ISERROR(MATCH(B$1,INDIRECT("Table!A"&amp;$U99):INDIRECT("Table!" &amp; $X$159 &amp; $U99),0)),"",INDIRECT(CONCATENATE("Table!",ADDRESS($Q99,MATCH(B$1,INDIRECT("Table!A" &amp; $U99):INDIRECT("Table!" &amp; $X$159 &amp; $U99),0))))/1024)</f>
        <v>0.6083984375</v>
      </c>
      <c r="C99" s="31">
        <f ca="1">IF(ISERROR(MATCH(C$1,INDIRECT("Table!A"&amp;$U99):INDIRECT("Table!" &amp; $X$159 &amp; $U99),0)),"",INDIRECT(CONCATENATE("Table!",ADDRESS($Q99,MATCH(C$1,INDIRECT("Table!A" &amp; $U99):INDIRECT("Table!" &amp; $X$159 &amp; $U99),0))))/1024)</f>
        <v>0.7275390625</v>
      </c>
      <c r="D99" s="31">
        <f ca="1">IF(ISERROR(MATCH(D$1,INDIRECT("Table!A"&amp;$U99):INDIRECT("Table!" &amp; $X$159 &amp; $U99),0)),"",INDIRECT(CONCATENATE("Table!",ADDRESS($Q99,MATCH(D$1,INDIRECT("Table!A" &amp; $U99):INDIRECT("Table!" &amp; $X$159 &amp; $U99),0))))/1024)</f>
        <v>0.5390625</v>
      </c>
      <c r="E99" s="31">
        <f ca="1">IF(ISERROR(MATCH(E$1,INDIRECT("Table!A"&amp;$U99):INDIRECT("Table!" &amp; $X$159 &amp; $U99),0)),"",INDIRECT(CONCATENATE("Table!",ADDRESS($Q99,MATCH(E$1,INDIRECT("Table!A" &amp; $U99):INDIRECT("Table!" &amp; $X$159 &amp; $U99),0))))/1024)</f>
        <v>0.662109375</v>
      </c>
      <c r="F99" s="31">
        <f ca="1">IF(ISERROR(MATCH(F$1,INDIRECT("Table!A"&amp;$U99):INDIRECT("Table!" &amp; $X$159 &amp; $U99),0)),"",INDIRECT(CONCATENATE("Table!",ADDRESS($Q99,MATCH(F$1,INDIRECT("Table!A" &amp; $U99):INDIRECT("Table!" &amp; $X$159 &amp; $U99),0))))/1024)</f>
        <v>3.208984375</v>
      </c>
      <c r="G99" s="31">
        <f ca="1">IF(ISERROR(MATCH(G$1,INDIRECT("Table!A"&amp;$U99):INDIRECT("Table!" &amp; $X$159 &amp; $U99),0)),"",INDIRECT(CONCATENATE("Table!",ADDRESS($Q99,MATCH(G$1,INDIRECT("Table!A" &amp; $U99):INDIRECT("Table!" &amp; $X$159 &amp; $U99),0))))/1024)</f>
        <v>3.0009765625</v>
      </c>
      <c r="H99" s="31">
        <f ca="1">IF(ISERROR(MATCH(H$1,INDIRECT("Table!A"&amp;$U99):INDIRECT("Table!" &amp; $X$159 &amp; $U99),0)),"",INDIRECT(CONCATENATE("Table!",ADDRESS($Q99,MATCH(H$1,INDIRECT("Table!A" &amp; $U99):INDIRECT("Table!" &amp; $X$159 &amp; $U99),0))))/1024)</f>
        <v>2.177734375</v>
      </c>
      <c r="I99" s="31">
        <f ca="1">IF(ISERROR(MATCH(I$1,INDIRECT("Table!A"&amp;$U99):INDIRECT("Table!" &amp; $X$159 &amp; $U99),0)),"",INDIRECT(CONCATENATE("Table!",ADDRESS($Q99,MATCH(I$1,INDIRECT("Table!A" &amp; $U99):INDIRECT("Table!" &amp; $X$159 &amp; $U99),0))))/1024)</f>
        <v>0.8583984375</v>
      </c>
      <c r="J99" s="31">
        <f ca="1">IF(ISERROR(MATCH(J$1,INDIRECT("Table!A"&amp;$U99):INDIRECT("Table!" &amp; $X$159 &amp; $U99),0)),"",INDIRECT(CONCATENATE("Table!",ADDRESS($Q99,MATCH(J$1,INDIRECT("Table!A" &amp; $U99):INDIRECT("Table!" &amp; $X$159 &amp; $U99),0))))/1024)</f>
        <v>2.93359375</v>
      </c>
      <c r="K99" s="31">
        <f ca="1">IF(ISERROR(MATCH(K$1,INDIRECT("Table!A"&amp;$U99):INDIRECT("Table!" &amp; $X$159 &amp; $U99),0)),"",INDIRECT(CONCATENATE("Table!",ADDRESS($Q99,MATCH(K$1,INDIRECT("Table!A" &amp; $U99):INDIRECT("Table!" &amp; $X$159 &amp; $U99),0))))/1024)</f>
        <v>2.73828125</v>
      </c>
      <c r="L99" s="31">
        <f ca="1">IF(ISERROR(MATCH(L$1,INDIRECT("Table!A"&amp;$U99):INDIRECT("Table!" &amp; $X$159 &amp; $U99),0)),"",INDIRECT(CONCATENATE("Table!",ADDRESS($Q99,MATCH(L$1,INDIRECT("Table!A" &amp; $U99):INDIRECT("Table!" &amp; $X$159 &amp; $U99),0))))/1024)</f>
        <v>2.1787109375</v>
      </c>
      <c r="M99" s="31">
        <f ca="1">IF(ISERROR(MATCH(M$1,INDIRECT("Table!A"&amp;$U99):INDIRECT("Table!" &amp; $X$159 &amp; $U99),0)),"",INDIRECT(CONCATENATE("Table!",ADDRESS($Q99,MATCH(M$1,INDIRECT("Table!A" &amp; $U99):INDIRECT("Table!" &amp; $X$159 &amp; $U99),0))))/1024)</f>
        <v>2.208984375</v>
      </c>
      <c r="N99" s="31"/>
      <c r="O99" s="179"/>
      <c r="P99" s="179"/>
      <c r="Q99" s="31">
        <f>MATCH($A99,Table!$A:$A,0)+$S$2-1</f>
        <v>1480</v>
      </c>
      <c r="R99" s="179"/>
      <c r="S99" s="179"/>
      <c r="T99" s="179"/>
      <c r="U99" s="31">
        <f>MATCH($A99,Table!$A:$A,0)+$W$2-1</f>
        <v>1467</v>
      </c>
      <c r="V99" s="179"/>
      <c r="W99" s="179"/>
      <c r="X99" s="179" t="s">
        <v>118</v>
      </c>
    </row>
    <row r="100" spans="1:24">
      <c r="A100" s="5">
        <v>41022</v>
      </c>
      <c r="B100" s="31">
        <f ca="1">IF(ISERROR(MATCH(B$1,INDIRECT("Table!A"&amp;$U100):INDIRECT("Table!" &amp; $X$159 &amp; $U100),0)),"",INDIRECT(CONCATENATE("Table!",ADDRESS($Q100,MATCH(B$1,INDIRECT("Table!A" &amp; $U100):INDIRECT("Table!" &amp; $X$159 &amp; $U100),0))))/1024)</f>
        <v>0.6083984375</v>
      </c>
      <c r="C100" s="31">
        <f ca="1">IF(ISERROR(MATCH(C$1,INDIRECT("Table!A"&amp;$U100):INDIRECT("Table!" &amp; $X$159 &amp; $U100),0)),"",INDIRECT(CONCATENATE("Table!",ADDRESS($Q100,MATCH(C$1,INDIRECT("Table!A" &amp; $U100):INDIRECT("Table!" &amp; $X$159 &amp; $U100),0))))/1024)</f>
        <v>0.7275390625</v>
      </c>
      <c r="D100" s="31">
        <f ca="1">IF(ISERROR(MATCH(D$1,INDIRECT("Table!A"&amp;$U100):INDIRECT("Table!" &amp; $X$159 &amp; $U100),0)),"",INDIRECT(CONCATENATE("Table!",ADDRESS($Q100,MATCH(D$1,INDIRECT("Table!A" &amp; $U100):INDIRECT("Table!" &amp; $X$159 &amp; $U100),0))))/1024)</f>
        <v>0.5390625</v>
      </c>
      <c r="E100" s="31">
        <f ca="1">IF(ISERROR(MATCH(E$1,INDIRECT("Table!A"&amp;$U100):INDIRECT("Table!" &amp; $X$159 &amp; $U100),0)),"",INDIRECT(CONCATENATE("Table!",ADDRESS($Q100,MATCH(E$1,INDIRECT("Table!A" &amp; $U100):INDIRECT("Table!" &amp; $X$159 &amp; $U100),0))))/1024)</f>
        <v>0.662109375</v>
      </c>
      <c r="F100" s="31">
        <f ca="1">IF(ISERROR(MATCH(F$1,INDIRECT("Table!A"&amp;$U100):INDIRECT("Table!" &amp; $X$159 &amp; $U100),0)),"",INDIRECT(CONCATENATE("Table!",ADDRESS($Q100,MATCH(F$1,INDIRECT("Table!A" &amp; $U100):INDIRECT("Table!" &amp; $X$159 &amp; $U100),0))))/1024)</f>
        <v>3.208984375</v>
      </c>
      <c r="G100" s="31">
        <f ca="1">IF(ISERROR(MATCH(G$1,INDIRECT("Table!A"&amp;$U100):INDIRECT("Table!" &amp; $X$159 &amp; $U100),0)),"",INDIRECT(CONCATENATE("Table!",ADDRESS($Q100,MATCH(G$1,INDIRECT("Table!A" &amp; $U100):INDIRECT("Table!" &amp; $X$159 &amp; $U100),0))))/1024)</f>
        <v>3.0009765625</v>
      </c>
      <c r="H100" s="31">
        <f ca="1">IF(ISERROR(MATCH(H$1,INDIRECT("Table!A"&amp;$U100):INDIRECT("Table!" &amp; $X$159 &amp; $U100),0)),"",INDIRECT(CONCATENATE("Table!",ADDRESS($Q100,MATCH(H$1,INDIRECT("Table!A" &amp; $U100):INDIRECT("Table!" &amp; $X$159 &amp; $U100),0))))/1024)</f>
        <v>2.177734375</v>
      </c>
      <c r="I100" s="31">
        <f ca="1">IF(ISERROR(MATCH(I$1,INDIRECT("Table!A"&amp;$U100):INDIRECT("Table!" &amp; $X$159 &amp; $U100),0)),"",INDIRECT(CONCATENATE("Table!",ADDRESS($Q100,MATCH(I$1,INDIRECT("Table!A" &amp; $U100):INDIRECT("Table!" &amp; $X$159 &amp; $U100),0))))/1024)</f>
        <v>0.8583984375</v>
      </c>
      <c r="J100" s="31">
        <f ca="1">IF(ISERROR(MATCH(J$1,INDIRECT("Table!A"&amp;$U100):INDIRECT("Table!" &amp; $X$159 &amp; $U100),0)),"",INDIRECT(CONCATENATE("Table!",ADDRESS($Q100,MATCH(J$1,INDIRECT("Table!A" &amp; $U100):INDIRECT("Table!" &amp; $X$159 &amp; $U100),0))))/1024)</f>
        <v>2.93359375</v>
      </c>
      <c r="K100" s="31">
        <f ca="1">IF(ISERROR(MATCH(K$1,INDIRECT("Table!A"&amp;$U100):INDIRECT("Table!" &amp; $X$159 &amp; $U100),0)),"",INDIRECT(CONCATENATE("Table!",ADDRESS($Q100,MATCH(K$1,INDIRECT("Table!A" &amp; $U100):INDIRECT("Table!" &amp; $X$159 &amp; $U100),0))))/1024)</f>
        <v>2.73828125</v>
      </c>
      <c r="L100" s="31">
        <f ca="1">IF(ISERROR(MATCH(L$1,INDIRECT("Table!A"&amp;$U100):INDIRECT("Table!" &amp; $X$159 &amp; $U100),0)),"",INDIRECT(CONCATENATE("Table!",ADDRESS($Q100,MATCH(L$1,INDIRECT("Table!A" &amp; $U100):INDIRECT("Table!" &amp; $X$159 &amp; $U100),0))))/1024)</f>
        <v>2.1787109375</v>
      </c>
      <c r="M100" s="31">
        <f ca="1">IF(ISERROR(MATCH(M$1,INDIRECT("Table!A"&amp;$U100):INDIRECT("Table!" &amp; $X$159 &amp; $U100),0)),"",INDIRECT(CONCATENATE("Table!",ADDRESS($Q100,MATCH(M$1,INDIRECT("Table!A" &amp; $U100):INDIRECT("Table!" &amp; $X$159 &amp; $U100),0))))/1024)</f>
        <v>2.208984375</v>
      </c>
      <c r="N100" s="31"/>
      <c r="O100" s="178"/>
      <c r="P100" s="178"/>
      <c r="Q100" s="31">
        <f>MATCH($A100,Table!$A:$A,0)+$S$2-1</f>
        <v>1493</v>
      </c>
      <c r="R100" s="178"/>
      <c r="S100" s="178"/>
      <c r="T100" s="178"/>
      <c r="U100" s="31">
        <f>MATCH($A100,Table!$A:$A,0)+$W$2-1</f>
        <v>1480</v>
      </c>
      <c r="V100" s="178"/>
      <c r="W100" s="178"/>
      <c r="X100" s="178" t="s">
        <v>118</v>
      </c>
    </row>
    <row r="101" spans="1:24">
      <c r="A101" s="5">
        <v>41019</v>
      </c>
      <c r="B101" s="31">
        <f ca="1">IF(ISERROR(MATCH(B$1,INDIRECT("Table!A"&amp;$U101):INDIRECT("Table!" &amp; $X$159 &amp; $U101),0)),"",INDIRECT(CONCATENATE("Table!",ADDRESS($Q101,MATCH(B$1,INDIRECT("Table!A" &amp; $U101):INDIRECT("Table!" &amp; $X$159 &amp; $U101),0))))/1024)</f>
        <v>0.6083984375</v>
      </c>
      <c r="C101" s="31">
        <f ca="1">IF(ISERROR(MATCH(C$1,INDIRECT("Table!A"&amp;$U101):INDIRECT("Table!" &amp; $X$159 &amp; $U101),0)),"",INDIRECT(CONCATENATE("Table!",ADDRESS($Q101,MATCH(C$1,INDIRECT("Table!A" &amp; $U101):INDIRECT("Table!" &amp; $X$159 &amp; $U101),0))))/1024)</f>
        <v>0.7275390625</v>
      </c>
      <c r="D101" s="31">
        <f ca="1">IF(ISERROR(MATCH(D$1,INDIRECT("Table!A"&amp;$U101):INDIRECT("Table!" &amp; $X$159 &amp; $U101),0)),"",INDIRECT(CONCATENATE("Table!",ADDRESS($Q101,MATCH(D$1,INDIRECT("Table!A" &amp; $U101):INDIRECT("Table!" &amp; $X$159 &amp; $U101),0))))/1024)</f>
        <v>0.5390625</v>
      </c>
      <c r="E101" s="31">
        <f ca="1">IF(ISERROR(MATCH(E$1,INDIRECT("Table!A"&amp;$U101):INDIRECT("Table!" &amp; $X$159 &amp; $U101),0)),"",INDIRECT(CONCATENATE("Table!",ADDRESS($Q101,MATCH(E$1,INDIRECT("Table!A" &amp; $U101):INDIRECT("Table!" &amp; $X$159 &amp; $U101),0))))/1024)</f>
        <v>0.662109375</v>
      </c>
      <c r="F101" s="31">
        <f ca="1">IF(ISERROR(MATCH(F$1,INDIRECT("Table!A"&amp;$U101):INDIRECT("Table!" &amp; $X$159 &amp; $U101),0)),"",INDIRECT(CONCATENATE("Table!",ADDRESS($Q101,MATCH(F$1,INDIRECT("Table!A" &amp; $U101):INDIRECT("Table!" &amp; $X$159 &amp; $U101),0))))/1024)</f>
        <v>3.208984375</v>
      </c>
      <c r="G101" s="31">
        <f ca="1">IF(ISERROR(MATCH(G$1,INDIRECT("Table!A"&amp;$U101):INDIRECT("Table!" &amp; $X$159 &amp; $U101),0)),"",INDIRECT(CONCATENATE("Table!",ADDRESS($Q101,MATCH(G$1,INDIRECT("Table!A" &amp; $U101):INDIRECT("Table!" &amp; $X$159 &amp; $U101),0))))/1024)</f>
        <v>3.0009765625</v>
      </c>
      <c r="H101" s="31">
        <f ca="1">IF(ISERROR(MATCH(H$1,INDIRECT("Table!A"&amp;$U101):INDIRECT("Table!" &amp; $X$159 &amp; $U101),0)),"",INDIRECT(CONCATENATE("Table!",ADDRESS($Q101,MATCH(H$1,INDIRECT("Table!A" &amp; $U101):INDIRECT("Table!" &amp; $X$159 &amp; $U101),0))))/1024)</f>
        <v>2.177734375</v>
      </c>
      <c r="I101" s="31">
        <f ca="1">IF(ISERROR(MATCH(I$1,INDIRECT("Table!A"&amp;$U101):INDIRECT("Table!" &amp; $X$159 &amp; $U101),0)),"",INDIRECT(CONCATENATE("Table!",ADDRESS($Q101,MATCH(I$1,INDIRECT("Table!A" &amp; $U101):INDIRECT("Table!" &amp; $X$159 &amp; $U101),0))))/1024)</f>
        <v>0.8583984375</v>
      </c>
      <c r="J101" s="31">
        <f ca="1">IF(ISERROR(MATCH(J$1,INDIRECT("Table!A"&amp;$U101):INDIRECT("Table!" &amp; $X$159 &amp; $U101),0)),"",INDIRECT(CONCATENATE("Table!",ADDRESS($Q101,MATCH(J$1,INDIRECT("Table!A" &amp; $U101):INDIRECT("Table!" &amp; $X$159 &amp; $U101),0))))/1024)</f>
        <v>2.93359375</v>
      </c>
      <c r="K101" s="31">
        <f ca="1">IF(ISERROR(MATCH(K$1,INDIRECT("Table!A"&amp;$U101):INDIRECT("Table!" &amp; $X$159 &amp; $U101),0)),"",INDIRECT(CONCATENATE("Table!",ADDRESS($Q101,MATCH(K$1,INDIRECT("Table!A" &amp; $U101):INDIRECT("Table!" &amp; $X$159 &amp; $U101),0))))/1024)</f>
        <v>2.73828125</v>
      </c>
      <c r="L101" s="31">
        <f ca="1">IF(ISERROR(MATCH(L$1,INDIRECT("Table!A"&amp;$U101):INDIRECT("Table!" &amp; $X$159 &amp; $U101),0)),"",INDIRECT(CONCATENATE("Table!",ADDRESS($Q101,MATCH(L$1,INDIRECT("Table!A" &amp; $U101):INDIRECT("Table!" &amp; $X$159 &amp; $U101),0))))/1024)</f>
        <v>2.1787109375</v>
      </c>
      <c r="M101" s="31">
        <f ca="1">IF(ISERROR(MATCH(M$1,INDIRECT("Table!A"&amp;$U101):INDIRECT("Table!" &amp; $X$159 &amp; $U101),0)),"",INDIRECT(CONCATENATE("Table!",ADDRESS($Q101,MATCH(M$1,INDIRECT("Table!A" &amp; $U101):INDIRECT("Table!" &amp; $X$159 &amp; $U101),0))))/1024)</f>
        <v>2.208984375</v>
      </c>
      <c r="N101" s="31"/>
      <c r="O101" s="177"/>
      <c r="P101" s="177"/>
      <c r="Q101" s="31">
        <f>MATCH($A101,Table!$A:$A,0)+$S$2-1</f>
        <v>1506</v>
      </c>
      <c r="R101" s="177"/>
      <c r="S101" s="177"/>
      <c r="T101" s="177"/>
      <c r="U101" s="31">
        <f>MATCH($A101,Table!$A:$A,0)+$W$2-1</f>
        <v>1493</v>
      </c>
      <c r="V101" s="177"/>
      <c r="W101" s="177"/>
      <c r="X101" s="177" t="s">
        <v>118</v>
      </c>
    </row>
    <row r="102" spans="1:24">
      <c r="A102" s="5">
        <v>41018</v>
      </c>
      <c r="B102" s="31">
        <f ca="1">IF(ISERROR(MATCH(B$1,INDIRECT("Table!A"&amp;$U102):INDIRECT("Table!" &amp; $X$159 &amp; $U102),0)),"",INDIRECT(CONCATENATE("Table!",ADDRESS($Q102,MATCH(B$1,INDIRECT("Table!A" &amp; $U102):INDIRECT("Table!" &amp; $X$159 &amp; $U102),0))))/1024)</f>
        <v>0.6083984375</v>
      </c>
      <c r="C102" s="31">
        <f ca="1">IF(ISERROR(MATCH(C$1,INDIRECT("Table!A"&amp;$U102):INDIRECT("Table!" &amp; $X$159 &amp; $U102),0)),"",INDIRECT(CONCATENATE("Table!",ADDRESS($Q102,MATCH(C$1,INDIRECT("Table!A" &amp; $U102):INDIRECT("Table!" &amp; $X$159 &amp; $U102),0))))/1024)</f>
        <v>0.7275390625</v>
      </c>
      <c r="D102" s="31">
        <f ca="1">IF(ISERROR(MATCH(D$1,INDIRECT("Table!A"&amp;$U102):INDIRECT("Table!" &amp; $X$159 &amp; $U102),0)),"",INDIRECT(CONCATENATE("Table!",ADDRESS($Q102,MATCH(D$1,INDIRECT("Table!A" &amp; $U102):INDIRECT("Table!" &amp; $X$159 &amp; $U102),0))))/1024)</f>
        <v>0.5390625</v>
      </c>
      <c r="E102" s="31">
        <f ca="1">IF(ISERROR(MATCH(E$1,INDIRECT("Table!A"&amp;$U102):INDIRECT("Table!" &amp; $X$159 &amp; $U102),0)),"",INDIRECT(CONCATENATE("Table!",ADDRESS($Q102,MATCH(E$1,INDIRECT("Table!A" &amp; $U102):INDIRECT("Table!" &amp; $X$159 &amp; $U102),0))))/1024)</f>
        <v>0.662109375</v>
      </c>
      <c r="F102" s="31">
        <f ca="1">IF(ISERROR(MATCH(F$1,INDIRECT("Table!A"&amp;$U102):INDIRECT("Table!" &amp; $X$159 &amp; $U102),0)),"",INDIRECT(CONCATENATE("Table!",ADDRESS($Q102,MATCH(F$1,INDIRECT("Table!A" &amp; $U102):INDIRECT("Table!" &amp; $X$159 &amp; $U102),0))))/1024)</f>
        <v>3.208984375</v>
      </c>
      <c r="G102" s="31">
        <f ca="1">IF(ISERROR(MATCH(G$1,INDIRECT("Table!A"&amp;$U102):INDIRECT("Table!" &amp; $X$159 &amp; $U102),0)),"",INDIRECT(CONCATENATE("Table!",ADDRESS($Q102,MATCH(G$1,INDIRECT("Table!A" &amp; $U102):INDIRECT("Table!" &amp; $X$159 &amp; $U102),0))))/1024)</f>
        <v>3.0009765625</v>
      </c>
      <c r="H102" s="31">
        <f ca="1">IF(ISERROR(MATCH(H$1,INDIRECT("Table!A"&amp;$U102):INDIRECT("Table!" &amp; $X$159 &amp; $U102),0)),"",INDIRECT(CONCATENATE("Table!",ADDRESS($Q102,MATCH(H$1,INDIRECT("Table!A" &amp; $U102):INDIRECT("Table!" &amp; $X$159 &amp; $U102),0))))/1024)</f>
        <v>2.177734375</v>
      </c>
      <c r="I102" s="31">
        <f ca="1">IF(ISERROR(MATCH(I$1,INDIRECT("Table!A"&amp;$U102):INDIRECT("Table!" &amp; $X$159 &amp; $U102),0)),"",INDIRECT(CONCATENATE("Table!",ADDRESS($Q102,MATCH(I$1,INDIRECT("Table!A" &amp; $U102):INDIRECT("Table!" &amp; $X$159 &amp; $U102),0))))/1024)</f>
        <v>0.8583984375</v>
      </c>
      <c r="J102" s="31">
        <f ca="1">IF(ISERROR(MATCH(J$1,INDIRECT("Table!A"&amp;$U102):INDIRECT("Table!" &amp; $X$159 &amp; $U102),0)),"",INDIRECT(CONCATENATE("Table!",ADDRESS($Q102,MATCH(J$1,INDIRECT("Table!A" &amp; $U102):INDIRECT("Table!" &amp; $X$159 &amp; $U102),0))))/1024)</f>
        <v>2.93359375</v>
      </c>
      <c r="K102" s="31">
        <f ca="1">IF(ISERROR(MATCH(K$1,INDIRECT("Table!A"&amp;$U102):INDIRECT("Table!" &amp; $X$159 &amp; $U102),0)),"",INDIRECT(CONCATENATE("Table!",ADDRESS($Q102,MATCH(K$1,INDIRECT("Table!A" &amp; $U102):INDIRECT("Table!" &amp; $X$159 &amp; $U102),0))))/1024)</f>
        <v>2.73828125</v>
      </c>
      <c r="L102" s="31">
        <f ca="1">IF(ISERROR(MATCH(L$1,INDIRECT("Table!A"&amp;$U102):INDIRECT("Table!" &amp; $X$159 &amp; $U102),0)),"",INDIRECT(CONCATENATE("Table!",ADDRESS($Q102,MATCH(L$1,INDIRECT("Table!A" &amp; $U102):INDIRECT("Table!" &amp; $X$159 &amp; $U102),0))))/1024)</f>
        <v>2.1787109375</v>
      </c>
      <c r="M102" s="31">
        <f ca="1">IF(ISERROR(MATCH(M$1,INDIRECT("Table!A"&amp;$U102):INDIRECT("Table!" &amp; $X$159 &amp; $U102),0)),"",INDIRECT(CONCATENATE("Table!",ADDRESS($Q102,MATCH(M$1,INDIRECT("Table!A" &amp; $U102):INDIRECT("Table!" &amp; $X$159 &amp; $U102),0))))/1024)</f>
        <v>2.208984375</v>
      </c>
      <c r="N102" s="31"/>
      <c r="O102" s="177"/>
      <c r="P102" s="177"/>
      <c r="Q102" s="31">
        <f>MATCH($A102,Table!$A:$A,0)+$S$2-1</f>
        <v>1519</v>
      </c>
      <c r="R102" s="177"/>
      <c r="S102" s="177"/>
      <c r="T102" s="177"/>
      <c r="U102" s="31">
        <f>MATCH($A102,Table!$A:$A,0)+$W$2-1</f>
        <v>1506</v>
      </c>
      <c r="V102" s="177"/>
      <c r="W102" s="177"/>
      <c r="X102" s="177" t="s">
        <v>118</v>
      </c>
    </row>
    <row r="103" spans="1:24">
      <c r="A103" s="5">
        <v>41017</v>
      </c>
      <c r="B103" s="31">
        <f ca="1">IF(ISERROR(MATCH(B$1,INDIRECT("Table!A"&amp;$U103):INDIRECT("Table!" &amp; $X$159 &amp; $U103),0)),"",INDIRECT(CONCATENATE("Table!",ADDRESS($Q103,MATCH(B$1,INDIRECT("Table!A" &amp; $U103):INDIRECT("Table!" &amp; $X$159 &amp; $U103),0))))/1024)</f>
        <v>0.6083984375</v>
      </c>
      <c r="C103" s="31">
        <f ca="1">IF(ISERROR(MATCH(C$1,INDIRECT("Table!A"&amp;$U103):INDIRECT("Table!" &amp; $X$159 &amp; $U103),0)),"",INDIRECT(CONCATENATE("Table!",ADDRESS($Q103,MATCH(C$1,INDIRECT("Table!A" &amp; $U103):INDIRECT("Table!" &amp; $X$159 &amp; $U103),0))))/1024)</f>
        <v>0.7275390625</v>
      </c>
      <c r="D103" s="31">
        <f ca="1">IF(ISERROR(MATCH(D$1,INDIRECT("Table!A"&amp;$U103):INDIRECT("Table!" &amp; $X$159 &amp; $U103),0)),"",INDIRECT(CONCATENATE("Table!",ADDRESS($Q103,MATCH(D$1,INDIRECT("Table!A" &amp; $U103):INDIRECT("Table!" &amp; $X$159 &amp; $U103),0))))/1024)</f>
        <v>0.5390625</v>
      </c>
      <c r="E103" s="31">
        <f ca="1">IF(ISERROR(MATCH(E$1,INDIRECT("Table!A"&amp;$U103):INDIRECT("Table!" &amp; $X$159 &amp; $U103),0)),"",INDIRECT(CONCATENATE("Table!",ADDRESS($Q103,MATCH(E$1,INDIRECT("Table!A" &amp; $U103):INDIRECT("Table!" &amp; $X$159 &amp; $U103),0))))/1024)</f>
        <v>0.662109375</v>
      </c>
      <c r="F103" s="31">
        <f ca="1">IF(ISERROR(MATCH(F$1,INDIRECT("Table!A"&amp;$U103):INDIRECT("Table!" &amp; $X$159 &amp; $U103),0)),"",INDIRECT(CONCATENATE("Table!",ADDRESS($Q103,MATCH(F$1,INDIRECT("Table!A" &amp; $U103):INDIRECT("Table!" &amp; $X$159 &amp; $U103),0))))/1024)</f>
        <v>3.208984375</v>
      </c>
      <c r="G103" s="31">
        <f ca="1">IF(ISERROR(MATCH(G$1,INDIRECT("Table!A"&amp;$U103):INDIRECT("Table!" &amp; $X$159 &amp; $U103),0)),"",INDIRECT(CONCATENATE("Table!",ADDRESS($Q103,MATCH(G$1,INDIRECT("Table!A" &amp; $U103):INDIRECT("Table!" &amp; $X$159 &amp; $U103),0))))/1024)</f>
        <v>3.0009765625</v>
      </c>
      <c r="H103" s="31">
        <f ca="1">IF(ISERROR(MATCH(H$1,INDIRECT("Table!A"&amp;$U103):INDIRECT("Table!" &amp; $X$159 &amp; $U103),0)),"",INDIRECT(CONCATENATE("Table!",ADDRESS($Q103,MATCH(H$1,INDIRECT("Table!A" &amp; $U103):INDIRECT("Table!" &amp; $X$159 &amp; $U103),0))))/1024)</f>
        <v>2.177734375</v>
      </c>
      <c r="I103" s="31">
        <f ca="1">IF(ISERROR(MATCH(I$1,INDIRECT("Table!A"&amp;$U103):INDIRECT("Table!" &amp; $X$159 &amp; $U103),0)),"",INDIRECT(CONCATENATE("Table!",ADDRESS($Q103,MATCH(I$1,INDIRECT("Table!A" &amp; $U103):INDIRECT("Table!" &amp; $X$159 &amp; $U103),0))))/1024)</f>
        <v>0.8583984375</v>
      </c>
      <c r="J103" s="31">
        <f ca="1">IF(ISERROR(MATCH(J$1,INDIRECT("Table!A"&amp;$U103):INDIRECT("Table!" &amp; $X$159 &amp; $U103),0)),"",INDIRECT(CONCATENATE("Table!",ADDRESS($Q103,MATCH(J$1,INDIRECT("Table!A" &amp; $U103):INDIRECT("Table!" &amp; $X$159 &amp; $U103),0))))/1024)</f>
        <v>2.93359375</v>
      </c>
      <c r="K103" s="31">
        <f ca="1">IF(ISERROR(MATCH(K$1,INDIRECT("Table!A"&amp;$U103):INDIRECT("Table!" &amp; $X$159 &amp; $U103),0)),"",INDIRECT(CONCATENATE("Table!",ADDRESS($Q103,MATCH(K$1,INDIRECT("Table!A" &amp; $U103):INDIRECT("Table!" &amp; $X$159 &amp; $U103),0))))/1024)</f>
        <v>2.73828125</v>
      </c>
      <c r="L103" s="31">
        <f ca="1">IF(ISERROR(MATCH(L$1,INDIRECT("Table!A"&amp;$U103):INDIRECT("Table!" &amp; $X$159 &amp; $U103),0)),"",INDIRECT(CONCATENATE("Table!",ADDRESS($Q103,MATCH(L$1,INDIRECT("Table!A" &amp; $U103):INDIRECT("Table!" &amp; $X$159 &amp; $U103),0))))/1024)</f>
        <v>2.1787109375</v>
      </c>
      <c r="M103" s="31">
        <f ca="1">IF(ISERROR(MATCH(M$1,INDIRECT("Table!A"&amp;$U103):INDIRECT("Table!" &amp; $X$159 &amp; $U103),0)),"",INDIRECT(CONCATENATE("Table!",ADDRESS($Q103,MATCH(M$1,INDIRECT("Table!A" &amp; $U103):INDIRECT("Table!" &amp; $X$159 &amp; $U103),0))))/1024)</f>
        <v>2.208984375</v>
      </c>
      <c r="N103" s="31"/>
      <c r="O103" s="177"/>
      <c r="P103" s="177"/>
      <c r="Q103" s="31">
        <f>MATCH($A103,Table!$A:$A,0)+$S$2-1</f>
        <v>1532</v>
      </c>
      <c r="R103" s="177"/>
      <c r="S103" s="177"/>
      <c r="T103" s="177"/>
      <c r="U103" s="31">
        <f>MATCH($A103,Table!$A:$A,0)+$W$2-1</f>
        <v>1519</v>
      </c>
      <c r="V103" s="177"/>
      <c r="W103" s="177"/>
      <c r="X103" s="177" t="s">
        <v>118</v>
      </c>
    </row>
    <row r="104" spans="1:24">
      <c r="A104" s="5">
        <v>41015</v>
      </c>
      <c r="B104" s="31">
        <f ca="1">IF(ISERROR(MATCH(B$1,INDIRECT("Table!A"&amp;$U104):INDIRECT("Table!" &amp; $X$159 &amp; $U104),0)),"",INDIRECT(CONCATENATE("Table!",ADDRESS($Q104,MATCH(B$1,INDIRECT("Table!A" &amp; $U104):INDIRECT("Table!" &amp; $X$159 &amp; $U104),0))))/1024)</f>
        <v>0.6083984375</v>
      </c>
      <c r="C104" s="31">
        <f ca="1">IF(ISERROR(MATCH(C$1,INDIRECT("Table!A"&amp;$U104):INDIRECT("Table!" &amp; $X$159 &amp; $U104),0)),"",INDIRECT(CONCATENATE("Table!",ADDRESS($Q104,MATCH(C$1,INDIRECT("Table!A" &amp; $U104):INDIRECT("Table!" &amp; $X$159 &amp; $U104),0))))/1024)</f>
        <v>0.7275390625</v>
      </c>
      <c r="D104" s="31">
        <f ca="1">IF(ISERROR(MATCH(D$1,INDIRECT("Table!A"&amp;$U104):INDIRECT("Table!" &amp; $X$159 &amp; $U104),0)),"",INDIRECT(CONCATENATE("Table!",ADDRESS($Q104,MATCH(D$1,INDIRECT("Table!A" &amp; $U104):INDIRECT("Table!" &amp; $X$159 &amp; $U104),0))))/1024)</f>
        <v>0.5390625</v>
      </c>
      <c r="E104" s="31">
        <f ca="1">IF(ISERROR(MATCH(E$1,INDIRECT("Table!A"&amp;$U104):INDIRECT("Table!" &amp; $X$159 &amp; $U104),0)),"",INDIRECT(CONCATENATE("Table!",ADDRESS($Q104,MATCH(E$1,INDIRECT("Table!A" &amp; $U104):INDIRECT("Table!" &amp; $X$159 &amp; $U104),0))))/1024)</f>
        <v>0.662109375</v>
      </c>
      <c r="F104" s="31">
        <f ca="1">IF(ISERROR(MATCH(F$1,INDIRECT("Table!A"&amp;$U104):INDIRECT("Table!" &amp; $X$159 &amp; $U104),0)),"",INDIRECT(CONCATENATE("Table!",ADDRESS($Q104,MATCH(F$1,INDIRECT("Table!A" &amp; $U104):INDIRECT("Table!" &amp; $X$159 &amp; $U104),0))))/1024)</f>
        <v>3.208984375</v>
      </c>
      <c r="G104" s="31">
        <f ca="1">IF(ISERROR(MATCH(G$1,INDIRECT("Table!A"&amp;$U104):INDIRECT("Table!" &amp; $X$159 &amp; $U104),0)),"",INDIRECT(CONCATENATE("Table!",ADDRESS($Q104,MATCH(G$1,INDIRECT("Table!A" &amp; $U104):INDIRECT("Table!" &amp; $X$159 &amp; $U104),0))))/1024)</f>
        <v>3.0009765625</v>
      </c>
      <c r="H104" s="31">
        <f ca="1">IF(ISERROR(MATCH(H$1,INDIRECT("Table!A"&amp;$U104):INDIRECT("Table!" &amp; $X$159 &amp; $U104),0)),"",INDIRECT(CONCATENATE("Table!",ADDRESS($Q104,MATCH(H$1,INDIRECT("Table!A" &amp; $U104):INDIRECT("Table!" &amp; $X$159 &amp; $U104),0))))/1024)</f>
        <v>2.177734375</v>
      </c>
      <c r="I104" s="31">
        <f ca="1">IF(ISERROR(MATCH(I$1,INDIRECT("Table!A"&amp;$U104):INDIRECT("Table!" &amp; $X$159 &amp; $U104),0)),"",INDIRECT(CONCATENATE("Table!",ADDRESS($Q104,MATCH(I$1,INDIRECT("Table!A" &amp; $U104):INDIRECT("Table!" &amp; $X$159 &amp; $U104),0))))/1024)</f>
        <v>0.8583984375</v>
      </c>
      <c r="J104" s="31">
        <f ca="1">IF(ISERROR(MATCH(J$1,INDIRECT("Table!A"&amp;$U104):INDIRECT("Table!" &amp; $X$159 &amp; $U104),0)),"",INDIRECT(CONCATENATE("Table!",ADDRESS($Q104,MATCH(J$1,INDIRECT("Table!A" &amp; $U104):INDIRECT("Table!" &amp; $X$159 &amp; $U104),0))))/1024)</f>
        <v>2.93359375</v>
      </c>
      <c r="K104" s="31">
        <f ca="1">IF(ISERROR(MATCH(K$1,INDIRECT("Table!A"&amp;$U104):INDIRECT("Table!" &amp; $X$159 &amp; $U104),0)),"",INDIRECT(CONCATENATE("Table!",ADDRESS($Q104,MATCH(K$1,INDIRECT("Table!A" &amp; $U104):INDIRECT("Table!" &amp; $X$159 &amp; $U104),0))))/1024)</f>
        <v>2.73828125</v>
      </c>
      <c r="L104" s="31">
        <f ca="1">IF(ISERROR(MATCH(L$1,INDIRECT("Table!A"&amp;$U104):INDIRECT("Table!" &amp; $X$159 &amp; $U104),0)),"",INDIRECT(CONCATENATE("Table!",ADDRESS($Q104,MATCH(L$1,INDIRECT("Table!A" &amp; $U104):INDIRECT("Table!" &amp; $X$159 &amp; $U104),0))))/1024)</f>
        <v>2.1787109375</v>
      </c>
      <c r="M104" s="31">
        <f ca="1">IF(ISERROR(MATCH(M$1,INDIRECT("Table!A"&amp;$U104):INDIRECT("Table!" &amp; $X$159 &amp; $U104),0)),"",INDIRECT(CONCATENATE("Table!",ADDRESS($Q104,MATCH(M$1,INDIRECT("Table!A" &amp; $U104):INDIRECT("Table!" &amp; $X$159 &amp; $U104),0))))/1024)</f>
        <v>2.208984375</v>
      </c>
      <c r="N104" s="31"/>
      <c r="O104" s="177"/>
      <c r="P104" s="177"/>
      <c r="Q104" s="31">
        <f>MATCH($A104,Table!$A:$A,0)+$S$2-1</f>
        <v>1545</v>
      </c>
      <c r="R104" s="177"/>
      <c r="S104" s="177"/>
      <c r="T104" s="177"/>
      <c r="U104" s="31">
        <f>MATCH($A104,Table!$A:$A,0)+$W$2-1</f>
        <v>1532</v>
      </c>
      <c r="V104" s="177"/>
      <c r="W104" s="177"/>
      <c r="X104" s="177" t="s">
        <v>118</v>
      </c>
    </row>
    <row r="105" spans="1:24">
      <c r="A105" s="5">
        <v>41012</v>
      </c>
      <c r="B105" s="31">
        <f ca="1">IF(ISERROR(MATCH(B$1,INDIRECT("Table!A"&amp;$U105):INDIRECT("Table!" &amp; $X$159 &amp; $U105),0)),"",INDIRECT(CONCATENATE("Table!",ADDRESS($Q105,MATCH(B$1,INDIRECT("Table!A" &amp; $U105):INDIRECT("Table!" &amp; $X$159 &amp; $U105),0))))/1024)</f>
        <v>0.6083984375</v>
      </c>
      <c r="C105" s="31">
        <f ca="1">IF(ISERROR(MATCH(C$1,INDIRECT("Table!A"&amp;$U105):INDIRECT("Table!" &amp; $X$159 &amp; $U105),0)),"",INDIRECT(CONCATENATE("Table!",ADDRESS($Q105,MATCH(C$1,INDIRECT("Table!A" &amp; $U105):INDIRECT("Table!" &amp; $X$159 &amp; $U105),0))))/1024)</f>
        <v>0.7275390625</v>
      </c>
      <c r="D105" s="31">
        <f ca="1">IF(ISERROR(MATCH(D$1,INDIRECT("Table!A"&amp;$U105):INDIRECT("Table!" &amp; $X$159 &amp; $U105),0)),"",INDIRECT(CONCATENATE("Table!",ADDRESS($Q105,MATCH(D$1,INDIRECT("Table!A" &amp; $U105):INDIRECT("Table!" &amp; $X$159 &amp; $U105),0))))/1024)</f>
        <v>0.5390625</v>
      </c>
      <c r="E105" s="31">
        <f ca="1">IF(ISERROR(MATCH(E$1,INDIRECT("Table!A"&amp;$U105):INDIRECT("Table!" &amp; $X$159 &amp; $U105),0)),"",INDIRECT(CONCATENATE("Table!",ADDRESS($Q105,MATCH(E$1,INDIRECT("Table!A" &amp; $U105):INDIRECT("Table!" &amp; $X$159 &amp; $U105),0))))/1024)</f>
        <v>0.662109375</v>
      </c>
      <c r="F105" s="31">
        <f ca="1">IF(ISERROR(MATCH(F$1,INDIRECT("Table!A"&amp;$U105):INDIRECT("Table!" &amp; $X$159 &amp; $U105),0)),"",INDIRECT(CONCATENATE("Table!",ADDRESS($Q105,MATCH(F$1,INDIRECT("Table!A" &amp; $U105):INDIRECT("Table!" &amp; $X$159 &amp; $U105),0))))/1024)</f>
        <v>3.208984375</v>
      </c>
      <c r="G105" s="31">
        <f ca="1">IF(ISERROR(MATCH(G$1,INDIRECT("Table!A"&amp;$U105):INDIRECT("Table!" &amp; $X$159 &amp; $U105),0)),"",INDIRECT(CONCATENATE("Table!",ADDRESS($Q105,MATCH(G$1,INDIRECT("Table!A" &amp; $U105):INDIRECT("Table!" &amp; $X$159 &amp; $U105),0))))/1024)</f>
        <v>3.0009765625</v>
      </c>
      <c r="H105" s="31">
        <f ca="1">IF(ISERROR(MATCH(H$1,INDIRECT("Table!A"&amp;$U105):INDIRECT("Table!" &amp; $X$159 &amp; $U105),0)),"",INDIRECT(CONCATENATE("Table!",ADDRESS($Q105,MATCH(H$1,INDIRECT("Table!A" &amp; $U105):INDIRECT("Table!" &amp; $X$159 &amp; $U105),0))))/1024)</f>
        <v>2.177734375</v>
      </c>
      <c r="I105" s="31">
        <f ca="1">IF(ISERROR(MATCH(I$1,INDIRECT("Table!A"&amp;$U105):INDIRECT("Table!" &amp; $X$159 &amp; $U105),0)),"",INDIRECT(CONCATENATE("Table!",ADDRESS($Q105,MATCH(I$1,INDIRECT("Table!A" &amp; $U105):INDIRECT("Table!" &amp; $X$159 &amp; $U105),0))))/1024)</f>
        <v>0.8583984375</v>
      </c>
      <c r="J105" s="31">
        <f ca="1">IF(ISERROR(MATCH(J$1,INDIRECT("Table!A"&amp;$U105):INDIRECT("Table!" &amp; $X$159 &amp; $U105),0)),"",INDIRECT(CONCATENATE("Table!",ADDRESS($Q105,MATCH(J$1,INDIRECT("Table!A" &amp; $U105):INDIRECT("Table!" &amp; $X$159 &amp; $U105),0))))/1024)</f>
        <v>2.93359375</v>
      </c>
      <c r="K105" s="31">
        <f ca="1">IF(ISERROR(MATCH(K$1,INDIRECT("Table!A"&amp;$U105):INDIRECT("Table!" &amp; $X$159 &amp; $U105),0)),"",INDIRECT(CONCATENATE("Table!",ADDRESS($Q105,MATCH(K$1,INDIRECT("Table!A" &amp; $U105):INDIRECT("Table!" &amp; $X$159 &amp; $U105),0))))/1024)</f>
        <v>2.73828125</v>
      </c>
      <c r="L105" s="31">
        <f ca="1">IF(ISERROR(MATCH(L$1,INDIRECT("Table!A"&amp;$U105):INDIRECT("Table!" &amp; $X$159 &amp; $U105),0)),"",INDIRECT(CONCATENATE("Table!",ADDRESS($Q105,MATCH(L$1,INDIRECT("Table!A" &amp; $U105):INDIRECT("Table!" &amp; $X$159 &amp; $U105),0))))/1024)</f>
        <v>2.1787109375</v>
      </c>
      <c r="M105" s="31">
        <f ca="1">IF(ISERROR(MATCH(M$1,INDIRECT("Table!A"&amp;$U105):INDIRECT("Table!" &amp; $X$159 &amp; $U105),0)),"",INDIRECT(CONCATENATE("Table!",ADDRESS($Q105,MATCH(M$1,INDIRECT("Table!A" &amp; $U105):INDIRECT("Table!" &amp; $X$159 &amp; $U105),0))))/1024)</f>
        <v>2.208984375</v>
      </c>
      <c r="N105" s="31"/>
      <c r="O105" s="132"/>
      <c r="P105" s="132"/>
      <c r="Q105" s="31">
        <f>MATCH($A105,Table!$A:$A,0)+$S$2-1</f>
        <v>1558</v>
      </c>
      <c r="R105" s="132"/>
      <c r="S105" s="132"/>
      <c r="T105" s="132"/>
      <c r="U105" s="31">
        <f>MATCH($A105,Table!$A:$A,0)+$W$2-1</f>
        <v>1545</v>
      </c>
      <c r="V105" s="132"/>
      <c r="W105" s="132"/>
      <c r="X105" s="132" t="s">
        <v>118</v>
      </c>
    </row>
    <row r="106" spans="1:24">
      <c r="A106" s="5">
        <v>41011</v>
      </c>
      <c r="B106" s="31">
        <f ca="1">IF(ISERROR(MATCH(B$1,INDIRECT("Table!A"&amp;$U106):INDIRECT("Table!" &amp; $X$159 &amp; $U106),0)),"",INDIRECT(CONCATENATE("Table!",ADDRESS($Q106,MATCH(B$1,INDIRECT("Table!A" &amp; $U106):INDIRECT("Table!" &amp; $X$159 &amp; $U106),0))))/1024)</f>
        <v>0.6083984375</v>
      </c>
      <c r="C106" s="31">
        <f ca="1">IF(ISERROR(MATCH(C$1,INDIRECT("Table!A"&amp;$U106):INDIRECT("Table!" &amp; $X$159 &amp; $U106),0)),"",INDIRECT(CONCATENATE("Table!",ADDRESS($Q106,MATCH(C$1,INDIRECT("Table!A" &amp; $U106):INDIRECT("Table!" &amp; $X$159 &amp; $U106),0))))/1024)</f>
        <v>0.7275390625</v>
      </c>
      <c r="D106" s="31">
        <f ca="1">IF(ISERROR(MATCH(D$1,INDIRECT("Table!A"&amp;$U106):INDIRECT("Table!" &amp; $X$159 &amp; $U106),0)),"",INDIRECT(CONCATENATE("Table!",ADDRESS($Q106,MATCH(D$1,INDIRECT("Table!A" &amp; $U106):INDIRECT("Table!" &amp; $X$159 &amp; $U106),0))))/1024)</f>
        <v>0.5390625</v>
      </c>
      <c r="E106" s="31">
        <f ca="1">IF(ISERROR(MATCH(E$1,INDIRECT("Table!A"&amp;$U106):INDIRECT("Table!" &amp; $X$159 &amp; $U106),0)),"",INDIRECT(CONCATENATE("Table!",ADDRESS($Q106,MATCH(E$1,INDIRECT("Table!A" &amp; $U106):INDIRECT("Table!" &amp; $X$159 &amp; $U106),0))))/1024)</f>
        <v>0.662109375</v>
      </c>
      <c r="F106" s="31">
        <f ca="1">IF(ISERROR(MATCH(F$1,INDIRECT("Table!A"&amp;$U106):INDIRECT("Table!" &amp; $X$159 &amp; $U106),0)),"",INDIRECT(CONCATENATE("Table!",ADDRESS($Q106,MATCH(F$1,INDIRECT("Table!A" &amp; $U106):INDIRECT("Table!" &amp; $X$159 &amp; $U106),0))))/1024)</f>
        <v>3.208984375</v>
      </c>
      <c r="G106" s="31">
        <f ca="1">IF(ISERROR(MATCH(G$1,INDIRECT("Table!A"&amp;$U106):INDIRECT("Table!" &amp; $X$159 &amp; $U106),0)),"",INDIRECT(CONCATENATE("Table!",ADDRESS($Q106,MATCH(G$1,INDIRECT("Table!A" &amp; $U106):INDIRECT("Table!" &amp; $X$159 &amp; $U106),0))))/1024)</f>
        <v>3.0009765625</v>
      </c>
      <c r="H106" s="31">
        <f ca="1">IF(ISERROR(MATCH(H$1,INDIRECT("Table!A"&amp;$U106):INDIRECT("Table!" &amp; $X$159 &amp; $U106),0)),"",INDIRECT(CONCATENATE("Table!",ADDRESS($Q106,MATCH(H$1,INDIRECT("Table!A" &amp; $U106):INDIRECT("Table!" &amp; $X$159 &amp; $U106),0))))/1024)</f>
        <v>2.177734375</v>
      </c>
      <c r="I106" s="31">
        <f ca="1">IF(ISERROR(MATCH(I$1,INDIRECT("Table!A"&amp;$U106):INDIRECT("Table!" &amp; $X$159 &amp; $U106),0)),"",INDIRECT(CONCATENATE("Table!",ADDRESS($Q106,MATCH(I$1,INDIRECT("Table!A" &amp; $U106):INDIRECT("Table!" &amp; $X$159 &amp; $U106),0))))/1024)</f>
        <v>0.8583984375</v>
      </c>
      <c r="J106" s="31">
        <f ca="1">IF(ISERROR(MATCH(J$1,INDIRECT("Table!A"&amp;$U106):INDIRECT("Table!" &amp; $X$159 &amp; $U106),0)),"",INDIRECT(CONCATENATE("Table!",ADDRESS($Q106,MATCH(J$1,INDIRECT("Table!A" &amp; $U106):INDIRECT("Table!" &amp; $X$159 &amp; $U106),0))))/1024)</f>
        <v>2.93359375</v>
      </c>
      <c r="K106" s="31">
        <f ca="1">IF(ISERROR(MATCH(K$1,INDIRECT("Table!A"&amp;$U106):INDIRECT("Table!" &amp; $X$159 &amp; $U106),0)),"",INDIRECT(CONCATENATE("Table!",ADDRESS($Q106,MATCH(K$1,INDIRECT("Table!A" &amp; $U106):INDIRECT("Table!" &amp; $X$159 &amp; $U106),0))))/1024)</f>
        <v>2.73828125</v>
      </c>
      <c r="L106" s="31">
        <f ca="1">IF(ISERROR(MATCH(L$1,INDIRECT("Table!A"&amp;$U106):INDIRECT("Table!" &amp; $X$159 &amp; $U106),0)),"",INDIRECT(CONCATENATE("Table!",ADDRESS($Q106,MATCH(L$1,INDIRECT("Table!A" &amp; $U106):INDIRECT("Table!" &amp; $X$159 &amp; $U106),0))))/1024)</f>
        <v>2.1787109375</v>
      </c>
      <c r="M106" s="31">
        <f ca="1">IF(ISERROR(MATCH(M$1,INDIRECT("Table!A"&amp;$U106):INDIRECT("Table!" &amp; $X$159 &amp; $U106),0)),"",INDIRECT(CONCATENATE("Table!",ADDRESS($Q106,MATCH(M$1,INDIRECT("Table!A" &amp; $U106):INDIRECT("Table!" &amp; $X$159 &amp; $U106),0))))/1024)</f>
        <v>2.208984375</v>
      </c>
      <c r="N106" s="31"/>
      <c r="O106" s="171"/>
      <c r="P106" s="171"/>
      <c r="Q106" s="31">
        <f>MATCH($A106,Table!$A:$A,0)+$S$2-1</f>
        <v>1571</v>
      </c>
      <c r="R106" s="171"/>
      <c r="S106" s="171"/>
      <c r="T106" s="171"/>
      <c r="U106" s="31">
        <f>MATCH($A106,Table!$A:$A,0)+$W$2-1</f>
        <v>1558</v>
      </c>
      <c r="V106" s="171"/>
      <c r="W106" s="171"/>
      <c r="X106" s="171" t="s">
        <v>118</v>
      </c>
    </row>
    <row r="107" spans="1:24">
      <c r="A107" s="5">
        <v>41009</v>
      </c>
      <c r="B107" s="31">
        <f ca="1">IF(ISERROR(MATCH(B$1,INDIRECT("Table!A"&amp;$U107):INDIRECT("Table!" &amp; $X$159 &amp; $U107),0)),"",INDIRECT(CONCATENATE("Table!",ADDRESS($Q107,MATCH(B$1,INDIRECT("Table!A" &amp; $U107):INDIRECT("Table!" &amp; $X$159 &amp; $U107),0))))/1024)</f>
        <v>0.6083984375</v>
      </c>
      <c r="C107" s="31">
        <f ca="1">IF(ISERROR(MATCH(C$1,INDIRECT("Table!A"&amp;$U107):INDIRECT("Table!" &amp; $X$159 &amp; $U107),0)),"",INDIRECT(CONCATENATE("Table!",ADDRESS($Q107,MATCH(C$1,INDIRECT("Table!A" &amp; $U107):INDIRECT("Table!" &amp; $X$159 &amp; $U107),0))))/1024)</f>
        <v>0.7275390625</v>
      </c>
      <c r="D107" s="31">
        <f ca="1">IF(ISERROR(MATCH(D$1,INDIRECT("Table!A"&amp;$U107):INDIRECT("Table!" &amp; $X$159 &amp; $U107),0)),"",INDIRECT(CONCATENATE("Table!",ADDRESS($Q107,MATCH(D$1,INDIRECT("Table!A" &amp; $U107):INDIRECT("Table!" &amp; $X$159 &amp; $U107),0))))/1024)</f>
        <v>0.5390625</v>
      </c>
      <c r="E107" s="31">
        <f ca="1">IF(ISERROR(MATCH(E$1,INDIRECT("Table!A"&amp;$U107):INDIRECT("Table!" &amp; $X$159 &amp; $U107),0)),"",INDIRECT(CONCATENATE("Table!",ADDRESS($Q107,MATCH(E$1,INDIRECT("Table!A" &amp; $U107):INDIRECT("Table!" &amp; $X$159 &amp; $U107),0))))/1024)</f>
        <v>0.662109375</v>
      </c>
      <c r="F107" s="31">
        <f ca="1">IF(ISERROR(MATCH(F$1,INDIRECT("Table!A"&amp;$U107):INDIRECT("Table!" &amp; $X$159 &amp; $U107),0)),"",INDIRECT(CONCATENATE("Table!",ADDRESS($Q107,MATCH(F$1,INDIRECT("Table!A" &amp; $U107):INDIRECT("Table!" &amp; $X$159 &amp; $U107),0))))/1024)</f>
        <v>3.208984375</v>
      </c>
      <c r="G107" s="31">
        <f ca="1">IF(ISERROR(MATCH(G$1,INDIRECT("Table!A"&amp;$U107):INDIRECT("Table!" &amp; $X$159 &amp; $U107),0)),"",INDIRECT(CONCATENATE("Table!",ADDRESS($Q107,MATCH(G$1,INDIRECT("Table!A" &amp; $U107):INDIRECT("Table!" &amp; $X$159 &amp; $U107),0))))/1024)</f>
        <v>3.0009765625</v>
      </c>
      <c r="H107" s="31">
        <f ca="1">IF(ISERROR(MATCH(H$1,INDIRECT("Table!A"&amp;$U107):INDIRECT("Table!" &amp; $X$159 &amp; $U107),0)),"",INDIRECT(CONCATENATE("Table!",ADDRESS($Q107,MATCH(H$1,INDIRECT("Table!A" &amp; $U107):INDIRECT("Table!" &amp; $X$159 &amp; $U107),0))))/1024)</f>
        <v>2.177734375</v>
      </c>
      <c r="I107" s="31">
        <f ca="1">IF(ISERROR(MATCH(I$1,INDIRECT("Table!A"&amp;$U107):INDIRECT("Table!" &amp; $X$159 &amp; $U107),0)),"",INDIRECT(CONCATENATE("Table!",ADDRESS($Q107,MATCH(I$1,INDIRECT("Table!A" &amp; $U107):INDIRECT("Table!" &amp; $X$159 &amp; $U107),0))))/1024)</f>
        <v>0.8583984375</v>
      </c>
      <c r="J107" s="31">
        <f ca="1">IF(ISERROR(MATCH(J$1,INDIRECT("Table!A"&amp;$U107):INDIRECT("Table!" &amp; $X$159 &amp; $U107),0)),"",INDIRECT(CONCATENATE("Table!",ADDRESS($Q107,MATCH(J$1,INDIRECT("Table!A" &amp; $U107):INDIRECT("Table!" &amp; $X$159 &amp; $U107),0))))/1024)</f>
        <v>2.93359375</v>
      </c>
      <c r="K107" s="31">
        <f ca="1">IF(ISERROR(MATCH(K$1,INDIRECT("Table!A"&amp;$U107):INDIRECT("Table!" &amp; $X$159 &amp; $U107),0)),"",INDIRECT(CONCATENATE("Table!",ADDRESS($Q107,MATCH(K$1,INDIRECT("Table!A" &amp; $U107):INDIRECT("Table!" &amp; $X$159 &amp; $U107),0))))/1024)</f>
        <v>2.73828125</v>
      </c>
      <c r="L107" s="31">
        <f ca="1">IF(ISERROR(MATCH(L$1,INDIRECT("Table!A"&amp;$U107):INDIRECT("Table!" &amp; $X$159 &amp; $U107),0)),"",INDIRECT(CONCATENATE("Table!",ADDRESS($Q107,MATCH(L$1,INDIRECT("Table!A" &amp; $U107):INDIRECT("Table!" &amp; $X$159 &amp; $U107),0))))/1024)</f>
        <v>2.1787109375</v>
      </c>
      <c r="M107" s="31">
        <f ca="1">IF(ISERROR(MATCH(M$1,INDIRECT("Table!A"&amp;$U107):INDIRECT("Table!" &amp; $X$159 &amp; $U107),0)),"",INDIRECT(CONCATENATE("Table!",ADDRESS($Q107,MATCH(M$1,INDIRECT("Table!A" &amp; $U107):INDIRECT("Table!" &amp; $X$159 &amp; $U107),0))))/1024)</f>
        <v>2.208984375</v>
      </c>
      <c r="N107" s="31"/>
      <c r="O107" s="170"/>
      <c r="P107" s="170"/>
      <c r="Q107" s="31">
        <f>MATCH($A107,Table!$A:$A,0)+$S$2-1</f>
        <v>1584</v>
      </c>
      <c r="R107" s="170"/>
      <c r="S107" s="170"/>
      <c r="T107" s="170"/>
      <c r="U107" s="31">
        <f>MATCH($A107,Table!$A:$A,0)+$W$2-1</f>
        <v>1571</v>
      </c>
      <c r="V107" s="170"/>
      <c r="W107" s="170"/>
      <c r="X107" s="170" t="s">
        <v>118</v>
      </c>
    </row>
    <row r="108" spans="1:24">
      <c r="A108" s="5">
        <v>41003</v>
      </c>
      <c r="B108" s="31">
        <f ca="1">IF(ISERROR(MATCH(B$1,INDIRECT("Table!A"&amp;$U108):INDIRECT("Table!" &amp; $X$159 &amp; $U108),0)),"",INDIRECT(CONCATENATE("Table!",ADDRESS($Q108,MATCH(B$1,INDIRECT("Table!A" &amp; $U108):INDIRECT("Table!" &amp; $X$159 &amp; $U108),0))))/1024)</f>
        <v>0.6083984375</v>
      </c>
      <c r="C108" s="31">
        <f ca="1">IF(ISERROR(MATCH(C$1,INDIRECT("Table!A"&amp;$U108):INDIRECT("Table!" &amp; $X$159 &amp; $U108),0)),"",INDIRECT(CONCATENATE("Table!",ADDRESS($Q108,MATCH(C$1,INDIRECT("Table!A" &amp; $U108):INDIRECT("Table!" &amp; $X$159 &amp; $U108),0))))/1024)</f>
        <v>0.7275390625</v>
      </c>
      <c r="D108" s="31">
        <f ca="1">IF(ISERROR(MATCH(D$1,INDIRECT("Table!A"&amp;$U108):INDIRECT("Table!" &amp; $X$159 &amp; $U108),0)),"",INDIRECT(CONCATENATE("Table!",ADDRESS($Q108,MATCH(D$1,INDIRECT("Table!A" &amp; $U108):INDIRECT("Table!" &amp; $X$159 &amp; $U108),0))))/1024)</f>
        <v>0.5390625</v>
      </c>
      <c r="E108" s="31">
        <f ca="1">IF(ISERROR(MATCH(E$1,INDIRECT("Table!A"&amp;$U108):INDIRECT("Table!" &amp; $X$159 &amp; $U108),0)),"",INDIRECT(CONCATENATE("Table!",ADDRESS($Q108,MATCH(E$1,INDIRECT("Table!A" &amp; $U108):INDIRECT("Table!" &amp; $X$159 &amp; $U108),0))))/1024)</f>
        <v>0.662109375</v>
      </c>
      <c r="F108" s="31">
        <f ca="1">IF(ISERROR(MATCH(F$1,INDIRECT("Table!A"&amp;$U108):INDIRECT("Table!" &amp; $X$159 &amp; $U108),0)),"",INDIRECT(CONCATENATE("Table!",ADDRESS($Q108,MATCH(F$1,INDIRECT("Table!A" &amp; $U108):INDIRECT("Table!" &amp; $X$159 &amp; $U108),0))))/1024)</f>
        <v>3.208984375</v>
      </c>
      <c r="G108" s="31">
        <f ca="1">IF(ISERROR(MATCH(G$1,INDIRECT("Table!A"&amp;$U108):INDIRECT("Table!" &amp; $X$159 &amp; $U108),0)),"",INDIRECT(CONCATENATE("Table!",ADDRESS($Q108,MATCH(G$1,INDIRECT("Table!A" &amp; $U108):INDIRECT("Table!" &amp; $X$159 &amp; $U108),0))))/1024)</f>
        <v>3.0009765625</v>
      </c>
      <c r="H108" s="31">
        <f ca="1">IF(ISERROR(MATCH(H$1,INDIRECT("Table!A"&amp;$U108):INDIRECT("Table!" &amp; $X$159 &amp; $U108),0)),"",INDIRECT(CONCATENATE("Table!",ADDRESS($Q108,MATCH(H$1,INDIRECT("Table!A" &amp; $U108):INDIRECT("Table!" &amp; $X$159 &amp; $U108),0))))/1024)</f>
        <v>2.177734375</v>
      </c>
      <c r="I108" s="31">
        <f ca="1">IF(ISERROR(MATCH(I$1,INDIRECT("Table!A"&amp;$U108):INDIRECT("Table!" &amp; $X$159 &amp; $U108),0)),"",INDIRECT(CONCATENATE("Table!",ADDRESS($Q108,MATCH(I$1,INDIRECT("Table!A" &amp; $U108):INDIRECT("Table!" &amp; $X$159 &amp; $U108),0))))/1024)</f>
        <v>0.8583984375</v>
      </c>
      <c r="J108" s="31">
        <f ca="1">IF(ISERROR(MATCH(J$1,INDIRECT("Table!A"&amp;$U108):INDIRECT("Table!" &amp; $X$159 &amp; $U108),0)),"",INDIRECT(CONCATENATE("Table!",ADDRESS($Q108,MATCH(J$1,INDIRECT("Table!A" &amp; $U108):INDIRECT("Table!" &amp; $X$159 &amp; $U108),0))))/1024)</f>
        <v>2.93359375</v>
      </c>
      <c r="K108" s="31">
        <f ca="1">IF(ISERROR(MATCH(K$1,INDIRECT("Table!A"&amp;$U108):INDIRECT("Table!" &amp; $X$159 &amp; $U108),0)),"",INDIRECT(CONCATENATE("Table!",ADDRESS($Q108,MATCH(K$1,INDIRECT("Table!A" &amp; $U108):INDIRECT("Table!" &amp; $X$159 &amp; $U108),0))))/1024)</f>
        <v>2.73828125</v>
      </c>
      <c r="L108" s="31">
        <f ca="1">IF(ISERROR(MATCH(L$1,INDIRECT("Table!A"&amp;$U108):INDIRECT("Table!" &amp; $X$159 &amp; $U108),0)),"",INDIRECT(CONCATENATE("Table!",ADDRESS($Q108,MATCH(L$1,INDIRECT("Table!A" &amp; $U108):INDIRECT("Table!" &amp; $X$159 &amp; $U108),0))))/1024)</f>
        <v>2.1787109375</v>
      </c>
      <c r="M108" s="31">
        <f ca="1">IF(ISERROR(MATCH(M$1,INDIRECT("Table!A"&amp;$U108):INDIRECT("Table!" &amp; $X$159 &amp; $U108),0)),"",INDIRECT(CONCATENATE("Table!",ADDRESS($Q108,MATCH(M$1,INDIRECT("Table!A" &amp; $U108):INDIRECT("Table!" &amp; $X$159 &amp; $U108),0))))/1024)</f>
        <v>2.208984375</v>
      </c>
      <c r="N108" s="31"/>
      <c r="O108" s="169"/>
      <c r="P108" s="169"/>
      <c r="Q108" s="31">
        <f>MATCH($A108,Table!$A:$A,0)+$S$2-1</f>
        <v>1597</v>
      </c>
      <c r="R108" s="169"/>
      <c r="S108" s="169"/>
      <c r="T108" s="169"/>
      <c r="U108" s="31">
        <f>MATCH($A108,Table!$A:$A,0)+$W$2-1</f>
        <v>1584</v>
      </c>
      <c r="V108" s="169"/>
      <c r="W108" s="169"/>
      <c r="X108" s="169" t="s">
        <v>118</v>
      </c>
    </row>
    <row r="109" spans="1:24">
      <c r="A109" s="5">
        <v>41002</v>
      </c>
      <c r="B109" s="31">
        <f ca="1">IF(ISERROR(MATCH(B$1,INDIRECT("Table!A"&amp;$U109):INDIRECT("Table!" &amp; $X$159 &amp; $U109),0)),"",INDIRECT(CONCATENATE("Table!",ADDRESS($Q109,MATCH(B$1,INDIRECT("Table!A" &amp; $U109):INDIRECT("Table!" &amp; $X$159 &amp; $U109),0))))/1024)</f>
        <v>0.6083984375</v>
      </c>
      <c r="C109" s="31">
        <f ca="1">IF(ISERROR(MATCH(C$1,INDIRECT("Table!A"&amp;$U109):INDIRECT("Table!" &amp; $X$159 &amp; $U109),0)),"",INDIRECT(CONCATENATE("Table!",ADDRESS($Q109,MATCH(C$1,INDIRECT("Table!A" &amp; $U109):INDIRECT("Table!" &amp; $X$159 &amp; $U109),0))))/1024)</f>
        <v>0.7275390625</v>
      </c>
      <c r="D109" s="31">
        <f ca="1">IF(ISERROR(MATCH(D$1,INDIRECT("Table!A"&amp;$U109):INDIRECT("Table!" &amp; $X$159 &amp; $U109),0)),"",INDIRECT(CONCATENATE("Table!",ADDRESS($Q109,MATCH(D$1,INDIRECT("Table!A" &amp; $U109):INDIRECT("Table!" &amp; $X$159 &amp; $U109),0))))/1024)</f>
        <v>0.5390625</v>
      </c>
      <c r="E109" s="31">
        <f ca="1">IF(ISERROR(MATCH(E$1,INDIRECT("Table!A"&amp;$U109):INDIRECT("Table!" &amp; $X$159 &amp; $U109),0)),"",INDIRECT(CONCATENATE("Table!",ADDRESS($Q109,MATCH(E$1,INDIRECT("Table!A" &amp; $U109):INDIRECT("Table!" &amp; $X$159 &amp; $U109),0))))/1024)</f>
        <v>0.662109375</v>
      </c>
      <c r="F109" s="31">
        <f ca="1">IF(ISERROR(MATCH(F$1,INDIRECT("Table!A"&amp;$U109):INDIRECT("Table!" &amp; $X$159 &amp; $U109),0)),"",INDIRECT(CONCATENATE("Table!",ADDRESS($Q109,MATCH(F$1,INDIRECT("Table!A" &amp; $U109):INDIRECT("Table!" &amp; $X$159 &amp; $U109),0))))/1024)</f>
        <v>3.208984375</v>
      </c>
      <c r="G109" s="31">
        <f ca="1">IF(ISERROR(MATCH(G$1,INDIRECT("Table!A"&amp;$U109):INDIRECT("Table!" &amp; $X$159 &amp; $U109),0)),"",INDIRECT(CONCATENATE("Table!",ADDRESS($Q109,MATCH(G$1,INDIRECT("Table!A" &amp; $U109):INDIRECT("Table!" &amp; $X$159 &amp; $U109),0))))/1024)</f>
        <v>3.0009765625</v>
      </c>
      <c r="H109" s="31">
        <f ca="1">IF(ISERROR(MATCH(H$1,INDIRECT("Table!A"&amp;$U109):INDIRECT("Table!" &amp; $X$159 &amp; $U109),0)),"",INDIRECT(CONCATENATE("Table!",ADDRESS($Q109,MATCH(H$1,INDIRECT("Table!A" &amp; $U109):INDIRECT("Table!" &amp; $X$159 &amp; $U109),0))))/1024)</f>
        <v>2.177734375</v>
      </c>
      <c r="I109" s="31">
        <f ca="1">IF(ISERROR(MATCH(I$1,INDIRECT("Table!A"&amp;$U109):INDIRECT("Table!" &amp; $X$159 &amp; $U109),0)),"",INDIRECT(CONCATENATE("Table!",ADDRESS($Q109,MATCH(I$1,INDIRECT("Table!A" &amp; $U109):INDIRECT("Table!" &amp; $X$159 &amp; $U109),0))))/1024)</f>
        <v>0.8583984375</v>
      </c>
      <c r="J109" s="31">
        <f ca="1">IF(ISERROR(MATCH(J$1,INDIRECT("Table!A"&amp;$U109):INDIRECT("Table!" &amp; $X$159 &amp; $U109),0)),"",INDIRECT(CONCATENATE("Table!",ADDRESS($Q109,MATCH(J$1,INDIRECT("Table!A" &amp; $U109):INDIRECT("Table!" &amp; $X$159 &amp; $U109),0))))/1024)</f>
        <v>2.93359375</v>
      </c>
      <c r="K109" s="31">
        <f ca="1">IF(ISERROR(MATCH(K$1,INDIRECT("Table!A"&amp;$U109):INDIRECT("Table!" &amp; $X$159 &amp; $U109),0)),"",INDIRECT(CONCATENATE("Table!",ADDRESS($Q109,MATCH(K$1,INDIRECT("Table!A" &amp; $U109):INDIRECT("Table!" &amp; $X$159 &amp; $U109),0))))/1024)</f>
        <v>2.73828125</v>
      </c>
      <c r="L109" s="31">
        <f ca="1">IF(ISERROR(MATCH(L$1,INDIRECT("Table!A"&amp;$U109):INDIRECT("Table!" &amp; $X$159 &amp; $U109),0)),"",INDIRECT(CONCATENATE("Table!",ADDRESS($Q109,MATCH(L$1,INDIRECT("Table!A" &amp; $U109):INDIRECT("Table!" &amp; $X$159 &amp; $U109),0))))/1024)</f>
        <v>2.1787109375</v>
      </c>
      <c r="M109" s="31">
        <f ca="1">IF(ISERROR(MATCH(M$1,INDIRECT("Table!A"&amp;$U109):INDIRECT("Table!" &amp; $X$159 &amp; $U109),0)),"",INDIRECT(CONCATENATE("Table!",ADDRESS($Q109,MATCH(M$1,INDIRECT("Table!A" &amp; $U109):INDIRECT("Table!" &amp; $X$159 &amp; $U109),0))))/1024)</f>
        <v>2.208984375</v>
      </c>
      <c r="N109" s="31"/>
      <c r="O109" s="168"/>
      <c r="P109" s="168"/>
      <c r="Q109" s="31">
        <f>MATCH($A109,Table!$A:$A,0)+$S$2-1</f>
        <v>1610</v>
      </c>
      <c r="R109" s="168"/>
      <c r="S109" s="168"/>
      <c r="T109" s="168"/>
      <c r="U109" s="31">
        <f>MATCH($A109,Table!$A:$A,0)+$W$2-1</f>
        <v>1597</v>
      </c>
      <c r="V109" s="168"/>
      <c r="W109" s="168"/>
      <c r="X109" s="168" t="s">
        <v>118</v>
      </c>
    </row>
    <row r="110" spans="1:24">
      <c r="A110" s="5">
        <v>41001</v>
      </c>
      <c r="B110" s="31">
        <f ca="1">IF(ISERROR(MATCH(B$1,INDIRECT("Table!A"&amp;$U110):INDIRECT("Table!" &amp; $X$159 &amp; $U110),0)),"",INDIRECT(CONCATENATE("Table!",ADDRESS($Q110,MATCH(B$1,INDIRECT("Table!A" &amp; $U110):INDIRECT("Table!" &amp; $X$159 &amp; $U110),0))))/1024)</f>
        <v>0.6083984375</v>
      </c>
      <c r="C110" s="31">
        <f ca="1">IF(ISERROR(MATCH(C$1,INDIRECT("Table!A"&amp;$U110):INDIRECT("Table!" &amp; $X$159 &amp; $U110),0)),"",INDIRECT(CONCATENATE("Table!",ADDRESS($Q110,MATCH(C$1,INDIRECT("Table!A" &amp; $U110):INDIRECT("Table!" &amp; $X$159 &amp; $U110),0))))/1024)</f>
        <v>0.7275390625</v>
      </c>
      <c r="D110" s="31">
        <f ca="1">IF(ISERROR(MATCH(D$1,INDIRECT("Table!A"&amp;$U110):INDIRECT("Table!" &amp; $X$159 &amp; $U110),0)),"",INDIRECT(CONCATENATE("Table!",ADDRESS($Q110,MATCH(D$1,INDIRECT("Table!A" &amp; $U110):INDIRECT("Table!" &amp; $X$159 &amp; $U110),0))))/1024)</f>
        <v>0.5390625</v>
      </c>
      <c r="E110" s="31">
        <f ca="1">IF(ISERROR(MATCH(E$1,INDIRECT("Table!A"&amp;$U110):INDIRECT("Table!" &amp; $X$159 &amp; $U110),0)),"",INDIRECT(CONCATENATE("Table!",ADDRESS($Q110,MATCH(E$1,INDIRECT("Table!A" &amp; $U110):INDIRECT("Table!" &amp; $X$159 &amp; $U110),0))))/1024)</f>
        <v>0.662109375</v>
      </c>
      <c r="F110" s="31">
        <f ca="1">IF(ISERROR(MATCH(F$1,INDIRECT("Table!A"&amp;$U110):INDIRECT("Table!" &amp; $X$159 &amp; $U110),0)),"",INDIRECT(CONCATENATE("Table!",ADDRESS($Q110,MATCH(F$1,INDIRECT("Table!A" &amp; $U110):INDIRECT("Table!" &amp; $X$159 &amp; $U110),0))))/1024)</f>
        <v>3.208984375</v>
      </c>
      <c r="G110" s="31">
        <f ca="1">IF(ISERROR(MATCH(G$1,INDIRECT("Table!A"&amp;$U110):INDIRECT("Table!" &amp; $X$159 &amp; $U110),0)),"",INDIRECT(CONCATENATE("Table!",ADDRESS($Q110,MATCH(G$1,INDIRECT("Table!A" &amp; $U110):INDIRECT("Table!" &amp; $X$159 &amp; $U110),0))))/1024)</f>
        <v>3.0009765625</v>
      </c>
      <c r="H110" s="31">
        <f ca="1">IF(ISERROR(MATCH(H$1,INDIRECT("Table!A"&amp;$U110):INDIRECT("Table!" &amp; $X$159 &amp; $U110),0)),"",INDIRECT(CONCATENATE("Table!",ADDRESS($Q110,MATCH(H$1,INDIRECT("Table!A" &amp; $U110):INDIRECT("Table!" &amp; $X$159 &amp; $U110),0))))/1024)</f>
        <v>2.177734375</v>
      </c>
      <c r="I110" s="31">
        <f ca="1">IF(ISERROR(MATCH(I$1,INDIRECT("Table!A"&amp;$U110):INDIRECT("Table!" &amp; $X$159 &amp; $U110),0)),"",INDIRECT(CONCATENATE("Table!",ADDRESS($Q110,MATCH(I$1,INDIRECT("Table!A" &amp; $U110):INDIRECT("Table!" &amp; $X$159 &amp; $U110),0))))/1024)</f>
        <v>0.8583984375</v>
      </c>
      <c r="J110" s="31">
        <f ca="1">IF(ISERROR(MATCH(J$1,INDIRECT("Table!A"&amp;$U110):INDIRECT("Table!" &amp; $X$159 &amp; $U110),0)),"",INDIRECT(CONCATENATE("Table!",ADDRESS($Q110,MATCH(J$1,INDIRECT("Table!A" &amp; $U110):INDIRECT("Table!" &amp; $X$159 &amp; $U110),0))))/1024)</f>
        <v>2.93359375</v>
      </c>
      <c r="K110" s="31">
        <f ca="1">IF(ISERROR(MATCH(K$1,INDIRECT("Table!A"&amp;$U110):INDIRECT("Table!" &amp; $X$159 &amp; $U110),0)),"",INDIRECT(CONCATENATE("Table!",ADDRESS($Q110,MATCH(K$1,INDIRECT("Table!A" &amp; $U110):INDIRECT("Table!" &amp; $X$159 &amp; $U110),0))))/1024)</f>
        <v>2.73828125</v>
      </c>
      <c r="L110" s="31">
        <f ca="1">IF(ISERROR(MATCH(L$1,INDIRECT("Table!A"&amp;$U110):INDIRECT("Table!" &amp; $X$159 &amp; $U110),0)),"",INDIRECT(CONCATENATE("Table!",ADDRESS($Q110,MATCH(L$1,INDIRECT("Table!A" &amp; $U110):INDIRECT("Table!" &amp; $X$159 &amp; $U110),0))))/1024)</f>
        <v>2.1787109375</v>
      </c>
      <c r="M110" s="31">
        <f ca="1">IF(ISERROR(MATCH(M$1,INDIRECT("Table!A"&amp;$U110):INDIRECT("Table!" &amp; $X$159 &amp; $U110),0)),"",INDIRECT(CONCATENATE("Table!",ADDRESS($Q110,MATCH(M$1,INDIRECT("Table!A" &amp; $U110):INDIRECT("Table!" &amp; $X$159 &amp; $U110),0))))/1024)</f>
        <v>2.208984375</v>
      </c>
      <c r="N110" s="31"/>
      <c r="O110" s="167"/>
      <c r="P110" s="167"/>
      <c r="Q110" s="31">
        <f>MATCH($A110,Table!$A:$A,0)+$S$2-1</f>
        <v>1623</v>
      </c>
      <c r="R110" s="167"/>
      <c r="S110" s="167"/>
      <c r="T110" s="167"/>
      <c r="U110" s="31">
        <f>MATCH($A110,Table!$A:$A,0)+$W$2-1</f>
        <v>1610</v>
      </c>
      <c r="V110" s="167"/>
      <c r="W110" s="167"/>
      <c r="X110" s="167" t="s">
        <v>118</v>
      </c>
    </row>
    <row r="111" spans="1:24">
      <c r="A111" s="5">
        <v>40998</v>
      </c>
      <c r="B111" s="31">
        <f ca="1">IF(ISERROR(MATCH(B$1,INDIRECT("Table!A"&amp;$U111):INDIRECT("Table!" &amp; $X$159 &amp; $U111),0)),"",INDIRECT(CONCATENATE("Table!",ADDRESS($Q111,MATCH(B$1,INDIRECT("Table!A" &amp; $U111):INDIRECT("Table!" &amp; $X$159 &amp; $U111),0))))/1024)</f>
        <v>0.6083984375</v>
      </c>
      <c r="C111" s="31">
        <f ca="1">IF(ISERROR(MATCH(C$1,INDIRECT("Table!A"&amp;$U111):INDIRECT("Table!" &amp; $X$159 &amp; $U111),0)),"",INDIRECT(CONCATENATE("Table!",ADDRESS($Q111,MATCH(C$1,INDIRECT("Table!A" &amp; $U111):INDIRECT("Table!" &amp; $X$159 &amp; $U111),0))))/1024)</f>
        <v>0.7275390625</v>
      </c>
      <c r="D111" s="31">
        <f ca="1">IF(ISERROR(MATCH(D$1,INDIRECT("Table!A"&amp;$U111):INDIRECT("Table!" &amp; $X$159 &amp; $U111),0)),"",INDIRECT(CONCATENATE("Table!",ADDRESS($Q111,MATCH(D$1,INDIRECT("Table!A" &amp; $U111):INDIRECT("Table!" &amp; $X$159 &amp; $U111),0))))/1024)</f>
        <v>0.5390625</v>
      </c>
      <c r="E111" s="31">
        <f ca="1">IF(ISERROR(MATCH(E$1,INDIRECT("Table!A"&amp;$U111):INDIRECT("Table!" &amp; $X$159 &amp; $U111),0)),"",INDIRECT(CONCATENATE("Table!",ADDRESS($Q111,MATCH(E$1,INDIRECT("Table!A" &amp; $U111):INDIRECT("Table!" &amp; $X$159 &amp; $U111),0))))/1024)</f>
        <v>0.662109375</v>
      </c>
      <c r="F111" s="31">
        <f ca="1">IF(ISERROR(MATCH(F$1,INDIRECT("Table!A"&amp;$U111):INDIRECT("Table!" &amp; $X$159 &amp; $U111),0)),"",INDIRECT(CONCATENATE("Table!",ADDRESS($Q111,MATCH(F$1,INDIRECT("Table!A" &amp; $U111):INDIRECT("Table!" &amp; $X$159 &amp; $U111),0))))/1024)</f>
        <v>3.208984375</v>
      </c>
      <c r="G111" s="31">
        <f ca="1">IF(ISERROR(MATCH(G$1,INDIRECT("Table!A"&amp;$U111):INDIRECT("Table!" &amp; $X$159 &amp; $U111),0)),"",INDIRECT(CONCATENATE("Table!",ADDRESS($Q111,MATCH(G$1,INDIRECT("Table!A" &amp; $U111):INDIRECT("Table!" &amp; $X$159 &amp; $U111),0))))/1024)</f>
        <v>3.0009765625</v>
      </c>
      <c r="H111" s="31">
        <f ca="1">IF(ISERROR(MATCH(H$1,INDIRECT("Table!A"&amp;$U111):INDIRECT("Table!" &amp; $X$159 &amp; $U111),0)),"",INDIRECT(CONCATENATE("Table!",ADDRESS($Q111,MATCH(H$1,INDIRECT("Table!A" &amp; $U111):INDIRECT("Table!" &amp; $X$159 &amp; $U111),0))))/1024)</f>
        <v>2.177734375</v>
      </c>
      <c r="I111" s="31">
        <f ca="1">IF(ISERROR(MATCH(I$1,INDIRECT("Table!A"&amp;$U111):INDIRECT("Table!" &amp; $X$159 &amp; $U111),0)),"",INDIRECT(CONCATENATE("Table!",ADDRESS($Q111,MATCH(I$1,INDIRECT("Table!A" &amp; $U111):INDIRECT("Table!" &amp; $X$159 &amp; $U111),0))))/1024)</f>
        <v>0.8583984375</v>
      </c>
      <c r="J111" s="31">
        <f ca="1">IF(ISERROR(MATCH(J$1,INDIRECT("Table!A"&amp;$U111):INDIRECT("Table!" &amp; $X$159 &amp; $U111),0)),"",INDIRECT(CONCATENATE("Table!",ADDRESS($Q111,MATCH(J$1,INDIRECT("Table!A" &amp; $U111):INDIRECT("Table!" &amp; $X$159 &amp; $U111),0))))/1024)</f>
        <v>2.93359375</v>
      </c>
      <c r="K111" s="31">
        <f ca="1">IF(ISERROR(MATCH(K$1,INDIRECT("Table!A"&amp;$U111):INDIRECT("Table!" &amp; $X$159 &amp; $U111),0)),"",INDIRECT(CONCATENATE("Table!",ADDRESS($Q111,MATCH(K$1,INDIRECT("Table!A" &amp; $U111):INDIRECT("Table!" &amp; $X$159 &amp; $U111),0))))/1024)</f>
        <v>2.73828125</v>
      </c>
      <c r="L111" s="31">
        <f ca="1">IF(ISERROR(MATCH(L$1,INDIRECT("Table!A"&amp;$U111):INDIRECT("Table!" &amp; $X$159 &amp; $U111),0)),"",INDIRECT(CONCATENATE("Table!",ADDRESS($Q111,MATCH(L$1,INDIRECT("Table!A" &amp; $U111):INDIRECT("Table!" &amp; $X$159 &amp; $U111),0))))/1024)</f>
        <v>2.1787109375</v>
      </c>
      <c r="M111" s="31">
        <f ca="1">IF(ISERROR(MATCH(M$1,INDIRECT("Table!A"&amp;$U111):INDIRECT("Table!" &amp; $X$159 &amp; $U111),0)),"",INDIRECT(CONCATENATE("Table!",ADDRESS($Q111,MATCH(M$1,INDIRECT("Table!A" &amp; $U111):INDIRECT("Table!" &amp; $X$159 &amp; $U111),0))))/1024)</f>
        <v>2.208984375</v>
      </c>
      <c r="N111" s="31"/>
      <c r="O111" s="166"/>
      <c r="P111" s="166"/>
      <c r="Q111" s="31">
        <f>MATCH($A111,Table!$A:$A,0)+$S$2-1</f>
        <v>1636</v>
      </c>
      <c r="R111" s="166"/>
      <c r="S111" s="166"/>
      <c r="T111" s="166"/>
      <c r="U111" s="31">
        <f>MATCH($A111,Table!$A:$A,0)+$W$2-1</f>
        <v>1623</v>
      </c>
      <c r="V111" s="166"/>
      <c r="W111" s="166"/>
      <c r="X111" s="166" t="s">
        <v>118</v>
      </c>
    </row>
    <row r="112" spans="1:24">
      <c r="A112" s="5">
        <v>40997</v>
      </c>
      <c r="B112" s="31">
        <f ca="1">IF(ISERROR(MATCH(B$1,INDIRECT("Table!A"&amp;$U112):INDIRECT("Table!" &amp; $X$159 &amp; $U112),0)),"",INDIRECT(CONCATENATE("Table!",ADDRESS($Q112,MATCH(B$1,INDIRECT("Table!A" &amp; $U112):INDIRECT("Table!" &amp; $X$159 &amp; $U112),0))))/1024)</f>
        <v>0.6083984375</v>
      </c>
      <c r="C112" s="31">
        <f ca="1">IF(ISERROR(MATCH(C$1,INDIRECT("Table!A"&amp;$U112):INDIRECT("Table!" &amp; $X$159 &amp; $U112),0)),"",INDIRECT(CONCATENATE("Table!",ADDRESS($Q112,MATCH(C$1,INDIRECT("Table!A" &amp; $U112):INDIRECT("Table!" &amp; $X$159 &amp; $U112),0))))/1024)</f>
        <v>0.7275390625</v>
      </c>
      <c r="D112" s="31">
        <f ca="1">IF(ISERROR(MATCH(D$1,INDIRECT("Table!A"&amp;$U112):INDIRECT("Table!" &amp; $X$159 &amp; $U112),0)),"",INDIRECT(CONCATENATE("Table!",ADDRESS($Q112,MATCH(D$1,INDIRECT("Table!A" &amp; $U112):INDIRECT("Table!" &amp; $X$159 &amp; $U112),0))))/1024)</f>
        <v>0.5390625</v>
      </c>
      <c r="E112" s="31">
        <f ca="1">IF(ISERROR(MATCH(E$1,INDIRECT("Table!A"&amp;$U112):INDIRECT("Table!" &amp; $X$159 &amp; $U112),0)),"",INDIRECT(CONCATENATE("Table!",ADDRESS($Q112,MATCH(E$1,INDIRECT("Table!A" &amp; $U112):INDIRECT("Table!" &amp; $X$159 &amp; $U112),0))))/1024)</f>
        <v>0.662109375</v>
      </c>
      <c r="F112" s="31">
        <f ca="1">IF(ISERROR(MATCH(F$1,INDIRECT("Table!A"&amp;$U112):INDIRECT("Table!" &amp; $X$159 &amp; $U112),0)),"",INDIRECT(CONCATENATE("Table!",ADDRESS($Q112,MATCH(F$1,INDIRECT("Table!A" &amp; $U112):INDIRECT("Table!" &amp; $X$159 &amp; $U112),0))))/1024)</f>
        <v>3.208984375</v>
      </c>
      <c r="G112" s="31">
        <f ca="1">IF(ISERROR(MATCH(G$1,INDIRECT("Table!A"&amp;$U112):INDIRECT("Table!" &amp; $X$159 &amp; $U112),0)),"",INDIRECT(CONCATENATE("Table!",ADDRESS($Q112,MATCH(G$1,INDIRECT("Table!A" &amp; $U112):INDIRECT("Table!" &amp; $X$159 &amp; $U112),0))))/1024)</f>
        <v>3.0009765625</v>
      </c>
      <c r="H112" s="31">
        <f ca="1">IF(ISERROR(MATCH(H$1,INDIRECT("Table!A"&amp;$U112):INDIRECT("Table!" &amp; $X$159 &amp; $U112),0)),"",INDIRECT(CONCATENATE("Table!",ADDRESS($Q112,MATCH(H$1,INDIRECT("Table!A" &amp; $U112):INDIRECT("Table!" &amp; $X$159 &amp; $U112),0))))/1024)</f>
        <v>2.177734375</v>
      </c>
      <c r="I112" s="31">
        <f ca="1">IF(ISERROR(MATCH(I$1,INDIRECT("Table!A"&amp;$U112):INDIRECT("Table!" &amp; $X$159 &amp; $U112),0)),"",INDIRECT(CONCATENATE("Table!",ADDRESS($Q112,MATCH(I$1,INDIRECT("Table!A" &amp; $U112):INDIRECT("Table!" &amp; $X$159 &amp; $U112),0))))/1024)</f>
        <v>0.8583984375</v>
      </c>
      <c r="J112" s="31">
        <f ca="1">IF(ISERROR(MATCH(J$1,INDIRECT("Table!A"&amp;$U112):INDIRECT("Table!" &amp; $X$159 &amp; $U112),0)),"",INDIRECT(CONCATENATE("Table!",ADDRESS($Q112,MATCH(J$1,INDIRECT("Table!A" &amp; $U112):INDIRECT("Table!" &amp; $X$159 &amp; $U112),0))))/1024)</f>
        <v>2.93359375</v>
      </c>
      <c r="K112" s="31">
        <f ca="1">IF(ISERROR(MATCH(K$1,INDIRECT("Table!A"&amp;$U112):INDIRECT("Table!" &amp; $X$159 &amp; $U112),0)),"",INDIRECT(CONCATENATE("Table!",ADDRESS($Q112,MATCH(K$1,INDIRECT("Table!A" &amp; $U112):INDIRECT("Table!" &amp; $X$159 &amp; $U112),0))))/1024)</f>
        <v>2.73828125</v>
      </c>
      <c r="L112" s="31">
        <f ca="1">IF(ISERROR(MATCH(L$1,INDIRECT("Table!A"&amp;$U112):INDIRECT("Table!" &amp; $X$159 &amp; $U112),0)),"",INDIRECT(CONCATENATE("Table!",ADDRESS($Q112,MATCH(L$1,INDIRECT("Table!A" &amp; $U112):INDIRECT("Table!" &amp; $X$159 &amp; $U112),0))))/1024)</f>
        <v>2.1787109375</v>
      </c>
      <c r="M112" s="31">
        <f ca="1">IF(ISERROR(MATCH(M$1,INDIRECT("Table!A"&amp;$U112):INDIRECT("Table!" &amp; $X$159 &amp; $U112),0)),"",INDIRECT(CONCATENATE("Table!",ADDRESS($Q112,MATCH(M$1,INDIRECT("Table!A" &amp; $U112):INDIRECT("Table!" &amp; $X$159 &amp; $U112),0))))/1024)</f>
        <v>2.208984375</v>
      </c>
      <c r="N112" s="31"/>
      <c r="O112" s="165"/>
      <c r="P112" s="165"/>
      <c r="Q112" s="31">
        <f>MATCH($A112,Table!$A:$A,0)+$S$2-1</f>
        <v>1649</v>
      </c>
      <c r="R112" s="165"/>
      <c r="S112" s="165"/>
      <c r="T112" s="165"/>
      <c r="U112" s="31">
        <f>MATCH($A112,Table!$A:$A,0)+$W$2-1</f>
        <v>1636</v>
      </c>
      <c r="V112" s="165"/>
      <c r="W112" s="165"/>
      <c r="X112" s="165" t="s">
        <v>118</v>
      </c>
    </row>
    <row r="113" spans="1:24">
      <c r="A113" s="5">
        <v>40996</v>
      </c>
      <c r="B113" s="31">
        <f ca="1">IF(ISERROR(MATCH(B$1,INDIRECT("Table!A"&amp;$U113):INDIRECT("Table!" &amp; $X$159 &amp; $U113),0)),"",INDIRECT(CONCATENATE("Table!",ADDRESS($Q113,MATCH(B$1,INDIRECT("Table!A" &amp; $U113):INDIRECT("Table!" &amp; $X$159 &amp; $U113),0))))/1024)</f>
        <v>0.6083984375</v>
      </c>
      <c r="C113" s="31">
        <f ca="1">IF(ISERROR(MATCH(C$1,INDIRECT("Table!A"&amp;$U113):INDIRECT("Table!" &amp; $X$159 &amp; $U113),0)),"",INDIRECT(CONCATENATE("Table!",ADDRESS($Q113,MATCH(C$1,INDIRECT("Table!A" &amp; $U113):INDIRECT("Table!" &amp; $X$159 &amp; $U113),0))))/1024)</f>
        <v>0.7275390625</v>
      </c>
      <c r="D113" s="31">
        <f ca="1">IF(ISERROR(MATCH(D$1,INDIRECT("Table!A"&amp;$U113):INDIRECT("Table!" &amp; $X$159 &amp; $U113),0)),"",INDIRECT(CONCATENATE("Table!",ADDRESS($Q113,MATCH(D$1,INDIRECT("Table!A" &amp; $U113):INDIRECT("Table!" &amp; $X$159 &amp; $U113),0))))/1024)</f>
        <v>0.5390625</v>
      </c>
      <c r="E113" s="31">
        <f ca="1">IF(ISERROR(MATCH(E$1,INDIRECT("Table!A"&amp;$U113):INDIRECT("Table!" &amp; $X$159 &amp; $U113),0)),"",INDIRECT(CONCATENATE("Table!",ADDRESS($Q113,MATCH(E$1,INDIRECT("Table!A" &amp; $U113):INDIRECT("Table!" &amp; $X$159 &amp; $U113),0))))/1024)</f>
        <v>0.662109375</v>
      </c>
      <c r="F113" s="31">
        <f ca="1">IF(ISERROR(MATCH(F$1,INDIRECT("Table!A"&amp;$U113):INDIRECT("Table!" &amp; $X$159 &amp; $U113),0)),"",INDIRECT(CONCATENATE("Table!",ADDRESS($Q113,MATCH(F$1,INDIRECT("Table!A" &amp; $U113):INDIRECT("Table!" &amp; $X$159 &amp; $U113),0))))/1024)</f>
        <v>3.208984375</v>
      </c>
      <c r="G113" s="31">
        <f ca="1">IF(ISERROR(MATCH(G$1,INDIRECT("Table!A"&amp;$U113):INDIRECT("Table!" &amp; $X$159 &amp; $U113),0)),"",INDIRECT(CONCATENATE("Table!",ADDRESS($Q113,MATCH(G$1,INDIRECT("Table!A" &amp; $U113):INDIRECT("Table!" &amp; $X$159 &amp; $U113),0))))/1024)</f>
        <v>3.0009765625</v>
      </c>
      <c r="H113" s="31">
        <f ca="1">IF(ISERROR(MATCH(H$1,INDIRECT("Table!A"&amp;$U113):INDIRECT("Table!" &amp; $X$159 &amp; $U113),0)),"",INDIRECT(CONCATENATE("Table!",ADDRESS($Q113,MATCH(H$1,INDIRECT("Table!A" &amp; $U113):INDIRECT("Table!" &amp; $X$159 &amp; $U113),0))))/1024)</f>
        <v>2.177734375</v>
      </c>
      <c r="I113" s="31">
        <f ca="1">IF(ISERROR(MATCH(I$1,INDIRECT("Table!A"&amp;$U113):INDIRECT("Table!" &amp; $X$159 &amp; $U113),0)),"",INDIRECT(CONCATENATE("Table!",ADDRESS($Q113,MATCH(I$1,INDIRECT("Table!A" &amp; $U113):INDIRECT("Table!" &amp; $X$159 &amp; $U113),0))))/1024)</f>
        <v>0.8583984375</v>
      </c>
      <c r="J113" s="31">
        <f ca="1">IF(ISERROR(MATCH(J$1,INDIRECT("Table!A"&amp;$U113):INDIRECT("Table!" &amp; $X$159 &amp; $U113),0)),"",INDIRECT(CONCATENATE("Table!",ADDRESS($Q113,MATCH(J$1,INDIRECT("Table!A" &amp; $U113):INDIRECT("Table!" &amp; $X$159 &amp; $U113),0))))/1024)</f>
        <v>2.93359375</v>
      </c>
      <c r="K113" s="31">
        <f ca="1">IF(ISERROR(MATCH(K$1,INDIRECT("Table!A"&amp;$U113):INDIRECT("Table!" &amp; $X$159 &amp; $U113),0)),"",INDIRECT(CONCATENATE("Table!",ADDRESS($Q113,MATCH(K$1,INDIRECT("Table!A" &amp; $U113):INDIRECT("Table!" &amp; $X$159 &amp; $U113),0))))/1024)</f>
        <v>2.73828125</v>
      </c>
      <c r="L113" s="31">
        <f ca="1">IF(ISERROR(MATCH(L$1,INDIRECT("Table!A"&amp;$U113):INDIRECT("Table!" &amp; $X$159 &amp; $U113),0)),"",INDIRECT(CONCATENATE("Table!",ADDRESS($Q113,MATCH(L$1,INDIRECT("Table!A" &amp; $U113):INDIRECT("Table!" &amp; $X$159 &amp; $U113),0))))/1024)</f>
        <v>2.1787109375</v>
      </c>
      <c r="M113" s="31">
        <f ca="1">IF(ISERROR(MATCH(M$1,INDIRECT("Table!A"&amp;$U113):INDIRECT("Table!" &amp; $X$159 &amp; $U113),0)),"",INDIRECT(CONCATENATE("Table!",ADDRESS($Q113,MATCH(M$1,INDIRECT("Table!A" &amp; $U113):INDIRECT("Table!" &amp; $X$159 &amp; $U113),0))))/1024)</f>
        <v>2.208984375</v>
      </c>
      <c r="N113" s="31"/>
      <c r="O113" s="164"/>
      <c r="P113" s="164"/>
      <c r="Q113" s="31">
        <f>MATCH($A113,Table!$A:$A,0)+$S$2-1</f>
        <v>1662</v>
      </c>
      <c r="R113" s="164"/>
      <c r="S113" s="164"/>
      <c r="T113" s="164"/>
      <c r="U113" s="31">
        <f>MATCH($A113,Table!$A:$A,0)+$W$2-1</f>
        <v>1649</v>
      </c>
      <c r="V113" s="164"/>
      <c r="W113" s="164"/>
      <c r="X113" s="164" t="s">
        <v>118</v>
      </c>
    </row>
    <row r="114" spans="1:24">
      <c r="A114" s="5">
        <v>40994</v>
      </c>
      <c r="B114" s="31">
        <f ca="1">IF(ISERROR(MATCH(B$1,INDIRECT("Table!A"&amp;$U114):INDIRECT("Table!" &amp; $X$159 &amp; $U114),0)),"",INDIRECT(CONCATENATE("Table!",ADDRESS($Q114,MATCH(B$1,INDIRECT("Table!A" &amp; $U114):INDIRECT("Table!" &amp; $X$159 &amp; $U114),0))))/1024)</f>
        <v>0.6083984375</v>
      </c>
      <c r="C114" s="31">
        <f ca="1">IF(ISERROR(MATCH(C$1,INDIRECT("Table!A"&amp;$U114):INDIRECT("Table!" &amp; $X$159 &amp; $U114),0)),"",INDIRECT(CONCATENATE("Table!",ADDRESS($Q114,MATCH(C$1,INDIRECT("Table!A" &amp; $U114):INDIRECT("Table!" &amp; $X$159 &amp; $U114),0))))/1024)</f>
        <v>0.7275390625</v>
      </c>
      <c r="D114" s="31">
        <f ca="1">IF(ISERROR(MATCH(D$1,INDIRECT("Table!A"&amp;$U114):INDIRECT("Table!" &amp; $X$159 &amp; $U114),0)),"",INDIRECT(CONCATENATE("Table!",ADDRESS($Q114,MATCH(D$1,INDIRECT("Table!A" &amp; $U114):INDIRECT("Table!" &amp; $X$159 &amp; $U114),0))))/1024)</f>
        <v>0.5390625</v>
      </c>
      <c r="E114" s="31">
        <f ca="1">IF(ISERROR(MATCH(E$1,INDIRECT("Table!A"&amp;$U114):INDIRECT("Table!" &amp; $X$159 &amp; $U114),0)),"",INDIRECT(CONCATENATE("Table!",ADDRESS($Q114,MATCH(E$1,INDIRECT("Table!A" &amp; $U114):INDIRECT("Table!" &amp; $X$159 &amp; $U114),0))))/1024)</f>
        <v>0.662109375</v>
      </c>
      <c r="F114" s="31">
        <f ca="1">IF(ISERROR(MATCH(F$1,INDIRECT("Table!A"&amp;$U114):INDIRECT("Table!" &amp; $X$159 &amp; $U114),0)),"",INDIRECT(CONCATENATE("Table!",ADDRESS($Q114,MATCH(F$1,INDIRECT("Table!A" &amp; $U114):INDIRECT("Table!" &amp; $X$159 &amp; $U114),0))))/1024)</f>
        <v>3.208984375</v>
      </c>
      <c r="G114" s="31">
        <f ca="1">IF(ISERROR(MATCH(G$1,INDIRECT("Table!A"&amp;$U114):INDIRECT("Table!" &amp; $X$159 &amp; $U114),0)),"",INDIRECT(CONCATENATE("Table!",ADDRESS($Q114,MATCH(G$1,INDIRECT("Table!A" &amp; $U114):INDIRECT("Table!" &amp; $X$159 &amp; $U114),0))))/1024)</f>
        <v>3.0009765625</v>
      </c>
      <c r="H114" s="31">
        <f ca="1">IF(ISERROR(MATCH(H$1,INDIRECT("Table!A"&amp;$U114):INDIRECT("Table!" &amp; $X$159 &amp; $U114),0)),"",INDIRECT(CONCATENATE("Table!",ADDRESS($Q114,MATCH(H$1,INDIRECT("Table!A" &amp; $U114):INDIRECT("Table!" &amp; $X$159 &amp; $U114),0))))/1024)</f>
        <v>2.177734375</v>
      </c>
      <c r="I114" s="31">
        <f ca="1">IF(ISERROR(MATCH(I$1,INDIRECT("Table!A"&amp;$U114):INDIRECT("Table!" &amp; $X$159 &amp; $U114),0)),"",INDIRECT(CONCATENATE("Table!",ADDRESS($Q114,MATCH(I$1,INDIRECT("Table!A" &amp; $U114):INDIRECT("Table!" &amp; $X$159 &amp; $U114),0))))/1024)</f>
        <v>0.8583984375</v>
      </c>
      <c r="J114" s="31">
        <f ca="1">IF(ISERROR(MATCH(J$1,INDIRECT("Table!A"&amp;$U114):INDIRECT("Table!" &amp; $X$159 &amp; $U114),0)),"",INDIRECT(CONCATENATE("Table!",ADDRESS($Q114,MATCH(J$1,INDIRECT("Table!A" &amp; $U114):INDIRECT("Table!" &amp; $X$159 &amp; $U114),0))))/1024)</f>
        <v>2.93359375</v>
      </c>
      <c r="K114" s="31">
        <f ca="1">IF(ISERROR(MATCH(K$1,INDIRECT("Table!A"&amp;$U114):INDIRECT("Table!" &amp; $X$159 &amp; $U114),0)),"",INDIRECT(CONCATENATE("Table!",ADDRESS($Q114,MATCH(K$1,INDIRECT("Table!A" &amp; $U114):INDIRECT("Table!" &amp; $X$159 &amp; $U114),0))))/1024)</f>
        <v>2.73828125</v>
      </c>
      <c r="L114" s="31">
        <f ca="1">IF(ISERROR(MATCH(L$1,INDIRECT("Table!A"&amp;$U114):INDIRECT("Table!" &amp; $X$159 &amp; $U114),0)),"",INDIRECT(CONCATENATE("Table!",ADDRESS($Q114,MATCH(L$1,INDIRECT("Table!A" &amp; $U114):INDIRECT("Table!" &amp; $X$159 &amp; $U114),0))))/1024)</f>
        <v>2.1787109375</v>
      </c>
      <c r="M114" s="31">
        <f ca="1">IF(ISERROR(MATCH(M$1,INDIRECT("Table!A"&amp;$U114):INDIRECT("Table!" &amp; $X$159 &amp; $U114),0)),"",INDIRECT(CONCATENATE("Table!",ADDRESS($Q114,MATCH(M$1,INDIRECT("Table!A" &amp; $U114):INDIRECT("Table!" &amp; $X$159 &amp; $U114),0))))/1024)</f>
        <v>2.208984375</v>
      </c>
      <c r="N114" s="31"/>
      <c r="O114" s="163"/>
      <c r="P114" s="163"/>
      <c r="Q114" s="31">
        <f>MATCH($A114,Table!$A:$A,0)+$S$2-1</f>
        <v>1675</v>
      </c>
      <c r="R114" s="163"/>
      <c r="S114" s="163"/>
      <c r="T114" s="163"/>
      <c r="U114" s="31">
        <f>MATCH($A114,Table!$A:$A,0)+$W$2-1</f>
        <v>1662</v>
      </c>
      <c r="V114" s="163"/>
      <c r="W114" s="163"/>
      <c r="X114" s="163" t="s">
        <v>118</v>
      </c>
    </row>
    <row r="115" spans="1:24">
      <c r="A115" s="5">
        <v>40989</v>
      </c>
      <c r="B115" s="31">
        <f ca="1">IF(ISERROR(MATCH(B$1,INDIRECT("Table!A"&amp;$U115):INDIRECT("Table!" &amp; $X$159 &amp; $U115),0)),"",INDIRECT(CONCATENATE("Table!",ADDRESS($Q115,MATCH(B$1,INDIRECT("Table!A" &amp; $U115):INDIRECT("Table!" &amp; $X$159 &amp; $U115),0))))/1024)</f>
        <v>0.6083984375</v>
      </c>
      <c r="C115" s="31">
        <f ca="1">IF(ISERROR(MATCH(C$1,INDIRECT("Table!A"&amp;$U115):INDIRECT("Table!" &amp; $X$159 &amp; $U115),0)),"",INDIRECT(CONCATENATE("Table!",ADDRESS($Q115,MATCH(C$1,INDIRECT("Table!A" &amp; $U115):INDIRECT("Table!" &amp; $X$159 &amp; $U115),0))))/1024)</f>
        <v>0.7275390625</v>
      </c>
      <c r="D115" s="31">
        <f ca="1">IF(ISERROR(MATCH(D$1,INDIRECT("Table!A"&amp;$U115):INDIRECT("Table!" &amp; $X$159 &amp; $U115),0)),"",INDIRECT(CONCATENATE("Table!",ADDRESS($Q115,MATCH(D$1,INDIRECT("Table!A" &amp; $U115):INDIRECT("Table!" &amp; $X$159 &amp; $U115),0))))/1024)</f>
        <v>0.5390625</v>
      </c>
      <c r="E115" s="31">
        <f ca="1">IF(ISERROR(MATCH(E$1,INDIRECT("Table!A"&amp;$U115):INDIRECT("Table!" &amp; $X$159 &amp; $U115),0)),"",INDIRECT(CONCATENATE("Table!",ADDRESS($Q115,MATCH(E$1,INDIRECT("Table!A" &amp; $U115):INDIRECT("Table!" &amp; $X$159 &amp; $U115),0))))/1024)</f>
        <v>0.662109375</v>
      </c>
      <c r="F115" s="31">
        <f ca="1">IF(ISERROR(MATCH(F$1,INDIRECT("Table!A"&amp;$U115):INDIRECT("Table!" &amp; $X$159 &amp; $U115),0)),"",INDIRECT(CONCATENATE("Table!",ADDRESS($Q115,MATCH(F$1,INDIRECT("Table!A" &amp; $U115):INDIRECT("Table!" &amp; $X$159 &amp; $U115),0))))/1024)</f>
        <v>3.208984375</v>
      </c>
      <c r="G115" s="31">
        <f ca="1">IF(ISERROR(MATCH(G$1,INDIRECT("Table!A"&amp;$U115):INDIRECT("Table!" &amp; $X$159 &amp; $U115),0)),"",INDIRECT(CONCATENATE("Table!",ADDRESS($Q115,MATCH(G$1,INDIRECT("Table!A" &amp; $U115):INDIRECT("Table!" &amp; $X$159 &amp; $U115),0))))/1024)</f>
        <v>3.0009765625</v>
      </c>
      <c r="H115" s="31">
        <f ca="1">IF(ISERROR(MATCH(H$1,INDIRECT("Table!A"&amp;$U115):INDIRECT("Table!" &amp; $X$159 &amp; $U115),0)),"",INDIRECT(CONCATENATE("Table!",ADDRESS($Q115,MATCH(H$1,INDIRECT("Table!A" &amp; $U115):INDIRECT("Table!" &amp; $X$159 &amp; $U115),0))))/1024)</f>
        <v>2.177734375</v>
      </c>
      <c r="I115" s="31">
        <f ca="1">IF(ISERROR(MATCH(I$1,INDIRECT("Table!A"&amp;$U115):INDIRECT("Table!" &amp; $X$159 &amp; $U115),0)),"",INDIRECT(CONCATENATE("Table!",ADDRESS($Q115,MATCH(I$1,INDIRECT("Table!A" &amp; $U115):INDIRECT("Table!" &amp; $X$159 &amp; $U115),0))))/1024)</f>
        <v>0.8583984375</v>
      </c>
      <c r="J115" s="31">
        <f ca="1">IF(ISERROR(MATCH(J$1,INDIRECT("Table!A"&amp;$U115):INDIRECT("Table!" &amp; $X$159 &amp; $U115),0)),"",INDIRECT(CONCATENATE("Table!",ADDRESS($Q115,MATCH(J$1,INDIRECT("Table!A" &amp; $U115):INDIRECT("Table!" &amp; $X$159 &amp; $U115),0))))/1024)</f>
        <v>2.93359375</v>
      </c>
      <c r="K115" s="31">
        <f ca="1">IF(ISERROR(MATCH(K$1,INDIRECT("Table!A"&amp;$U115):INDIRECT("Table!" &amp; $X$159 &amp; $U115),0)),"",INDIRECT(CONCATENATE("Table!",ADDRESS($Q115,MATCH(K$1,INDIRECT("Table!A" &amp; $U115):INDIRECT("Table!" &amp; $X$159 &amp; $U115),0))))/1024)</f>
        <v>2.73828125</v>
      </c>
      <c r="L115" s="31">
        <f ca="1">IF(ISERROR(MATCH(L$1,INDIRECT("Table!A"&amp;$U115):INDIRECT("Table!" &amp; $X$159 &amp; $U115),0)),"",INDIRECT(CONCATENATE("Table!",ADDRESS($Q115,MATCH(L$1,INDIRECT("Table!A" &amp; $U115):INDIRECT("Table!" &amp; $X$159 &amp; $U115),0))))/1024)</f>
        <v>2.1787109375</v>
      </c>
      <c r="M115" s="31">
        <f ca="1">IF(ISERROR(MATCH(M$1,INDIRECT("Table!A"&amp;$U115):INDIRECT("Table!" &amp; $X$159 &amp; $U115),0)),"",INDIRECT(CONCATENATE("Table!",ADDRESS($Q115,MATCH(M$1,INDIRECT("Table!A" &amp; $U115):INDIRECT("Table!" &amp; $X$159 &amp; $U115),0))))/1024)</f>
        <v>2.208984375</v>
      </c>
      <c r="N115" s="31"/>
      <c r="O115" s="162"/>
      <c r="P115" s="162"/>
      <c r="Q115" s="31">
        <f>MATCH($A115,Table!$A:$A,0)+$S$2-1</f>
        <v>1688</v>
      </c>
      <c r="R115" s="162"/>
      <c r="S115" s="162"/>
      <c r="T115" s="162"/>
      <c r="U115" s="31">
        <f>MATCH($A115,Table!$A:$A,0)+$W$2-1</f>
        <v>1675</v>
      </c>
      <c r="V115" s="162"/>
      <c r="W115" s="162"/>
      <c r="X115" s="162" t="s">
        <v>118</v>
      </c>
    </row>
    <row r="116" spans="1:24">
      <c r="A116" s="5">
        <v>40984</v>
      </c>
      <c r="B116" s="31">
        <f ca="1">IF(ISERROR(MATCH(B$1,INDIRECT("Table!A"&amp;$U116):INDIRECT("Table!" &amp; $X$159 &amp; $U116),0)),"",INDIRECT(CONCATENATE("Table!",ADDRESS($Q116,MATCH(B$1,INDIRECT("Table!A" &amp; $U116):INDIRECT("Table!" &amp; $X$159 &amp; $U116),0))))/1024)</f>
        <v>0.6083984375</v>
      </c>
      <c r="C116" s="31">
        <f ca="1">IF(ISERROR(MATCH(C$1,INDIRECT("Table!A"&amp;$U116):INDIRECT("Table!" &amp; $X$159 &amp; $U116),0)),"",INDIRECT(CONCATENATE("Table!",ADDRESS($Q116,MATCH(C$1,INDIRECT("Table!A" &amp; $U116):INDIRECT("Table!" &amp; $X$159 &amp; $U116),0))))/1024)</f>
        <v>0.7275390625</v>
      </c>
      <c r="D116" s="31">
        <f ca="1">IF(ISERROR(MATCH(D$1,INDIRECT("Table!A"&amp;$U116):INDIRECT("Table!" &amp; $X$159 &amp; $U116),0)),"",INDIRECT(CONCATENATE("Table!",ADDRESS($Q116,MATCH(D$1,INDIRECT("Table!A" &amp; $U116):INDIRECT("Table!" &amp; $X$159 &amp; $U116),0))))/1024)</f>
        <v>0.5390625</v>
      </c>
      <c r="E116" s="31">
        <f ca="1">IF(ISERROR(MATCH(E$1,INDIRECT("Table!A"&amp;$U116):INDIRECT("Table!" &amp; $X$159 &amp; $U116),0)),"",INDIRECT(CONCATENATE("Table!",ADDRESS($Q116,MATCH(E$1,INDIRECT("Table!A" &amp; $U116):INDIRECT("Table!" &amp; $X$159 &amp; $U116),0))))/1024)</f>
        <v>0.662109375</v>
      </c>
      <c r="F116" s="31">
        <f ca="1">IF(ISERROR(MATCH(F$1,INDIRECT("Table!A"&amp;$U116):INDIRECT("Table!" &amp; $X$159 &amp; $U116),0)),"",INDIRECT(CONCATENATE("Table!",ADDRESS($Q116,MATCH(F$1,INDIRECT("Table!A" &amp; $U116):INDIRECT("Table!" &amp; $X$159 &amp; $U116),0))))/1024)</f>
        <v>3.208984375</v>
      </c>
      <c r="G116" s="31">
        <f ca="1">IF(ISERROR(MATCH(G$1,INDIRECT("Table!A"&amp;$U116):INDIRECT("Table!" &amp; $X$159 &amp; $U116),0)),"",INDIRECT(CONCATENATE("Table!",ADDRESS($Q116,MATCH(G$1,INDIRECT("Table!A" &amp; $U116):INDIRECT("Table!" &amp; $X$159 &amp; $U116),0))))/1024)</f>
        <v>3.0009765625</v>
      </c>
      <c r="H116" s="31">
        <f ca="1">IF(ISERROR(MATCH(H$1,INDIRECT("Table!A"&amp;$U116):INDIRECT("Table!" &amp; $X$159 &amp; $U116),0)),"",INDIRECT(CONCATENATE("Table!",ADDRESS($Q116,MATCH(H$1,INDIRECT("Table!A" &amp; $U116):INDIRECT("Table!" &amp; $X$159 &amp; $U116),0))))/1024)</f>
        <v>2.177734375</v>
      </c>
      <c r="I116" s="31">
        <f ca="1">IF(ISERROR(MATCH(I$1,INDIRECT("Table!A"&amp;$U116):INDIRECT("Table!" &amp; $X$159 &amp; $U116),0)),"",INDIRECT(CONCATENATE("Table!",ADDRESS($Q116,MATCH(I$1,INDIRECT("Table!A" &amp; $U116):INDIRECT("Table!" &amp; $X$159 &amp; $U116),0))))/1024)</f>
        <v>0.8583984375</v>
      </c>
      <c r="J116" s="31">
        <f ca="1">IF(ISERROR(MATCH(J$1,INDIRECT("Table!A"&amp;$U116):INDIRECT("Table!" &amp; $X$159 &amp; $U116),0)),"",INDIRECT(CONCATENATE("Table!",ADDRESS($Q116,MATCH(J$1,INDIRECT("Table!A" &amp; $U116):INDIRECT("Table!" &amp; $X$159 &amp; $U116),0))))/1024)</f>
        <v>2.93359375</v>
      </c>
      <c r="K116" s="31">
        <f ca="1">IF(ISERROR(MATCH(K$1,INDIRECT("Table!A"&amp;$U116):INDIRECT("Table!" &amp; $X$159 &amp; $U116),0)),"",INDIRECT(CONCATENATE("Table!",ADDRESS($Q116,MATCH(K$1,INDIRECT("Table!A" &amp; $U116):INDIRECT("Table!" &amp; $X$159 &amp; $U116),0))))/1024)</f>
        <v>2.73828125</v>
      </c>
      <c r="L116" s="31">
        <f ca="1">IF(ISERROR(MATCH(L$1,INDIRECT("Table!A"&amp;$U116):INDIRECT("Table!" &amp; $X$159 &amp; $U116),0)),"",INDIRECT(CONCATENATE("Table!",ADDRESS($Q116,MATCH(L$1,INDIRECT("Table!A" &amp; $U116):INDIRECT("Table!" &amp; $X$159 &amp; $U116),0))))/1024)</f>
        <v>2.1787109375</v>
      </c>
      <c r="M116" s="31">
        <f ca="1">IF(ISERROR(MATCH(M$1,INDIRECT("Table!A"&amp;$U116):INDIRECT("Table!" &amp; $X$159 &amp; $U116),0)),"",INDIRECT(CONCATENATE("Table!",ADDRESS($Q116,MATCH(M$1,INDIRECT("Table!A" &amp; $U116):INDIRECT("Table!" &amp; $X$159 &amp; $U116),0))))/1024)</f>
        <v>2.208984375</v>
      </c>
      <c r="N116" s="31"/>
      <c r="O116" s="161"/>
      <c r="P116" s="161"/>
      <c r="Q116" s="31">
        <f>MATCH($A116,Table!$A:$A,0)+$S$2-1</f>
        <v>1701</v>
      </c>
      <c r="R116" s="161"/>
      <c r="S116" s="161"/>
      <c r="T116" s="161"/>
      <c r="U116" s="31">
        <f>MATCH($A116,Table!$A:$A,0)+$W$2-1</f>
        <v>1688</v>
      </c>
      <c r="V116" s="161"/>
      <c r="W116" s="161"/>
      <c r="X116" s="161" t="s">
        <v>118</v>
      </c>
    </row>
    <row r="117" spans="1:24">
      <c r="A117" s="5">
        <v>40983</v>
      </c>
      <c r="B117" s="31">
        <f ca="1">IF(ISERROR(MATCH(B$1,INDIRECT("Table!A"&amp;$U117):INDIRECT("Table!" &amp; $X$159 &amp; $U117),0)),"",INDIRECT(CONCATENATE("Table!",ADDRESS($Q117,MATCH(B$1,INDIRECT("Table!A" &amp; $U117):INDIRECT("Table!" &amp; $X$159 &amp; $U117),0))))/1024)</f>
        <v>0.6083984375</v>
      </c>
      <c r="C117" s="31">
        <f ca="1">IF(ISERROR(MATCH(C$1,INDIRECT("Table!A"&amp;$U117):INDIRECT("Table!" &amp; $X$159 &amp; $U117),0)),"",INDIRECT(CONCATENATE("Table!",ADDRESS($Q117,MATCH(C$1,INDIRECT("Table!A" &amp; $U117):INDIRECT("Table!" &amp; $X$159 &amp; $U117),0))))/1024)</f>
        <v>0.7275390625</v>
      </c>
      <c r="D117" s="31">
        <f ca="1">IF(ISERROR(MATCH(D$1,INDIRECT("Table!A"&amp;$U117):INDIRECT("Table!" &amp; $X$159 &amp; $U117),0)),"",INDIRECT(CONCATENATE("Table!",ADDRESS($Q117,MATCH(D$1,INDIRECT("Table!A" &amp; $U117):INDIRECT("Table!" &amp; $X$159 &amp; $U117),0))))/1024)</f>
        <v>0.5390625</v>
      </c>
      <c r="E117" s="31">
        <f ca="1">IF(ISERROR(MATCH(E$1,INDIRECT("Table!A"&amp;$U117):INDIRECT("Table!" &amp; $X$159 &amp; $U117),0)),"",INDIRECT(CONCATENATE("Table!",ADDRESS($Q117,MATCH(E$1,INDIRECT("Table!A" &amp; $U117):INDIRECT("Table!" &amp; $X$159 &amp; $U117),0))))/1024)</f>
        <v>0.662109375</v>
      </c>
      <c r="F117" s="31">
        <f ca="1">IF(ISERROR(MATCH(F$1,INDIRECT("Table!A"&amp;$U117):INDIRECT("Table!" &amp; $X$159 &amp; $U117),0)),"",INDIRECT(CONCATENATE("Table!",ADDRESS($Q117,MATCH(F$1,INDIRECT("Table!A" &amp; $U117):INDIRECT("Table!" &amp; $X$159 &amp; $U117),0))))/1024)</f>
        <v>3.208984375</v>
      </c>
      <c r="G117" s="31">
        <f ca="1">IF(ISERROR(MATCH(G$1,INDIRECT("Table!A"&amp;$U117):INDIRECT("Table!" &amp; $X$159 &amp; $U117),0)),"",INDIRECT(CONCATENATE("Table!",ADDRESS($Q117,MATCH(G$1,INDIRECT("Table!A" &amp; $U117):INDIRECT("Table!" &amp; $X$159 &amp; $U117),0))))/1024)</f>
        <v>3.0009765625</v>
      </c>
      <c r="H117" s="31">
        <f ca="1">IF(ISERROR(MATCH(H$1,INDIRECT("Table!A"&amp;$U117):INDIRECT("Table!" &amp; $X$159 &amp; $U117),0)),"",INDIRECT(CONCATENATE("Table!",ADDRESS($Q117,MATCH(H$1,INDIRECT("Table!A" &amp; $U117):INDIRECT("Table!" &amp; $X$159 &amp; $U117),0))))/1024)</f>
        <v>2.177734375</v>
      </c>
      <c r="I117" s="31">
        <f ca="1">IF(ISERROR(MATCH(I$1,INDIRECT("Table!A"&amp;$U117):INDIRECT("Table!" &amp; $X$159 &amp; $U117),0)),"",INDIRECT(CONCATENATE("Table!",ADDRESS($Q117,MATCH(I$1,INDIRECT("Table!A" &amp; $U117):INDIRECT("Table!" &amp; $X$159 &amp; $U117),0))))/1024)</f>
        <v>0.8583984375</v>
      </c>
      <c r="J117" s="31">
        <f ca="1">IF(ISERROR(MATCH(J$1,INDIRECT("Table!A"&amp;$U117):INDIRECT("Table!" &amp; $X$159 &amp; $U117),0)),"",INDIRECT(CONCATENATE("Table!",ADDRESS($Q117,MATCH(J$1,INDIRECT("Table!A" &amp; $U117):INDIRECT("Table!" &amp; $X$159 &amp; $U117),0))))/1024)</f>
        <v>2.93359375</v>
      </c>
      <c r="K117" s="31">
        <f ca="1">IF(ISERROR(MATCH(K$1,INDIRECT("Table!A"&amp;$U117):INDIRECT("Table!" &amp; $X$159 &amp; $U117),0)),"",INDIRECT(CONCATENATE("Table!",ADDRESS($Q117,MATCH(K$1,INDIRECT("Table!A" &amp; $U117):INDIRECT("Table!" &amp; $X$159 &amp; $U117),0))))/1024)</f>
        <v>2.73828125</v>
      </c>
      <c r="L117" s="31">
        <f ca="1">IF(ISERROR(MATCH(L$1,INDIRECT("Table!A"&amp;$U117):INDIRECT("Table!" &amp; $X$159 &amp; $U117),0)),"",INDIRECT(CONCATENATE("Table!",ADDRESS($Q117,MATCH(L$1,INDIRECT("Table!A" &amp; $U117):INDIRECT("Table!" &amp; $X$159 &amp; $U117),0))))/1024)</f>
        <v>2.1787109375</v>
      </c>
      <c r="M117" s="31">
        <f ca="1">IF(ISERROR(MATCH(M$1,INDIRECT("Table!A"&amp;$U117):INDIRECT("Table!" &amp; $X$159 &amp; $U117),0)),"",INDIRECT(CONCATENATE("Table!",ADDRESS($Q117,MATCH(M$1,INDIRECT("Table!A" &amp; $U117):INDIRECT("Table!" &amp; $X$159 &amp; $U117),0))))/1024)</f>
        <v>2.208984375</v>
      </c>
      <c r="N117" s="31"/>
      <c r="O117" s="160"/>
      <c r="P117" s="160"/>
      <c r="Q117" s="31">
        <f>MATCH($A117,Table!$A:$A,0)+$S$2-1</f>
        <v>1714</v>
      </c>
      <c r="R117" s="160"/>
      <c r="S117" s="160"/>
      <c r="T117" s="160"/>
      <c r="U117" s="31">
        <f>MATCH($A117,Table!$A:$A,0)+$W$2-1</f>
        <v>1701</v>
      </c>
      <c r="V117" s="160"/>
      <c r="W117" s="160"/>
      <c r="X117" s="160" t="s">
        <v>118</v>
      </c>
    </row>
    <row r="118" spans="1:24">
      <c r="A118" s="5">
        <v>40982</v>
      </c>
      <c r="B118" s="31">
        <f ca="1">IF(ISERROR(MATCH(B$1,INDIRECT("Table!A"&amp;$U118):INDIRECT("Table!" &amp; $X$159 &amp; $U118),0)),"",INDIRECT(CONCATENATE("Table!",ADDRESS($Q118,MATCH(B$1,INDIRECT("Table!A" &amp; $U118):INDIRECT("Table!" &amp; $X$159 &amp; $U118),0))))/1024)</f>
        <v>0.6083984375</v>
      </c>
      <c r="C118" s="31">
        <f ca="1">IF(ISERROR(MATCH(C$1,INDIRECT("Table!A"&amp;$U118):INDIRECT("Table!" &amp; $X$159 &amp; $U118),0)),"",INDIRECT(CONCATENATE("Table!",ADDRESS($Q118,MATCH(C$1,INDIRECT("Table!A" &amp; $U118):INDIRECT("Table!" &amp; $X$159 &amp; $U118),0))))/1024)</f>
        <v>0.7275390625</v>
      </c>
      <c r="D118" s="31">
        <f ca="1">IF(ISERROR(MATCH(D$1,INDIRECT("Table!A"&amp;$U118):INDIRECT("Table!" &amp; $X$159 &amp; $U118),0)),"",INDIRECT(CONCATENATE("Table!",ADDRESS($Q118,MATCH(D$1,INDIRECT("Table!A" &amp; $U118):INDIRECT("Table!" &amp; $X$159 &amp; $U118),0))))/1024)</f>
        <v>0.5390625</v>
      </c>
      <c r="E118" s="31">
        <f ca="1">IF(ISERROR(MATCH(E$1,INDIRECT("Table!A"&amp;$U118):INDIRECT("Table!" &amp; $X$159 &amp; $U118),0)),"",INDIRECT(CONCATENATE("Table!",ADDRESS($Q118,MATCH(E$1,INDIRECT("Table!A" &amp; $U118):INDIRECT("Table!" &amp; $X$159 &amp; $U118),0))))/1024)</f>
        <v>0.662109375</v>
      </c>
      <c r="F118" s="31">
        <f ca="1">IF(ISERROR(MATCH(F$1,INDIRECT("Table!A"&amp;$U118):INDIRECT("Table!" &amp; $X$159 &amp; $U118),0)),"",INDIRECT(CONCATENATE("Table!",ADDRESS($Q118,MATCH(F$1,INDIRECT("Table!A" &amp; $U118):INDIRECT("Table!" &amp; $X$159 &amp; $U118),0))))/1024)</f>
        <v>3.208984375</v>
      </c>
      <c r="G118" s="31">
        <f ca="1">IF(ISERROR(MATCH(G$1,INDIRECT("Table!A"&amp;$U118):INDIRECT("Table!" &amp; $X$159 &amp; $U118),0)),"",INDIRECT(CONCATENATE("Table!",ADDRESS($Q118,MATCH(G$1,INDIRECT("Table!A" &amp; $U118):INDIRECT("Table!" &amp; $X$159 &amp; $U118),0))))/1024)</f>
        <v>3.0009765625</v>
      </c>
      <c r="H118" s="31">
        <f ca="1">IF(ISERROR(MATCH(H$1,INDIRECT("Table!A"&amp;$U118):INDIRECT("Table!" &amp; $X$159 &amp; $U118),0)),"",INDIRECT(CONCATENATE("Table!",ADDRESS($Q118,MATCH(H$1,INDIRECT("Table!A" &amp; $U118):INDIRECT("Table!" &amp; $X$159 &amp; $U118),0))))/1024)</f>
        <v>2.177734375</v>
      </c>
      <c r="I118" s="31">
        <f ca="1">IF(ISERROR(MATCH(I$1,INDIRECT("Table!A"&amp;$U118):INDIRECT("Table!" &amp; $X$159 &amp; $U118),0)),"",INDIRECT(CONCATENATE("Table!",ADDRESS($Q118,MATCH(I$1,INDIRECT("Table!A" &amp; $U118):INDIRECT("Table!" &amp; $X$159 &amp; $U118),0))))/1024)</f>
        <v>0.8583984375</v>
      </c>
      <c r="J118" s="31">
        <f ca="1">IF(ISERROR(MATCH(J$1,INDIRECT("Table!A"&amp;$U118):INDIRECT("Table!" &amp; $X$159 &amp; $U118),0)),"",INDIRECT(CONCATENATE("Table!",ADDRESS($Q118,MATCH(J$1,INDIRECT("Table!A" &amp; $U118):INDIRECT("Table!" &amp; $X$159 &amp; $U118),0))))/1024)</f>
        <v>2.93359375</v>
      </c>
      <c r="K118" s="31">
        <f ca="1">IF(ISERROR(MATCH(K$1,INDIRECT("Table!A"&amp;$U118):INDIRECT("Table!" &amp; $X$159 &amp; $U118),0)),"",INDIRECT(CONCATENATE("Table!",ADDRESS($Q118,MATCH(K$1,INDIRECT("Table!A" &amp; $U118):INDIRECT("Table!" &amp; $X$159 &amp; $U118),0))))/1024)</f>
        <v>2.73828125</v>
      </c>
      <c r="L118" s="31">
        <f ca="1">IF(ISERROR(MATCH(L$1,INDIRECT("Table!A"&amp;$U118):INDIRECT("Table!" &amp; $X$159 &amp; $U118),0)),"",INDIRECT(CONCATENATE("Table!",ADDRESS($Q118,MATCH(L$1,INDIRECT("Table!A" &amp; $U118):INDIRECT("Table!" &amp; $X$159 &amp; $U118),0))))/1024)</f>
        <v>2.1787109375</v>
      </c>
      <c r="M118" s="31">
        <f ca="1">IF(ISERROR(MATCH(M$1,INDIRECT("Table!A"&amp;$U118):INDIRECT("Table!" &amp; $X$159 &amp; $U118),0)),"",INDIRECT(CONCATENATE("Table!",ADDRESS($Q118,MATCH(M$1,INDIRECT("Table!A" &amp; $U118):INDIRECT("Table!" &amp; $X$159 &amp; $U118),0))))/1024)</f>
        <v>2.208984375</v>
      </c>
      <c r="N118" s="31"/>
      <c r="O118" s="159"/>
      <c r="P118" s="159"/>
      <c r="Q118" s="31">
        <f>MATCH($A118,Table!$A:$A,0)+$S$2-1</f>
        <v>1727</v>
      </c>
      <c r="R118" s="159"/>
      <c r="S118" s="159"/>
      <c r="T118" s="159"/>
      <c r="U118" s="31">
        <f>MATCH($A118,Table!$A:$A,0)+$W$2-1</f>
        <v>1714</v>
      </c>
      <c r="V118" s="159"/>
      <c r="W118" s="159"/>
      <c r="X118" s="159" t="s">
        <v>118</v>
      </c>
    </row>
    <row r="119" spans="1:24">
      <c r="A119" s="5">
        <v>40981</v>
      </c>
      <c r="B119" s="31">
        <f ca="1">IF(ISERROR(MATCH(B$1,INDIRECT("Table!A"&amp;$U119):INDIRECT("Table!" &amp; $X$159 &amp; $U119),0)),"",INDIRECT(CONCATENATE("Table!",ADDRESS($Q119,MATCH(B$1,INDIRECT("Table!A" &amp; $U119):INDIRECT("Table!" &amp; $X$159 &amp; $U119),0))))/1024)</f>
        <v>0.6083984375</v>
      </c>
      <c r="C119" s="31">
        <f ca="1">IF(ISERROR(MATCH(C$1,INDIRECT("Table!A"&amp;$U119):INDIRECT("Table!" &amp; $X$159 &amp; $U119),0)),"",INDIRECT(CONCATENATE("Table!",ADDRESS($Q119,MATCH(C$1,INDIRECT("Table!A" &amp; $U119):INDIRECT("Table!" &amp; $X$159 &amp; $U119),0))))/1024)</f>
        <v>0.7275390625</v>
      </c>
      <c r="D119" s="31">
        <f ca="1">IF(ISERROR(MATCH(D$1,INDIRECT("Table!A"&amp;$U119):INDIRECT("Table!" &amp; $X$159 &amp; $U119),0)),"",INDIRECT(CONCATENATE("Table!",ADDRESS($Q119,MATCH(D$1,INDIRECT("Table!A" &amp; $U119):INDIRECT("Table!" &amp; $X$159 &amp; $U119),0))))/1024)</f>
        <v>0.5390625</v>
      </c>
      <c r="E119" s="31">
        <f ca="1">IF(ISERROR(MATCH(E$1,INDIRECT("Table!A"&amp;$U119):INDIRECT("Table!" &amp; $X$159 &amp; $U119),0)),"",INDIRECT(CONCATENATE("Table!",ADDRESS($Q119,MATCH(E$1,INDIRECT("Table!A" &amp; $U119):INDIRECT("Table!" &amp; $X$159 &amp; $U119),0))))/1024)</f>
        <v>0.662109375</v>
      </c>
      <c r="F119" s="31">
        <f ca="1">IF(ISERROR(MATCH(F$1,INDIRECT("Table!A"&amp;$U119):INDIRECT("Table!" &amp; $X$159 &amp; $U119),0)),"",INDIRECT(CONCATENATE("Table!",ADDRESS($Q119,MATCH(F$1,INDIRECT("Table!A" &amp; $U119):INDIRECT("Table!" &amp; $X$159 &amp; $U119),0))))/1024)</f>
        <v>3.208984375</v>
      </c>
      <c r="G119" s="31">
        <f ca="1">IF(ISERROR(MATCH(G$1,INDIRECT("Table!A"&amp;$U119):INDIRECT("Table!" &amp; $X$159 &amp; $U119),0)),"",INDIRECT(CONCATENATE("Table!",ADDRESS($Q119,MATCH(G$1,INDIRECT("Table!A" &amp; $U119):INDIRECT("Table!" &amp; $X$159 &amp; $U119),0))))/1024)</f>
        <v>3.0009765625</v>
      </c>
      <c r="H119" s="31">
        <f ca="1">IF(ISERROR(MATCH(H$1,INDIRECT("Table!A"&amp;$U119):INDIRECT("Table!" &amp; $X$159 &amp; $U119),0)),"",INDIRECT(CONCATENATE("Table!",ADDRESS($Q119,MATCH(H$1,INDIRECT("Table!A" &amp; $U119):INDIRECT("Table!" &amp; $X$159 &amp; $U119),0))))/1024)</f>
        <v>2.177734375</v>
      </c>
      <c r="I119" s="31">
        <f ca="1">IF(ISERROR(MATCH(I$1,INDIRECT("Table!A"&amp;$U119):INDIRECT("Table!" &amp; $X$159 &amp; $U119),0)),"",INDIRECT(CONCATENATE("Table!",ADDRESS($Q119,MATCH(I$1,INDIRECT("Table!A" &amp; $U119):INDIRECT("Table!" &amp; $X$159 &amp; $U119),0))))/1024)</f>
        <v>0.8583984375</v>
      </c>
      <c r="J119" s="31">
        <f ca="1">IF(ISERROR(MATCH(J$1,INDIRECT("Table!A"&amp;$U119):INDIRECT("Table!" &amp; $X$159 &amp; $U119),0)),"",INDIRECT(CONCATENATE("Table!",ADDRESS($Q119,MATCH(J$1,INDIRECT("Table!A" &amp; $U119):INDIRECT("Table!" &amp; $X$159 &amp; $U119),0))))/1024)</f>
        <v>2.93359375</v>
      </c>
      <c r="K119" s="31">
        <f ca="1">IF(ISERROR(MATCH(K$1,INDIRECT("Table!A"&amp;$U119):INDIRECT("Table!" &amp; $X$159 &amp; $U119),0)),"",INDIRECT(CONCATENATE("Table!",ADDRESS($Q119,MATCH(K$1,INDIRECT("Table!A" &amp; $U119):INDIRECT("Table!" &amp; $X$159 &amp; $U119),0))))/1024)</f>
        <v>2.73828125</v>
      </c>
      <c r="L119" s="31">
        <f ca="1">IF(ISERROR(MATCH(L$1,INDIRECT("Table!A"&amp;$U119):INDIRECT("Table!" &amp; $X$159 &amp; $U119),0)),"",INDIRECT(CONCATENATE("Table!",ADDRESS($Q119,MATCH(L$1,INDIRECT("Table!A" &amp; $U119):INDIRECT("Table!" &amp; $X$159 &amp; $U119),0))))/1024)</f>
        <v>2.1787109375</v>
      </c>
      <c r="M119" s="31">
        <f ca="1">IF(ISERROR(MATCH(M$1,INDIRECT("Table!A"&amp;$U119):INDIRECT("Table!" &amp; $X$159 &amp; $U119),0)),"",INDIRECT(CONCATENATE("Table!",ADDRESS($Q119,MATCH(M$1,INDIRECT("Table!A" &amp; $U119):INDIRECT("Table!" &amp; $X$159 &amp; $U119),0))))/1024)</f>
        <v>2.208984375</v>
      </c>
      <c r="N119" s="31"/>
      <c r="O119" s="158"/>
      <c r="P119" s="158"/>
      <c r="Q119" s="31">
        <f>MATCH($A119,Table!$A:$A,0)+$S$2-1</f>
        <v>1740</v>
      </c>
      <c r="R119" s="158"/>
      <c r="S119" s="158"/>
      <c r="T119" s="158"/>
      <c r="U119" s="31">
        <f>MATCH($A119,Table!$A:$A,0)+$W$2-1</f>
        <v>1727</v>
      </c>
      <c r="V119" s="158"/>
      <c r="W119" s="158"/>
      <c r="X119" s="158" t="s">
        <v>118</v>
      </c>
    </row>
    <row r="120" spans="1:24">
      <c r="A120" s="5">
        <v>40980</v>
      </c>
      <c r="B120" s="31">
        <f ca="1">IF(ISERROR(MATCH(B$1,INDIRECT("Table!A"&amp;$U120):INDIRECT("Table!" &amp; $X$159 &amp; $U120),0)),"",INDIRECT(CONCATENATE("Table!",ADDRESS($Q120,MATCH(B$1,INDIRECT("Table!A" &amp; $U120):INDIRECT("Table!" &amp; $X$159 &amp; $U120),0))))/1024)</f>
        <v>0.6083984375</v>
      </c>
      <c r="C120" s="31">
        <f ca="1">IF(ISERROR(MATCH(C$1,INDIRECT("Table!A"&amp;$U120):INDIRECT("Table!" &amp; $X$159 &amp; $U120),0)),"",INDIRECT(CONCATENATE("Table!",ADDRESS($Q120,MATCH(C$1,INDIRECT("Table!A" &amp; $U120):INDIRECT("Table!" &amp; $X$159 &amp; $U120),0))))/1024)</f>
        <v>0.7275390625</v>
      </c>
      <c r="D120" s="31">
        <f ca="1">IF(ISERROR(MATCH(D$1,INDIRECT("Table!A"&amp;$U120):INDIRECT("Table!" &amp; $X$159 &amp; $U120),0)),"",INDIRECT(CONCATENATE("Table!",ADDRESS($Q120,MATCH(D$1,INDIRECT("Table!A" &amp; $U120):INDIRECT("Table!" &amp; $X$159 &amp; $U120),0))))/1024)</f>
        <v>0.5390625</v>
      </c>
      <c r="E120" s="31">
        <f ca="1">IF(ISERROR(MATCH(E$1,INDIRECT("Table!A"&amp;$U120):INDIRECT("Table!" &amp; $X$159 &amp; $U120),0)),"",INDIRECT(CONCATENATE("Table!",ADDRESS($Q120,MATCH(E$1,INDIRECT("Table!A" &amp; $U120):INDIRECT("Table!" &amp; $X$159 &amp; $U120),0))))/1024)</f>
        <v>0.662109375</v>
      </c>
      <c r="F120" s="31">
        <f ca="1">IF(ISERROR(MATCH(F$1,INDIRECT("Table!A"&amp;$U120):INDIRECT("Table!" &amp; $X$159 &amp; $U120),0)),"",INDIRECT(CONCATENATE("Table!",ADDRESS($Q120,MATCH(F$1,INDIRECT("Table!A" &amp; $U120):INDIRECT("Table!" &amp; $X$159 &amp; $U120),0))))/1024)</f>
        <v>3.208984375</v>
      </c>
      <c r="G120" s="31">
        <f ca="1">IF(ISERROR(MATCH(G$1,INDIRECT("Table!A"&amp;$U120):INDIRECT("Table!" &amp; $X$159 &amp; $U120),0)),"",INDIRECT(CONCATENATE("Table!",ADDRESS($Q120,MATCH(G$1,INDIRECT("Table!A" &amp; $U120):INDIRECT("Table!" &amp; $X$159 &amp; $U120),0))))/1024)</f>
        <v>3.0009765625</v>
      </c>
      <c r="H120" s="31">
        <f ca="1">IF(ISERROR(MATCH(H$1,INDIRECT("Table!A"&amp;$U120):INDIRECT("Table!" &amp; $X$159 &amp; $U120),0)),"",INDIRECT(CONCATENATE("Table!",ADDRESS($Q120,MATCH(H$1,INDIRECT("Table!A" &amp; $U120):INDIRECT("Table!" &amp; $X$159 &amp; $U120),0))))/1024)</f>
        <v>2.177734375</v>
      </c>
      <c r="I120" s="31">
        <f ca="1">IF(ISERROR(MATCH(I$1,INDIRECT("Table!A"&amp;$U120):INDIRECT("Table!" &amp; $X$159 &amp; $U120),0)),"",INDIRECT(CONCATENATE("Table!",ADDRESS($Q120,MATCH(I$1,INDIRECT("Table!A" &amp; $U120):INDIRECT("Table!" &amp; $X$159 &amp; $U120),0))))/1024)</f>
        <v>0.8583984375</v>
      </c>
      <c r="J120" s="31">
        <f ca="1">IF(ISERROR(MATCH(J$1,INDIRECT("Table!A"&amp;$U120):INDIRECT("Table!" &amp; $X$159 &amp; $U120),0)),"",INDIRECT(CONCATENATE("Table!",ADDRESS($Q120,MATCH(J$1,INDIRECT("Table!A" &amp; $U120):INDIRECT("Table!" &amp; $X$159 &amp; $U120),0))))/1024)</f>
        <v>2.93359375</v>
      </c>
      <c r="K120" s="31">
        <f ca="1">IF(ISERROR(MATCH(K$1,INDIRECT("Table!A"&amp;$U120):INDIRECT("Table!" &amp; $X$159 &amp; $U120),0)),"",INDIRECT(CONCATENATE("Table!",ADDRESS($Q120,MATCH(K$1,INDIRECT("Table!A" &amp; $U120):INDIRECT("Table!" &amp; $X$159 &amp; $U120),0))))/1024)</f>
        <v>2.73828125</v>
      </c>
      <c r="L120" s="31">
        <f ca="1">IF(ISERROR(MATCH(L$1,INDIRECT("Table!A"&amp;$U120):INDIRECT("Table!" &amp; $X$159 &amp; $U120),0)),"",INDIRECT(CONCATENATE("Table!",ADDRESS($Q120,MATCH(L$1,INDIRECT("Table!A" &amp; $U120):INDIRECT("Table!" &amp; $X$159 &amp; $U120),0))))/1024)</f>
        <v>2.1787109375</v>
      </c>
      <c r="M120" s="31">
        <f ca="1">IF(ISERROR(MATCH(M$1,INDIRECT("Table!A"&amp;$U120):INDIRECT("Table!" &amp; $X$159 &amp; $U120),0)),"",INDIRECT(CONCATENATE("Table!",ADDRESS($Q120,MATCH(M$1,INDIRECT("Table!A" &amp; $U120):INDIRECT("Table!" &amp; $X$159 &amp; $U120),0))))/1024)</f>
        <v>2.208984375</v>
      </c>
      <c r="N120" s="31"/>
      <c r="O120" s="157"/>
      <c r="P120" s="157"/>
      <c r="Q120" s="31">
        <f>MATCH($A120,Table!$A:$A,0)+$S$2-1</f>
        <v>1753</v>
      </c>
      <c r="R120" s="157"/>
      <c r="S120" s="157"/>
      <c r="T120" s="157"/>
      <c r="U120" s="31">
        <f>MATCH($A120,Table!$A:$A,0)+$W$2-1</f>
        <v>1740</v>
      </c>
      <c r="V120" s="157"/>
      <c r="W120" s="157"/>
      <c r="X120" s="157" t="s">
        <v>118</v>
      </c>
    </row>
    <row r="121" spans="1:24">
      <c r="A121" s="5">
        <v>40977</v>
      </c>
      <c r="B121" s="31">
        <f ca="1">IF(ISERROR(MATCH(B$1,INDIRECT("Table!A"&amp;$U121):INDIRECT("Table!" &amp; $X$159 &amp; $U121),0)),"",INDIRECT(CONCATENATE("Table!",ADDRESS($Q121,MATCH(B$1,INDIRECT("Table!A" &amp; $U121):INDIRECT("Table!" &amp; $X$159 &amp; $U121),0))))/1024)</f>
        <v>0.6083984375</v>
      </c>
      <c r="C121" s="31">
        <f ca="1">IF(ISERROR(MATCH(C$1,INDIRECT("Table!A"&amp;$U121):INDIRECT("Table!" &amp; $X$159 &amp; $U121),0)),"",INDIRECT(CONCATENATE("Table!",ADDRESS($Q121,MATCH(C$1,INDIRECT("Table!A" &amp; $U121):INDIRECT("Table!" &amp; $X$159 &amp; $U121),0))))/1024)</f>
        <v>0.7275390625</v>
      </c>
      <c r="D121" s="31">
        <f ca="1">IF(ISERROR(MATCH(D$1,INDIRECT("Table!A"&amp;$U121):INDIRECT("Table!" &amp; $X$159 &amp; $U121),0)),"",INDIRECT(CONCATENATE("Table!",ADDRESS($Q121,MATCH(D$1,INDIRECT("Table!A" &amp; $U121):INDIRECT("Table!" &amp; $X$159 &amp; $U121),0))))/1024)</f>
        <v>0.5390625</v>
      </c>
      <c r="E121" s="31">
        <f ca="1">IF(ISERROR(MATCH(E$1,INDIRECT("Table!A"&amp;$U121):INDIRECT("Table!" &amp; $X$159 &amp; $U121),0)),"",INDIRECT(CONCATENATE("Table!",ADDRESS($Q121,MATCH(E$1,INDIRECT("Table!A" &amp; $U121):INDIRECT("Table!" &amp; $X$159 &amp; $U121),0))))/1024)</f>
        <v>0.662109375</v>
      </c>
      <c r="F121" s="31">
        <f ca="1">IF(ISERROR(MATCH(F$1,INDIRECT("Table!A"&amp;$U121):INDIRECT("Table!" &amp; $X$159 &amp; $U121),0)),"",INDIRECT(CONCATENATE("Table!",ADDRESS($Q121,MATCH(F$1,INDIRECT("Table!A" &amp; $U121):INDIRECT("Table!" &amp; $X$159 &amp; $U121),0))))/1024)</f>
        <v>3.208984375</v>
      </c>
      <c r="G121" s="31">
        <f ca="1">IF(ISERROR(MATCH(G$1,INDIRECT("Table!A"&amp;$U121):INDIRECT("Table!" &amp; $X$159 &amp; $U121),0)),"",INDIRECT(CONCATENATE("Table!",ADDRESS($Q121,MATCH(G$1,INDIRECT("Table!A" &amp; $U121):INDIRECT("Table!" &amp; $X$159 &amp; $U121),0))))/1024)</f>
        <v>3.0009765625</v>
      </c>
      <c r="H121" s="31">
        <f ca="1">IF(ISERROR(MATCH(H$1,INDIRECT("Table!A"&amp;$U121):INDIRECT("Table!" &amp; $X$159 &amp; $U121),0)),"",INDIRECT(CONCATENATE("Table!",ADDRESS($Q121,MATCH(H$1,INDIRECT("Table!A" &amp; $U121):INDIRECT("Table!" &amp; $X$159 &amp; $U121),0))))/1024)</f>
        <v>2.177734375</v>
      </c>
      <c r="I121" s="31">
        <f ca="1">IF(ISERROR(MATCH(I$1,INDIRECT("Table!A"&amp;$U121):INDIRECT("Table!" &amp; $X$159 &amp; $U121),0)),"",INDIRECT(CONCATENATE("Table!",ADDRESS($Q121,MATCH(I$1,INDIRECT("Table!A" &amp; $U121):INDIRECT("Table!" &amp; $X$159 &amp; $U121),0))))/1024)</f>
        <v>0.8583984375</v>
      </c>
      <c r="J121" s="31">
        <f ca="1">IF(ISERROR(MATCH(J$1,INDIRECT("Table!A"&amp;$U121):INDIRECT("Table!" &amp; $X$159 &amp; $U121),0)),"",INDIRECT(CONCATENATE("Table!",ADDRESS($Q121,MATCH(J$1,INDIRECT("Table!A" &amp; $U121):INDIRECT("Table!" &amp; $X$159 &amp; $U121),0))))/1024)</f>
        <v>2.93359375</v>
      </c>
      <c r="K121" s="31">
        <f ca="1">IF(ISERROR(MATCH(K$1,INDIRECT("Table!A"&amp;$U121):INDIRECT("Table!" &amp; $X$159 &amp; $U121),0)),"",INDIRECT(CONCATENATE("Table!",ADDRESS($Q121,MATCH(K$1,INDIRECT("Table!A" &amp; $U121):INDIRECT("Table!" &amp; $X$159 &amp; $U121),0))))/1024)</f>
        <v>2.73828125</v>
      </c>
      <c r="L121" s="31">
        <f ca="1">IF(ISERROR(MATCH(L$1,INDIRECT("Table!A"&amp;$U121):INDIRECT("Table!" &amp; $X$159 &amp; $U121),0)),"",INDIRECT(CONCATENATE("Table!",ADDRESS($Q121,MATCH(L$1,INDIRECT("Table!A" &amp; $U121):INDIRECT("Table!" &amp; $X$159 &amp; $U121),0))))/1024)</f>
        <v>2.1787109375</v>
      </c>
      <c r="M121" s="31">
        <f ca="1">IF(ISERROR(MATCH(M$1,INDIRECT("Table!A"&amp;$U121):INDIRECT("Table!" &amp; $X$159 &amp; $U121),0)),"",INDIRECT(CONCATENATE("Table!",ADDRESS($Q121,MATCH(M$1,INDIRECT("Table!A" &amp; $U121):INDIRECT("Table!" &amp; $X$159 &amp; $U121),0))))/1024)</f>
        <v>2.208984375</v>
      </c>
      <c r="N121" s="31"/>
      <c r="O121" s="156"/>
      <c r="P121" s="156"/>
      <c r="Q121" s="31">
        <f>MATCH($A121,Table!$A:$A,0)+$S$2-1</f>
        <v>1766</v>
      </c>
      <c r="R121" s="156"/>
      <c r="S121" s="156"/>
      <c r="T121" s="156"/>
      <c r="U121" s="31">
        <f>MATCH($A121,Table!$A:$A,0)+$W$2-1</f>
        <v>1753</v>
      </c>
      <c r="V121" s="156"/>
      <c r="W121" s="156"/>
      <c r="X121" s="156" t="s">
        <v>118</v>
      </c>
    </row>
    <row r="122" spans="1:24">
      <c r="A122" s="5">
        <v>40976</v>
      </c>
      <c r="B122" s="31">
        <f ca="1">IF(ISERROR(MATCH(B$1,INDIRECT("Table!A"&amp;$U122):INDIRECT("Table!" &amp; $X$159 &amp; $U122),0)),"",INDIRECT(CONCATENATE("Table!",ADDRESS($Q122,MATCH(B$1,INDIRECT("Table!A" &amp; $U122):INDIRECT("Table!" &amp; $X$159 &amp; $U122),0))))/1024)</f>
        <v>0.6083984375</v>
      </c>
      <c r="C122" s="31">
        <f ca="1">IF(ISERROR(MATCH(C$1,INDIRECT("Table!A"&amp;$U122):INDIRECT("Table!" &amp; $X$159 &amp; $U122),0)),"",INDIRECT(CONCATENATE("Table!",ADDRESS($Q122,MATCH(C$1,INDIRECT("Table!A" &amp; $U122):INDIRECT("Table!" &amp; $X$159 &amp; $U122),0))))/1024)</f>
        <v>0.7275390625</v>
      </c>
      <c r="D122" s="31">
        <f ca="1">IF(ISERROR(MATCH(D$1,INDIRECT("Table!A"&amp;$U122):INDIRECT("Table!" &amp; $X$159 &amp; $U122),0)),"",INDIRECT(CONCATENATE("Table!",ADDRESS($Q122,MATCH(D$1,INDIRECT("Table!A" &amp; $U122):INDIRECT("Table!" &amp; $X$159 &amp; $U122),0))))/1024)</f>
        <v>0.5390625</v>
      </c>
      <c r="E122" s="31">
        <f ca="1">IF(ISERROR(MATCH(E$1,INDIRECT("Table!A"&amp;$U122):INDIRECT("Table!" &amp; $X$159 &amp; $U122),0)),"",INDIRECT(CONCATENATE("Table!",ADDRESS($Q122,MATCH(E$1,INDIRECT("Table!A" &amp; $U122):INDIRECT("Table!" &amp; $X$159 &amp; $U122),0))))/1024)</f>
        <v>0.662109375</v>
      </c>
      <c r="F122" s="31">
        <f ca="1">IF(ISERROR(MATCH(F$1,INDIRECT("Table!A"&amp;$U122):INDIRECT("Table!" &amp; $X$159 &amp; $U122),0)),"",INDIRECT(CONCATENATE("Table!",ADDRESS($Q122,MATCH(F$1,INDIRECT("Table!A" &amp; $U122):INDIRECT("Table!" &amp; $X$159 &amp; $U122),0))))/1024)</f>
        <v>3.208984375</v>
      </c>
      <c r="G122" s="31">
        <f ca="1">IF(ISERROR(MATCH(G$1,INDIRECT("Table!A"&amp;$U122):INDIRECT("Table!" &amp; $X$159 &amp; $U122),0)),"",INDIRECT(CONCATENATE("Table!",ADDRESS($Q122,MATCH(G$1,INDIRECT("Table!A" &amp; $U122):INDIRECT("Table!" &amp; $X$159 &amp; $U122),0))))/1024)</f>
        <v>3.0009765625</v>
      </c>
      <c r="H122" s="31">
        <f ca="1">IF(ISERROR(MATCH(H$1,INDIRECT("Table!A"&amp;$U122):INDIRECT("Table!" &amp; $X$159 &amp; $U122),0)),"",INDIRECT(CONCATENATE("Table!",ADDRESS($Q122,MATCH(H$1,INDIRECT("Table!A" &amp; $U122):INDIRECT("Table!" &amp; $X$159 &amp; $U122),0))))/1024)</f>
        <v>2.177734375</v>
      </c>
      <c r="I122" s="31">
        <f ca="1">IF(ISERROR(MATCH(I$1,INDIRECT("Table!A"&amp;$U122):INDIRECT("Table!" &amp; $X$159 &amp; $U122),0)),"",INDIRECT(CONCATENATE("Table!",ADDRESS($Q122,MATCH(I$1,INDIRECT("Table!A" &amp; $U122):INDIRECT("Table!" &amp; $X$159 &amp; $U122),0))))/1024)</f>
        <v>0.8583984375</v>
      </c>
      <c r="J122" s="31">
        <f ca="1">IF(ISERROR(MATCH(J$1,INDIRECT("Table!A"&amp;$U122):INDIRECT("Table!" &amp; $X$159 &amp; $U122),0)),"",INDIRECT(CONCATENATE("Table!",ADDRESS($Q122,MATCH(J$1,INDIRECT("Table!A" &amp; $U122):INDIRECT("Table!" &amp; $X$159 &amp; $U122),0))))/1024)</f>
        <v>2.93359375</v>
      </c>
      <c r="K122" s="31">
        <f ca="1">IF(ISERROR(MATCH(K$1,INDIRECT("Table!A"&amp;$U122):INDIRECT("Table!" &amp; $X$159 &amp; $U122),0)),"",INDIRECT(CONCATENATE("Table!",ADDRESS($Q122,MATCH(K$1,INDIRECT("Table!A" &amp; $U122):INDIRECT("Table!" &amp; $X$159 &amp; $U122),0))))/1024)</f>
        <v>2.73828125</v>
      </c>
      <c r="L122" s="31">
        <f ca="1">IF(ISERROR(MATCH(L$1,INDIRECT("Table!A"&amp;$U122):INDIRECT("Table!" &amp; $X$159 &amp; $U122),0)),"",INDIRECT(CONCATENATE("Table!",ADDRESS($Q122,MATCH(L$1,INDIRECT("Table!A" &amp; $U122):INDIRECT("Table!" &amp; $X$159 &amp; $U122),0))))/1024)</f>
        <v>2.1787109375</v>
      </c>
      <c r="M122" s="31">
        <f ca="1">IF(ISERROR(MATCH(M$1,INDIRECT("Table!A"&amp;$U122):INDIRECT("Table!" &amp; $X$159 &amp; $U122),0)),"",INDIRECT(CONCATENATE("Table!",ADDRESS($Q122,MATCH(M$1,INDIRECT("Table!A" &amp; $U122):INDIRECT("Table!" &amp; $X$159 &amp; $U122),0))))/1024)</f>
        <v>2.208984375</v>
      </c>
      <c r="N122" s="31"/>
      <c r="O122" s="155"/>
      <c r="P122" s="155"/>
      <c r="Q122" s="31">
        <f>MATCH($A122,Table!$A:$A,0)+$S$2-1</f>
        <v>1779</v>
      </c>
      <c r="R122" s="155"/>
      <c r="S122" s="155"/>
      <c r="T122" s="155"/>
      <c r="U122" s="31">
        <f>MATCH($A122,Table!$A:$A,0)+$W$2-1</f>
        <v>1766</v>
      </c>
      <c r="V122" s="155"/>
      <c r="W122" s="155"/>
      <c r="X122" s="155" t="s">
        <v>118</v>
      </c>
    </row>
    <row r="123" spans="1:24">
      <c r="A123" s="5">
        <v>40974</v>
      </c>
      <c r="B123" s="31">
        <f ca="1">IF(ISERROR(MATCH(B$1,INDIRECT("Table!A"&amp;$U123):INDIRECT("Table!" &amp; $X$159 &amp; $U123),0)),"",INDIRECT(CONCATENATE("Table!",ADDRESS($Q123,MATCH(B$1,INDIRECT("Table!A" &amp; $U123):INDIRECT("Table!" &amp; $X$159 &amp; $U123),0))))/1024)</f>
        <v>0.6083984375</v>
      </c>
      <c r="C123" s="31">
        <f ca="1">IF(ISERROR(MATCH(C$1,INDIRECT("Table!A"&amp;$U123):INDIRECT("Table!" &amp; $X$159 &amp; $U123),0)),"",INDIRECT(CONCATENATE("Table!",ADDRESS($Q123,MATCH(C$1,INDIRECT("Table!A" &amp; $U123):INDIRECT("Table!" &amp; $X$159 &amp; $U123),0))))/1024)</f>
        <v>0.7275390625</v>
      </c>
      <c r="D123" s="31">
        <f ca="1">IF(ISERROR(MATCH(D$1,INDIRECT("Table!A"&amp;$U123):INDIRECT("Table!" &amp; $X$159 &amp; $U123),0)),"",INDIRECT(CONCATENATE("Table!",ADDRESS($Q123,MATCH(D$1,INDIRECT("Table!A" &amp; $U123):INDIRECT("Table!" &amp; $X$159 &amp; $U123),0))))/1024)</f>
        <v>0.5390625</v>
      </c>
      <c r="E123" s="31">
        <f ca="1">IF(ISERROR(MATCH(E$1,INDIRECT("Table!A"&amp;$U123):INDIRECT("Table!" &amp; $X$159 &amp; $U123),0)),"",INDIRECT(CONCATENATE("Table!",ADDRESS($Q123,MATCH(E$1,INDIRECT("Table!A" &amp; $U123):INDIRECT("Table!" &amp; $X$159 &amp; $U123),0))))/1024)</f>
        <v>0.662109375</v>
      </c>
      <c r="F123" s="31">
        <f ca="1">IF(ISERROR(MATCH(F$1,INDIRECT("Table!A"&amp;$U123):INDIRECT("Table!" &amp; $X$159 &amp; $U123),0)),"",INDIRECT(CONCATENATE("Table!",ADDRESS($Q123,MATCH(F$1,INDIRECT("Table!A" &amp; $U123):INDIRECT("Table!" &amp; $X$159 &amp; $U123),0))))/1024)</f>
        <v>3.208984375</v>
      </c>
      <c r="G123" s="31">
        <f ca="1">IF(ISERROR(MATCH(G$1,INDIRECT("Table!A"&amp;$U123):INDIRECT("Table!" &amp; $X$159 &amp; $U123),0)),"",INDIRECT(CONCATENATE("Table!",ADDRESS($Q123,MATCH(G$1,INDIRECT("Table!A" &amp; $U123):INDIRECT("Table!" &amp; $X$159 &amp; $U123),0))))/1024)</f>
        <v>3.0009765625</v>
      </c>
      <c r="H123" s="31">
        <f ca="1">IF(ISERROR(MATCH(H$1,INDIRECT("Table!A"&amp;$U123):INDIRECT("Table!" &amp; $X$159 &amp; $U123),0)),"",INDIRECT(CONCATENATE("Table!",ADDRESS($Q123,MATCH(H$1,INDIRECT("Table!A" &amp; $U123):INDIRECT("Table!" &amp; $X$159 &amp; $U123),0))))/1024)</f>
        <v>2.177734375</v>
      </c>
      <c r="I123" s="31">
        <f ca="1">IF(ISERROR(MATCH(I$1,INDIRECT("Table!A"&amp;$U123):INDIRECT("Table!" &amp; $X$159 &amp; $U123),0)),"",INDIRECT(CONCATENATE("Table!",ADDRESS($Q123,MATCH(I$1,INDIRECT("Table!A" &amp; $U123):INDIRECT("Table!" &amp; $X$159 &amp; $U123),0))))/1024)</f>
        <v>0.8583984375</v>
      </c>
      <c r="J123" s="31">
        <f ca="1">IF(ISERROR(MATCH(J$1,INDIRECT("Table!A"&amp;$U123):INDIRECT("Table!" &amp; $X$159 &amp; $U123),0)),"",INDIRECT(CONCATENATE("Table!",ADDRESS($Q123,MATCH(J$1,INDIRECT("Table!A" &amp; $U123):INDIRECT("Table!" &amp; $X$159 &amp; $U123),0))))/1024)</f>
        <v>2.93359375</v>
      </c>
      <c r="K123" s="31">
        <f ca="1">IF(ISERROR(MATCH(K$1,INDIRECT("Table!A"&amp;$U123):INDIRECT("Table!" &amp; $X$159 &amp; $U123),0)),"",INDIRECT(CONCATENATE("Table!",ADDRESS($Q123,MATCH(K$1,INDIRECT("Table!A" &amp; $U123):INDIRECT("Table!" &amp; $X$159 &amp; $U123),0))))/1024)</f>
        <v>2.73828125</v>
      </c>
      <c r="L123" s="31">
        <f ca="1">IF(ISERROR(MATCH(L$1,INDIRECT("Table!A"&amp;$U123):INDIRECT("Table!" &amp; $X$159 &amp; $U123),0)),"",INDIRECT(CONCATENATE("Table!",ADDRESS($Q123,MATCH(L$1,INDIRECT("Table!A" &amp; $U123):INDIRECT("Table!" &amp; $X$159 &amp; $U123),0))))/1024)</f>
        <v>2.1787109375</v>
      </c>
      <c r="M123" s="31">
        <f ca="1">IF(ISERROR(MATCH(M$1,INDIRECT("Table!A"&amp;$U123):INDIRECT("Table!" &amp; $X$159 &amp; $U123),0)),"",INDIRECT(CONCATENATE("Table!",ADDRESS($Q123,MATCH(M$1,INDIRECT("Table!A" &amp; $U123):INDIRECT("Table!" &amp; $X$159 &amp; $U123),0))))/1024)</f>
        <v>2.208984375</v>
      </c>
      <c r="N123" s="31"/>
      <c r="O123" s="153"/>
      <c r="P123" s="153"/>
      <c r="Q123" s="31">
        <f>MATCH($A123,Table!$A:$A,0)+$S$2-1</f>
        <v>1792</v>
      </c>
      <c r="R123" s="153"/>
      <c r="S123" s="153"/>
      <c r="T123" s="153"/>
      <c r="U123" s="31">
        <f>MATCH($A123,Table!$A:$A,0)+$W$2-1</f>
        <v>1779</v>
      </c>
      <c r="V123" s="153"/>
      <c r="W123" s="153"/>
      <c r="X123" s="153" t="s">
        <v>118</v>
      </c>
    </row>
    <row r="124" spans="1:24">
      <c r="A124" s="5">
        <v>40973</v>
      </c>
      <c r="B124" s="31">
        <f ca="1">IF(ISERROR(MATCH(B$1,INDIRECT("Table!A"&amp;$U124):INDIRECT("Table!" &amp; $X$159 &amp; $U124),0)),"",INDIRECT(CONCATENATE("Table!",ADDRESS($Q124,MATCH(B$1,INDIRECT("Table!A" &amp; $U124):INDIRECT("Table!" &amp; $X$159 &amp; $U124),0))))/1024)</f>
        <v>0.6083984375</v>
      </c>
      <c r="C124" s="31">
        <f ca="1">IF(ISERROR(MATCH(C$1,INDIRECT("Table!A"&amp;$U124):INDIRECT("Table!" &amp; $X$159 &amp; $U124),0)),"",INDIRECT(CONCATENATE("Table!",ADDRESS($Q124,MATCH(C$1,INDIRECT("Table!A" &amp; $U124):INDIRECT("Table!" &amp; $X$159 &amp; $U124),0))))/1024)</f>
        <v>0.7275390625</v>
      </c>
      <c r="D124" s="31">
        <f ca="1">IF(ISERROR(MATCH(D$1,INDIRECT("Table!A"&amp;$U124):INDIRECT("Table!" &amp; $X$159 &amp; $U124),0)),"",INDIRECT(CONCATENATE("Table!",ADDRESS($Q124,MATCH(D$1,INDIRECT("Table!A" &amp; $U124):INDIRECT("Table!" &amp; $X$159 &amp; $U124),0))))/1024)</f>
        <v>0.5390625</v>
      </c>
      <c r="E124" s="31">
        <f ca="1">IF(ISERROR(MATCH(E$1,INDIRECT("Table!A"&amp;$U124):INDIRECT("Table!" &amp; $X$159 &amp; $U124),0)),"",INDIRECT(CONCATENATE("Table!",ADDRESS($Q124,MATCH(E$1,INDIRECT("Table!A" &amp; $U124):INDIRECT("Table!" &amp; $X$159 &amp; $U124),0))))/1024)</f>
        <v>0.662109375</v>
      </c>
      <c r="F124" s="31">
        <f ca="1">IF(ISERROR(MATCH(F$1,INDIRECT("Table!A"&amp;$U124):INDIRECT("Table!" &amp; $X$159 &amp; $U124),0)),"",INDIRECT(CONCATENATE("Table!",ADDRESS($Q124,MATCH(F$1,INDIRECT("Table!A" &amp; $U124):INDIRECT("Table!" &amp; $X$159 &amp; $U124),0))))/1024)</f>
        <v>3.208984375</v>
      </c>
      <c r="G124" s="31">
        <f ca="1">IF(ISERROR(MATCH(G$1,INDIRECT("Table!A"&amp;$U124):INDIRECT("Table!" &amp; $X$159 &amp; $U124),0)),"",INDIRECT(CONCATENATE("Table!",ADDRESS($Q124,MATCH(G$1,INDIRECT("Table!A" &amp; $U124):INDIRECT("Table!" &amp; $X$159 &amp; $U124),0))))/1024)</f>
        <v>3.0009765625</v>
      </c>
      <c r="H124" s="31">
        <f ca="1">IF(ISERROR(MATCH(H$1,INDIRECT("Table!A"&amp;$U124):INDIRECT("Table!" &amp; $X$159 &amp; $U124),0)),"",INDIRECT(CONCATENATE("Table!",ADDRESS($Q124,MATCH(H$1,INDIRECT("Table!A" &amp; $U124):INDIRECT("Table!" &amp; $X$159 &amp; $U124),0))))/1024)</f>
        <v>2.177734375</v>
      </c>
      <c r="I124" s="31">
        <f ca="1">IF(ISERROR(MATCH(I$1,INDIRECT("Table!A"&amp;$U124):INDIRECT("Table!" &amp; $X$159 &amp; $U124),0)),"",INDIRECT(CONCATENATE("Table!",ADDRESS($Q124,MATCH(I$1,INDIRECT("Table!A" &amp; $U124):INDIRECT("Table!" &amp; $X$159 &amp; $U124),0))))/1024)</f>
        <v>0.8583984375</v>
      </c>
      <c r="J124" s="31">
        <f ca="1">IF(ISERROR(MATCH(J$1,INDIRECT("Table!A"&amp;$U124):INDIRECT("Table!" &amp; $X$159 &amp; $U124),0)),"",INDIRECT(CONCATENATE("Table!",ADDRESS($Q124,MATCH(J$1,INDIRECT("Table!A" &amp; $U124):INDIRECT("Table!" &amp; $X$159 &amp; $U124),0))))/1024)</f>
        <v>2.93359375</v>
      </c>
      <c r="K124" s="31">
        <f ca="1">IF(ISERROR(MATCH(K$1,INDIRECT("Table!A"&amp;$U124):INDIRECT("Table!" &amp; $X$159 &amp; $U124),0)),"",INDIRECT(CONCATENATE("Table!",ADDRESS($Q124,MATCH(K$1,INDIRECT("Table!A" &amp; $U124):INDIRECT("Table!" &amp; $X$159 &amp; $U124),0))))/1024)</f>
        <v>2.73828125</v>
      </c>
      <c r="L124" s="31">
        <f ca="1">IF(ISERROR(MATCH(L$1,INDIRECT("Table!A"&amp;$U124):INDIRECT("Table!" &amp; $X$159 &amp; $U124),0)),"",INDIRECT(CONCATENATE("Table!",ADDRESS($Q124,MATCH(L$1,INDIRECT("Table!A" &amp; $U124):INDIRECT("Table!" &amp; $X$159 &amp; $U124),0))))/1024)</f>
        <v>2.1787109375</v>
      </c>
      <c r="M124" s="31">
        <f ca="1">IF(ISERROR(MATCH(M$1,INDIRECT("Table!A"&amp;$U124):INDIRECT("Table!" &amp; $X$159 &amp; $U124),0)),"",INDIRECT(CONCATENATE("Table!",ADDRESS($Q124,MATCH(M$1,INDIRECT("Table!A" &amp; $U124):INDIRECT("Table!" &amp; $X$159 &amp; $U124),0))))/1024)</f>
        <v>2.208984375</v>
      </c>
      <c r="N124" s="31"/>
      <c r="O124" s="152"/>
      <c r="P124" s="152"/>
      <c r="Q124" s="31">
        <f>MATCH($A124,Table!$A:$A,0)+$S$2-1</f>
        <v>1805</v>
      </c>
      <c r="R124" s="152"/>
      <c r="S124" s="152"/>
      <c r="T124" s="152"/>
      <c r="U124" s="31">
        <f>MATCH($A124,Table!$A:$A,0)+$W$2-1</f>
        <v>1792</v>
      </c>
      <c r="V124" s="152"/>
      <c r="W124" s="152"/>
      <c r="X124" s="152" t="s">
        <v>118</v>
      </c>
    </row>
    <row r="125" spans="1:24">
      <c r="A125" s="5">
        <v>40968</v>
      </c>
      <c r="B125" s="31">
        <f ca="1">IF(ISERROR(MATCH(B$1,INDIRECT("Table!A"&amp;$U125):INDIRECT("Table!" &amp; $X$159 &amp; $U125),0)),"",INDIRECT(CONCATENATE("Table!",ADDRESS($Q125,MATCH(B$1,INDIRECT("Table!A" &amp; $U125):INDIRECT("Table!" &amp; $X$159 &amp; $U125),0))))/1024)</f>
        <v>0.6083984375</v>
      </c>
      <c r="C125" s="31">
        <f ca="1">IF(ISERROR(MATCH(C$1,INDIRECT("Table!A"&amp;$U125):INDIRECT("Table!" &amp; $X$159 &amp; $U125),0)),"",INDIRECT(CONCATENATE("Table!",ADDRESS($Q125,MATCH(C$1,INDIRECT("Table!A" &amp; $U125):INDIRECT("Table!" &amp; $X$159 &amp; $U125),0))))/1024)</f>
        <v>0.7275390625</v>
      </c>
      <c r="D125" s="31">
        <f ca="1">IF(ISERROR(MATCH(D$1,INDIRECT("Table!A"&amp;$U125):INDIRECT("Table!" &amp; $X$159 &amp; $U125),0)),"",INDIRECT(CONCATENATE("Table!",ADDRESS($Q125,MATCH(D$1,INDIRECT("Table!A" &amp; $U125):INDIRECT("Table!" &amp; $X$159 &amp; $U125),0))))/1024)</f>
        <v>0.5390625</v>
      </c>
      <c r="E125" s="31">
        <f ca="1">IF(ISERROR(MATCH(E$1,INDIRECT("Table!A"&amp;$U125):INDIRECT("Table!" &amp; $X$159 &amp; $U125),0)),"",INDIRECT(CONCATENATE("Table!",ADDRESS($Q125,MATCH(E$1,INDIRECT("Table!A" &amp; $U125):INDIRECT("Table!" &amp; $X$159 &amp; $U125),0))))/1024)</f>
        <v>0.662109375</v>
      </c>
      <c r="F125" s="31">
        <f ca="1">IF(ISERROR(MATCH(F$1,INDIRECT("Table!A"&amp;$U125):INDIRECT("Table!" &amp; $X$159 &amp; $U125),0)),"",INDIRECT(CONCATENATE("Table!",ADDRESS($Q125,MATCH(F$1,INDIRECT("Table!A" &amp; $U125):INDIRECT("Table!" &amp; $X$159 &amp; $U125),0))))/1024)</f>
        <v>3.208984375</v>
      </c>
      <c r="G125" s="31">
        <f ca="1">IF(ISERROR(MATCH(G$1,INDIRECT("Table!A"&amp;$U125):INDIRECT("Table!" &amp; $X$159 &amp; $U125),0)),"",INDIRECT(CONCATENATE("Table!",ADDRESS($Q125,MATCH(G$1,INDIRECT("Table!A" &amp; $U125):INDIRECT("Table!" &amp; $X$159 &amp; $U125),0))))/1024)</f>
        <v>3.0009765625</v>
      </c>
      <c r="H125" s="31">
        <f ca="1">IF(ISERROR(MATCH(H$1,INDIRECT("Table!A"&amp;$U125):INDIRECT("Table!" &amp; $X$159 &amp; $U125),0)),"",INDIRECT(CONCATENATE("Table!",ADDRESS($Q125,MATCH(H$1,INDIRECT("Table!A" &amp; $U125):INDIRECT("Table!" &amp; $X$159 &amp; $U125),0))))/1024)</f>
        <v>2.177734375</v>
      </c>
      <c r="I125" s="31">
        <f ca="1">IF(ISERROR(MATCH(I$1,INDIRECT("Table!A"&amp;$U125):INDIRECT("Table!" &amp; $X$159 &amp; $U125),0)),"",INDIRECT(CONCATENATE("Table!",ADDRESS($Q125,MATCH(I$1,INDIRECT("Table!A" &amp; $U125):INDIRECT("Table!" &amp; $X$159 &amp; $U125),0))))/1024)</f>
        <v>0.8583984375</v>
      </c>
      <c r="J125" s="31">
        <f ca="1">IF(ISERROR(MATCH(J$1,INDIRECT("Table!A"&amp;$U125):INDIRECT("Table!" &amp; $X$159 &amp; $U125),0)),"",INDIRECT(CONCATENATE("Table!",ADDRESS($Q125,MATCH(J$1,INDIRECT("Table!A" &amp; $U125):INDIRECT("Table!" &amp; $X$159 &amp; $U125),0))))/1024)</f>
        <v>2.93359375</v>
      </c>
      <c r="K125" s="31">
        <f ca="1">IF(ISERROR(MATCH(K$1,INDIRECT("Table!A"&amp;$U125):INDIRECT("Table!" &amp; $X$159 &amp; $U125),0)),"",INDIRECT(CONCATENATE("Table!",ADDRESS($Q125,MATCH(K$1,INDIRECT("Table!A" &amp; $U125):INDIRECT("Table!" &amp; $X$159 &amp; $U125),0))))/1024)</f>
        <v>2.73828125</v>
      </c>
      <c r="L125" s="31">
        <f ca="1">IF(ISERROR(MATCH(L$1,INDIRECT("Table!A"&amp;$U125):INDIRECT("Table!" &amp; $X$159 &amp; $U125),0)),"",INDIRECT(CONCATENATE("Table!",ADDRESS($Q125,MATCH(L$1,INDIRECT("Table!A" &amp; $U125):INDIRECT("Table!" &amp; $X$159 &amp; $U125),0))))/1024)</f>
        <v>2.1787109375</v>
      </c>
      <c r="M125" s="31">
        <f ca="1">IF(ISERROR(MATCH(M$1,INDIRECT("Table!A"&amp;$U125):INDIRECT("Table!" &amp; $X$159 &amp; $U125),0)),"",INDIRECT(CONCATENATE("Table!",ADDRESS($Q125,MATCH(M$1,INDIRECT("Table!A" &amp; $U125):INDIRECT("Table!" &amp; $X$159 &amp; $U125),0))))/1024)</f>
        <v>2.208984375</v>
      </c>
      <c r="N125" s="31"/>
      <c r="O125" s="151"/>
      <c r="P125" s="151"/>
      <c r="Q125" s="31">
        <f>MATCH($A125,Table!$A:$A,0)+$S$2-1</f>
        <v>1818</v>
      </c>
      <c r="R125" s="151"/>
      <c r="S125" s="151"/>
      <c r="T125" s="151"/>
      <c r="U125" s="31">
        <f>MATCH($A125,Table!$A:$A,0)+$W$2-1</f>
        <v>1805</v>
      </c>
      <c r="V125" s="151"/>
      <c r="W125" s="151"/>
      <c r="X125" s="151" t="s">
        <v>118</v>
      </c>
    </row>
    <row r="126" spans="1:24">
      <c r="A126" s="5">
        <v>40967</v>
      </c>
      <c r="B126" s="31">
        <f ca="1">IF(ISERROR(MATCH(B$1,INDIRECT("Table!A"&amp;$U126):INDIRECT("Table!" &amp; $X$159 &amp; $U126),0)),"",INDIRECT(CONCATENATE("Table!",ADDRESS($Q126,MATCH(B$1,INDIRECT("Table!A" &amp; $U126):INDIRECT("Table!" &amp; $X$159 &amp; $U126),0))))/1024)</f>
        <v>0.6083984375</v>
      </c>
      <c r="C126" s="31">
        <f ca="1">IF(ISERROR(MATCH(C$1,INDIRECT("Table!A"&amp;$U126):INDIRECT("Table!" &amp; $X$159 &amp; $U126),0)),"",INDIRECT(CONCATENATE("Table!",ADDRESS($Q126,MATCH(C$1,INDIRECT("Table!A" &amp; $U126):INDIRECT("Table!" &amp; $X$159 &amp; $U126),0))))/1024)</f>
        <v>0.7275390625</v>
      </c>
      <c r="D126" s="31">
        <f ca="1">IF(ISERROR(MATCH(D$1,INDIRECT("Table!A"&amp;$U126):INDIRECT("Table!" &amp; $X$159 &amp; $U126),0)),"",INDIRECT(CONCATENATE("Table!",ADDRESS($Q126,MATCH(D$1,INDIRECT("Table!A" &amp; $U126):INDIRECT("Table!" &amp; $X$159 &amp; $U126),0))))/1024)</f>
        <v>0.5390625</v>
      </c>
      <c r="E126" s="31">
        <f ca="1">IF(ISERROR(MATCH(E$1,INDIRECT("Table!A"&amp;$U126):INDIRECT("Table!" &amp; $X$159 &amp; $U126),0)),"",INDIRECT(CONCATENATE("Table!",ADDRESS($Q126,MATCH(E$1,INDIRECT("Table!A" &amp; $U126):INDIRECT("Table!" &amp; $X$159 &amp; $U126),0))))/1024)</f>
        <v>0.662109375</v>
      </c>
      <c r="F126" s="31">
        <f ca="1">IF(ISERROR(MATCH(F$1,INDIRECT("Table!A"&amp;$U126):INDIRECT("Table!" &amp; $X$159 &amp; $U126),0)),"",INDIRECT(CONCATENATE("Table!",ADDRESS($Q126,MATCH(F$1,INDIRECT("Table!A" &amp; $U126):INDIRECT("Table!" &amp; $X$159 &amp; $U126),0))))/1024)</f>
        <v>3.208984375</v>
      </c>
      <c r="G126" s="31">
        <f ca="1">IF(ISERROR(MATCH(G$1,INDIRECT("Table!A"&amp;$U126):INDIRECT("Table!" &amp; $X$159 &amp; $U126),0)),"",INDIRECT(CONCATENATE("Table!",ADDRESS($Q126,MATCH(G$1,INDIRECT("Table!A" &amp; $U126):INDIRECT("Table!" &amp; $X$159 &amp; $U126),0))))/1024)</f>
        <v>3.0009765625</v>
      </c>
      <c r="H126" s="31">
        <f ca="1">IF(ISERROR(MATCH(H$1,INDIRECT("Table!A"&amp;$U126):INDIRECT("Table!" &amp; $X$159 &amp; $U126),0)),"",INDIRECT(CONCATENATE("Table!",ADDRESS($Q126,MATCH(H$1,INDIRECT("Table!A" &amp; $U126):INDIRECT("Table!" &amp; $X$159 &amp; $U126),0))))/1024)</f>
        <v>2.177734375</v>
      </c>
      <c r="I126" s="31">
        <f ca="1">IF(ISERROR(MATCH(I$1,INDIRECT("Table!A"&amp;$U126):INDIRECT("Table!" &amp; $X$159 &amp; $U126),0)),"",INDIRECT(CONCATENATE("Table!",ADDRESS($Q126,MATCH(I$1,INDIRECT("Table!A" &amp; $U126):INDIRECT("Table!" &amp; $X$159 &amp; $U126),0))))/1024)</f>
        <v>0.8583984375</v>
      </c>
      <c r="J126" s="31">
        <f ca="1">IF(ISERROR(MATCH(J$1,INDIRECT("Table!A"&amp;$U126):INDIRECT("Table!" &amp; $X$159 &amp; $U126),0)),"",INDIRECT(CONCATENATE("Table!",ADDRESS($Q126,MATCH(J$1,INDIRECT("Table!A" &amp; $U126):INDIRECT("Table!" &amp; $X$159 &amp; $U126),0))))/1024)</f>
        <v>2.93359375</v>
      </c>
      <c r="K126" s="31">
        <f ca="1">IF(ISERROR(MATCH(K$1,INDIRECT("Table!A"&amp;$U126):INDIRECT("Table!" &amp; $X$159 &amp; $U126),0)),"",INDIRECT(CONCATENATE("Table!",ADDRESS($Q126,MATCH(K$1,INDIRECT("Table!A" &amp; $U126):INDIRECT("Table!" &amp; $X$159 &amp; $U126),0))))/1024)</f>
        <v>2.73828125</v>
      </c>
      <c r="L126" s="31">
        <f ca="1">IF(ISERROR(MATCH(L$1,INDIRECT("Table!A"&amp;$U126):INDIRECT("Table!" &amp; $X$159 &amp; $U126),0)),"",INDIRECT(CONCATENATE("Table!",ADDRESS($Q126,MATCH(L$1,INDIRECT("Table!A" &amp; $U126):INDIRECT("Table!" &amp; $X$159 &amp; $U126),0))))/1024)</f>
        <v>2.1787109375</v>
      </c>
      <c r="M126" s="31">
        <f ca="1">IF(ISERROR(MATCH(M$1,INDIRECT("Table!A"&amp;$U126):INDIRECT("Table!" &amp; $X$159 &amp; $U126),0)),"",INDIRECT(CONCATENATE("Table!",ADDRESS($Q126,MATCH(M$1,INDIRECT("Table!A" &amp; $U126):INDIRECT("Table!" &amp; $X$159 &amp; $U126),0))))/1024)</f>
        <v>2.208984375</v>
      </c>
      <c r="N126" s="31"/>
      <c r="O126" s="150"/>
      <c r="P126" s="150"/>
      <c r="Q126" s="31">
        <f>MATCH($A126,Table!$A:$A,0)+$S$2-1</f>
        <v>1831</v>
      </c>
      <c r="R126" s="150"/>
      <c r="S126" s="150"/>
      <c r="T126" s="150"/>
      <c r="U126" s="31">
        <f>MATCH($A126,Table!$A:$A,0)+$W$2-1</f>
        <v>1818</v>
      </c>
      <c r="V126" s="150"/>
      <c r="W126" s="150"/>
      <c r="X126" s="150" t="s">
        <v>118</v>
      </c>
    </row>
    <row r="127" spans="1:24">
      <c r="A127" s="5">
        <v>40966</v>
      </c>
      <c r="B127" s="31">
        <f ca="1">IF(ISERROR(MATCH(B$1,INDIRECT("Table!A"&amp;$U127):INDIRECT("Table!" &amp; $X$159 &amp; $U127),0)),"",INDIRECT(CONCATENATE("Table!",ADDRESS($Q127,MATCH(B$1,INDIRECT("Table!A" &amp; $U127):INDIRECT("Table!" &amp; $X$159 &amp; $U127),0))))/1024)</f>
        <v>0.6083984375</v>
      </c>
      <c r="C127" s="31">
        <f ca="1">IF(ISERROR(MATCH(C$1,INDIRECT("Table!A"&amp;$U127):INDIRECT("Table!" &amp; $X$159 &amp; $U127),0)),"",INDIRECT(CONCATENATE("Table!",ADDRESS($Q127,MATCH(C$1,INDIRECT("Table!A" &amp; $U127):INDIRECT("Table!" &amp; $X$159 &amp; $U127),0))))/1024)</f>
        <v>0.7275390625</v>
      </c>
      <c r="D127" s="31">
        <f ca="1">IF(ISERROR(MATCH(D$1,INDIRECT("Table!A"&amp;$U127):INDIRECT("Table!" &amp; $X$159 &amp; $U127),0)),"",INDIRECT(CONCATENATE("Table!",ADDRESS($Q127,MATCH(D$1,INDIRECT("Table!A" &amp; $U127):INDIRECT("Table!" &amp; $X$159 &amp; $U127),0))))/1024)</f>
        <v>0.5390625</v>
      </c>
      <c r="E127" s="31">
        <f ca="1">IF(ISERROR(MATCH(E$1,INDIRECT("Table!A"&amp;$U127):INDIRECT("Table!" &amp; $X$159 &amp; $U127),0)),"",INDIRECT(CONCATENATE("Table!",ADDRESS($Q127,MATCH(E$1,INDIRECT("Table!A" &amp; $U127):INDIRECT("Table!" &amp; $X$159 &amp; $U127),0))))/1024)</f>
        <v>0.662109375</v>
      </c>
      <c r="F127" s="31">
        <f ca="1">IF(ISERROR(MATCH(F$1,INDIRECT("Table!A"&amp;$U127):INDIRECT("Table!" &amp; $X$159 &amp; $U127),0)),"",INDIRECT(CONCATENATE("Table!",ADDRESS($Q127,MATCH(F$1,INDIRECT("Table!A" &amp; $U127):INDIRECT("Table!" &amp; $X$159 &amp; $U127),0))))/1024)</f>
        <v>3.208984375</v>
      </c>
      <c r="G127" s="31">
        <f ca="1">IF(ISERROR(MATCH(G$1,INDIRECT("Table!A"&amp;$U127):INDIRECT("Table!" &amp; $X$159 &amp; $U127),0)),"",INDIRECT(CONCATENATE("Table!",ADDRESS($Q127,MATCH(G$1,INDIRECT("Table!A" &amp; $U127):INDIRECT("Table!" &amp; $X$159 &amp; $U127),0))))/1024)</f>
        <v>3.0009765625</v>
      </c>
      <c r="H127" s="31">
        <f ca="1">IF(ISERROR(MATCH(H$1,INDIRECT("Table!A"&amp;$U127):INDIRECT("Table!" &amp; $X$159 &amp; $U127),0)),"",INDIRECT(CONCATENATE("Table!",ADDRESS($Q127,MATCH(H$1,INDIRECT("Table!A" &amp; $U127):INDIRECT("Table!" &amp; $X$159 &amp; $U127),0))))/1024)</f>
        <v>2.177734375</v>
      </c>
      <c r="I127" s="31">
        <f ca="1">IF(ISERROR(MATCH(I$1,INDIRECT("Table!A"&amp;$U127):INDIRECT("Table!" &amp; $X$159 &amp; $U127),0)),"",INDIRECT(CONCATENATE("Table!",ADDRESS($Q127,MATCH(I$1,INDIRECT("Table!A" &amp; $U127):INDIRECT("Table!" &amp; $X$159 &amp; $U127),0))))/1024)</f>
        <v>0.8583984375</v>
      </c>
      <c r="J127" s="31">
        <f ca="1">IF(ISERROR(MATCH(J$1,INDIRECT("Table!A"&amp;$U127):INDIRECT("Table!" &amp; $X$159 &amp; $U127),0)),"",INDIRECT(CONCATENATE("Table!",ADDRESS($Q127,MATCH(J$1,INDIRECT("Table!A" &amp; $U127):INDIRECT("Table!" &amp; $X$159 &amp; $U127),0))))/1024)</f>
        <v>2.93359375</v>
      </c>
      <c r="K127" s="31">
        <f ca="1">IF(ISERROR(MATCH(K$1,INDIRECT("Table!A"&amp;$U127):INDIRECT("Table!" &amp; $X$159 &amp; $U127),0)),"",INDIRECT(CONCATENATE("Table!",ADDRESS($Q127,MATCH(K$1,INDIRECT("Table!A" &amp; $U127):INDIRECT("Table!" &amp; $X$159 &amp; $U127),0))))/1024)</f>
        <v>2.73828125</v>
      </c>
      <c r="L127" s="31">
        <f ca="1">IF(ISERROR(MATCH(L$1,INDIRECT("Table!A"&amp;$U127):INDIRECT("Table!" &amp; $X$159 &amp; $U127),0)),"",INDIRECT(CONCATENATE("Table!",ADDRESS($Q127,MATCH(L$1,INDIRECT("Table!A" &amp; $U127):INDIRECT("Table!" &amp; $X$159 &amp; $U127),0))))/1024)</f>
        <v>2.1787109375</v>
      </c>
      <c r="M127" s="31">
        <f ca="1">IF(ISERROR(MATCH(M$1,INDIRECT("Table!A"&amp;$U127):INDIRECT("Table!" &amp; $X$159 &amp; $U127),0)),"",INDIRECT(CONCATENATE("Table!",ADDRESS($Q127,MATCH(M$1,INDIRECT("Table!A" &amp; $U127):INDIRECT("Table!" &amp; $X$159 &amp; $U127),0))))/1024)</f>
        <v>2.208984375</v>
      </c>
      <c r="N127" s="31"/>
      <c r="O127" s="149"/>
      <c r="P127" s="149"/>
      <c r="Q127" s="31">
        <f>MATCH($A127,Table!$A:$A,0)+$S$2-1</f>
        <v>1844</v>
      </c>
      <c r="R127" s="149"/>
      <c r="S127" s="149"/>
      <c r="T127" s="149"/>
      <c r="U127" s="31">
        <f>MATCH($A127,Table!$A:$A,0)+$W$2-1</f>
        <v>1831</v>
      </c>
      <c r="V127" s="149"/>
      <c r="W127" s="149"/>
      <c r="X127" s="149" t="s">
        <v>118</v>
      </c>
    </row>
    <row r="128" spans="1:24">
      <c r="A128" s="5">
        <v>40963</v>
      </c>
      <c r="B128" s="31">
        <f ca="1">IF(ISERROR(MATCH(B$1,INDIRECT("Table!A"&amp;$U128):INDIRECT("Table!" &amp; $X$159 &amp; $U128),0)),"",INDIRECT(CONCATENATE("Table!",ADDRESS($Q128,MATCH(B$1,INDIRECT("Table!A" &amp; $U128):INDIRECT("Table!" &amp; $X$159 &amp; $U128),0))))/1024)</f>
        <v>0.6083984375</v>
      </c>
      <c r="C128" s="31">
        <f ca="1">IF(ISERROR(MATCH(C$1,INDIRECT("Table!A"&amp;$U128):INDIRECT("Table!" &amp; $X$159 &amp; $U128),0)),"",INDIRECT(CONCATENATE("Table!",ADDRESS($Q128,MATCH(C$1,INDIRECT("Table!A" &amp; $U128):INDIRECT("Table!" &amp; $X$159 &amp; $U128),0))))/1024)</f>
        <v>0.7275390625</v>
      </c>
      <c r="D128" s="31">
        <f ca="1">IF(ISERROR(MATCH(D$1,INDIRECT("Table!A"&amp;$U128):INDIRECT("Table!" &amp; $X$159 &amp; $U128),0)),"",INDIRECT(CONCATENATE("Table!",ADDRESS($Q128,MATCH(D$1,INDIRECT("Table!A" &amp; $U128):INDIRECT("Table!" &amp; $X$159 &amp; $U128),0))))/1024)</f>
        <v>0.5390625</v>
      </c>
      <c r="E128" s="31">
        <f ca="1">IF(ISERROR(MATCH(E$1,INDIRECT("Table!A"&amp;$U128):INDIRECT("Table!" &amp; $X$159 &amp; $U128),0)),"",INDIRECT(CONCATENATE("Table!",ADDRESS($Q128,MATCH(E$1,INDIRECT("Table!A" &amp; $U128):INDIRECT("Table!" &amp; $X$159 &amp; $U128),0))))/1024)</f>
        <v>0.662109375</v>
      </c>
      <c r="F128" s="31">
        <f ca="1">IF(ISERROR(MATCH(F$1,INDIRECT("Table!A"&amp;$U128):INDIRECT("Table!" &amp; $X$159 &amp; $U128),0)),"",INDIRECT(CONCATENATE("Table!",ADDRESS($Q128,MATCH(F$1,INDIRECT("Table!A" &amp; $U128):INDIRECT("Table!" &amp; $X$159 &amp; $U128),0))))/1024)</f>
        <v>3.208984375</v>
      </c>
      <c r="G128" s="31">
        <f ca="1">IF(ISERROR(MATCH(G$1,INDIRECT("Table!A"&amp;$U128):INDIRECT("Table!" &amp; $X$159 &amp; $U128),0)),"",INDIRECT(CONCATENATE("Table!",ADDRESS($Q128,MATCH(G$1,INDIRECT("Table!A" &amp; $U128):INDIRECT("Table!" &amp; $X$159 &amp; $U128),0))))/1024)</f>
        <v>3.0009765625</v>
      </c>
      <c r="H128" s="31">
        <f ca="1">IF(ISERROR(MATCH(H$1,INDIRECT("Table!A"&amp;$U128):INDIRECT("Table!" &amp; $X$159 &amp; $U128),0)),"",INDIRECT(CONCATENATE("Table!",ADDRESS($Q128,MATCH(H$1,INDIRECT("Table!A" &amp; $U128):INDIRECT("Table!" &amp; $X$159 &amp; $U128),0))))/1024)</f>
        <v>2.177734375</v>
      </c>
      <c r="I128" s="31">
        <f ca="1">IF(ISERROR(MATCH(I$1,INDIRECT("Table!A"&amp;$U128):INDIRECT("Table!" &amp; $X$159 &amp; $U128),0)),"",INDIRECT(CONCATENATE("Table!",ADDRESS($Q128,MATCH(I$1,INDIRECT("Table!A" &amp; $U128):INDIRECT("Table!" &amp; $X$159 &amp; $U128),0))))/1024)</f>
        <v>0.8583984375</v>
      </c>
      <c r="J128" s="31">
        <f ca="1">IF(ISERROR(MATCH(J$1,INDIRECT("Table!A"&amp;$U128):INDIRECT("Table!" &amp; $X$159 &amp; $U128),0)),"",INDIRECT(CONCATENATE("Table!",ADDRESS($Q128,MATCH(J$1,INDIRECT("Table!A" &amp; $U128):INDIRECT("Table!" &amp; $X$159 &amp; $U128),0))))/1024)</f>
        <v>2.93359375</v>
      </c>
      <c r="K128" s="31">
        <f ca="1">IF(ISERROR(MATCH(K$1,INDIRECT("Table!A"&amp;$U128):INDIRECT("Table!" &amp; $X$159 &amp; $U128),0)),"",INDIRECT(CONCATENATE("Table!",ADDRESS($Q128,MATCH(K$1,INDIRECT("Table!A" &amp; $U128):INDIRECT("Table!" &amp; $X$159 &amp; $U128),0))))/1024)</f>
        <v>2.73828125</v>
      </c>
      <c r="L128" s="31">
        <f ca="1">IF(ISERROR(MATCH(L$1,INDIRECT("Table!A"&amp;$U128):INDIRECT("Table!" &amp; $X$159 &amp; $U128),0)),"",INDIRECT(CONCATENATE("Table!",ADDRESS($Q128,MATCH(L$1,INDIRECT("Table!A" &amp; $U128):INDIRECT("Table!" &amp; $X$159 &amp; $U128),0))))/1024)</f>
        <v>2.1787109375</v>
      </c>
      <c r="M128" s="31">
        <f ca="1">IF(ISERROR(MATCH(M$1,INDIRECT("Table!A"&amp;$U128):INDIRECT("Table!" &amp; $X$159 &amp; $U128),0)),"",INDIRECT(CONCATENATE("Table!",ADDRESS($Q128,MATCH(M$1,INDIRECT("Table!A" &amp; $U128):INDIRECT("Table!" &amp; $X$159 &amp; $U128),0))))/1024)</f>
        <v>2.208984375</v>
      </c>
      <c r="N128" s="31"/>
      <c r="O128" s="148"/>
      <c r="P128" s="148"/>
      <c r="Q128" s="31">
        <f>MATCH($A128,Table!$A:$A,0)+$S$2-1</f>
        <v>1857</v>
      </c>
      <c r="R128" s="148"/>
      <c r="S128" s="148"/>
      <c r="T128" s="148"/>
      <c r="U128" s="31">
        <f>MATCH($A128,Table!$A:$A,0)+$W$2-1</f>
        <v>1844</v>
      </c>
      <c r="V128" s="148"/>
      <c r="W128" s="148"/>
      <c r="X128" s="148" t="s">
        <v>118</v>
      </c>
    </row>
    <row r="129" spans="1:24">
      <c r="A129" s="5">
        <v>40962</v>
      </c>
      <c r="B129" s="31">
        <f ca="1">IF(ISERROR(MATCH(B$1,INDIRECT("Table!A"&amp;$U129):INDIRECT("Table!" &amp; $X$159 &amp; $U129),0)),"",INDIRECT(CONCATENATE("Table!",ADDRESS($Q129,MATCH(B$1,INDIRECT("Table!A" &amp; $U129):INDIRECT("Table!" &amp; $X$159 &amp; $U129),0))))/1024)</f>
        <v>0.6083984375</v>
      </c>
      <c r="C129" s="31">
        <f ca="1">IF(ISERROR(MATCH(C$1,INDIRECT("Table!A"&amp;$U129):INDIRECT("Table!" &amp; $X$159 &amp; $U129),0)),"",INDIRECT(CONCATENATE("Table!",ADDRESS($Q129,MATCH(C$1,INDIRECT("Table!A" &amp; $U129):INDIRECT("Table!" &amp; $X$159 &amp; $U129),0))))/1024)</f>
        <v>0.7275390625</v>
      </c>
      <c r="D129" s="31">
        <f ca="1">IF(ISERROR(MATCH(D$1,INDIRECT("Table!A"&amp;$U129):INDIRECT("Table!" &amp; $X$159 &amp; $U129),0)),"",INDIRECT(CONCATENATE("Table!",ADDRESS($Q129,MATCH(D$1,INDIRECT("Table!A" &amp; $U129):INDIRECT("Table!" &amp; $X$159 &amp; $U129),0))))/1024)</f>
        <v>0.5390625</v>
      </c>
      <c r="E129" s="31">
        <f ca="1">IF(ISERROR(MATCH(E$1,INDIRECT("Table!A"&amp;$U129):INDIRECT("Table!" &amp; $X$159 &amp; $U129),0)),"",INDIRECT(CONCATENATE("Table!",ADDRESS($Q129,MATCH(E$1,INDIRECT("Table!A" &amp; $U129):INDIRECT("Table!" &amp; $X$159 &amp; $U129),0))))/1024)</f>
        <v>0.662109375</v>
      </c>
      <c r="F129" s="31">
        <f ca="1">IF(ISERROR(MATCH(F$1,INDIRECT("Table!A"&amp;$U129):INDIRECT("Table!" &amp; $X$159 &amp; $U129),0)),"",INDIRECT(CONCATENATE("Table!",ADDRESS($Q129,MATCH(F$1,INDIRECT("Table!A" &amp; $U129):INDIRECT("Table!" &amp; $X$159 &amp; $U129),0))))/1024)</f>
        <v>3.208984375</v>
      </c>
      <c r="G129" s="31">
        <f ca="1">IF(ISERROR(MATCH(G$1,INDIRECT("Table!A"&amp;$U129):INDIRECT("Table!" &amp; $X$159 &amp; $U129),0)),"",INDIRECT(CONCATENATE("Table!",ADDRESS($Q129,MATCH(G$1,INDIRECT("Table!A" &amp; $U129):INDIRECT("Table!" &amp; $X$159 &amp; $U129),0))))/1024)</f>
        <v>3.0009765625</v>
      </c>
      <c r="H129" s="31">
        <f ca="1">IF(ISERROR(MATCH(H$1,INDIRECT("Table!A"&amp;$U129):INDIRECT("Table!" &amp; $X$159 &amp; $U129),0)),"",INDIRECT(CONCATENATE("Table!",ADDRESS($Q129,MATCH(H$1,INDIRECT("Table!A" &amp; $U129):INDIRECT("Table!" &amp; $X$159 &amp; $U129),0))))/1024)</f>
        <v>2.177734375</v>
      </c>
      <c r="I129" s="31">
        <f ca="1">IF(ISERROR(MATCH(I$1,INDIRECT("Table!A"&amp;$U129):INDIRECT("Table!" &amp; $X$159 &amp; $U129),0)),"",INDIRECT(CONCATENATE("Table!",ADDRESS($Q129,MATCH(I$1,INDIRECT("Table!A" &amp; $U129):INDIRECT("Table!" &amp; $X$159 &amp; $U129),0))))/1024)</f>
        <v>0.8583984375</v>
      </c>
      <c r="J129" s="31">
        <f ca="1">IF(ISERROR(MATCH(J$1,INDIRECT("Table!A"&amp;$U129):INDIRECT("Table!" &amp; $X$159 &amp; $U129),0)),"",INDIRECT(CONCATENATE("Table!",ADDRESS($Q129,MATCH(J$1,INDIRECT("Table!A" &amp; $U129):INDIRECT("Table!" &amp; $X$159 &amp; $U129),0))))/1024)</f>
        <v>2.93359375</v>
      </c>
      <c r="K129" s="31">
        <f ca="1">IF(ISERROR(MATCH(K$1,INDIRECT("Table!A"&amp;$U129):INDIRECT("Table!" &amp; $X$159 &amp; $U129),0)),"",INDIRECT(CONCATENATE("Table!",ADDRESS($Q129,MATCH(K$1,INDIRECT("Table!A" &amp; $U129):INDIRECT("Table!" &amp; $X$159 &amp; $U129),0))))/1024)</f>
        <v>2.73828125</v>
      </c>
      <c r="L129" s="31">
        <f ca="1">IF(ISERROR(MATCH(L$1,INDIRECT("Table!A"&amp;$U129):INDIRECT("Table!" &amp; $X$159 &amp; $U129),0)),"",INDIRECT(CONCATENATE("Table!",ADDRESS($Q129,MATCH(L$1,INDIRECT("Table!A" &amp; $U129):INDIRECT("Table!" &amp; $X$159 &amp; $U129),0))))/1024)</f>
        <v>2.1787109375</v>
      </c>
      <c r="M129" s="31">
        <f ca="1">IF(ISERROR(MATCH(M$1,INDIRECT("Table!A"&amp;$U129):INDIRECT("Table!" &amp; $X$159 &amp; $U129),0)),"",INDIRECT(CONCATENATE("Table!",ADDRESS($Q129,MATCH(M$1,INDIRECT("Table!A" &amp; $U129):INDIRECT("Table!" &amp; $X$159 &amp; $U129),0))))/1024)</f>
        <v>2.208984375</v>
      </c>
      <c r="N129" s="31"/>
      <c r="O129" s="147"/>
      <c r="P129" s="147"/>
      <c r="Q129" s="31">
        <f>MATCH($A129,Table!$A:$A,0)+$S$2-1</f>
        <v>1870</v>
      </c>
      <c r="R129" s="147"/>
      <c r="S129" s="147"/>
      <c r="T129" s="147"/>
      <c r="U129" s="31">
        <f>MATCH($A129,Table!$A:$A,0)+$W$2-1</f>
        <v>1857</v>
      </c>
      <c r="V129" s="147"/>
      <c r="W129" s="147"/>
      <c r="X129" s="147" t="s">
        <v>118</v>
      </c>
    </row>
    <row r="130" spans="1:24">
      <c r="A130" s="5">
        <v>40961</v>
      </c>
      <c r="B130" s="31">
        <f ca="1">IF(ISERROR(MATCH(B$1,INDIRECT("Table!A"&amp;$U130):INDIRECT("Table!" &amp; $X$159 &amp; $U130),0)),"",INDIRECT(CONCATENATE("Table!",ADDRESS($Q130,MATCH(B$1,INDIRECT("Table!A" &amp; $U130):INDIRECT("Table!" &amp; $X$159 &amp; $U130),0))))/1024)</f>
        <v>0.6083984375</v>
      </c>
      <c r="C130" s="31">
        <f ca="1">IF(ISERROR(MATCH(C$1,INDIRECT("Table!A"&amp;$U130):INDIRECT("Table!" &amp; $X$159 &amp; $U130),0)),"",INDIRECT(CONCATENATE("Table!",ADDRESS($Q130,MATCH(C$1,INDIRECT("Table!A" &amp; $U130):INDIRECT("Table!" &amp; $X$159 &amp; $U130),0))))/1024)</f>
        <v>0.7275390625</v>
      </c>
      <c r="D130" s="31">
        <f ca="1">IF(ISERROR(MATCH(D$1,INDIRECT("Table!A"&amp;$U130):INDIRECT("Table!" &amp; $X$159 &amp; $U130),0)),"",INDIRECT(CONCATENATE("Table!",ADDRESS($Q130,MATCH(D$1,INDIRECT("Table!A" &amp; $U130):INDIRECT("Table!" &amp; $X$159 &amp; $U130),0))))/1024)</f>
        <v>0.5390625</v>
      </c>
      <c r="E130" s="31">
        <f ca="1">IF(ISERROR(MATCH(E$1,INDIRECT("Table!A"&amp;$U130):INDIRECT("Table!" &amp; $X$159 &amp; $U130),0)),"",INDIRECT(CONCATENATE("Table!",ADDRESS($Q130,MATCH(E$1,INDIRECT("Table!A" &amp; $U130):INDIRECT("Table!" &amp; $X$159 &amp; $U130),0))))/1024)</f>
        <v>0.662109375</v>
      </c>
      <c r="F130" s="31">
        <f ca="1">IF(ISERROR(MATCH(F$1,INDIRECT("Table!A"&amp;$U130):INDIRECT("Table!" &amp; $X$159 &amp; $U130),0)),"",INDIRECT(CONCATENATE("Table!",ADDRESS($Q130,MATCH(F$1,INDIRECT("Table!A" &amp; $U130):INDIRECT("Table!" &amp; $X$159 &amp; $U130),0))))/1024)</f>
        <v>3.208984375</v>
      </c>
      <c r="G130" s="31">
        <f ca="1">IF(ISERROR(MATCH(G$1,INDIRECT("Table!A"&amp;$U130):INDIRECT("Table!" &amp; $X$159 &amp; $U130),0)),"",INDIRECT(CONCATENATE("Table!",ADDRESS($Q130,MATCH(G$1,INDIRECT("Table!A" &amp; $U130):INDIRECT("Table!" &amp; $X$159 &amp; $U130),0))))/1024)</f>
        <v>3.0009765625</v>
      </c>
      <c r="H130" s="31">
        <f ca="1">IF(ISERROR(MATCH(H$1,INDIRECT("Table!A"&amp;$U130):INDIRECT("Table!" &amp; $X$159 &amp; $U130),0)),"",INDIRECT(CONCATENATE("Table!",ADDRESS($Q130,MATCH(H$1,INDIRECT("Table!A" &amp; $U130):INDIRECT("Table!" &amp; $X$159 &amp; $U130),0))))/1024)</f>
        <v>2.177734375</v>
      </c>
      <c r="I130" s="31">
        <f ca="1">IF(ISERROR(MATCH(I$1,INDIRECT("Table!A"&amp;$U130):INDIRECT("Table!" &amp; $X$159 &amp; $U130),0)),"",INDIRECT(CONCATENATE("Table!",ADDRESS($Q130,MATCH(I$1,INDIRECT("Table!A" &amp; $U130):INDIRECT("Table!" &amp; $X$159 &amp; $U130),0))))/1024)</f>
        <v>0.8583984375</v>
      </c>
      <c r="J130" s="31">
        <f ca="1">IF(ISERROR(MATCH(J$1,INDIRECT("Table!A"&amp;$U130):INDIRECT("Table!" &amp; $X$159 &amp; $U130),0)),"",INDIRECT(CONCATENATE("Table!",ADDRESS($Q130,MATCH(J$1,INDIRECT("Table!A" &amp; $U130):INDIRECT("Table!" &amp; $X$159 &amp; $U130),0))))/1024)</f>
        <v>2.93359375</v>
      </c>
      <c r="K130" s="31">
        <f ca="1">IF(ISERROR(MATCH(K$1,INDIRECT("Table!A"&amp;$U130):INDIRECT("Table!" &amp; $X$159 &amp; $U130),0)),"",INDIRECT(CONCATENATE("Table!",ADDRESS($Q130,MATCH(K$1,INDIRECT("Table!A" &amp; $U130):INDIRECT("Table!" &amp; $X$159 &amp; $U130),0))))/1024)</f>
        <v>2.73828125</v>
      </c>
      <c r="L130" s="31">
        <f ca="1">IF(ISERROR(MATCH(L$1,INDIRECT("Table!A"&amp;$U130):INDIRECT("Table!" &amp; $X$159 &amp; $U130),0)),"",INDIRECT(CONCATENATE("Table!",ADDRESS($Q130,MATCH(L$1,INDIRECT("Table!A" &amp; $U130):INDIRECT("Table!" &amp; $X$159 &amp; $U130),0))))/1024)</f>
        <v>2.1787109375</v>
      </c>
      <c r="M130" s="31">
        <f ca="1">IF(ISERROR(MATCH(M$1,INDIRECT("Table!A"&amp;$U130):INDIRECT("Table!" &amp; $X$159 &amp; $U130),0)),"",INDIRECT(CONCATENATE("Table!",ADDRESS($Q130,MATCH(M$1,INDIRECT("Table!A" &amp; $U130):INDIRECT("Table!" &amp; $X$159 &amp; $U130),0))))/1024)</f>
        <v>2.208984375</v>
      </c>
      <c r="N130" s="31"/>
      <c r="O130" s="146"/>
      <c r="P130" s="146"/>
      <c r="Q130" s="31">
        <f>MATCH($A130,Table!$A:$A,0)+$S$2-1</f>
        <v>1883</v>
      </c>
      <c r="R130" s="146"/>
      <c r="S130" s="146"/>
      <c r="T130" s="146"/>
      <c r="U130" s="31">
        <f>MATCH($A130,Table!$A:$A,0)+$W$2-1</f>
        <v>1870</v>
      </c>
      <c r="V130" s="146"/>
      <c r="W130" s="146"/>
      <c r="X130" s="146" t="s">
        <v>118</v>
      </c>
    </row>
    <row r="131" spans="1:24">
      <c r="A131" s="5">
        <v>40960</v>
      </c>
      <c r="B131" s="31">
        <f ca="1">IF(ISERROR(MATCH(B$1,INDIRECT("Table!A"&amp;$U131):INDIRECT("Table!" &amp; $X$159 &amp; $U131),0)),"",INDIRECT(CONCATENATE("Table!",ADDRESS($Q131,MATCH(B$1,INDIRECT("Table!A" &amp; $U131):INDIRECT("Table!" &amp; $X$159 &amp; $U131),0))))/1024)</f>
        <v>0.6083984375</v>
      </c>
      <c r="C131" s="31">
        <f ca="1">IF(ISERROR(MATCH(C$1,INDIRECT("Table!A"&amp;$U131):INDIRECT("Table!" &amp; $X$159 &amp; $U131),0)),"",INDIRECT(CONCATENATE("Table!",ADDRESS($Q131,MATCH(C$1,INDIRECT("Table!A" &amp; $U131):INDIRECT("Table!" &amp; $X$159 &amp; $U131),0))))/1024)</f>
        <v>0.7275390625</v>
      </c>
      <c r="D131" s="31">
        <f ca="1">IF(ISERROR(MATCH(D$1,INDIRECT("Table!A"&amp;$U131):INDIRECT("Table!" &amp; $X$159 &amp; $U131),0)),"",INDIRECT(CONCATENATE("Table!",ADDRESS($Q131,MATCH(D$1,INDIRECT("Table!A" &amp; $U131):INDIRECT("Table!" &amp; $X$159 &amp; $U131),0))))/1024)</f>
        <v>0.5390625</v>
      </c>
      <c r="E131" s="31">
        <f ca="1">IF(ISERROR(MATCH(E$1,INDIRECT("Table!A"&amp;$U131):INDIRECT("Table!" &amp; $X$159 &amp; $U131),0)),"",INDIRECT(CONCATENATE("Table!",ADDRESS($Q131,MATCH(E$1,INDIRECT("Table!A" &amp; $U131):INDIRECT("Table!" &amp; $X$159 &amp; $U131),0))))/1024)</f>
        <v>0.662109375</v>
      </c>
      <c r="F131" s="31">
        <f ca="1">IF(ISERROR(MATCH(F$1,INDIRECT("Table!A"&amp;$U131):INDIRECT("Table!" &amp; $X$159 &amp; $U131),0)),"",INDIRECT(CONCATENATE("Table!",ADDRESS($Q131,MATCH(F$1,INDIRECT("Table!A" &amp; $U131):INDIRECT("Table!" &amp; $X$159 &amp; $U131),0))))/1024)</f>
        <v>3.208984375</v>
      </c>
      <c r="G131" s="31">
        <f ca="1">IF(ISERROR(MATCH(G$1,INDIRECT("Table!A"&amp;$U131):INDIRECT("Table!" &amp; $X$159 &amp; $U131),0)),"",INDIRECT(CONCATENATE("Table!",ADDRESS($Q131,MATCH(G$1,INDIRECT("Table!A" &amp; $U131):INDIRECT("Table!" &amp; $X$159 &amp; $U131),0))))/1024)</f>
        <v>3.0009765625</v>
      </c>
      <c r="H131" s="31">
        <f ca="1">IF(ISERROR(MATCH(H$1,INDIRECT("Table!A"&amp;$U131):INDIRECT("Table!" &amp; $X$159 &amp; $U131),0)),"",INDIRECT(CONCATENATE("Table!",ADDRESS($Q131,MATCH(H$1,INDIRECT("Table!A" &amp; $U131):INDIRECT("Table!" &amp; $X$159 &amp; $U131),0))))/1024)</f>
        <v>2.177734375</v>
      </c>
      <c r="I131" s="31">
        <f ca="1">IF(ISERROR(MATCH(I$1,INDIRECT("Table!A"&amp;$U131):INDIRECT("Table!" &amp; $X$159 &amp; $U131),0)),"",INDIRECT(CONCATENATE("Table!",ADDRESS($Q131,MATCH(I$1,INDIRECT("Table!A" &amp; $U131):INDIRECT("Table!" &amp; $X$159 &amp; $U131),0))))/1024)</f>
        <v>0.8583984375</v>
      </c>
      <c r="J131" s="31">
        <f ca="1">IF(ISERROR(MATCH(J$1,INDIRECT("Table!A"&amp;$U131):INDIRECT("Table!" &amp; $X$159 &amp; $U131),0)),"",INDIRECT(CONCATENATE("Table!",ADDRESS($Q131,MATCH(J$1,INDIRECT("Table!A" &amp; $U131):INDIRECT("Table!" &amp; $X$159 &amp; $U131),0))))/1024)</f>
        <v>2.93359375</v>
      </c>
      <c r="K131" s="31">
        <f ca="1">IF(ISERROR(MATCH(K$1,INDIRECT("Table!A"&amp;$U131):INDIRECT("Table!" &amp; $X$159 &amp; $U131),0)),"",INDIRECT(CONCATENATE("Table!",ADDRESS($Q131,MATCH(K$1,INDIRECT("Table!A" &amp; $U131):INDIRECT("Table!" &amp; $X$159 &amp; $U131),0))))/1024)</f>
        <v>2.73828125</v>
      </c>
      <c r="L131" s="31">
        <f ca="1">IF(ISERROR(MATCH(L$1,INDIRECT("Table!A"&amp;$U131):INDIRECT("Table!" &amp; $X$159 &amp; $U131),0)),"",INDIRECT(CONCATENATE("Table!",ADDRESS($Q131,MATCH(L$1,INDIRECT("Table!A" &amp; $U131):INDIRECT("Table!" &amp; $X$159 &amp; $U131),0))))/1024)</f>
        <v>2.1787109375</v>
      </c>
      <c r="M131" s="31">
        <f ca="1">IF(ISERROR(MATCH(M$1,INDIRECT("Table!A"&amp;$U131):INDIRECT("Table!" &amp; $X$159 &amp; $U131),0)),"",INDIRECT(CONCATENATE("Table!",ADDRESS($Q131,MATCH(M$1,INDIRECT("Table!A" &amp; $U131):INDIRECT("Table!" &amp; $X$159 &amp; $U131),0))))/1024)</f>
        <v>2.208984375</v>
      </c>
      <c r="N131" s="31"/>
      <c r="O131" s="145"/>
      <c r="P131" s="145"/>
      <c r="Q131" s="31">
        <f>MATCH($A131,Table!$A:$A,0)+$S$2-1</f>
        <v>1896</v>
      </c>
      <c r="R131" s="145"/>
      <c r="S131" s="145"/>
      <c r="T131" s="145"/>
      <c r="U131" s="31">
        <f>MATCH($A131,Table!$A:$A,0)+$W$2-1</f>
        <v>1883</v>
      </c>
      <c r="V131" s="145"/>
      <c r="W131" s="145"/>
      <c r="X131" s="145" t="s">
        <v>118</v>
      </c>
    </row>
    <row r="132" spans="1:24">
      <c r="A132" s="5">
        <v>40959</v>
      </c>
      <c r="B132" s="31">
        <f ca="1">IF(ISERROR(MATCH(B$1,INDIRECT("Table!A"&amp;$U132):INDIRECT("Table!" &amp; $X$159 &amp; $U132),0)),"",INDIRECT(CONCATENATE("Table!",ADDRESS($Q132,MATCH(B$1,INDIRECT("Table!A" &amp; $U132):INDIRECT("Table!" &amp; $X$159 &amp; $U132),0))))/1024)</f>
        <v>0.6083984375</v>
      </c>
      <c r="C132" s="31">
        <f ca="1">IF(ISERROR(MATCH(C$1,INDIRECT("Table!A"&amp;$U132):INDIRECT("Table!" &amp; $X$159 &amp; $U132),0)),"",INDIRECT(CONCATENATE("Table!",ADDRESS($Q132,MATCH(C$1,INDIRECT("Table!A" &amp; $U132):INDIRECT("Table!" &amp; $X$159 &amp; $U132),0))))/1024)</f>
        <v>0.7275390625</v>
      </c>
      <c r="D132" s="31">
        <f ca="1">IF(ISERROR(MATCH(D$1,INDIRECT("Table!A"&amp;$U132):INDIRECT("Table!" &amp; $X$159 &amp; $U132),0)),"",INDIRECT(CONCATENATE("Table!",ADDRESS($Q132,MATCH(D$1,INDIRECT("Table!A" &amp; $U132):INDIRECT("Table!" &amp; $X$159 &amp; $U132),0))))/1024)</f>
        <v>0.5390625</v>
      </c>
      <c r="E132" s="31">
        <f ca="1">IF(ISERROR(MATCH(E$1,INDIRECT("Table!A"&amp;$U132):INDIRECT("Table!" &amp; $X$159 &amp; $U132),0)),"",INDIRECT(CONCATENATE("Table!",ADDRESS($Q132,MATCH(E$1,INDIRECT("Table!A" &amp; $U132):INDIRECT("Table!" &amp; $X$159 &amp; $U132),0))))/1024)</f>
        <v>0.662109375</v>
      </c>
      <c r="F132" s="31">
        <f ca="1">IF(ISERROR(MATCH(F$1,INDIRECT("Table!A"&amp;$U132):INDIRECT("Table!" &amp; $X$159 &amp; $U132),0)),"",INDIRECT(CONCATENATE("Table!",ADDRESS($Q132,MATCH(F$1,INDIRECT("Table!A" &amp; $U132):INDIRECT("Table!" &amp; $X$159 &amp; $U132),0))))/1024)</f>
        <v>3.208984375</v>
      </c>
      <c r="G132" s="31">
        <f ca="1">IF(ISERROR(MATCH(G$1,INDIRECT("Table!A"&amp;$U132):INDIRECT("Table!" &amp; $X$159 &amp; $U132),0)),"",INDIRECT(CONCATENATE("Table!",ADDRESS($Q132,MATCH(G$1,INDIRECT("Table!A" &amp; $U132):INDIRECT("Table!" &amp; $X$159 &amp; $U132),0))))/1024)</f>
        <v>3.0009765625</v>
      </c>
      <c r="H132" s="31">
        <f ca="1">IF(ISERROR(MATCH(H$1,INDIRECT("Table!A"&amp;$U132):INDIRECT("Table!" &amp; $X$159 &amp; $U132),0)),"",INDIRECT(CONCATENATE("Table!",ADDRESS($Q132,MATCH(H$1,INDIRECT("Table!A" &amp; $U132):INDIRECT("Table!" &amp; $X$159 &amp; $U132),0))))/1024)</f>
        <v>2.177734375</v>
      </c>
      <c r="I132" s="31">
        <f ca="1">IF(ISERROR(MATCH(I$1,INDIRECT("Table!A"&amp;$U132):INDIRECT("Table!" &amp; $X$159 &amp; $U132),0)),"",INDIRECT(CONCATENATE("Table!",ADDRESS($Q132,MATCH(I$1,INDIRECT("Table!A" &amp; $U132):INDIRECT("Table!" &amp; $X$159 &amp; $U132),0))))/1024)</f>
        <v>0.8583984375</v>
      </c>
      <c r="J132" s="31">
        <f ca="1">IF(ISERROR(MATCH(J$1,INDIRECT("Table!A"&amp;$U132):INDIRECT("Table!" &amp; $X$159 &amp; $U132),0)),"",INDIRECT(CONCATENATE("Table!",ADDRESS($Q132,MATCH(J$1,INDIRECT("Table!A" &amp; $U132):INDIRECT("Table!" &amp; $X$159 &amp; $U132),0))))/1024)</f>
        <v>2.93359375</v>
      </c>
      <c r="K132" s="31">
        <f ca="1">IF(ISERROR(MATCH(K$1,INDIRECT("Table!A"&amp;$U132):INDIRECT("Table!" &amp; $X$159 &amp; $U132),0)),"",INDIRECT(CONCATENATE("Table!",ADDRESS($Q132,MATCH(K$1,INDIRECT("Table!A" &amp; $U132):INDIRECT("Table!" &amp; $X$159 &amp; $U132),0))))/1024)</f>
        <v>2.73828125</v>
      </c>
      <c r="L132" s="31">
        <f ca="1">IF(ISERROR(MATCH(L$1,INDIRECT("Table!A"&amp;$U132):INDIRECT("Table!" &amp; $X$159 &amp; $U132),0)),"",INDIRECT(CONCATENATE("Table!",ADDRESS($Q132,MATCH(L$1,INDIRECT("Table!A" &amp; $U132):INDIRECT("Table!" &amp; $X$159 &amp; $U132),0))))/1024)</f>
        <v>2.1787109375</v>
      </c>
      <c r="M132" s="31">
        <f ca="1">IF(ISERROR(MATCH(M$1,INDIRECT("Table!A"&amp;$U132):INDIRECT("Table!" &amp; $X$159 &amp; $U132),0)),"",INDIRECT(CONCATENATE("Table!",ADDRESS($Q132,MATCH(M$1,INDIRECT("Table!A" &amp; $U132):INDIRECT("Table!" &amp; $X$159 &amp; $U132),0))))/1024)</f>
        <v>2.208984375</v>
      </c>
      <c r="N132" s="31"/>
      <c r="O132" s="144"/>
      <c r="P132" s="144"/>
      <c r="Q132" s="31">
        <f>MATCH($A132,Table!$A:$A,0)+$S$2-1</f>
        <v>1909</v>
      </c>
      <c r="R132" s="144"/>
      <c r="S132" s="144"/>
      <c r="T132" s="144"/>
      <c r="U132" s="31">
        <f>MATCH($A132,Table!$A:$A,0)+$W$2-1</f>
        <v>1896</v>
      </c>
      <c r="V132" s="144"/>
      <c r="W132" s="144"/>
      <c r="X132" s="144" t="s">
        <v>118</v>
      </c>
    </row>
    <row r="133" spans="1:24">
      <c r="A133" s="5">
        <v>40956</v>
      </c>
      <c r="B133" s="31">
        <f ca="1">IF(ISERROR(MATCH(B$1,INDIRECT("Table!A"&amp;$U133):INDIRECT("Table!" &amp; $X$159 &amp; $U133),0)),"",INDIRECT(CONCATENATE("Table!",ADDRESS($Q133,MATCH(B$1,INDIRECT("Table!A" &amp; $U133):INDIRECT("Table!" &amp; $X$159 &amp; $U133),0))))/1024)</f>
        <v>0.6083984375</v>
      </c>
      <c r="C133" s="31">
        <f ca="1">IF(ISERROR(MATCH(C$1,INDIRECT("Table!A"&amp;$U133):INDIRECT("Table!" &amp; $X$159 &amp; $U133),0)),"",INDIRECT(CONCATENATE("Table!",ADDRESS($Q133,MATCH(C$1,INDIRECT("Table!A" &amp; $U133):INDIRECT("Table!" &amp; $X$159 &amp; $U133),0))))/1024)</f>
        <v>0.7275390625</v>
      </c>
      <c r="D133" s="31">
        <f ca="1">IF(ISERROR(MATCH(D$1,INDIRECT("Table!A"&amp;$U133):INDIRECT("Table!" &amp; $X$159 &amp; $U133),0)),"",INDIRECT(CONCATENATE("Table!",ADDRESS($Q133,MATCH(D$1,INDIRECT("Table!A" &amp; $U133):INDIRECT("Table!" &amp; $X$159 &amp; $U133),0))))/1024)</f>
        <v>0.5390625</v>
      </c>
      <c r="E133" s="31">
        <f ca="1">IF(ISERROR(MATCH(E$1,INDIRECT("Table!A"&amp;$U133):INDIRECT("Table!" &amp; $X$159 &amp; $U133),0)),"",INDIRECT(CONCATENATE("Table!",ADDRESS($Q133,MATCH(E$1,INDIRECT("Table!A" &amp; $U133):INDIRECT("Table!" &amp; $X$159 &amp; $U133),0))))/1024)</f>
        <v>0.662109375</v>
      </c>
      <c r="F133" s="31">
        <f ca="1">IF(ISERROR(MATCH(F$1,INDIRECT("Table!A"&amp;$U133):INDIRECT("Table!" &amp; $X$159 &amp; $U133),0)),"",INDIRECT(CONCATENATE("Table!",ADDRESS($Q133,MATCH(F$1,INDIRECT("Table!A" &amp; $U133):INDIRECT("Table!" &amp; $X$159 &amp; $U133),0))))/1024)</f>
        <v>3.208984375</v>
      </c>
      <c r="G133" s="31">
        <f ca="1">IF(ISERROR(MATCH(G$1,INDIRECT("Table!A"&amp;$U133):INDIRECT("Table!" &amp; $X$159 &amp; $U133),0)),"",INDIRECT(CONCATENATE("Table!",ADDRESS($Q133,MATCH(G$1,INDIRECT("Table!A" &amp; $U133):INDIRECT("Table!" &amp; $X$159 &amp; $U133),0))))/1024)</f>
        <v>3.0009765625</v>
      </c>
      <c r="H133" s="31">
        <f ca="1">IF(ISERROR(MATCH(H$1,INDIRECT("Table!A"&amp;$U133):INDIRECT("Table!" &amp; $X$159 &amp; $U133),0)),"",INDIRECT(CONCATENATE("Table!",ADDRESS($Q133,MATCH(H$1,INDIRECT("Table!A" &amp; $U133):INDIRECT("Table!" &amp; $X$159 &amp; $U133),0))))/1024)</f>
        <v>2.177734375</v>
      </c>
      <c r="I133" s="31">
        <f ca="1">IF(ISERROR(MATCH(I$1,INDIRECT("Table!A"&amp;$U133):INDIRECT("Table!" &amp; $X$159 &amp; $U133),0)),"",INDIRECT(CONCATENATE("Table!",ADDRESS($Q133,MATCH(I$1,INDIRECT("Table!A" &amp; $U133):INDIRECT("Table!" &amp; $X$159 &amp; $U133),0))))/1024)</f>
        <v>0.8583984375</v>
      </c>
      <c r="J133" s="31">
        <f ca="1">IF(ISERROR(MATCH(J$1,INDIRECT("Table!A"&amp;$U133):INDIRECT("Table!" &amp; $X$159 &amp; $U133),0)),"",INDIRECT(CONCATENATE("Table!",ADDRESS($Q133,MATCH(J$1,INDIRECT("Table!A" &amp; $U133):INDIRECT("Table!" &amp; $X$159 &amp; $U133),0))))/1024)</f>
        <v>2.93359375</v>
      </c>
      <c r="K133" s="31">
        <f ca="1">IF(ISERROR(MATCH(K$1,INDIRECT("Table!A"&amp;$U133):INDIRECT("Table!" &amp; $X$159 &amp; $U133),0)),"",INDIRECT(CONCATENATE("Table!",ADDRESS($Q133,MATCH(K$1,INDIRECT("Table!A" &amp; $U133):INDIRECT("Table!" &amp; $X$159 &amp; $U133),0))))/1024)</f>
        <v>2.73828125</v>
      </c>
      <c r="L133" s="31">
        <f ca="1">IF(ISERROR(MATCH(L$1,INDIRECT("Table!A"&amp;$U133):INDIRECT("Table!" &amp; $X$159 &amp; $U133),0)),"",INDIRECT(CONCATENATE("Table!",ADDRESS($Q133,MATCH(L$1,INDIRECT("Table!A" &amp; $U133):INDIRECT("Table!" &amp; $X$159 &amp; $U133),0))))/1024)</f>
        <v>2.1787109375</v>
      </c>
      <c r="M133" s="31">
        <f ca="1">IF(ISERROR(MATCH(M$1,INDIRECT("Table!A"&amp;$U133):INDIRECT("Table!" &amp; $X$159 &amp; $U133),0)),"",INDIRECT(CONCATENATE("Table!",ADDRESS($Q133,MATCH(M$1,INDIRECT("Table!A" &amp; $U133):INDIRECT("Table!" &amp; $X$159 &amp; $U133),0))))/1024)</f>
        <v>2.208984375</v>
      </c>
      <c r="N133" s="31"/>
      <c r="O133" s="143"/>
      <c r="P133" s="143"/>
      <c r="Q133" s="31">
        <f>MATCH($A133,Table!$A:$A,0)+$S$2-1</f>
        <v>1922</v>
      </c>
      <c r="R133" s="143"/>
      <c r="S133" s="143"/>
      <c r="T133" s="143"/>
      <c r="U133" s="31">
        <f>MATCH($A133,Table!$A:$A,0)+$W$2-1</f>
        <v>1909</v>
      </c>
      <c r="V133" s="143"/>
      <c r="W133" s="143"/>
      <c r="X133" s="143" t="s">
        <v>118</v>
      </c>
    </row>
    <row r="134" spans="1:24">
      <c r="A134" s="5">
        <v>40955</v>
      </c>
      <c r="B134" s="31">
        <f ca="1">IF(ISERROR(MATCH(B$1,INDIRECT("Table!A"&amp;$U134):INDIRECT("Table!" &amp; $X$159 &amp; $U134),0)),"",INDIRECT(CONCATENATE("Table!",ADDRESS($Q134,MATCH(B$1,INDIRECT("Table!A" &amp; $U134):INDIRECT("Table!" &amp; $X$159 &amp; $U134),0))))/1024)</f>
        <v>0.6083984375</v>
      </c>
      <c r="C134" s="31">
        <f ca="1">IF(ISERROR(MATCH(C$1,INDIRECT("Table!A"&amp;$U134):INDIRECT("Table!" &amp; $X$159 &amp; $U134),0)),"",INDIRECT(CONCATENATE("Table!",ADDRESS($Q134,MATCH(C$1,INDIRECT("Table!A" &amp; $U134):INDIRECT("Table!" &amp; $X$159 &amp; $U134),0))))/1024)</f>
        <v>0.7275390625</v>
      </c>
      <c r="D134" s="31">
        <f ca="1">IF(ISERROR(MATCH(D$1,INDIRECT("Table!A"&amp;$U134):INDIRECT("Table!" &amp; $X$159 &amp; $U134),0)),"",INDIRECT(CONCATENATE("Table!",ADDRESS($Q134,MATCH(D$1,INDIRECT("Table!A" &amp; $U134):INDIRECT("Table!" &amp; $X$159 &amp; $U134),0))))/1024)</f>
        <v>0.5390625</v>
      </c>
      <c r="E134" s="31">
        <f ca="1">IF(ISERROR(MATCH(E$1,INDIRECT("Table!A"&amp;$U134):INDIRECT("Table!" &amp; $X$159 &amp; $U134),0)),"",INDIRECT(CONCATENATE("Table!",ADDRESS($Q134,MATCH(E$1,INDIRECT("Table!A" &amp; $U134):INDIRECT("Table!" &amp; $X$159 &amp; $U134),0))))/1024)</f>
        <v>0.662109375</v>
      </c>
      <c r="F134" s="31">
        <f ca="1">IF(ISERROR(MATCH(F$1,INDIRECT("Table!A"&amp;$U134):INDIRECT("Table!" &amp; $X$159 &amp; $U134),0)),"",INDIRECT(CONCATENATE("Table!",ADDRESS($Q134,MATCH(F$1,INDIRECT("Table!A" &amp; $U134):INDIRECT("Table!" &amp; $X$159 &amp; $U134),0))))/1024)</f>
        <v>3.208984375</v>
      </c>
      <c r="G134" s="31">
        <f ca="1">IF(ISERROR(MATCH(G$1,INDIRECT("Table!A"&amp;$U134):INDIRECT("Table!" &amp; $X$159 &amp; $U134),0)),"",INDIRECT(CONCATENATE("Table!",ADDRESS($Q134,MATCH(G$1,INDIRECT("Table!A" &amp; $U134):INDIRECT("Table!" &amp; $X$159 &amp; $U134),0))))/1024)</f>
        <v>3.0009765625</v>
      </c>
      <c r="H134" s="31">
        <f ca="1">IF(ISERROR(MATCH(H$1,INDIRECT("Table!A"&amp;$U134):INDIRECT("Table!" &amp; $X$159 &amp; $U134),0)),"",INDIRECT(CONCATENATE("Table!",ADDRESS($Q134,MATCH(H$1,INDIRECT("Table!A" &amp; $U134):INDIRECT("Table!" &amp; $X$159 &amp; $U134),0))))/1024)</f>
        <v>2.177734375</v>
      </c>
      <c r="I134" s="31">
        <f ca="1">IF(ISERROR(MATCH(I$1,INDIRECT("Table!A"&amp;$U134):INDIRECT("Table!" &amp; $X$159 &amp; $U134),0)),"",INDIRECT(CONCATENATE("Table!",ADDRESS($Q134,MATCH(I$1,INDIRECT("Table!A" &amp; $U134):INDIRECT("Table!" &amp; $X$159 &amp; $U134),0))))/1024)</f>
        <v>0.8583984375</v>
      </c>
      <c r="J134" s="31">
        <f ca="1">IF(ISERROR(MATCH(J$1,INDIRECT("Table!A"&amp;$U134):INDIRECT("Table!" &amp; $X$159 &amp; $U134),0)),"",INDIRECT(CONCATENATE("Table!",ADDRESS($Q134,MATCH(J$1,INDIRECT("Table!A" &amp; $U134):INDIRECT("Table!" &amp; $X$159 &amp; $U134),0))))/1024)</f>
        <v>2.93359375</v>
      </c>
      <c r="K134" s="31">
        <f ca="1">IF(ISERROR(MATCH(K$1,INDIRECT("Table!A"&amp;$U134):INDIRECT("Table!" &amp; $X$159 &amp; $U134),0)),"",INDIRECT(CONCATENATE("Table!",ADDRESS($Q134,MATCH(K$1,INDIRECT("Table!A" &amp; $U134):INDIRECT("Table!" &amp; $X$159 &amp; $U134),0))))/1024)</f>
        <v>2.73828125</v>
      </c>
      <c r="L134" s="31">
        <f ca="1">IF(ISERROR(MATCH(L$1,INDIRECT("Table!A"&amp;$U134):INDIRECT("Table!" &amp; $X$159 &amp; $U134),0)),"",INDIRECT(CONCATENATE("Table!",ADDRESS($Q134,MATCH(L$1,INDIRECT("Table!A" &amp; $U134):INDIRECT("Table!" &amp; $X$159 &amp; $U134),0))))/1024)</f>
        <v>2.1787109375</v>
      </c>
      <c r="M134" s="31">
        <f ca="1">IF(ISERROR(MATCH(M$1,INDIRECT("Table!A"&amp;$U134):INDIRECT("Table!" &amp; $X$159 &amp; $U134),0)),"",INDIRECT(CONCATENATE("Table!",ADDRESS($Q134,MATCH(M$1,INDIRECT("Table!A" &amp; $U134):INDIRECT("Table!" &amp; $X$159 &amp; $U134),0))))/1024)</f>
        <v>2.208984375</v>
      </c>
      <c r="N134" s="31"/>
      <c r="O134" s="141"/>
      <c r="P134" s="141"/>
      <c r="Q134" s="31">
        <f>MATCH($A134,Table!$A:$A,0)+$S$2-1</f>
        <v>1935</v>
      </c>
      <c r="R134" s="141"/>
      <c r="S134" s="141"/>
      <c r="T134" s="141"/>
      <c r="U134" s="31">
        <f>MATCH($A134,Table!$A:$A,0)+$W$2-1</f>
        <v>1922</v>
      </c>
      <c r="V134" s="141"/>
      <c r="W134" s="141"/>
      <c r="X134" s="141" t="s">
        <v>118</v>
      </c>
    </row>
    <row r="135" spans="1:24">
      <c r="A135" s="5">
        <v>40954</v>
      </c>
      <c r="B135" s="31">
        <f ca="1">IF(ISERROR(MATCH(B$1,INDIRECT("Table!A"&amp;$U135):INDIRECT("Table!" &amp; $X$159 &amp; $U135),0)),"",INDIRECT(CONCATENATE("Table!",ADDRESS($Q135,MATCH(B$1,INDIRECT("Table!A" &amp; $U135):INDIRECT("Table!" &amp; $X$159 &amp; $U135),0))))/1024)</f>
        <v>0.6083984375</v>
      </c>
      <c r="C135" s="31">
        <f ca="1">IF(ISERROR(MATCH(C$1,INDIRECT("Table!A"&amp;$U135):INDIRECT("Table!" &amp; $X$159 &amp; $U135),0)),"",INDIRECT(CONCATENATE("Table!",ADDRESS($Q135,MATCH(C$1,INDIRECT("Table!A" &amp; $U135):INDIRECT("Table!" &amp; $X$159 &amp; $U135),0))))/1024)</f>
        <v>0.7275390625</v>
      </c>
      <c r="D135" s="31">
        <f ca="1">IF(ISERROR(MATCH(D$1,INDIRECT("Table!A"&amp;$U135):INDIRECT("Table!" &amp; $X$159 &amp; $U135),0)),"",INDIRECT(CONCATENATE("Table!",ADDRESS($Q135,MATCH(D$1,INDIRECT("Table!A" &amp; $U135):INDIRECT("Table!" &amp; $X$159 &amp; $U135),0))))/1024)</f>
        <v>0.5390625</v>
      </c>
      <c r="E135" s="31">
        <f ca="1">IF(ISERROR(MATCH(E$1,INDIRECT("Table!A"&amp;$U135):INDIRECT("Table!" &amp; $X$159 &amp; $U135),0)),"",INDIRECT(CONCATENATE("Table!",ADDRESS($Q135,MATCH(E$1,INDIRECT("Table!A" &amp; $U135):INDIRECT("Table!" &amp; $X$159 &amp; $U135),0))))/1024)</f>
        <v>0.662109375</v>
      </c>
      <c r="F135" s="31">
        <f ca="1">IF(ISERROR(MATCH(F$1,INDIRECT("Table!A"&amp;$U135):INDIRECT("Table!" &amp; $X$159 &amp; $U135),0)),"",INDIRECT(CONCATENATE("Table!",ADDRESS($Q135,MATCH(F$1,INDIRECT("Table!A" &amp; $U135):INDIRECT("Table!" &amp; $X$159 &amp; $U135),0))))/1024)</f>
        <v>3.208984375</v>
      </c>
      <c r="G135" s="31">
        <f ca="1">IF(ISERROR(MATCH(G$1,INDIRECT("Table!A"&amp;$U135):INDIRECT("Table!" &amp; $X$159 &amp; $U135),0)),"",INDIRECT(CONCATENATE("Table!",ADDRESS($Q135,MATCH(G$1,INDIRECT("Table!A" &amp; $U135):INDIRECT("Table!" &amp; $X$159 &amp; $U135),0))))/1024)</f>
        <v>3.0009765625</v>
      </c>
      <c r="H135" s="31">
        <f ca="1">IF(ISERROR(MATCH(H$1,INDIRECT("Table!A"&amp;$U135):INDIRECT("Table!" &amp; $X$159 &amp; $U135),0)),"",INDIRECT(CONCATENATE("Table!",ADDRESS($Q135,MATCH(H$1,INDIRECT("Table!A" &amp; $U135):INDIRECT("Table!" &amp; $X$159 &amp; $U135),0))))/1024)</f>
        <v>2.177734375</v>
      </c>
      <c r="I135" s="31">
        <f ca="1">IF(ISERROR(MATCH(I$1,INDIRECT("Table!A"&amp;$U135):INDIRECT("Table!" &amp; $X$159 &amp; $U135),0)),"",INDIRECT(CONCATENATE("Table!",ADDRESS($Q135,MATCH(I$1,INDIRECT("Table!A" &amp; $U135):INDIRECT("Table!" &amp; $X$159 &amp; $U135),0))))/1024)</f>
        <v>0.8583984375</v>
      </c>
      <c r="J135" s="31">
        <f ca="1">IF(ISERROR(MATCH(J$1,INDIRECT("Table!A"&amp;$U135):INDIRECT("Table!" &amp; $X$159 &amp; $U135),0)),"",INDIRECT(CONCATENATE("Table!",ADDRESS($Q135,MATCH(J$1,INDIRECT("Table!A" &amp; $U135):INDIRECT("Table!" &amp; $X$159 &amp; $U135),0))))/1024)</f>
        <v>2.93359375</v>
      </c>
      <c r="K135" s="31">
        <f ca="1">IF(ISERROR(MATCH(K$1,INDIRECT("Table!A"&amp;$U135):INDIRECT("Table!" &amp; $X$159 &amp; $U135),0)),"",INDIRECT(CONCATENATE("Table!",ADDRESS($Q135,MATCH(K$1,INDIRECT("Table!A" &amp; $U135):INDIRECT("Table!" &amp; $X$159 &amp; $U135),0))))/1024)</f>
        <v>2.73828125</v>
      </c>
      <c r="L135" s="31">
        <f ca="1">IF(ISERROR(MATCH(L$1,INDIRECT("Table!A"&amp;$U135):INDIRECT("Table!" &amp; $X$159 &amp; $U135),0)),"",INDIRECT(CONCATENATE("Table!",ADDRESS($Q135,MATCH(L$1,INDIRECT("Table!A" &amp; $U135):INDIRECT("Table!" &amp; $X$159 &amp; $U135),0))))/1024)</f>
        <v>2.1787109375</v>
      </c>
      <c r="M135" s="31">
        <f ca="1">IF(ISERROR(MATCH(M$1,INDIRECT("Table!A"&amp;$U135):INDIRECT("Table!" &amp; $X$159 &amp; $U135),0)),"",INDIRECT(CONCATENATE("Table!",ADDRESS($Q135,MATCH(M$1,INDIRECT("Table!A" &amp; $U135):INDIRECT("Table!" &amp; $X$159 &amp; $U135),0))))/1024)</f>
        <v>2.208984375</v>
      </c>
      <c r="N135" s="31"/>
      <c r="O135" s="140"/>
      <c r="P135" s="140"/>
      <c r="Q135" s="31">
        <f>MATCH($A135,Table!$A:$A,0)+$S$2-1</f>
        <v>1948</v>
      </c>
      <c r="R135" s="140"/>
      <c r="S135" s="140"/>
      <c r="T135" s="140"/>
      <c r="U135" s="31">
        <f>MATCH($A135,Table!$A:$A,0)+$W$2-1</f>
        <v>1935</v>
      </c>
      <c r="V135" s="140"/>
      <c r="W135" s="140"/>
      <c r="X135" s="140" t="s">
        <v>118</v>
      </c>
    </row>
    <row r="136" spans="1:24">
      <c r="A136" s="5">
        <v>40953</v>
      </c>
      <c r="B136" s="31">
        <f ca="1">IF(ISERROR(MATCH(B$1,INDIRECT("Table!A"&amp;$U136):INDIRECT("Table!" &amp; $X$159 &amp; $U136),0)),"",INDIRECT(CONCATENATE("Table!",ADDRESS($Q136,MATCH(B$1,INDIRECT("Table!A" &amp; $U136):INDIRECT("Table!" &amp; $X$159 &amp; $U136),0))))/1024)</f>
        <v>0.6083984375</v>
      </c>
      <c r="C136" s="31">
        <f ca="1">IF(ISERROR(MATCH(C$1,INDIRECT("Table!A"&amp;$U136):INDIRECT("Table!" &amp; $X$159 &amp; $U136),0)),"",INDIRECT(CONCATENATE("Table!",ADDRESS($Q136,MATCH(C$1,INDIRECT("Table!A" &amp; $U136):INDIRECT("Table!" &amp; $X$159 &amp; $U136),0))))/1024)</f>
        <v>0.7275390625</v>
      </c>
      <c r="D136" s="31">
        <f ca="1">IF(ISERROR(MATCH(D$1,INDIRECT("Table!A"&amp;$U136):INDIRECT("Table!" &amp; $X$159 &amp; $U136),0)),"",INDIRECT(CONCATENATE("Table!",ADDRESS($Q136,MATCH(D$1,INDIRECT("Table!A" &amp; $U136):INDIRECT("Table!" &amp; $X$159 &amp; $U136),0))))/1024)</f>
        <v>0.5390625</v>
      </c>
      <c r="E136" s="31">
        <f ca="1">IF(ISERROR(MATCH(E$1,INDIRECT("Table!A"&amp;$U136):INDIRECT("Table!" &amp; $X$159 &amp; $U136),0)),"",INDIRECT(CONCATENATE("Table!",ADDRESS($Q136,MATCH(E$1,INDIRECT("Table!A" &amp; $U136):INDIRECT("Table!" &amp; $X$159 &amp; $U136),0))))/1024)</f>
        <v>0.662109375</v>
      </c>
      <c r="F136" s="31">
        <f ca="1">IF(ISERROR(MATCH(F$1,INDIRECT("Table!A"&amp;$U136):INDIRECT("Table!" &amp; $X$159 &amp; $U136),0)),"",INDIRECT(CONCATENATE("Table!",ADDRESS($Q136,MATCH(F$1,INDIRECT("Table!A" &amp; $U136):INDIRECT("Table!" &amp; $X$159 &amp; $U136),0))))/1024)</f>
        <v>3.208984375</v>
      </c>
      <c r="G136" s="31">
        <f ca="1">IF(ISERROR(MATCH(G$1,INDIRECT("Table!A"&amp;$U136):INDIRECT("Table!" &amp; $X$159 &amp; $U136),0)),"",INDIRECT(CONCATENATE("Table!",ADDRESS($Q136,MATCH(G$1,INDIRECT("Table!A" &amp; $U136):INDIRECT("Table!" &amp; $X$159 &amp; $U136),0))))/1024)</f>
        <v>3.0009765625</v>
      </c>
      <c r="H136" s="31">
        <f ca="1">IF(ISERROR(MATCH(H$1,INDIRECT("Table!A"&amp;$U136):INDIRECT("Table!" &amp; $X$159 &amp; $U136),0)),"",INDIRECT(CONCATENATE("Table!",ADDRESS($Q136,MATCH(H$1,INDIRECT("Table!A" &amp; $U136):INDIRECT("Table!" &amp; $X$159 &amp; $U136),0))))/1024)</f>
        <v>2.177734375</v>
      </c>
      <c r="I136" s="31">
        <f ca="1">IF(ISERROR(MATCH(I$1,INDIRECT("Table!A"&amp;$U136):INDIRECT("Table!" &amp; $X$159 &amp; $U136),0)),"",INDIRECT(CONCATENATE("Table!",ADDRESS($Q136,MATCH(I$1,INDIRECT("Table!A" &amp; $U136):INDIRECT("Table!" &amp; $X$159 &amp; $U136),0))))/1024)</f>
        <v>0.8583984375</v>
      </c>
      <c r="J136" s="31">
        <f ca="1">IF(ISERROR(MATCH(J$1,INDIRECT("Table!A"&amp;$U136):INDIRECT("Table!" &amp; $X$159 &amp; $U136),0)),"",INDIRECT(CONCATENATE("Table!",ADDRESS($Q136,MATCH(J$1,INDIRECT("Table!A" &amp; $U136):INDIRECT("Table!" &amp; $X$159 &amp; $U136),0))))/1024)</f>
        <v>2.93359375</v>
      </c>
      <c r="K136" s="31">
        <f ca="1">IF(ISERROR(MATCH(K$1,INDIRECT("Table!A"&amp;$U136):INDIRECT("Table!" &amp; $X$159 &amp; $U136),0)),"",INDIRECT(CONCATENATE("Table!",ADDRESS($Q136,MATCH(K$1,INDIRECT("Table!A" &amp; $U136):INDIRECT("Table!" &amp; $X$159 &amp; $U136),0))))/1024)</f>
        <v>2.73828125</v>
      </c>
      <c r="L136" s="31">
        <f ca="1">IF(ISERROR(MATCH(L$1,INDIRECT("Table!A"&amp;$U136):INDIRECT("Table!" &amp; $X$159 &amp; $U136),0)),"",INDIRECT(CONCATENATE("Table!",ADDRESS($Q136,MATCH(L$1,INDIRECT("Table!A" &amp; $U136):INDIRECT("Table!" &amp; $X$159 &amp; $U136),0))))/1024)</f>
        <v>2.1787109375</v>
      </c>
      <c r="M136" s="31">
        <f ca="1">IF(ISERROR(MATCH(M$1,INDIRECT("Table!A"&amp;$U136):INDIRECT("Table!" &amp; $X$159 &amp; $U136),0)),"",INDIRECT(CONCATENATE("Table!",ADDRESS($Q136,MATCH(M$1,INDIRECT("Table!A" &amp; $U136):INDIRECT("Table!" &amp; $X$159 &amp; $U136),0))))/1024)</f>
        <v>2.208984375</v>
      </c>
      <c r="N136" s="31"/>
      <c r="O136" s="139"/>
      <c r="P136" s="139"/>
      <c r="Q136" s="31">
        <f>MATCH($A136,Table!$A:$A,0)+$S$2-1</f>
        <v>1961</v>
      </c>
      <c r="R136" s="139"/>
      <c r="S136" s="139"/>
      <c r="T136" s="139"/>
      <c r="U136" s="31">
        <f>MATCH($A136,Table!$A:$A,0)+$W$2-1</f>
        <v>1948</v>
      </c>
      <c r="V136" s="139"/>
      <c r="W136" s="139"/>
      <c r="X136" s="139" t="s">
        <v>118</v>
      </c>
    </row>
    <row r="137" spans="1:24">
      <c r="A137" s="5">
        <v>40952</v>
      </c>
      <c r="B137" s="31">
        <f ca="1">IF(ISERROR(MATCH(B$1,INDIRECT("Table!A"&amp;$U137):INDIRECT("Table!" &amp; $X$159 &amp; $U137),0)),"",INDIRECT(CONCATENATE("Table!",ADDRESS($Q137,MATCH(B$1,INDIRECT("Table!A" &amp; $U137):INDIRECT("Table!" &amp; $X$159 &amp; $U137),0))))/1024)</f>
        <v>0.6083984375</v>
      </c>
      <c r="C137" s="31">
        <f ca="1">IF(ISERROR(MATCH(C$1,INDIRECT("Table!A"&amp;$U137):INDIRECT("Table!" &amp; $X$159 &amp; $U137),0)),"",INDIRECT(CONCATENATE("Table!",ADDRESS($Q137,MATCH(C$1,INDIRECT("Table!A" &amp; $U137):INDIRECT("Table!" &amp; $X$159 &amp; $U137),0))))/1024)</f>
        <v>0.7275390625</v>
      </c>
      <c r="D137" s="31">
        <f ca="1">IF(ISERROR(MATCH(D$1,INDIRECT("Table!A"&amp;$U137):INDIRECT("Table!" &amp; $X$159 &amp; $U137),0)),"",INDIRECT(CONCATENATE("Table!",ADDRESS($Q137,MATCH(D$1,INDIRECT("Table!A" &amp; $U137):INDIRECT("Table!" &amp; $X$159 &amp; $U137),0))))/1024)</f>
        <v>0.5390625</v>
      </c>
      <c r="E137" s="31">
        <f ca="1">IF(ISERROR(MATCH(E$1,INDIRECT("Table!A"&amp;$U137):INDIRECT("Table!" &amp; $X$159 &amp; $U137),0)),"",INDIRECT(CONCATENATE("Table!",ADDRESS($Q137,MATCH(E$1,INDIRECT("Table!A" &amp; $U137):INDIRECT("Table!" &amp; $X$159 &amp; $U137),0))))/1024)</f>
        <v>0.662109375</v>
      </c>
      <c r="F137" s="31">
        <f ca="1">IF(ISERROR(MATCH(F$1,INDIRECT("Table!A"&amp;$U137):INDIRECT("Table!" &amp; $X$159 &amp; $U137),0)),"",INDIRECT(CONCATENATE("Table!",ADDRESS($Q137,MATCH(F$1,INDIRECT("Table!A" &amp; $U137):INDIRECT("Table!" &amp; $X$159 &amp; $U137),0))))/1024)</f>
        <v>3.208984375</v>
      </c>
      <c r="G137" s="31">
        <f ca="1">IF(ISERROR(MATCH(G$1,INDIRECT("Table!A"&amp;$U137):INDIRECT("Table!" &amp; $X$159 &amp; $U137),0)),"",INDIRECT(CONCATENATE("Table!",ADDRESS($Q137,MATCH(G$1,INDIRECT("Table!A" &amp; $U137):INDIRECT("Table!" &amp; $X$159 &amp; $U137),0))))/1024)</f>
        <v>3.0009765625</v>
      </c>
      <c r="H137" s="31">
        <f ca="1">IF(ISERROR(MATCH(H$1,INDIRECT("Table!A"&amp;$U137):INDIRECT("Table!" &amp; $X$159 &amp; $U137),0)),"",INDIRECT(CONCATENATE("Table!",ADDRESS($Q137,MATCH(H$1,INDIRECT("Table!A" &amp; $U137):INDIRECT("Table!" &amp; $X$159 &amp; $U137),0))))/1024)</f>
        <v>2.177734375</v>
      </c>
      <c r="I137" s="31">
        <f ca="1">IF(ISERROR(MATCH(I$1,INDIRECT("Table!A"&amp;$U137):INDIRECT("Table!" &amp; $X$159 &amp; $U137),0)),"",INDIRECT(CONCATENATE("Table!",ADDRESS($Q137,MATCH(I$1,INDIRECT("Table!A" &amp; $U137):INDIRECT("Table!" &amp; $X$159 &amp; $U137),0))))/1024)</f>
        <v>0.8583984375</v>
      </c>
      <c r="J137" s="31">
        <f ca="1">IF(ISERROR(MATCH(J$1,INDIRECT("Table!A"&amp;$U137):INDIRECT("Table!" &amp; $X$159 &amp; $U137),0)),"",INDIRECT(CONCATENATE("Table!",ADDRESS($Q137,MATCH(J$1,INDIRECT("Table!A" &amp; $U137):INDIRECT("Table!" &amp; $X$159 &amp; $U137),0))))/1024)</f>
        <v>2.93359375</v>
      </c>
      <c r="K137" s="31">
        <f ca="1">IF(ISERROR(MATCH(K$1,INDIRECT("Table!A"&amp;$U137):INDIRECT("Table!" &amp; $X$159 &amp; $U137),0)),"",INDIRECT(CONCATENATE("Table!",ADDRESS($Q137,MATCH(K$1,INDIRECT("Table!A" &amp; $U137):INDIRECT("Table!" &amp; $X$159 &amp; $U137),0))))/1024)</f>
        <v>2.73828125</v>
      </c>
      <c r="L137" s="31">
        <f ca="1">IF(ISERROR(MATCH(L$1,INDIRECT("Table!A"&amp;$U137):INDIRECT("Table!" &amp; $X$159 &amp; $U137),0)),"",INDIRECT(CONCATENATE("Table!",ADDRESS($Q137,MATCH(L$1,INDIRECT("Table!A" &amp; $U137):INDIRECT("Table!" &amp; $X$159 &amp; $U137),0))))/1024)</f>
        <v>2.1787109375</v>
      </c>
      <c r="M137" s="31">
        <f ca="1">IF(ISERROR(MATCH(M$1,INDIRECT("Table!A"&amp;$U137):INDIRECT("Table!" &amp; $X$159 &amp; $U137),0)),"",INDIRECT(CONCATENATE("Table!",ADDRESS($Q137,MATCH(M$1,INDIRECT("Table!A" &amp; $U137):INDIRECT("Table!" &amp; $X$159 &amp; $U137),0))))/1024)</f>
        <v>2.208984375</v>
      </c>
      <c r="N137" s="31"/>
      <c r="O137" s="136"/>
      <c r="P137" s="136"/>
      <c r="Q137" s="31">
        <f>MATCH($A137,Table!$A:$A,0)+$S$2-1</f>
        <v>1974</v>
      </c>
      <c r="R137" s="136"/>
      <c r="S137" s="136"/>
      <c r="T137" s="136"/>
      <c r="U137" s="31">
        <f>MATCH($A137,Table!$A:$A,0)+$W$2-1</f>
        <v>1961</v>
      </c>
      <c r="V137" s="136"/>
      <c r="W137" s="136"/>
      <c r="X137" s="136" t="s">
        <v>118</v>
      </c>
    </row>
    <row r="138" spans="1:24">
      <c r="A138" s="5">
        <v>40949</v>
      </c>
      <c r="B138" s="31">
        <f ca="1">IF(ISERROR(MATCH(B$1,INDIRECT("Table!A"&amp;$U138):INDIRECT("Table!" &amp; $X$159 &amp; $U138),0)),"",INDIRECT(CONCATENATE("Table!",ADDRESS($Q138,MATCH(B$1,INDIRECT("Table!A" &amp; $U138):INDIRECT("Table!" &amp; $X$159 &amp; $U138),0))))/1024)</f>
        <v>0.6083984375</v>
      </c>
      <c r="C138" s="31">
        <f ca="1">IF(ISERROR(MATCH(C$1,INDIRECT("Table!A"&amp;$U138):INDIRECT("Table!" &amp; $X$159 &amp; $U138),0)),"",INDIRECT(CONCATENATE("Table!",ADDRESS($Q138,MATCH(C$1,INDIRECT("Table!A" &amp; $U138):INDIRECT("Table!" &amp; $X$159 &amp; $U138),0))))/1024)</f>
        <v>0.7275390625</v>
      </c>
      <c r="D138" s="31">
        <f ca="1">IF(ISERROR(MATCH(D$1,INDIRECT("Table!A"&amp;$U138):INDIRECT("Table!" &amp; $X$159 &amp; $U138),0)),"",INDIRECT(CONCATENATE("Table!",ADDRESS($Q138,MATCH(D$1,INDIRECT("Table!A" &amp; $U138):INDIRECT("Table!" &amp; $X$159 &amp; $U138),0))))/1024)</f>
        <v>0.5390625</v>
      </c>
      <c r="E138" s="31">
        <f ca="1">IF(ISERROR(MATCH(E$1,INDIRECT("Table!A"&amp;$U138):INDIRECT("Table!" &amp; $X$159 &amp; $U138),0)),"",INDIRECT(CONCATENATE("Table!",ADDRESS($Q138,MATCH(E$1,INDIRECT("Table!A" &amp; $U138):INDIRECT("Table!" &amp; $X$159 &amp; $U138),0))))/1024)</f>
        <v>0.662109375</v>
      </c>
      <c r="F138" s="31">
        <f ca="1">IF(ISERROR(MATCH(F$1,INDIRECT("Table!A"&amp;$U138):INDIRECT("Table!" &amp; $X$159 &amp; $U138),0)),"",INDIRECT(CONCATENATE("Table!",ADDRESS($Q138,MATCH(F$1,INDIRECT("Table!A" &amp; $U138):INDIRECT("Table!" &amp; $X$159 &amp; $U138),0))))/1024)</f>
        <v>3.208984375</v>
      </c>
      <c r="G138" s="31">
        <f ca="1">IF(ISERROR(MATCH(G$1,INDIRECT("Table!A"&amp;$U138):INDIRECT("Table!" &amp; $X$159 &amp; $U138),0)),"",INDIRECT(CONCATENATE("Table!",ADDRESS($Q138,MATCH(G$1,INDIRECT("Table!A" &amp; $U138):INDIRECT("Table!" &amp; $X$159 &amp; $U138),0))))/1024)</f>
        <v>3.0009765625</v>
      </c>
      <c r="H138" s="31">
        <f ca="1">IF(ISERROR(MATCH(H$1,INDIRECT("Table!A"&amp;$U138):INDIRECT("Table!" &amp; $X$159 &amp; $U138),0)),"",INDIRECT(CONCATENATE("Table!",ADDRESS($Q138,MATCH(H$1,INDIRECT("Table!A" &amp; $U138):INDIRECT("Table!" &amp; $X$159 &amp; $U138),0))))/1024)</f>
        <v>2.177734375</v>
      </c>
      <c r="I138" s="31">
        <f ca="1">IF(ISERROR(MATCH(I$1,INDIRECT("Table!A"&amp;$U138):INDIRECT("Table!" &amp; $X$159 &amp; $U138),0)),"",INDIRECT(CONCATENATE("Table!",ADDRESS($Q138,MATCH(I$1,INDIRECT("Table!A" &amp; $U138):INDIRECT("Table!" &amp; $X$159 &amp; $U138),0))))/1024)</f>
        <v>0.8583984375</v>
      </c>
      <c r="J138" s="31">
        <f ca="1">IF(ISERROR(MATCH(J$1,INDIRECT("Table!A"&amp;$U138):INDIRECT("Table!" &amp; $X$159 &amp; $U138),0)),"",INDIRECT(CONCATENATE("Table!",ADDRESS($Q138,MATCH(J$1,INDIRECT("Table!A" &amp; $U138):INDIRECT("Table!" &amp; $X$159 &amp; $U138),0))))/1024)</f>
        <v>2.93359375</v>
      </c>
      <c r="K138" s="31">
        <f ca="1">IF(ISERROR(MATCH(K$1,INDIRECT("Table!A"&amp;$U138):INDIRECT("Table!" &amp; $X$159 &amp; $U138),0)),"",INDIRECT(CONCATENATE("Table!",ADDRESS($Q138,MATCH(K$1,INDIRECT("Table!A" &amp; $U138):INDIRECT("Table!" &amp; $X$159 &amp; $U138),0))))/1024)</f>
        <v>2.73828125</v>
      </c>
      <c r="L138" s="31">
        <f ca="1">IF(ISERROR(MATCH(L$1,INDIRECT("Table!A"&amp;$U138):INDIRECT("Table!" &amp; $X$159 &amp; $U138),0)),"",INDIRECT(CONCATENATE("Table!",ADDRESS($Q138,MATCH(L$1,INDIRECT("Table!A" &amp; $U138):INDIRECT("Table!" &amp; $X$159 &amp; $U138),0))))/1024)</f>
        <v>2.1787109375</v>
      </c>
      <c r="M138" s="31">
        <f ca="1">IF(ISERROR(MATCH(M$1,INDIRECT("Table!A"&amp;$U138):INDIRECT("Table!" &amp; $X$159 &amp; $U138),0)),"",INDIRECT(CONCATENATE("Table!",ADDRESS($Q138,MATCH(M$1,INDIRECT("Table!A" &amp; $U138):INDIRECT("Table!" &amp; $X$159 &amp; $U138),0))))/1024)</f>
        <v>2.208984375</v>
      </c>
      <c r="N138" s="31"/>
      <c r="O138" s="135"/>
      <c r="P138" s="135"/>
      <c r="Q138" s="31">
        <f>MATCH($A138,Table!$A:$A,0)+$S$2-1</f>
        <v>1987</v>
      </c>
      <c r="R138" s="135"/>
      <c r="S138" s="135"/>
      <c r="T138" s="135"/>
      <c r="U138" s="31">
        <f>MATCH($A138,Table!$A:$A,0)+$W$2-1</f>
        <v>1974</v>
      </c>
      <c r="V138" s="135"/>
      <c r="W138" s="135"/>
      <c r="X138" s="135" t="s">
        <v>118</v>
      </c>
    </row>
    <row r="139" spans="1:24">
      <c r="A139" s="5">
        <v>40948</v>
      </c>
      <c r="B139" s="31">
        <f ca="1">IF(ISERROR(MATCH(B$1,INDIRECT("Table!A"&amp;$U139):INDIRECT("Table!" &amp; $X$159 &amp; $U139),0)),"",INDIRECT(CONCATENATE("Table!",ADDRESS($Q139,MATCH(B$1,INDIRECT("Table!A" &amp; $U139):INDIRECT("Table!" &amp; $X$159 &amp; $U139),0))))/1024)</f>
        <v>0.6083984375</v>
      </c>
      <c r="C139" s="31">
        <f ca="1">IF(ISERROR(MATCH(C$1,INDIRECT("Table!A"&amp;$U139):INDIRECT("Table!" &amp; $X$159 &amp; $U139),0)),"",INDIRECT(CONCATENATE("Table!",ADDRESS($Q139,MATCH(C$1,INDIRECT("Table!A" &amp; $U139):INDIRECT("Table!" &amp; $X$159 &amp; $U139),0))))/1024)</f>
        <v>0.7275390625</v>
      </c>
      <c r="D139" s="31">
        <f ca="1">IF(ISERROR(MATCH(D$1,INDIRECT("Table!A"&amp;$U139):INDIRECT("Table!" &amp; $X$159 &amp; $U139),0)),"",INDIRECT(CONCATENATE("Table!",ADDRESS($Q139,MATCH(D$1,INDIRECT("Table!A" &amp; $U139):INDIRECT("Table!" &amp; $X$159 &amp; $U139),0))))/1024)</f>
        <v>0.5390625</v>
      </c>
      <c r="E139" s="31">
        <f ca="1">IF(ISERROR(MATCH(E$1,INDIRECT("Table!A"&amp;$U139):INDIRECT("Table!" &amp; $X$159 &amp; $U139),0)),"",INDIRECT(CONCATENATE("Table!",ADDRESS($Q139,MATCH(E$1,INDIRECT("Table!A" &amp; $U139):INDIRECT("Table!" &amp; $X$159 &amp; $U139),0))))/1024)</f>
        <v>0.662109375</v>
      </c>
      <c r="F139" s="31">
        <f ca="1">IF(ISERROR(MATCH(F$1,INDIRECT("Table!A"&amp;$U139):INDIRECT("Table!" &amp; $X$159 &amp; $U139),0)),"",INDIRECT(CONCATENATE("Table!",ADDRESS($Q139,MATCH(F$1,INDIRECT("Table!A" &amp; $U139):INDIRECT("Table!" &amp; $X$159 &amp; $U139),0))))/1024)</f>
        <v>3.208984375</v>
      </c>
      <c r="G139" s="31">
        <f ca="1">IF(ISERROR(MATCH(G$1,INDIRECT("Table!A"&amp;$U139):INDIRECT("Table!" &amp; $X$159 &amp; $U139),0)),"",INDIRECT(CONCATENATE("Table!",ADDRESS($Q139,MATCH(G$1,INDIRECT("Table!A" &amp; $U139):INDIRECT("Table!" &amp; $X$159 &amp; $U139),0))))/1024)</f>
        <v>3.0009765625</v>
      </c>
      <c r="H139" s="31">
        <f ca="1">IF(ISERROR(MATCH(H$1,INDIRECT("Table!A"&amp;$U139):INDIRECT("Table!" &amp; $X$159 &amp; $U139),0)),"",INDIRECT(CONCATENATE("Table!",ADDRESS($Q139,MATCH(H$1,INDIRECT("Table!A" &amp; $U139):INDIRECT("Table!" &amp; $X$159 &amp; $U139),0))))/1024)</f>
        <v>2.177734375</v>
      </c>
      <c r="I139" s="31">
        <f ca="1">IF(ISERROR(MATCH(I$1,INDIRECT("Table!A"&amp;$U139):INDIRECT("Table!" &amp; $X$159 &amp; $U139),0)),"",INDIRECT(CONCATENATE("Table!",ADDRESS($Q139,MATCH(I$1,INDIRECT("Table!A" &amp; $U139):INDIRECT("Table!" &amp; $X$159 &amp; $U139),0))))/1024)</f>
        <v>0.8583984375</v>
      </c>
      <c r="J139" s="31">
        <f ca="1">IF(ISERROR(MATCH(J$1,INDIRECT("Table!A"&amp;$U139):INDIRECT("Table!" &amp; $X$159 &amp; $U139),0)),"",INDIRECT(CONCATENATE("Table!",ADDRESS($Q139,MATCH(J$1,INDIRECT("Table!A" &amp; $U139):INDIRECT("Table!" &amp; $X$159 &amp; $U139),0))))/1024)</f>
        <v>2.93359375</v>
      </c>
      <c r="K139" s="31">
        <f ca="1">IF(ISERROR(MATCH(K$1,INDIRECT("Table!A"&amp;$U139):INDIRECT("Table!" &amp; $X$159 &amp; $U139),0)),"",INDIRECT(CONCATENATE("Table!",ADDRESS($Q139,MATCH(K$1,INDIRECT("Table!A" &amp; $U139):INDIRECT("Table!" &amp; $X$159 &amp; $U139),0))))/1024)</f>
        <v>2.73828125</v>
      </c>
      <c r="L139" s="31">
        <f ca="1">IF(ISERROR(MATCH(L$1,INDIRECT("Table!A"&amp;$U139):INDIRECT("Table!" &amp; $X$159 &amp; $U139),0)),"",INDIRECT(CONCATENATE("Table!",ADDRESS($Q139,MATCH(L$1,INDIRECT("Table!A" &amp; $U139):INDIRECT("Table!" &amp; $X$159 &amp; $U139),0))))/1024)</f>
        <v>2.1787109375</v>
      </c>
      <c r="M139" s="31">
        <f ca="1">IF(ISERROR(MATCH(M$1,INDIRECT("Table!A"&amp;$U139):INDIRECT("Table!" &amp; $X$159 &amp; $U139),0)),"",INDIRECT(CONCATENATE("Table!",ADDRESS($Q139,MATCH(M$1,INDIRECT("Table!A" &amp; $U139):INDIRECT("Table!" &amp; $X$159 &amp; $U139),0))))/1024)</f>
        <v>2.208984375</v>
      </c>
      <c r="N139" s="31"/>
      <c r="O139" s="134"/>
      <c r="P139" s="134"/>
      <c r="Q139" s="31">
        <f>MATCH($A139,Table!$A:$A,0)+$S$2-1</f>
        <v>2000</v>
      </c>
      <c r="R139" s="134"/>
      <c r="S139" s="134"/>
      <c r="T139" s="134"/>
      <c r="U139" s="31">
        <f>MATCH($A139,Table!$A:$A,0)+$W$2-1</f>
        <v>1987</v>
      </c>
      <c r="V139" s="134"/>
      <c r="W139" s="134"/>
      <c r="X139" s="134" t="s">
        <v>118</v>
      </c>
    </row>
    <row r="140" spans="1:24">
      <c r="A140" s="5">
        <v>40947</v>
      </c>
      <c r="B140" s="31">
        <f ca="1">IF(ISERROR(MATCH(B$1,INDIRECT("Table!A"&amp;$U140):INDIRECT("Table!" &amp; $X$159 &amp; $U140),0)),"",INDIRECT(CONCATENATE("Table!",ADDRESS($Q140,MATCH(B$1,INDIRECT("Table!A" &amp; $U140):INDIRECT("Table!" &amp; $X$159 &amp; $U140),0))))/1024)</f>
        <v>0.6083984375</v>
      </c>
      <c r="C140" s="31">
        <f ca="1">IF(ISERROR(MATCH(C$1,INDIRECT("Table!A"&amp;$U140):INDIRECT("Table!" &amp; $X$159 &amp; $U140),0)),"",INDIRECT(CONCATENATE("Table!",ADDRESS($Q140,MATCH(C$1,INDIRECT("Table!A" &amp; $U140):INDIRECT("Table!" &amp; $X$159 &amp; $U140),0))))/1024)</f>
        <v>0.7275390625</v>
      </c>
      <c r="D140" s="31">
        <f ca="1">IF(ISERROR(MATCH(D$1,INDIRECT("Table!A"&amp;$U140):INDIRECT("Table!" &amp; $X$159 &amp; $U140),0)),"",INDIRECT(CONCATENATE("Table!",ADDRESS($Q140,MATCH(D$1,INDIRECT("Table!A" &amp; $U140):INDIRECT("Table!" &amp; $X$159 &amp; $U140),0))))/1024)</f>
        <v>0.5390625</v>
      </c>
      <c r="E140" s="31">
        <f ca="1">IF(ISERROR(MATCH(E$1,INDIRECT("Table!A"&amp;$U140):INDIRECT("Table!" &amp; $X$159 &amp; $U140),0)),"",INDIRECT(CONCATENATE("Table!",ADDRESS($Q140,MATCH(E$1,INDIRECT("Table!A" &amp; $U140):INDIRECT("Table!" &amp; $X$159 &amp; $U140),0))))/1024)</f>
        <v>0.662109375</v>
      </c>
      <c r="F140" s="31">
        <f ca="1">IF(ISERROR(MATCH(F$1,INDIRECT("Table!A"&amp;$U140):INDIRECT("Table!" &amp; $X$159 &amp; $U140),0)),"",INDIRECT(CONCATENATE("Table!",ADDRESS($Q140,MATCH(F$1,INDIRECT("Table!A" &amp; $U140):INDIRECT("Table!" &amp; $X$159 &amp; $U140),0))))/1024)</f>
        <v>3.208984375</v>
      </c>
      <c r="G140" s="31">
        <f ca="1">IF(ISERROR(MATCH(G$1,INDIRECT("Table!A"&amp;$U140):INDIRECT("Table!" &amp; $X$159 &amp; $U140),0)),"",INDIRECT(CONCATENATE("Table!",ADDRESS($Q140,MATCH(G$1,INDIRECT("Table!A" &amp; $U140):INDIRECT("Table!" &amp; $X$159 &amp; $U140),0))))/1024)</f>
        <v>3.0009765625</v>
      </c>
      <c r="H140" s="31">
        <f ca="1">IF(ISERROR(MATCH(H$1,INDIRECT("Table!A"&amp;$U140):INDIRECT("Table!" &amp; $X$159 &amp; $U140),0)),"",INDIRECT(CONCATENATE("Table!",ADDRESS($Q140,MATCH(H$1,INDIRECT("Table!A" &amp; $U140):INDIRECT("Table!" &amp; $X$159 &amp; $U140),0))))/1024)</f>
        <v>2.177734375</v>
      </c>
      <c r="I140" s="31">
        <f ca="1">IF(ISERROR(MATCH(I$1,INDIRECT("Table!A"&amp;$U140):INDIRECT("Table!" &amp; $X$159 &amp; $U140),0)),"",INDIRECT(CONCATENATE("Table!",ADDRESS($Q140,MATCH(I$1,INDIRECT("Table!A" &amp; $U140):INDIRECT("Table!" &amp; $X$159 &amp; $U140),0))))/1024)</f>
        <v>0.8583984375</v>
      </c>
      <c r="J140" s="31">
        <f ca="1">IF(ISERROR(MATCH(J$1,INDIRECT("Table!A"&amp;$U140):INDIRECT("Table!" &amp; $X$159 &amp; $U140),0)),"",INDIRECT(CONCATENATE("Table!",ADDRESS($Q140,MATCH(J$1,INDIRECT("Table!A" &amp; $U140):INDIRECT("Table!" &amp; $X$159 &amp; $U140),0))))/1024)</f>
        <v>2.93359375</v>
      </c>
      <c r="K140" s="31">
        <f ca="1">IF(ISERROR(MATCH(K$1,INDIRECT("Table!A"&amp;$U140):INDIRECT("Table!" &amp; $X$159 &amp; $U140),0)),"",INDIRECT(CONCATENATE("Table!",ADDRESS($Q140,MATCH(K$1,INDIRECT("Table!A" &amp; $U140):INDIRECT("Table!" &amp; $X$159 &amp; $U140),0))))/1024)</f>
        <v>2.73828125</v>
      </c>
      <c r="L140" s="31">
        <f ca="1">IF(ISERROR(MATCH(L$1,INDIRECT("Table!A"&amp;$U140):INDIRECT("Table!" &amp; $X$159 &amp; $U140),0)),"",INDIRECT(CONCATENATE("Table!",ADDRESS($Q140,MATCH(L$1,INDIRECT("Table!A" &amp; $U140):INDIRECT("Table!" &amp; $X$159 &amp; $U140),0))))/1024)</f>
        <v>2.1787109375</v>
      </c>
      <c r="M140" s="31">
        <f ca="1">IF(ISERROR(MATCH(M$1,INDIRECT("Table!A"&amp;$U140):INDIRECT("Table!" &amp; $X$159 &amp; $U140),0)),"",INDIRECT(CONCATENATE("Table!",ADDRESS($Q140,MATCH(M$1,INDIRECT("Table!A" &amp; $U140):INDIRECT("Table!" &amp; $X$159 &amp; $U140),0))))/1024)</f>
        <v>2.208984375</v>
      </c>
      <c r="N140" s="31"/>
      <c r="O140" s="133"/>
      <c r="P140" s="133"/>
      <c r="Q140" s="31">
        <f>MATCH($A140,Table!$A:$A,0)+$S$2-1</f>
        <v>2013</v>
      </c>
      <c r="R140" s="133"/>
      <c r="S140" s="133"/>
      <c r="T140" s="133"/>
      <c r="U140" s="31">
        <f>MATCH($A140,Table!$A:$A,0)+$W$2-1</f>
        <v>2000</v>
      </c>
      <c r="V140" s="133"/>
      <c r="W140" s="133"/>
      <c r="X140" s="133" t="s">
        <v>118</v>
      </c>
    </row>
    <row r="141" spans="1:24">
      <c r="A141" s="5">
        <v>40946</v>
      </c>
      <c r="B141" s="31">
        <f ca="1">IF(ISERROR(MATCH(B$1,INDIRECT("Table!A"&amp;$U141):INDIRECT("Table!" &amp; $X$159 &amp; $U141),0)),"",INDIRECT(CONCATENATE("Table!",ADDRESS($Q141,MATCH(B$1,INDIRECT("Table!A" &amp; $U141):INDIRECT("Table!" &amp; $X$159 &amp; $U141),0))))/1024)</f>
        <v>0.6083984375</v>
      </c>
      <c r="C141" s="31">
        <f ca="1">IF(ISERROR(MATCH(C$1,INDIRECT("Table!A"&amp;$U141):INDIRECT("Table!" &amp; $X$159 &amp; $U141),0)),"",INDIRECT(CONCATENATE("Table!",ADDRESS($Q141,MATCH(C$1,INDIRECT("Table!A" &amp; $U141):INDIRECT("Table!" &amp; $X$159 &amp; $U141),0))))/1024)</f>
        <v>0.7275390625</v>
      </c>
      <c r="D141" s="31">
        <f ca="1">IF(ISERROR(MATCH(D$1,INDIRECT("Table!A"&amp;$U141):INDIRECT("Table!" &amp; $X$159 &amp; $U141),0)),"",INDIRECT(CONCATENATE("Table!",ADDRESS($Q141,MATCH(D$1,INDIRECT("Table!A" &amp; $U141):INDIRECT("Table!" &amp; $X$159 &amp; $U141),0))))/1024)</f>
        <v>0.5390625</v>
      </c>
      <c r="E141" s="31">
        <f ca="1">IF(ISERROR(MATCH(E$1,INDIRECT("Table!A"&amp;$U141):INDIRECT("Table!" &amp; $X$159 &amp; $U141),0)),"",INDIRECT(CONCATENATE("Table!",ADDRESS($Q141,MATCH(E$1,INDIRECT("Table!A" &amp; $U141):INDIRECT("Table!" &amp; $X$159 &amp; $U141),0))))/1024)</f>
        <v>0.662109375</v>
      </c>
      <c r="F141" s="31">
        <f ca="1">IF(ISERROR(MATCH(F$1,INDIRECT("Table!A"&amp;$U141):INDIRECT("Table!" &amp; $X$159 &amp; $U141),0)),"",INDIRECT(CONCATENATE("Table!",ADDRESS($Q141,MATCH(F$1,INDIRECT("Table!A" &amp; $U141):INDIRECT("Table!" &amp; $X$159 &amp; $U141),0))))/1024)</f>
        <v>3.208984375</v>
      </c>
      <c r="G141" s="31">
        <f ca="1">IF(ISERROR(MATCH(G$1,INDIRECT("Table!A"&amp;$U141):INDIRECT("Table!" &amp; $X$159 &amp; $U141),0)),"",INDIRECT(CONCATENATE("Table!",ADDRESS($Q141,MATCH(G$1,INDIRECT("Table!A" &amp; $U141):INDIRECT("Table!" &amp; $X$159 &amp; $U141),0))))/1024)</f>
        <v>3.0009765625</v>
      </c>
      <c r="H141" s="31">
        <f ca="1">IF(ISERROR(MATCH(H$1,INDIRECT("Table!A"&amp;$U141):INDIRECT("Table!" &amp; $X$159 &amp; $U141),0)),"",INDIRECT(CONCATENATE("Table!",ADDRESS($Q141,MATCH(H$1,INDIRECT("Table!A" &amp; $U141):INDIRECT("Table!" &amp; $X$159 &amp; $U141),0))))/1024)</f>
        <v>2.177734375</v>
      </c>
      <c r="I141" s="31">
        <f ca="1">IF(ISERROR(MATCH(I$1,INDIRECT("Table!A"&amp;$U141):INDIRECT("Table!" &amp; $X$159 &amp; $U141),0)),"",INDIRECT(CONCATENATE("Table!",ADDRESS($Q141,MATCH(I$1,INDIRECT("Table!A" &amp; $U141):INDIRECT("Table!" &amp; $X$159 &amp; $U141),0))))/1024)</f>
        <v>0.8583984375</v>
      </c>
      <c r="J141" s="31">
        <f ca="1">IF(ISERROR(MATCH(J$1,INDIRECT("Table!A"&amp;$U141):INDIRECT("Table!" &amp; $X$159 &amp; $U141),0)),"",INDIRECT(CONCATENATE("Table!",ADDRESS($Q141,MATCH(J$1,INDIRECT("Table!A" &amp; $U141):INDIRECT("Table!" &amp; $X$159 &amp; $U141),0))))/1024)</f>
        <v>2.93359375</v>
      </c>
      <c r="K141" s="31">
        <f ca="1">IF(ISERROR(MATCH(K$1,INDIRECT("Table!A"&amp;$U141):INDIRECT("Table!" &amp; $X$159 &amp; $U141),0)),"",INDIRECT(CONCATENATE("Table!",ADDRESS($Q141,MATCH(K$1,INDIRECT("Table!A" &amp; $U141):INDIRECT("Table!" &amp; $X$159 &amp; $U141),0))))/1024)</f>
        <v>2.73828125</v>
      </c>
      <c r="L141" s="31">
        <f ca="1">IF(ISERROR(MATCH(L$1,INDIRECT("Table!A"&amp;$U141):INDIRECT("Table!" &amp; $X$159 &amp; $U141),0)),"",INDIRECT(CONCATENATE("Table!",ADDRESS($Q141,MATCH(L$1,INDIRECT("Table!A" &amp; $U141):INDIRECT("Table!" &amp; $X$159 &amp; $U141),0))))/1024)</f>
        <v>2.1787109375</v>
      </c>
      <c r="M141" s="31">
        <f ca="1">IF(ISERROR(MATCH(M$1,INDIRECT("Table!A"&amp;$U141):INDIRECT("Table!" &amp; $X$159 &amp; $U141),0)),"",INDIRECT(CONCATENATE("Table!",ADDRESS($Q141,MATCH(M$1,INDIRECT("Table!A" &amp; $U141):INDIRECT("Table!" &amp; $X$159 &amp; $U141),0))))/1024)</f>
        <v>2.208984375</v>
      </c>
      <c r="N141" s="31"/>
      <c r="O141" s="120"/>
      <c r="P141" s="120"/>
      <c r="Q141" s="31">
        <f>MATCH($A141,Table!$A:$A,0)+$S$2-1</f>
        <v>2026</v>
      </c>
      <c r="R141" s="120"/>
      <c r="S141" s="120"/>
      <c r="T141" s="120"/>
      <c r="U141" s="31">
        <f>MATCH($A141,Table!$A:$A,0)+$W$2-1</f>
        <v>2013</v>
      </c>
      <c r="V141" s="120"/>
      <c r="W141" s="120"/>
      <c r="X141" s="120" t="s">
        <v>118</v>
      </c>
    </row>
    <row r="142" spans="1:24">
      <c r="A142" s="5">
        <v>40945</v>
      </c>
      <c r="B142" s="31">
        <f ca="1">IF(ISERROR(MATCH(B$1,INDIRECT("Table!A"&amp;$U142):INDIRECT("Table!" &amp; $X$159 &amp; $U142),0)),"",INDIRECT(CONCATENATE("Table!",ADDRESS($Q142,MATCH(B$1,INDIRECT("Table!A" &amp; $U142):INDIRECT("Table!" &amp; $X$159 &amp; $U142),0))))/1024)</f>
        <v>0.6083984375</v>
      </c>
      <c r="C142" s="31">
        <f ca="1">IF(ISERROR(MATCH(C$1,INDIRECT("Table!A"&amp;$U142):INDIRECT("Table!" &amp; $X$159 &amp; $U142),0)),"",INDIRECT(CONCATENATE("Table!",ADDRESS($Q142,MATCH(C$1,INDIRECT("Table!A" &amp; $U142):INDIRECT("Table!" &amp; $X$159 &amp; $U142),0))))/1024)</f>
        <v>0.7275390625</v>
      </c>
      <c r="D142" s="31">
        <f ca="1">IF(ISERROR(MATCH(D$1,INDIRECT("Table!A"&amp;$U142):INDIRECT("Table!" &amp; $X$159 &amp; $U142),0)),"",INDIRECT(CONCATENATE("Table!",ADDRESS($Q142,MATCH(D$1,INDIRECT("Table!A" &amp; $U142):INDIRECT("Table!" &amp; $X$159 &amp; $U142),0))))/1024)</f>
        <v>0.5390625</v>
      </c>
      <c r="E142" s="31">
        <f ca="1">IF(ISERROR(MATCH(E$1,INDIRECT("Table!A"&amp;$U142):INDIRECT("Table!" &amp; $X$159 &amp; $U142),0)),"",INDIRECT(CONCATENATE("Table!",ADDRESS($Q142,MATCH(E$1,INDIRECT("Table!A" &amp; $U142):INDIRECT("Table!" &amp; $X$159 &amp; $U142),0))))/1024)</f>
        <v>0.662109375</v>
      </c>
      <c r="F142" s="31">
        <f ca="1">IF(ISERROR(MATCH(F$1,INDIRECT("Table!A"&amp;$U142):INDIRECT("Table!" &amp; $X$159 &amp; $U142),0)),"",INDIRECT(CONCATENATE("Table!",ADDRESS($Q142,MATCH(F$1,INDIRECT("Table!A" &amp; $U142):INDIRECT("Table!" &amp; $X$159 &amp; $U142),0))))/1024)</f>
        <v>3.208984375</v>
      </c>
      <c r="G142" s="31">
        <f ca="1">IF(ISERROR(MATCH(G$1,INDIRECT("Table!A"&amp;$U142):INDIRECT("Table!" &amp; $X$159 &amp; $U142),0)),"",INDIRECT(CONCATENATE("Table!",ADDRESS($Q142,MATCH(G$1,INDIRECT("Table!A" &amp; $U142):INDIRECT("Table!" &amp; $X$159 &amp; $U142),0))))/1024)</f>
        <v>3.0009765625</v>
      </c>
      <c r="H142" s="31">
        <f ca="1">IF(ISERROR(MATCH(H$1,INDIRECT("Table!A"&amp;$U142):INDIRECT("Table!" &amp; $X$159 &amp; $U142),0)),"",INDIRECT(CONCATENATE("Table!",ADDRESS($Q142,MATCH(H$1,INDIRECT("Table!A" &amp; $U142):INDIRECT("Table!" &amp; $X$159 &amp; $U142),0))))/1024)</f>
        <v>2.177734375</v>
      </c>
      <c r="I142" s="31">
        <f ca="1">IF(ISERROR(MATCH(I$1,INDIRECT("Table!A"&amp;$U142):INDIRECT("Table!" &amp; $X$159 &amp; $U142),0)),"",INDIRECT(CONCATENATE("Table!",ADDRESS($Q142,MATCH(I$1,INDIRECT("Table!A" &amp; $U142):INDIRECT("Table!" &amp; $X$159 &amp; $U142),0))))/1024)</f>
        <v>0.8583984375</v>
      </c>
      <c r="J142" s="31">
        <f ca="1">IF(ISERROR(MATCH(J$1,INDIRECT("Table!A"&amp;$U142):INDIRECT("Table!" &amp; $X$159 &amp; $U142),0)),"",INDIRECT(CONCATENATE("Table!",ADDRESS($Q142,MATCH(J$1,INDIRECT("Table!A" &amp; $U142):INDIRECT("Table!" &amp; $X$159 &amp; $U142),0))))/1024)</f>
        <v>2.93359375</v>
      </c>
      <c r="K142" s="31">
        <f ca="1">IF(ISERROR(MATCH(K$1,INDIRECT("Table!A"&amp;$U142):INDIRECT("Table!" &amp; $X$159 &amp; $U142),0)),"",INDIRECT(CONCATENATE("Table!",ADDRESS($Q142,MATCH(K$1,INDIRECT("Table!A" &amp; $U142):INDIRECT("Table!" &amp; $X$159 &amp; $U142),0))))/1024)</f>
        <v>2.73828125</v>
      </c>
      <c r="L142" s="31">
        <f ca="1">IF(ISERROR(MATCH(L$1,INDIRECT("Table!A"&amp;$U142):INDIRECT("Table!" &amp; $X$159 &amp; $U142),0)),"",INDIRECT(CONCATENATE("Table!",ADDRESS($Q142,MATCH(L$1,INDIRECT("Table!A" &amp; $U142):INDIRECT("Table!" &amp; $X$159 &amp; $U142),0))))/1024)</f>
        <v>2.1787109375</v>
      </c>
      <c r="M142" s="31">
        <f ca="1">IF(ISERROR(MATCH(M$1,INDIRECT("Table!A"&amp;$U142):INDIRECT("Table!" &amp; $X$159 &amp; $U142),0)),"",INDIRECT(CONCATENATE("Table!",ADDRESS($Q142,MATCH(M$1,INDIRECT("Table!A" &amp; $U142):INDIRECT("Table!" &amp; $X$159 &amp; $U142),0))))/1024)</f>
        <v>2.208984375</v>
      </c>
      <c r="N142" s="31"/>
      <c r="O142" s="131"/>
      <c r="P142" s="131"/>
      <c r="Q142" s="31">
        <f>MATCH($A142,Table!$A:$A,0)+$S$2-1</f>
        <v>2039</v>
      </c>
      <c r="R142" s="131"/>
      <c r="S142" s="131"/>
      <c r="T142" s="131"/>
      <c r="U142" s="31">
        <f>MATCH($A142,Table!$A:$A,0)+$W$2-1</f>
        <v>2026</v>
      </c>
      <c r="V142" s="131"/>
      <c r="W142" s="131"/>
      <c r="X142" s="131" t="s">
        <v>118</v>
      </c>
    </row>
    <row r="143" spans="1:24">
      <c r="A143" s="5">
        <v>40941</v>
      </c>
      <c r="B143" s="31">
        <f ca="1">IF(ISERROR(MATCH(B$1,INDIRECT("Table!A"&amp;$U143):INDIRECT("Table!" &amp; $X$159 &amp; $U143),0)),"",INDIRECT(CONCATENATE("Table!",ADDRESS($Q143,MATCH(B$1,INDIRECT("Table!A" &amp; $U143):INDIRECT("Table!" &amp; $X$159 &amp; $U143),0))))/1024)</f>
        <v>0.6083984375</v>
      </c>
      <c r="C143" s="31">
        <f ca="1">IF(ISERROR(MATCH(C$1,INDIRECT("Table!A"&amp;$U143):INDIRECT("Table!" &amp; $X$159 &amp; $U143),0)),"",INDIRECT(CONCATENATE("Table!",ADDRESS($Q143,MATCH(C$1,INDIRECT("Table!A" &amp; $U143):INDIRECT("Table!" &amp; $X$159 &amp; $U143),0))))/1024)</f>
        <v>0.7275390625</v>
      </c>
      <c r="D143" s="31">
        <f ca="1">IF(ISERROR(MATCH(D$1,INDIRECT("Table!A"&amp;$U143):INDIRECT("Table!" &amp; $X$159 &amp; $U143),0)),"",INDIRECT(CONCATENATE("Table!",ADDRESS($Q143,MATCH(D$1,INDIRECT("Table!A" &amp; $U143):INDIRECT("Table!" &amp; $X$159 &amp; $U143),0))))/1024)</f>
        <v>0.5390625</v>
      </c>
      <c r="E143" s="31">
        <f ca="1">IF(ISERROR(MATCH(E$1,INDIRECT("Table!A"&amp;$U143):INDIRECT("Table!" &amp; $X$159 &amp; $U143),0)),"",INDIRECT(CONCATENATE("Table!",ADDRESS($Q143,MATCH(E$1,INDIRECT("Table!A" &amp; $U143):INDIRECT("Table!" &amp; $X$159 &amp; $U143),0))))/1024)</f>
        <v>0.662109375</v>
      </c>
      <c r="F143" s="31">
        <f ca="1">IF(ISERROR(MATCH(F$1,INDIRECT("Table!A"&amp;$U143):INDIRECT("Table!" &amp; $X$159 &amp; $U143),0)),"",INDIRECT(CONCATENATE("Table!",ADDRESS($Q143,MATCH(F$1,INDIRECT("Table!A" &amp; $U143):INDIRECT("Table!" &amp; $X$159 &amp; $U143),0))))/1024)</f>
        <v>3.208984375</v>
      </c>
      <c r="G143" s="31">
        <f ca="1">IF(ISERROR(MATCH(G$1,INDIRECT("Table!A"&amp;$U143):INDIRECT("Table!" &amp; $X$159 &amp; $U143),0)),"",INDIRECT(CONCATENATE("Table!",ADDRESS($Q143,MATCH(G$1,INDIRECT("Table!A" &amp; $U143):INDIRECT("Table!" &amp; $X$159 &amp; $U143),0))))/1024)</f>
        <v>3.0009765625</v>
      </c>
      <c r="H143" s="31">
        <f ca="1">IF(ISERROR(MATCH(H$1,INDIRECT("Table!A"&amp;$U143):INDIRECT("Table!" &amp; $X$159 &amp; $U143),0)),"",INDIRECT(CONCATENATE("Table!",ADDRESS($Q143,MATCH(H$1,INDIRECT("Table!A" &amp; $U143):INDIRECT("Table!" &amp; $X$159 &amp; $U143),0))))/1024)</f>
        <v>2.177734375</v>
      </c>
      <c r="I143" s="31">
        <f ca="1">IF(ISERROR(MATCH(I$1,INDIRECT("Table!A"&amp;$U143):INDIRECT("Table!" &amp; $X$159 &amp; $U143),0)),"",INDIRECT(CONCATENATE("Table!",ADDRESS($Q143,MATCH(I$1,INDIRECT("Table!A" &amp; $U143):INDIRECT("Table!" &amp; $X$159 &amp; $U143),0))))/1024)</f>
        <v>0.8583984375</v>
      </c>
      <c r="J143" s="31">
        <f ca="1">IF(ISERROR(MATCH(J$1,INDIRECT("Table!A"&amp;$U143):INDIRECT("Table!" &amp; $X$159 &amp; $U143),0)),"",INDIRECT(CONCATENATE("Table!",ADDRESS($Q143,MATCH(J$1,INDIRECT("Table!A" &amp; $U143):INDIRECT("Table!" &amp; $X$159 &amp; $U143),0))))/1024)</f>
        <v>2.93359375</v>
      </c>
      <c r="K143" s="31">
        <f ca="1">IF(ISERROR(MATCH(K$1,INDIRECT("Table!A"&amp;$U143):INDIRECT("Table!" &amp; $X$159 &amp; $U143),0)),"",INDIRECT(CONCATENATE("Table!",ADDRESS($Q143,MATCH(K$1,INDIRECT("Table!A" &amp; $U143):INDIRECT("Table!" &amp; $X$159 &amp; $U143),0))))/1024)</f>
        <v>2.73828125</v>
      </c>
      <c r="L143" s="31">
        <f ca="1">IF(ISERROR(MATCH(L$1,INDIRECT("Table!A"&amp;$U143):INDIRECT("Table!" &amp; $X$159 &amp; $U143),0)),"",INDIRECT(CONCATENATE("Table!",ADDRESS($Q143,MATCH(L$1,INDIRECT("Table!A" &amp; $U143):INDIRECT("Table!" &amp; $X$159 &amp; $U143),0))))/1024)</f>
        <v>2.1787109375</v>
      </c>
      <c r="M143" s="31">
        <f ca="1">IF(ISERROR(MATCH(M$1,INDIRECT("Table!A"&amp;$U143):INDIRECT("Table!" &amp; $X$159 &amp; $U143),0)),"",INDIRECT(CONCATENATE("Table!",ADDRESS($Q143,MATCH(M$1,INDIRECT("Table!A" &amp; $U143):INDIRECT("Table!" &amp; $X$159 &amp; $U143),0))))/1024)</f>
        <v>2.208984375</v>
      </c>
      <c r="N143" s="31"/>
      <c r="O143" s="130"/>
      <c r="P143" s="130"/>
      <c r="Q143" s="31">
        <f>MATCH($A143,Table!$A:$A,0)+$S$2-1</f>
        <v>2052</v>
      </c>
      <c r="R143" s="130"/>
      <c r="S143" s="130"/>
      <c r="T143" s="130"/>
      <c r="U143" s="31">
        <f>MATCH($A143,Table!$A:$A,0)+$W$2-1</f>
        <v>2039</v>
      </c>
      <c r="V143" s="130"/>
      <c r="W143" s="130"/>
      <c r="X143" s="130" t="s">
        <v>118</v>
      </c>
    </row>
    <row r="144" spans="1:24">
      <c r="A144" s="5">
        <v>40940</v>
      </c>
      <c r="B144" s="31">
        <f ca="1">IF(ISERROR(MATCH(B$1,INDIRECT("Table!A"&amp;$U144):INDIRECT("Table!" &amp; $X$159 &amp; $U144),0)),"",INDIRECT(CONCATENATE("Table!",ADDRESS($Q144,MATCH(B$1,INDIRECT("Table!A" &amp; $U144):INDIRECT("Table!" &amp; $X$159 &amp; $U144),0))))/1024)</f>
        <v>0.6083984375</v>
      </c>
      <c r="C144" s="31">
        <f ca="1">IF(ISERROR(MATCH(C$1,INDIRECT("Table!A"&amp;$U144):INDIRECT("Table!" &amp; $X$159 &amp; $U144),0)),"",INDIRECT(CONCATENATE("Table!",ADDRESS($Q144,MATCH(C$1,INDIRECT("Table!A" &amp; $U144):INDIRECT("Table!" &amp; $X$159 &amp; $U144),0))))/1024)</f>
        <v>0.7275390625</v>
      </c>
      <c r="D144" s="31">
        <f ca="1">IF(ISERROR(MATCH(D$1,INDIRECT("Table!A"&amp;$U144):INDIRECT("Table!" &amp; $X$159 &amp; $U144),0)),"",INDIRECT(CONCATENATE("Table!",ADDRESS($Q144,MATCH(D$1,INDIRECT("Table!A" &amp; $U144):INDIRECT("Table!" &amp; $X$159 &amp; $U144),0))))/1024)</f>
        <v>0.5390625</v>
      </c>
      <c r="E144" s="31">
        <f ca="1">IF(ISERROR(MATCH(E$1,INDIRECT("Table!A"&amp;$U144):INDIRECT("Table!" &amp; $X$159 &amp; $U144),0)),"",INDIRECT(CONCATENATE("Table!",ADDRESS($Q144,MATCH(E$1,INDIRECT("Table!A" &amp; $U144):INDIRECT("Table!" &amp; $X$159 &amp; $U144),0))))/1024)</f>
        <v>0.662109375</v>
      </c>
      <c r="F144" s="31">
        <f ca="1">IF(ISERROR(MATCH(F$1,INDIRECT("Table!A"&amp;$U144):INDIRECT("Table!" &amp; $X$159 &amp; $U144),0)),"",INDIRECT(CONCATENATE("Table!",ADDRESS($Q144,MATCH(F$1,INDIRECT("Table!A" &amp; $U144):INDIRECT("Table!" &amp; $X$159 &amp; $U144),0))))/1024)</f>
        <v>3.208984375</v>
      </c>
      <c r="G144" s="31">
        <f ca="1">IF(ISERROR(MATCH(G$1,INDIRECT("Table!A"&amp;$U144):INDIRECT("Table!" &amp; $X$159 &amp; $U144),0)),"",INDIRECT(CONCATENATE("Table!",ADDRESS($Q144,MATCH(G$1,INDIRECT("Table!A" &amp; $U144):INDIRECT("Table!" &amp; $X$159 &amp; $U144),0))))/1024)</f>
        <v>3.0009765625</v>
      </c>
      <c r="H144" s="31">
        <f ca="1">IF(ISERROR(MATCH(H$1,INDIRECT("Table!A"&amp;$U144):INDIRECT("Table!" &amp; $X$159 &amp; $U144),0)),"",INDIRECT(CONCATENATE("Table!",ADDRESS($Q144,MATCH(H$1,INDIRECT("Table!A" &amp; $U144):INDIRECT("Table!" &amp; $X$159 &amp; $U144),0))))/1024)</f>
        <v>2.177734375</v>
      </c>
      <c r="I144" s="31">
        <f ca="1">IF(ISERROR(MATCH(I$1,INDIRECT("Table!A"&amp;$U144):INDIRECT("Table!" &amp; $X$159 &amp; $U144),0)),"",INDIRECT(CONCATENATE("Table!",ADDRESS($Q144,MATCH(I$1,INDIRECT("Table!A" &amp; $U144):INDIRECT("Table!" &amp; $X$159 &amp; $U144),0))))/1024)</f>
        <v>0.8583984375</v>
      </c>
      <c r="J144" s="31">
        <f ca="1">IF(ISERROR(MATCH(J$1,INDIRECT("Table!A"&amp;$U144):INDIRECT("Table!" &amp; $X$159 &amp; $U144),0)),"",INDIRECT(CONCATENATE("Table!",ADDRESS($Q144,MATCH(J$1,INDIRECT("Table!A" &amp; $U144):INDIRECT("Table!" &amp; $X$159 &amp; $U144),0))))/1024)</f>
        <v>2.93359375</v>
      </c>
      <c r="K144" s="31">
        <f ca="1">IF(ISERROR(MATCH(K$1,INDIRECT("Table!A"&amp;$U144):INDIRECT("Table!" &amp; $X$159 &amp; $U144),0)),"",INDIRECT(CONCATENATE("Table!",ADDRESS($Q144,MATCH(K$1,INDIRECT("Table!A" &amp; $U144):INDIRECT("Table!" &amp; $X$159 &amp; $U144),0))))/1024)</f>
        <v>2.73828125</v>
      </c>
      <c r="L144" s="31">
        <f ca="1">IF(ISERROR(MATCH(L$1,INDIRECT("Table!A"&amp;$U144):INDIRECT("Table!" &amp; $X$159 &amp; $U144),0)),"",INDIRECT(CONCATENATE("Table!",ADDRESS($Q144,MATCH(L$1,INDIRECT("Table!A" &amp; $U144):INDIRECT("Table!" &amp; $X$159 &amp; $U144),0))))/1024)</f>
        <v>2.1787109375</v>
      </c>
      <c r="M144" s="31">
        <f ca="1">IF(ISERROR(MATCH(M$1,INDIRECT("Table!A"&amp;$U144):INDIRECT("Table!" &amp; $X$159 &amp; $U144),0)),"",INDIRECT(CONCATENATE("Table!",ADDRESS($Q144,MATCH(M$1,INDIRECT("Table!A" &amp; $U144):INDIRECT("Table!" &amp; $X$159 &amp; $U144),0))))/1024)</f>
        <v>2.208984375</v>
      </c>
      <c r="N144" s="31"/>
      <c r="O144" s="129"/>
      <c r="P144" s="129"/>
      <c r="Q144" s="31">
        <f>MATCH($A144,Table!$A:$A,0)+$S$2-1</f>
        <v>2065</v>
      </c>
      <c r="R144" s="129"/>
      <c r="S144" s="129"/>
      <c r="T144" s="129"/>
      <c r="U144" s="31">
        <f>MATCH($A144,Table!$A:$A,0)+$W$2-1</f>
        <v>2052</v>
      </c>
      <c r="V144" s="129"/>
      <c r="W144" s="129"/>
      <c r="X144" s="129" t="s">
        <v>118</v>
      </c>
    </row>
    <row r="145" spans="1:24">
      <c r="A145" s="5">
        <v>40939</v>
      </c>
      <c r="B145" s="31">
        <f ca="1">IF(ISERROR(MATCH(B$1,INDIRECT("Table!A"&amp;$U145):INDIRECT("Table!" &amp; $X$159 &amp; $U145),0)),"",INDIRECT(CONCATENATE("Table!",ADDRESS($Q145,MATCH(B$1,INDIRECT("Table!A" &amp; $U145):INDIRECT("Table!" &amp; $X$159 &amp; $U145),0))))/1024)</f>
        <v>0.6083984375</v>
      </c>
      <c r="C145" s="31">
        <f ca="1">IF(ISERROR(MATCH(C$1,INDIRECT("Table!A"&amp;$U145):INDIRECT("Table!" &amp; $X$159 &amp; $U145),0)),"",INDIRECT(CONCATENATE("Table!",ADDRESS($Q145,MATCH(C$1,INDIRECT("Table!A" &amp; $U145):INDIRECT("Table!" &amp; $X$159 &amp; $U145),0))))/1024)</f>
        <v>0.7275390625</v>
      </c>
      <c r="D145" s="31">
        <f ca="1">IF(ISERROR(MATCH(D$1,INDIRECT("Table!A"&amp;$U145):INDIRECT("Table!" &amp; $X$159 &amp; $U145),0)),"",INDIRECT(CONCATENATE("Table!",ADDRESS($Q145,MATCH(D$1,INDIRECT("Table!A" &amp; $U145):INDIRECT("Table!" &amp; $X$159 &amp; $U145),0))))/1024)</f>
        <v>0.5390625</v>
      </c>
      <c r="E145" s="31">
        <f ca="1">IF(ISERROR(MATCH(E$1,INDIRECT("Table!A"&amp;$U145):INDIRECT("Table!" &amp; $X$159 &amp; $U145),0)),"",INDIRECT(CONCATENATE("Table!",ADDRESS($Q145,MATCH(E$1,INDIRECT("Table!A" &amp; $U145):INDIRECT("Table!" &amp; $X$159 &amp; $U145),0))))/1024)</f>
        <v>0.662109375</v>
      </c>
      <c r="F145" s="31">
        <f ca="1">IF(ISERROR(MATCH(F$1,INDIRECT("Table!A"&amp;$U145):INDIRECT("Table!" &amp; $X$159 &amp; $U145),0)),"",INDIRECT(CONCATENATE("Table!",ADDRESS($Q145,MATCH(F$1,INDIRECT("Table!A" &amp; $U145):INDIRECT("Table!" &amp; $X$159 &amp; $U145),0))))/1024)</f>
        <v>3.208984375</v>
      </c>
      <c r="G145" s="31">
        <f ca="1">IF(ISERROR(MATCH(G$1,INDIRECT("Table!A"&amp;$U145):INDIRECT("Table!" &amp; $X$159 &amp; $U145),0)),"",INDIRECT(CONCATENATE("Table!",ADDRESS($Q145,MATCH(G$1,INDIRECT("Table!A" &amp; $U145):INDIRECT("Table!" &amp; $X$159 &amp; $U145),0))))/1024)</f>
        <v>3.0009765625</v>
      </c>
      <c r="H145" s="31">
        <f ca="1">IF(ISERROR(MATCH(H$1,INDIRECT("Table!A"&amp;$U145):INDIRECT("Table!" &amp; $X$159 &amp; $U145),0)),"",INDIRECT(CONCATENATE("Table!",ADDRESS($Q145,MATCH(H$1,INDIRECT("Table!A" &amp; $U145):INDIRECT("Table!" &amp; $X$159 &amp; $U145),0))))/1024)</f>
        <v>2.177734375</v>
      </c>
      <c r="I145" s="31">
        <f ca="1">IF(ISERROR(MATCH(I$1,INDIRECT("Table!A"&amp;$U145):INDIRECT("Table!" &amp; $X$159 &amp; $U145),0)),"",INDIRECT(CONCATENATE("Table!",ADDRESS($Q145,MATCH(I$1,INDIRECT("Table!A" &amp; $U145):INDIRECT("Table!" &amp; $X$159 &amp; $U145),0))))/1024)</f>
        <v>0.8583984375</v>
      </c>
      <c r="J145" s="31">
        <f ca="1">IF(ISERROR(MATCH(J$1,INDIRECT("Table!A"&amp;$U145):INDIRECT("Table!" &amp; $X$159 &amp; $U145),0)),"",INDIRECT(CONCATENATE("Table!",ADDRESS($Q145,MATCH(J$1,INDIRECT("Table!A" &amp; $U145):INDIRECT("Table!" &amp; $X$159 &amp; $U145),0))))/1024)</f>
        <v>2.93359375</v>
      </c>
      <c r="K145" s="31">
        <f ca="1">IF(ISERROR(MATCH(K$1,INDIRECT("Table!A"&amp;$U145):INDIRECT("Table!" &amp; $X$159 &amp; $U145),0)),"",INDIRECT(CONCATENATE("Table!",ADDRESS($Q145,MATCH(K$1,INDIRECT("Table!A" &amp; $U145):INDIRECT("Table!" &amp; $X$159 &amp; $U145),0))))/1024)</f>
        <v>2.73828125</v>
      </c>
      <c r="L145" s="31">
        <f ca="1">IF(ISERROR(MATCH(L$1,INDIRECT("Table!A"&amp;$U145):INDIRECT("Table!" &amp; $X$159 &amp; $U145),0)),"",INDIRECT(CONCATENATE("Table!",ADDRESS($Q145,MATCH(L$1,INDIRECT("Table!A" &amp; $U145):INDIRECT("Table!" &amp; $X$159 &amp; $U145),0))))/1024)</f>
        <v>2.1787109375</v>
      </c>
      <c r="M145" s="31">
        <f ca="1">IF(ISERROR(MATCH(M$1,INDIRECT("Table!A"&amp;$U145):INDIRECT("Table!" &amp; $X$159 &amp; $U145),0)),"",INDIRECT(CONCATENATE("Table!",ADDRESS($Q145,MATCH(M$1,INDIRECT("Table!A" &amp; $U145):INDIRECT("Table!" &amp; $X$159 &amp; $U145),0))))/1024)</f>
        <v>2.208984375</v>
      </c>
      <c r="N145" s="31"/>
      <c r="O145" s="128"/>
      <c r="P145" s="128"/>
      <c r="Q145" s="31">
        <f>MATCH($A145,Table!$A:$A,0)+$S$2-1</f>
        <v>2078</v>
      </c>
      <c r="R145" s="128"/>
      <c r="S145" s="128"/>
      <c r="T145" s="128"/>
      <c r="U145" s="31">
        <f>MATCH($A145,Table!$A:$A,0)+$W$2-1</f>
        <v>2065</v>
      </c>
      <c r="V145" s="128"/>
      <c r="W145" s="128"/>
      <c r="X145" s="128" t="s">
        <v>118</v>
      </c>
    </row>
    <row r="146" spans="1:24">
      <c r="A146" s="5">
        <v>40938</v>
      </c>
      <c r="B146" s="31">
        <f ca="1">IF(ISERROR(MATCH(B$1,INDIRECT("Table!A"&amp;$U146):INDIRECT("Table!" &amp; $X$159 &amp; $U146),0)),"",INDIRECT(CONCATENATE("Table!",ADDRESS($Q146,MATCH(B$1,INDIRECT("Table!A" &amp; $U146):INDIRECT("Table!" &amp; $X$159 &amp; $U146),0))))/1024)</f>
        <v>0.6083984375</v>
      </c>
      <c r="C146" s="31">
        <f ca="1">IF(ISERROR(MATCH(C$1,INDIRECT("Table!A"&amp;$U146):INDIRECT("Table!" &amp; $X$159 &amp; $U146),0)),"",INDIRECT(CONCATENATE("Table!",ADDRESS($Q146,MATCH(C$1,INDIRECT("Table!A" &amp; $U146):INDIRECT("Table!" &amp; $X$159 &amp; $U146),0))))/1024)</f>
        <v>0.7275390625</v>
      </c>
      <c r="D146" s="31">
        <f ca="1">IF(ISERROR(MATCH(D$1,INDIRECT("Table!A"&amp;$U146):INDIRECT("Table!" &amp; $X$159 &amp; $U146),0)),"",INDIRECT(CONCATENATE("Table!",ADDRESS($Q146,MATCH(D$1,INDIRECT("Table!A" &amp; $U146):INDIRECT("Table!" &amp; $X$159 &amp; $U146),0))))/1024)</f>
        <v>0.5390625</v>
      </c>
      <c r="E146" s="31">
        <f ca="1">IF(ISERROR(MATCH(E$1,INDIRECT("Table!A"&amp;$U146):INDIRECT("Table!" &amp; $X$159 &amp; $U146),0)),"",INDIRECT(CONCATENATE("Table!",ADDRESS($Q146,MATCH(E$1,INDIRECT("Table!A" &amp; $U146):INDIRECT("Table!" &amp; $X$159 &amp; $U146),0))))/1024)</f>
        <v>0.662109375</v>
      </c>
      <c r="F146" s="31">
        <f ca="1">IF(ISERROR(MATCH(F$1,INDIRECT("Table!A"&amp;$U146):INDIRECT("Table!" &amp; $X$159 &amp; $U146),0)),"",INDIRECT(CONCATENATE("Table!",ADDRESS($Q146,MATCH(F$1,INDIRECT("Table!A" &amp; $U146):INDIRECT("Table!" &amp; $X$159 &amp; $U146),0))))/1024)</f>
        <v>3.208984375</v>
      </c>
      <c r="G146" s="31">
        <f ca="1">IF(ISERROR(MATCH(G$1,INDIRECT("Table!A"&amp;$U146):INDIRECT("Table!" &amp; $X$159 &amp; $U146),0)),"",INDIRECT(CONCATENATE("Table!",ADDRESS($Q146,MATCH(G$1,INDIRECT("Table!A" &amp; $U146):INDIRECT("Table!" &amp; $X$159 &amp; $U146),0))))/1024)</f>
        <v>3.0009765625</v>
      </c>
      <c r="H146" s="31">
        <f ca="1">IF(ISERROR(MATCH(H$1,INDIRECT("Table!A"&amp;$U146):INDIRECT("Table!" &amp; $X$159 &amp; $U146),0)),"",INDIRECT(CONCATENATE("Table!",ADDRESS($Q146,MATCH(H$1,INDIRECT("Table!A" &amp; $U146):INDIRECT("Table!" &amp; $X$159 &amp; $U146),0))))/1024)</f>
        <v>2.177734375</v>
      </c>
      <c r="I146" s="31">
        <f ca="1">IF(ISERROR(MATCH(I$1,INDIRECT("Table!A"&amp;$U146):INDIRECT("Table!" &amp; $X$159 &amp; $U146),0)),"",INDIRECT(CONCATENATE("Table!",ADDRESS($Q146,MATCH(I$1,INDIRECT("Table!A" &amp; $U146):INDIRECT("Table!" &amp; $X$159 &amp; $U146),0))))/1024)</f>
        <v>0.8583984375</v>
      </c>
      <c r="J146" s="31">
        <f ca="1">IF(ISERROR(MATCH(J$1,INDIRECT("Table!A"&amp;$U146):INDIRECT("Table!" &amp; $X$159 &amp; $U146),0)),"",INDIRECT(CONCATENATE("Table!",ADDRESS($Q146,MATCH(J$1,INDIRECT("Table!A" &amp; $U146):INDIRECT("Table!" &amp; $X$159 &amp; $U146),0))))/1024)</f>
        <v>2.93359375</v>
      </c>
      <c r="K146" s="31">
        <f ca="1">IF(ISERROR(MATCH(K$1,INDIRECT("Table!A"&amp;$U146):INDIRECT("Table!" &amp; $X$159 &amp; $U146),0)),"",INDIRECT(CONCATENATE("Table!",ADDRESS($Q146,MATCH(K$1,INDIRECT("Table!A" &amp; $U146):INDIRECT("Table!" &amp; $X$159 &amp; $U146),0))))/1024)</f>
        <v>2.73828125</v>
      </c>
      <c r="L146" s="31">
        <f ca="1">IF(ISERROR(MATCH(L$1,INDIRECT("Table!A"&amp;$U146):INDIRECT("Table!" &amp; $X$159 &amp; $U146),0)),"",INDIRECT(CONCATENATE("Table!",ADDRESS($Q146,MATCH(L$1,INDIRECT("Table!A" &amp; $U146):INDIRECT("Table!" &amp; $X$159 &amp; $U146),0))))/1024)</f>
        <v>2.1787109375</v>
      </c>
      <c r="M146" s="31">
        <f ca="1">IF(ISERROR(MATCH(M$1,INDIRECT("Table!A"&amp;$U146):INDIRECT("Table!" &amp; $X$159 &amp; $U146),0)),"",INDIRECT(CONCATENATE("Table!",ADDRESS($Q146,MATCH(M$1,INDIRECT("Table!A" &amp; $U146):INDIRECT("Table!" &amp; $X$159 &amp; $U146),0))))/1024)</f>
        <v>2.208984375</v>
      </c>
      <c r="N146" s="31"/>
      <c r="O146" s="127"/>
      <c r="P146" s="127"/>
      <c r="Q146" s="31">
        <f>MATCH($A146,Table!$A:$A,0)+$S$2-1</f>
        <v>2091</v>
      </c>
      <c r="R146" s="127"/>
      <c r="S146" s="127"/>
      <c r="T146" s="127"/>
      <c r="U146" s="31">
        <f>MATCH($A146,Table!$A:$A,0)+$W$2-1</f>
        <v>2078</v>
      </c>
      <c r="V146" s="127"/>
      <c r="W146" s="127"/>
      <c r="X146" s="127" t="s">
        <v>118</v>
      </c>
    </row>
    <row r="147" spans="1:24">
      <c r="A147" s="5">
        <v>40934</v>
      </c>
      <c r="B147" s="31">
        <f ca="1">IF(ISERROR(MATCH(B$1,INDIRECT("Table!A"&amp;$U147):INDIRECT("Table!" &amp; $X$159 &amp; $U147),0)),"",INDIRECT(CONCATENATE("Table!",ADDRESS($Q147,MATCH(B$1,INDIRECT("Table!A" &amp; $U147):INDIRECT("Table!" &amp; $X$159 &amp; $U147),0))))/1024)</f>
        <v>0.6083984375</v>
      </c>
      <c r="C147" s="31">
        <f ca="1">IF(ISERROR(MATCH(C$1,INDIRECT("Table!A"&amp;$U147):INDIRECT("Table!" &amp; $X$159 &amp; $U147),0)),"",INDIRECT(CONCATENATE("Table!",ADDRESS($Q147,MATCH(C$1,INDIRECT("Table!A" &amp; $U147):INDIRECT("Table!" &amp; $X$159 &amp; $U147),0))))/1024)</f>
        <v>0.7275390625</v>
      </c>
      <c r="D147" s="31">
        <f ca="1">IF(ISERROR(MATCH(D$1,INDIRECT("Table!A"&amp;$U147):INDIRECT("Table!" &amp; $X$159 &amp; $U147),0)),"",INDIRECT(CONCATENATE("Table!",ADDRESS($Q147,MATCH(D$1,INDIRECT("Table!A" &amp; $U147):INDIRECT("Table!" &amp; $X$159 &amp; $U147),0))))/1024)</f>
        <v>0.5390625</v>
      </c>
      <c r="E147" s="31">
        <f ca="1">IF(ISERROR(MATCH(E$1,INDIRECT("Table!A"&amp;$U147):INDIRECT("Table!" &amp; $X$159 &amp; $U147),0)),"",INDIRECT(CONCATENATE("Table!",ADDRESS($Q147,MATCH(E$1,INDIRECT("Table!A" &amp; $U147):INDIRECT("Table!" &amp; $X$159 &amp; $U147),0))))/1024)</f>
        <v>0.662109375</v>
      </c>
      <c r="F147" s="31">
        <f ca="1">IF(ISERROR(MATCH(F$1,INDIRECT("Table!A"&amp;$U147):INDIRECT("Table!" &amp; $X$159 &amp; $U147),0)),"",INDIRECT(CONCATENATE("Table!",ADDRESS($Q147,MATCH(F$1,INDIRECT("Table!A" &amp; $U147):INDIRECT("Table!" &amp; $X$159 &amp; $U147),0))))/1024)</f>
        <v>3.208984375</v>
      </c>
      <c r="G147" s="31">
        <f ca="1">IF(ISERROR(MATCH(G$1,INDIRECT("Table!A"&amp;$U147):INDIRECT("Table!" &amp; $X$159 &amp; $U147),0)),"",INDIRECT(CONCATENATE("Table!",ADDRESS($Q147,MATCH(G$1,INDIRECT("Table!A" &amp; $U147):INDIRECT("Table!" &amp; $X$159 &amp; $U147),0))))/1024)</f>
        <v>3.0009765625</v>
      </c>
      <c r="H147" s="31">
        <f ca="1">IF(ISERROR(MATCH(H$1,INDIRECT("Table!A"&amp;$U147):INDIRECT("Table!" &amp; $X$159 &amp; $U147),0)),"",INDIRECT(CONCATENATE("Table!",ADDRESS($Q147,MATCH(H$1,INDIRECT("Table!A" &amp; $U147):INDIRECT("Table!" &amp; $X$159 &amp; $U147),0))))/1024)</f>
        <v>2.177734375</v>
      </c>
      <c r="I147" s="31">
        <f ca="1">IF(ISERROR(MATCH(I$1,INDIRECT("Table!A"&amp;$U147):INDIRECT("Table!" &amp; $X$159 &amp; $U147),0)),"",INDIRECT(CONCATENATE("Table!",ADDRESS($Q147,MATCH(I$1,INDIRECT("Table!A" &amp; $U147):INDIRECT("Table!" &amp; $X$159 &amp; $U147),0))))/1024)</f>
        <v>0.8583984375</v>
      </c>
      <c r="J147" s="31">
        <f ca="1">IF(ISERROR(MATCH(J$1,INDIRECT("Table!A"&amp;$U147):INDIRECT("Table!" &amp; $X$159 &amp; $U147),0)),"",INDIRECT(CONCATENATE("Table!",ADDRESS($Q147,MATCH(J$1,INDIRECT("Table!A" &amp; $U147):INDIRECT("Table!" &amp; $X$159 &amp; $U147),0))))/1024)</f>
        <v>2.93359375</v>
      </c>
      <c r="K147" s="31">
        <f ca="1">IF(ISERROR(MATCH(K$1,INDIRECT("Table!A"&amp;$U147):INDIRECT("Table!" &amp; $X$159 &amp; $U147),0)),"",INDIRECT(CONCATENATE("Table!",ADDRESS($Q147,MATCH(K$1,INDIRECT("Table!A" &amp; $U147):INDIRECT("Table!" &amp; $X$159 &amp; $U147),0))))/1024)</f>
        <v>2.73828125</v>
      </c>
      <c r="L147" s="31">
        <f ca="1">IF(ISERROR(MATCH(L$1,INDIRECT("Table!A"&amp;$U147):INDIRECT("Table!" &amp; $X$159 &amp; $U147),0)),"",INDIRECT(CONCATENATE("Table!",ADDRESS($Q147,MATCH(L$1,INDIRECT("Table!A" &amp; $U147):INDIRECT("Table!" &amp; $X$159 &amp; $U147),0))))/1024)</f>
        <v>2.1787109375</v>
      </c>
      <c r="M147" s="31">
        <f ca="1">IF(ISERROR(MATCH(M$1,INDIRECT("Table!A"&amp;$U147):INDIRECT("Table!" &amp; $X$159 &amp; $U147),0)),"",INDIRECT(CONCATENATE("Table!",ADDRESS($Q147,MATCH(M$1,INDIRECT("Table!A" &amp; $U147):INDIRECT("Table!" &amp; $X$159 &amp; $U147),0))))/1024)</f>
        <v>2.208984375</v>
      </c>
      <c r="N147" s="31"/>
      <c r="O147" s="126"/>
      <c r="P147" s="126"/>
      <c r="Q147" s="31">
        <f>MATCH($A147,Table!$A:$A,0)+$S$2-1</f>
        <v>2104</v>
      </c>
      <c r="R147" s="126"/>
      <c r="S147" s="126"/>
      <c r="T147" s="126"/>
      <c r="U147" s="31">
        <f>MATCH($A147,Table!$A:$A,0)+$W$2-1</f>
        <v>2091</v>
      </c>
      <c r="V147" s="126"/>
      <c r="W147" s="126"/>
      <c r="X147" s="126" t="s">
        <v>118</v>
      </c>
    </row>
    <row r="148" spans="1:24">
      <c r="A148" s="5">
        <v>40932</v>
      </c>
      <c r="B148" s="31">
        <f ca="1">IF(ISERROR(MATCH(B$1,INDIRECT("Table!A"&amp;$U148):INDIRECT("Table!" &amp; $X$159 &amp; $U148),0)),"",INDIRECT(CONCATENATE("Table!",ADDRESS($Q148,MATCH(B$1,INDIRECT("Table!A" &amp; $U148):INDIRECT("Table!" &amp; $X$159 &amp; $U148),0))))/1024)</f>
        <v>0.6083984375</v>
      </c>
      <c r="C148" s="31">
        <f ca="1">IF(ISERROR(MATCH(C$1,INDIRECT("Table!A"&amp;$U148):INDIRECT("Table!" &amp; $X$159 &amp; $U148),0)),"",INDIRECT(CONCATENATE("Table!",ADDRESS($Q148,MATCH(C$1,INDIRECT("Table!A" &amp; $U148):INDIRECT("Table!" &amp; $X$159 &amp; $U148),0))))/1024)</f>
        <v>0.7275390625</v>
      </c>
      <c r="D148" s="31">
        <f ca="1">IF(ISERROR(MATCH(D$1,INDIRECT("Table!A"&amp;$U148):INDIRECT("Table!" &amp; $X$159 &amp; $U148),0)),"",INDIRECT(CONCATENATE("Table!",ADDRESS($Q148,MATCH(D$1,INDIRECT("Table!A" &amp; $U148):INDIRECT("Table!" &amp; $X$159 &amp; $U148),0))))/1024)</f>
        <v>0.5390625</v>
      </c>
      <c r="E148" s="31">
        <f ca="1">IF(ISERROR(MATCH(E$1,INDIRECT("Table!A"&amp;$U148):INDIRECT("Table!" &amp; $X$159 &amp; $U148),0)),"",INDIRECT(CONCATENATE("Table!",ADDRESS($Q148,MATCH(E$1,INDIRECT("Table!A" &amp; $U148):INDIRECT("Table!" &amp; $X$159 &amp; $U148),0))))/1024)</f>
        <v>0.662109375</v>
      </c>
      <c r="F148" s="31">
        <f ca="1">IF(ISERROR(MATCH(F$1,INDIRECT("Table!A"&amp;$U148):INDIRECT("Table!" &amp; $X$159 &amp; $U148),0)),"",INDIRECT(CONCATENATE("Table!",ADDRESS($Q148,MATCH(F$1,INDIRECT("Table!A" &amp; $U148):INDIRECT("Table!" &amp; $X$159 &amp; $U148),0))))/1024)</f>
        <v>3.208984375</v>
      </c>
      <c r="G148" s="31">
        <f ca="1">IF(ISERROR(MATCH(G$1,INDIRECT("Table!A"&amp;$U148):INDIRECT("Table!" &amp; $X$159 &amp; $U148),0)),"",INDIRECT(CONCATENATE("Table!",ADDRESS($Q148,MATCH(G$1,INDIRECT("Table!A" &amp; $U148):INDIRECT("Table!" &amp; $X$159 &amp; $U148),0))))/1024)</f>
        <v>3.0009765625</v>
      </c>
      <c r="H148" s="31">
        <f ca="1">IF(ISERROR(MATCH(H$1,INDIRECT("Table!A"&amp;$U148):INDIRECT("Table!" &amp; $X$159 &amp; $U148),0)),"",INDIRECT(CONCATENATE("Table!",ADDRESS($Q148,MATCH(H$1,INDIRECT("Table!A" &amp; $U148):INDIRECT("Table!" &amp; $X$159 &amp; $U148),0))))/1024)</f>
        <v>2.177734375</v>
      </c>
      <c r="I148" s="31">
        <f ca="1">IF(ISERROR(MATCH(I$1,INDIRECT("Table!A"&amp;$U148):INDIRECT("Table!" &amp; $X$159 &amp; $U148),0)),"",INDIRECT(CONCATENATE("Table!",ADDRESS($Q148,MATCH(I$1,INDIRECT("Table!A" &amp; $U148):INDIRECT("Table!" &amp; $X$159 &amp; $U148),0))))/1024)</f>
        <v>0.8583984375</v>
      </c>
      <c r="J148" s="31">
        <f ca="1">IF(ISERROR(MATCH(J$1,INDIRECT("Table!A"&amp;$U148):INDIRECT("Table!" &amp; $X$159 &amp; $U148),0)),"",INDIRECT(CONCATENATE("Table!",ADDRESS($Q148,MATCH(J$1,INDIRECT("Table!A" &amp; $U148):INDIRECT("Table!" &amp; $X$159 &amp; $U148),0))))/1024)</f>
        <v>2.93359375</v>
      </c>
      <c r="K148" s="31">
        <f ca="1">IF(ISERROR(MATCH(K$1,INDIRECT("Table!A"&amp;$U148):INDIRECT("Table!" &amp; $X$159 &amp; $U148),0)),"",INDIRECT(CONCATENATE("Table!",ADDRESS($Q148,MATCH(K$1,INDIRECT("Table!A" &amp; $U148):INDIRECT("Table!" &amp; $X$159 &amp; $U148),0))))/1024)</f>
        <v>2.73828125</v>
      </c>
      <c r="L148" s="31">
        <f ca="1">IF(ISERROR(MATCH(L$1,INDIRECT("Table!A"&amp;$U148):INDIRECT("Table!" &amp; $X$159 &amp; $U148),0)),"",INDIRECT(CONCATENATE("Table!",ADDRESS($Q148,MATCH(L$1,INDIRECT("Table!A" &amp; $U148):INDIRECT("Table!" &amp; $X$159 &amp; $U148),0))))/1024)</f>
        <v>2.1787109375</v>
      </c>
      <c r="M148" s="31">
        <f ca="1">IF(ISERROR(MATCH(M$1,INDIRECT("Table!A"&amp;$U148):INDIRECT("Table!" &amp; $X$159 &amp; $U148),0)),"",INDIRECT(CONCATENATE("Table!",ADDRESS($Q148,MATCH(M$1,INDIRECT("Table!A" &amp; $U148):INDIRECT("Table!" &amp; $X$159 &amp; $U148),0))))/1024)</f>
        <v>2.208984375</v>
      </c>
      <c r="N148" s="31"/>
      <c r="O148" s="125"/>
      <c r="P148" s="125"/>
      <c r="Q148" s="31">
        <f>MATCH($A148,Table!$A:$A,0)+$S$2-1</f>
        <v>2117</v>
      </c>
      <c r="R148" s="125"/>
      <c r="S148" s="125"/>
      <c r="T148" s="125"/>
      <c r="U148" s="31">
        <f>MATCH($A148,Table!$A:$A,0)+$W$2-1</f>
        <v>2104</v>
      </c>
      <c r="V148" s="125"/>
      <c r="W148" s="125"/>
      <c r="X148" s="125" t="s">
        <v>118</v>
      </c>
    </row>
    <row r="149" spans="1:24">
      <c r="A149" s="5">
        <v>40931</v>
      </c>
      <c r="B149" s="31">
        <f ca="1">IF(ISERROR(MATCH(B$1,INDIRECT("Table!A"&amp;$U149):INDIRECT("Table!" &amp; $X$159 &amp; $U149),0)),"",INDIRECT(CONCATENATE("Table!",ADDRESS($Q149,MATCH(B$1,INDIRECT("Table!A" &amp; $U149):INDIRECT("Table!" &amp; $X$159 &amp; $U149),0))))/1024)</f>
        <v>0.6083984375</v>
      </c>
      <c r="C149" s="31">
        <f ca="1">IF(ISERROR(MATCH(C$1,INDIRECT("Table!A"&amp;$U149):INDIRECT("Table!" &amp; $X$159 &amp; $U149),0)),"",INDIRECT(CONCATENATE("Table!",ADDRESS($Q149,MATCH(C$1,INDIRECT("Table!A" &amp; $U149):INDIRECT("Table!" &amp; $X$159 &amp; $U149),0))))/1024)</f>
        <v>0.7275390625</v>
      </c>
      <c r="D149" s="31">
        <f ca="1">IF(ISERROR(MATCH(D$1,INDIRECT("Table!A"&amp;$U149):INDIRECT("Table!" &amp; $X$159 &amp; $U149),0)),"",INDIRECT(CONCATENATE("Table!",ADDRESS($Q149,MATCH(D$1,INDIRECT("Table!A" &amp; $U149):INDIRECT("Table!" &amp; $X$159 &amp; $U149),0))))/1024)</f>
        <v>0.5390625</v>
      </c>
      <c r="E149" s="31">
        <f ca="1">IF(ISERROR(MATCH(E$1,INDIRECT("Table!A"&amp;$U149):INDIRECT("Table!" &amp; $X$159 &amp; $U149),0)),"",INDIRECT(CONCATENATE("Table!",ADDRESS($Q149,MATCH(E$1,INDIRECT("Table!A" &amp; $U149):INDIRECT("Table!" &amp; $X$159 &amp; $U149),0))))/1024)</f>
        <v>0.662109375</v>
      </c>
      <c r="F149" s="31">
        <f ca="1">IF(ISERROR(MATCH(F$1,INDIRECT("Table!A"&amp;$U149):INDIRECT("Table!" &amp; $X$159 &amp; $U149),0)),"",INDIRECT(CONCATENATE("Table!",ADDRESS($Q149,MATCH(F$1,INDIRECT("Table!A" &amp; $U149):INDIRECT("Table!" &amp; $X$159 &amp; $U149),0))))/1024)</f>
        <v>3.208984375</v>
      </c>
      <c r="G149" s="31">
        <f ca="1">IF(ISERROR(MATCH(G$1,INDIRECT("Table!A"&amp;$U149):INDIRECT("Table!" &amp; $X$159 &amp; $U149),0)),"",INDIRECT(CONCATENATE("Table!",ADDRESS($Q149,MATCH(G$1,INDIRECT("Table!A" &amp; $U149):INDIRECT("Table!" &amp; $X$159 &amp; $U149),0))))/1024)</f>
        <v>3.0009765625</v>
      </c>
      <c r="H149" s="31">
        <f ca="1">IF(ISERROR(MATCH(H$1,INDIRECT("Table!A"&amp;$U149):INDIRECT("Table!" &amp; $X$159 &amp; $U149),0)),"",INDIRECT(CONCATENATE("Table!",ADDRESS($Q149,MATCH(H$1,INDIRECT("Table!A" &amp; $U149):INDIRECT("Table!" &amp; $X$159 &amp; $U149),0))))/1024)</f>
        <v>2.177734375</v>
      </c>
      <c r="I149" s="31">
        <f ca="1">IF(ISERROR(MATCH(I$1,INDIRECT("Table!A"&amp;$U149):INDIRECT("Table!" &amp; $X$159 &amp; $U149),0)),"",INDIRECT(CONCATENATE("Table!",ADDRESS($Q149,MATCH(I$1,INDIRECT("Table!A" &amp; $U149):INDIRECT("Table!" &amp; $X$159 &amp; $U149),0))))/1024)</f>
        <v>0.8583984375</v>
      </c>
      <c r="J149" s="31">
        <f ca="1">IF(ISERROR(MATCH(J$1,INDIRECT("Table!A"&amp;$U149):INDIRECT("Table!" &amp; $X$159 &amp; $U149),0)),"",INDIRECT(CONCATENATE("Table!",ADDRESS($Q149,MATCH(J$1,INDIRECT("Table!A" &amp; $U149):INDIRECT("Table!" &amp; $X$159 &amp; $U149),0))))/1024)</f>
        <v>2.93359375</v>
      </c>
      <c r="K149" s="31">
        <f ca="1">IF(ISERROR(MATCH(K$1,INDIRECT("Table!A"&amp;$U149):INDIRECT("Table!" &amp; $X$159 &amp; $U149),0)),"",INDIRECT(CONCATENATE("Table!",ADDRESS($Q149,MATCH(K$1,INDIRECT("Table!A" &amp; $U149):INDIRECT("Table!" &amp; $X$159 &amp; $U149),0))))/1024)</f>
        <v>2.73828125</v>
      </c>
      <c r="L149" s="31">
        <f ca="1">IF(ISERROR(MATCH(L$1,INDIRECT("Table!A"&amp;$U149):INDIRECT("Table!" &amp; $X$159 &amp; $U149),0)),"",INDIRECT(CONCATENATE("Table!",ADDRESS($Q149,MATCH(L$1,INDIRECT("Table!A" &amp; $U149):INDIRECT("Table!" &amp; $X$159 &amp; $U149),0))))/1024)</f>
        <v>2.1787109375</v>
      </c>
      <c r="M149" s="31">
        <f ca="1">IF(ISERROR(MATCH(M$1,INDIRECT("Table!A"&amp;$U149):INDIRECT("Table!" &amp; $X$159 &amp; $U149),0)),"",INDIRECT(CONCATENATE("Table!",ADDRESS($Q149,MATCH(M$1,INDIRECT("Table!A" &amp; $U149):INDIRECT("Table!" &amp; $X$159 &amp; $U149),0))))/1024)</f>
        <v>2.208984375</v>
      </c>
      <c r="N149" s="31"/>
      <c r="O149" s="124"/>
      <c r="P149" s="124"/>
      <c r="Q149" s="31">
        <f>MATCH($A149,Table!$A:$A,0)+$S$2-1</f>
        <v>2130</v>
      </c>
      <c r="R149" s="124"/>
      <c r="S149" s="124"/>
      <c r="T149" s="124"/>
      <c r="U149" s="31">
        <f>MATCH($A149,Table!$A:$A,0)+$W$2-1</f>
        <v>2117</v>
      </c>
      <c r="V149" s="124"/>
      <c r="W149" s="124"/>
      <c r="X149" s="124" t="s">
        <v>118</v>
      </c>
    </row>
    <row r="150" spans="1:24">
      <c r="A150" s="5">
        <v>40928</v>
      </c>
      <c r="B150" s="31">
        <f ca="1">IF(ISERROR(MATCH(B$1,INDIRECT("Table!A"&amp;$U150):INDIRECT("Table!" &amp; $X$159 &amp; $U150),0)),"",INDIRECT(CONCATENATE("Table!",ADDRESS($Q150,MATCH(B$1,INDIRECT("Table!A" &amp; $U150):INDIRECT("Table!" &amp; $X$159 &amp; $U150),0))))/1024)</f>
        <v>0.6083984375</v>
      </c>
      <c r="C150" s="31">
        <f ca="1">IF(ISERROR(MATCH(C$1,INDIRECT("Table!A"&amp;$U150):INDIRECT("Table!" &amp; $X$159 &amp; $U150),0)),"",INDIRECT(CONCATENATE("Table!",ADDRESS($Q150,MATCH(C$1,INDIRECT("Table!A" &amp; $U150):INDIRECT("Table!" &amp; $X$159 &amp; $U150),0))))/1024)</f>
        <v>0.7275390625</v>
      </c>
      <c r="D150" s="31">
        <f ca="1">IF(ISERROR(MATCH(D$1,INDIRECT("Table!A"&amp;$U150):INDIRECT("Table!" &amp; $X$159 &amp; $U150),0)),"",INDIRECT(CONCATENATE("Table!",ADDRESS($Q150,MATCH(D$1,INDIRECT("Table!A" &amp; $U150):INDIRECT("Table!" &amp; $X$159 &amp; $U150),0))))/1024)</f>
        <v>0.5390625</v>
      </c>
      <c r="E150" s="31">
        <f ca="1">IF(ISERROR(MATCH(E$1,INDIRECT("Table!A"&amp;$U150):INDIRECT("Table!" &amp; $X$159 &amp; $U150),0)),"",INDIRECT(CONCATENATE("Table!",ADDRESS($Q150,MATCH(E$1,INDIRECT("Table!A" &amp; $U150):INDIRECT("Table!" &amp; $X$159 &amp; $U150),0))))/1024)</f>
        <v>0.662109375</v>
      </c>
      <c r="F150" s="31">
        <f ca="1">IF(ISERROR(MATCH(F$1,INDIRECT("Table!A"&amp;$U150):INDIRECT("Table!" &amp; $X$159 &amp; $U150),0)),"",INDIRECT(CONCATENATE("Table!",ADDRESS($Q150,MATCH(F$1,INDIRECT("Table!A" &amp; $U150):INDIRECT("Table!" &amp; $X$159 &amp; $U150),0))))/1024)</f>
        <v>3.208984375</v>
      </c>
      <c r="G150" s="31">
        <f ca="1">IF(ISERROR(MATCH(G$1,INDIRECT("Table!A"&amp;$U150):INDIRECT("Table!" &amp; $X$159 &amp; $U150),0)),"",INDIRECT(CONCATENATE("Table!",ADDRESS($Q150,MATCH(G$1,INDIRECT("Table!A" &amp; $U150):INDIRECT("Table!" &amp; $X$159 &amp; $U150),0))))/1024)</f>
        <v>3.0009765625</v>
      </c>
      <c r="H150" s="31">
        <f ca="1">IF(ISERROR(MATCH(H$1,INDIRECT("Table!A"&amp;$U150):INDIRECT("Table!" &amp; $X$159 &amp; $U150),0)),"",INDIRECT(CONCATENATE("Table!",ADDRESS($Q150,MATCH(H$1,INDIRECT("Table!A" &amp; $U150):INDIRECT("Table!" &amp; $X$159 &amp; $U150),0))))/1024)</f>
        <v>2.177734375</v>
      </c>
      <c r="I150" s="31">
        <f ca="1">IF(ISERROR(MATCH(I$1,INDIRECT("Table!A"&amp;$U150):INDIRECT("Table!" &amp; $X$159 &amp; $U150),0)),"",INDIRECT(CONCATENATE("Table!",ADDRESS($Q150,MATCH(I$1,INDIRECT("Table!A" &amp; $U150):INDIRECT("Table!" &amp; $X$159 &amp; $U150),0))))/1024)</f>
        <v>0.8583984375</v>
      </c>
      <c r="J150" s="31">
        <f ca="1">IF(ISERROR(MATCH(J$1,INDIRECT("Table!A"&amp;$U150):INDIRECT("Table!" &amp; $X$159 &amp; $U150),0)),"",INDIRECT(CONCATENATE("Table!",ADDRESS($Q150,MATCH(J$1,INDIRECT("Table!A" &amp; $U150):INDIRECT("Table!" &amp; $X$159 &amp; $U150),0))))/1024)</f>
        <v>2.93359375</v>
      </c>
      <c r="K150" s="31">
        <f ca="1">IF(ISERROR(MATCH(K$1,INDIRECT("Table!A"&amp;$U150):INDIRECT("Table!" &amp; $X$159 &amp; $U150),0)),"",INDIRECT(CONCATENATE("Table!",ADDRESS($Q150,MATCH(K$1,INDIRECT("Table!A" &amp; $U150):INDIRECT("Table!" &amp; $X$159 &amp; $U150),0))))/1024)</f>
        <v>2.73828125</v>
      </c>
      <c r="L150" s="31">
        <f ca="1">IF(ISERROR(MATCH(L$1,INDIRECT("Table!A"&amp;$U150):INDIRECT("Table!" &amp; $X$159 &amp; $U150),0)),"",INDIRECT(CONCATENATE("Table!",ADDRESS($Q150,MATCH(L$1,INDIRECT("Table!A" &amp; $U150):INDIRECT("Table!" &amp; $X$159 &amp; $U150),0))))/1024)</f>
        <v>2.1787109375</v>
      </c>
      <c r="M150" s="31">
        <f ca="1">IF(ISERROR(MATCH(M$1,INDIRECT("Table!A"&amp;$U150):INDIRECT("Table!" &amp; $X$159 &amp; $U150),0)),"",INDIRECT(CONCATENATE("Table!",ADDRESS($Q150,MATCH(M$1,INDIRECT("Table!A" &amp; $U150):INDIRECT("Table!" &amp; $X$159 &amp; $U150),0))))/1024)</f>
        <v>2.208984375</v>
      </c>
      <c r="N150" s="31"/>
      <c r="O150" s="123"/>
      <c r="P150" s="123"/>
      <c r="Q150" s="31">
        <f>MATCH($A150,Table!$A:$A,0)+$S$2-1</f>
        <v>2143</v>
      </c>
      <c r="R150" s="123"/>
      <c r="S150" s="123"/>
      <c r="T150" s="123"/>
      <c r="U150" s="31">
        <f>MATCH($A150,Table!$A:$A,0)+$W$2-1</f>
        <v>2130</v>
      </c>
      <c r="V150" s="123"/>
      <c r="W150" s="123"/>
      <c r="X150" s="123" t="s">
        <v>118</v>
      </c>
    </row>
    <row r="151" spans="1:24">
      <c r="A151" s="5">
        <v>40927</v>
      </c>
      <c r="B151" s="31">
        <f ca="1">IF(ISERROR(MATCH(B$1,INDIRECT("Table!A"&amp;$U151):INDIRECT("Table!" &amp; $X$159 &amp; $U151),0)),"",INDIRECT(CONCATENATE("Table!",ADDRESS($Q151,MATCH(B$1,INDIRECT("Table!A" &amp; $U151):INDIRECT("Table!" &amp; $X$159 &amp; $U151),0))))/1024)</f>
        <v>0.6083984375</v>
      </c>
      <c r="C151" s="31">
        <f ca="1">IF(ISERROR(MATCH(C$1,INDIRECT("Table!A"&amp;$U151):INDIRECT("Table!" &amp; $X$159 &amp; $U151),0)),"",INDIRECT(CONCATENATE("Table!",ADDRESS($Q151,MATCH(C$1,INDIRECT("Table!A" &amp; $U151):INDIRECT("Table!" &amp; $X$159 &amp; $U151),0))))/1024)</f>
        <v>0.7275390625</v>
      </c>
      <c r="D151" s="31">
        <f ca="1">IF(ISERROR(MATCH(D$1,INDIRECT("Table!A"&amp;$U151):INDIRECT("Table!" &amp; $X$159 &amp; $U151),0)),"",INDIRECT(CONCATENATE("Table!",ADDRESS($Q151,MATCH(D$1,INDIRECT("Table!A" &amp; $U151):INDIRECT("Table!" &amp; $X$159 &amp; $U151),0))))/1024)</f>
        <v>0.5390625</v>
      </c>
      <c r="E151" s="31">
        <f ca="1">IF(ISERROR(MATCH(E$1,INDIRECT("Table!A"&amp;$U151):INDIRECT("Table!" &amp; $X$159 &amp; $U151),0)),"",INDIRECT(CONCATENATE("Table!",ADDRESS($Q151,MATCH(E$1,INDIRECT("Table!A" &amp; $U151):INDIRECT("Table!" &amp; $X$159 &amp; $U151),0))))/1024)</f>
        <v>0.662109375</v>
      </c>
      <c r="F151" s="31">
        <f ca="1">IF(ISERROR(MATCH(F$1,INDIRECT("Table!A"&amp;$U151):INDIRECT("Table!" &amp; $X$159 &amp; $U151),0)),"",INDIRECT(CONCATENATE("Table!",ADDRESS($Q151,MATCH(F$1,INDIRECT("Table!A" &amp; $U151):INDIRECT("Table!" &amp; $X$159 &amp; $U151),0))))/1024)</f>
        <v>3.208984375</v>
      </c>
      <c r="G151" s="31">
        <f ca="1">IF(ISERROR(MATCH(G$1,INDIRECT("Table!A"&amp;$U151):INDIRECT("Table!" &amp; $X$159 &amp; $U151),0)),"",INDIRECT(CONCATENATE("Table!",ADDRESS($Q151,MATCH(G$1,INDIRECT("Table!A" &amp; $U151):INDIRECT("Table!" &amp; $X$159 &amp; $U151),0))))/1024)</f>
        <v>3.0009765625</v>
      </c>
      <c r="H151" s="31">
        <f ca="1">IF(ISERROR(MATCH(H$1,INDIRECT("Table!A"&amp;$U151):INDIRECT("Table!" &amp; $X$159 &amp; $U151),0)),"",INDIRECT(CONCATENATE("Table!",ADDRESS($Q151,MATCH(H$1,INDIRECT("Table!A" &amp; $U151):INDIRECT("Table!" &amp; $X$159 &amp; $U151),0))))/1024)</f>
        <v>2.177734375</v>
      </c>
      <c r="I151" s="31">
        <f ca="1">IF(ISERROR(MATCH(I$1,INDIRECT("Table!A"&amp;$U151):INDIRECT("Table!" &amp; $X$159 &amp; $U151),0)),"",INDIRECT(CONCATENATE("Table!",ADDRESS($Q151,MATCH(I$1,INDIRECT("Table!A" &amp; $U151):INDIRECT("Table!" &amp; $X$159 &amp; $U151),0))))/1024)</f>
        <v>0.8583984375</v>
      </c>
      <c r="J151" s="31">
        <f ca="1">IF(ISERROR(MATCH(J$1,INDIRECT("Table!A"&amp;$U151):INDIRECT("Table!" &amp; $X$159 &amp; $U151),0)),"",INDIRECT(CONCATENATE("Table!",ADDRESS($Q151,MATCH(J$1,INDIRECT("Table!A" &amp; $U151):INDIRECT("Table!" &amp; $X$159 &amp; $U151),0))))/1024)</f>
        <v>2.93359375</v>
      </c>
      <c r="K151" s="31">
        <f ca="1">IF(ISERROR(MATCH(K$1,INDIRECT("Table!A"&amp;$U151):INDIRECT("Table!" &amp; $X$159 &amp; $U151),0)),"",INDIRECT(CONCATENATE("Table!",ADDRESS($Q151,MATCH(K$1,INDIRECT("Table!A" &amp; $U151):INDIRECT("Table!" &amp; $X$159 &amp; $U151),0))))/1024)</f>
        <v>2.73828125</v>
      </c>
      <c r="L151" s="31">
        <f ca="1">IF(ISERROR(MATCH(L$1,INDIRECT("Table!A"&amp;$U151):INDIRECT("Table!" &amp; $X$159 &amp; $U151),0)),"",INDIRECT(CONCATENATE("Table!",ADDRESS($Q151,MATCH(L$1,INDIRECT("Table!A" &amp; $U151):INDIRECT("Table!" &amp; $X$159 &amp; $U151),0))))/1024)</f>
        <v>2.1787109375</v>
      </c>
      <c r="M151" s="31">
        <f ca="1">IF(ISERROR(MATCH(M$1,INDIRECT("Table!A"&amp;$U151):INDIRECT("Table!" &amp; $X$159 &amp; $U151),0)),"",INDIRECT(CONCATENATE("Table!",ADDRESS($Q151,MATCH(M$1,INDIRECT("Table!A" &amp; $U151):INDIRECT("Table!" &amp; $X$159 &amp; $U151),0))))/1024)</f>
        <v>2.208984375</v>
      </c>
      <c r="N151" s="31"/>
      <c r="O151" s="123"/>
      <c r="P151" s="123"/>
      <c r="Q151" s="31">
        <f>MATCH($A151,Table!$A:$A,0)+$S$2-1</f>
        <v>2156</v>
      </c>
      <c r="R151" s="123"/>
      <c r="S151" s="123"/>
      <c r="T151" s="123"/>
      <c r="U151" s="31">
        <f>MATCH($A151,Table!$A:$A,0)+$W$2-1</f>
        <v>2143</v>
      </c>
      <c r="V151" s="123"/>
      <c r="W151" s="123"/>
      <c r="X151" s="123" t="s">
        <v>118</v>
      </c>
    </row>
    <row r="152" spans="1:24">
      <c r="A152" s="5">
        <v>40926</v>
      </c>
      <c r="B152" s="31">
        <f ca="1">IF(ISERROR(MATCH(B$1,INDIRECT("Table!A"&amp;$U152):INDIRECT("Table!" &amp; $X$159 &amp; $U152),0)),"",INDIRECT(CONCATENATE("Table!",ADDRESS($Q152,MATCH(B$1,INDIRECT("Table!A" &amp; $U152):INDIRECT("Table!" &amp; $X$159 &amp; $U152),0))))/1024)</f>
        <v>0.6083984375</v>
      </c>
      <c r="C152" s="31">
        <f ca="1">IF(ISERROR(MATCH(C$1,INDIRECT("Table!A"&amp;$U152):INDIRECT("Table!" &amp; $X$159 &amp; $U152),0)),"",INDIRECT(CONCATENATE("Table!",ADDRESS($Q152,MATCH(C$1,INDIRECT("Table!A" &amp; $U152):INDIRECT("Table!" &amp; $X$159 &amp; $U152),0))))/1024)</f>
        <v>0.7275390625</v>
      </c>
      <c r="D152" s="31">
        <f ca="1">IF(ISERROR(MATCH(D$1,INDIRECT("Table!A"&amp;$U152):INDIRECT("Table!" &amp; $X$159 &amp; $U152),0)),"",INDIRECT(CONCATENATE("Table!",ADDRESS($Q152,MATCH(D$1,INDIRECT("Table!A" &amp; $U152):INDIRECT("Table!" &amp; $X$159 &amp; $U152),0))))/1024)</f>
        <v>0.5390625</v>
      </c>
      <c r="E152" s="31">
        <f ca="1">IF(ISERROR(MATCH(E$1,INDIRECT("Table!A"&amp;$U152):INDIRECT("Table!" &amp; $X$159 &amp; $U152),0)),"",INDIRECT(CONCATENATE("Table!",ADDRESS($Q152,MATCH(E$1,INDIRECT("Table!A" &amp; $U152):INDIRECT("Table!" &amp; $X$159 &amp; $U152),0))))/1024)</f>
        <v>0.662109375</v>
      </c>
      <c r="F152" s="31">
        <f ca="1">IF(ISERROR(MATCH(F$1,INDIRECT("Table!A"&amp;$U152):INDIRECT("Table!" &amp; $X$159 &amp; $U152),0)),"",INDIRECT(CONCATENATE("Table!",ADDRESS($Q152,MATCH(F$1,INDIRECT("Table!A" &amp; $U152):INDIRECT("Table!" &amp; $X$159 &amp; $U152),0))))/1024)</f>
        <v>3.208984375</v>
      </c>
      <c r="G152" s="31">
        <f ca="1">IF(ISERROR(MATCH(G$1,INDIRECT("Table!A"&amp;$U152):INDIRECT("Table!" &amp; $X$159 &amp; $U152),0)),"",INDIRECT(CONCATENATE("Table!",ADDRESS($Q152,MATCH(G$1,INDIRECT("Table!A" &amp; $U152):INDIRECT("Table!" &amp; $X$159 &amp; $U152),0))))/1024)</f>
        <v>3.0009765625</v>
      </c>
      <c r="H152" s="31">
        <f ca="1">IF(ISERROR(MATCH(H$1,INDIRECT("Table!A"&amp;$U152):INDIRECT("Table!" &amp; $X$159 &amp; $U152),0)),"",INDIRECT(CONCATENATE("Table!",ADDRESS($Q152,MATCH(H$1,INDIRECT("Table!A" &amp; $U152):INDIRECT("Table!" &amp; $X$159 &amp; $U152),0))))/1024)</f>
        <v>2.177734375</v>
      </c>
      <c r="I152" s="31">
        <f ca="1">IF(ISERROR(MATCH(I$1,INDIRECT("Table!A"&amp;$U152):INDIRECT("Table!" &amp; $X$159 &amp; $U152),0)),"",INDIRECT(CONCATENATE("Table!",ADDRESS($Q152,MATCH(I$1,INDIRECT("Table!A" &amp; $U152):INDIRECT("Table!" &amp; $X$159 &amp; $U152),0))))/1024)</f>
        <v>0.8583984375</v>
      </c>
      <c r="J152" s="31">
        <f ca="1">IF(ISERROR(MATCH(J$1,INDIRECT("Table!A"&amp;$U152):INDIRECT("Table!" &amp; $X$159 &amp; $U152),0)),"",INDIRECT(CONCATENATE("Table!",ADDRESS($Q152,MATCH(J$1,INDIRECT("Table!A" &amp; $U152):INDIRECT("Table!" &amp; $X$159 &amp; $U152),0))))/1024)</f>
        <v>2.93359375</v>
      </c>
      <c r="K152" s="31">
        <f ca="1">IF(ISERROR(MATCH(K$1,INDIRECT("Table!A"&amp;$U152):INDIRECT("Table!" &amp; $X$159 &amp; $U152),0)),"",INDIRECT(CONCATENATE("Table!",ADDRESS($Q152,MATCH(K$1,INDIRECT("Table!A" &amp; $U152):INDIRECT("Table!" &amp; $X$159 &amp; $U152),0))))/1024)</f>
        <v>2.73828125</v>
      </c>
      <c r="L152" s="31">
        <f ca="1">IF(ISERROR(MATCH(L$1,INDIRECT("Table!A"&amp;$U152):INDIRECT("Table!" &amp; $X$159 &amp; $U152),0)),"",INDIRECT(CONCATENATE("Table!",ADDRESS($Q152,MATCH(L$1,INDIRECT("Table!A" &amp; $U152):INDIRECT("Table!" &amp; $X$159 &amp; $U152),0))))/1024)</f>
        <v>2.1787109375</v>
      </c>
      <c r="M152" s="31">
        <f ca="1">IF(ISERROR(MATCH(M$1,INDIRECT("Table!A"&amp;$U152):INDIRECT("Table!" &amp; $X$159 &amp; $U152),0)),"",INDIRECT(CONCATENATE("Table!",ADDRESS($Q152,MATCH(M$1,INDIRECT("Table!A" &amp; $U152):INDIRECT("Table!" &amp; $X$159 &amp; $U152),0))))/1024)</f>
        <v>2.208984375</v>
      </c>
      <c r="N152" s="31"/>
      <c r="O152" s="119"/>
      <c r="P152" s="119"/>
      <c r="Q152" s="31">
        <f>MATCH($A152,Table!$A:$A,0)+$S$2-1</f>
        <v>2169</v>
      </c>
      <c r="R152" s="119"/>
      <c r="S152" s="119"/>
      <c r="T152" s="119"/>
      <c r="U152" s="31">
        <f>MATCH($A152,Table!$A:$A,0)+$W$2-1</f>
        <v>2156</v>
      </c>
      <c r="V152" s="119"/>
      <c r="W152" s="119"/>
      <c r="X152" s="119" t="s">
        <v>118</v>
      </c>
    </row>
    <row r="153" spans="1:24">
      <c r="A153" s="5">
        <v>40925</v>
      </c>
      <c r="B153" s="31">
        <f ca="1">IF(ISERROR(MATCH(B$1,INDIRECT("Table!A"&amp;$U153):INDIRECT("Table!" &amp; $X$159 &amp; $U153),0)),"",INDIRECT(CONCATENATE("Table!",ADDRESS($Q153,MATCH(B$1,INDIRECT("Table!A" &amp; $U153):INDIRECT("Table!" &amp; $X$159 &amp; $U153),0))))/1024)</f>
        <v>0.6083984375</v>
      </c>
      <c r="C153" s="31">
        <f ca="1">IF(ISERROR(MATCH(C$1,INDIRECT("Table!A"&amp;$U153):INDIRECT("Table!" &amp; $X$159 &amp; $U153),0)),"",INDIRECT(CONCATENATE("Table!",ADDRESS($Q153,MATCH(C$1,INDIRECT("Table!A" &amp; $U153):INDIRECT("Table!" &amp; $X$159 &amp; $U153),0))))/1024)</f>
        <v>0.7275390625</v>
      </c>
      <c r="D153" s="31">
        <f ca="1">IF(ISERROR(MATCH(D$1,INDIRECT("Table!A"&amp;$U153):INDIRECT("Table!" &amp; $X$159 &amp; $U153),0)),"",INDIRECT(CONCATENATE("Table!",ADDRESS($Q153,MATCH(D$1,INDIRECT("Table!A" &amp; $U153):INDIRECT("Table!" &amp; $X$159 &amp; $U153),0))))/1024)</f>
        <v>0.5390625</v>
      </c>
      <c r="E153" s="31">
        <f ca="1">IF(ISERROR(MATCH(E$1,INDIRECT("Table!A"&amp;$U153):INDIRECT("Table!" &amp; $X$159 &amp; $U153),0)),"",INDIRECT(CONCATENATE("Table!",ADDRESS($Q153,MATCH(E$1,INDIRECT("Table!A" &amp; $U153):INDIRECT("Table!" &amp; $X$159 &amp; $U153),0))))/1024)</f>
        <v>0.662109375</v>
      </c>
      <c r="F153" s="31">
        <f ca="1">IF(ISERROR(MATCH(F$1,INDIRECT("Table!A"&amp;$U153):INDIRECT("Table!" &amp; $X$159 &amp; $U153),0)),"",INDIRECT(CONCATENATE("Table!",ADDRESS($Q153,MATCH(F$1,INDIRECT("Table!A" &amp; $U153):INDIRECT("Table!" &amp; $X$159 &amp; $U153),0))))/1024)</f>
        <v>3.208984375</v>
      </c>
      <c r="G153" s="31">
        <f ca="1">IF(ISERROR(MATCH(G$1,INDIRECT("Table!A"&amp;$U153):INDIRECT("Table!" &amp; $X$159 &amp; $U153),0)),"",INDIRECT(CONCATENATE("Table!",ADDRESS($Q153,MATCH(G$1,INDIRECT("Table!A" &amp; $U153):INDIRECT("Table!" &amp; $X$159 &amp; $U153),0))))/1024)</f>
        <v>3.0009765625</v>
      </c>
      <c r="H153" s="31">
        <f ca="1">IF(ISERROR(MATCH(H$1,INDIRECT("Table!A"&amp;$U153):INDIRECT("Table!" &amp; $X$159 &amp; $U153),0)),"",INDIRECT(CONCATENATE("Table!",ADDRESS($Q153,MATCH(H$1,INDIRECT("Table!A" &amp; $U153):INDIRECT("Table!" &amp; $X$159 &amp; $U153),0))))/1024)</f>
        <v>2.177734375</v>
      </c>
      <c r="I153" s="31">
        <f ca="1">IF(ISERROR(MATCH(I$1,INDIRECT("Table!A"&amp;$U153):INDIRECT("Table!" &amp; $X$159 &amp; $U153),0)),"",INDIRECT(CONCATENATE("Table!",ADDRESS($Q153,MATCH(I$1,INDIRECT("Table!A" &amp; $U153):INDIRECT("Table!" &amp; $X$159 &amp; $U153),0))))/1024)</f>
        <v>0.8583984375</v>
      </c>
      <c r="J153" s="31">
        <f ca="1">IF(ISERROR(MATCH(J$1,INDIRECT("Table!A"&amp;$U153):INDIRECT("Table!" &amp; $X$159 &amp; $U153),0)),"",INDIRECT(CONCATENATE("Table!",ADDRESS($Q153,MATCH(J$1,INDIRECT("Table!A" &amp; $U153):INDIRECT("Table!" &amp; $X$159 &amp; $U153),0))))/1024)</f>
        <v>2.93359375</v>
      </c>
      <c r="K153" s="31">
        <f ca="1">IF(ISERROR(MATCH(K$1,INDIRECT("Table!A"&amp;$U153):INDIRECT("Table!" &amp; $X$159 &amp; $U153),0)),"",INDIRECT(CONCATENATE("Table!",ADDRESS($Q153,MATCH(K$1,INDIRECT("Table!A" &amp; $U153):INDIRECT("Table!" &amp; $X$159 &amp; $U153),0))))/1024)</f>
        <v>2.73828125</v>
      </c>
      <c r="L153" s="31">
        <f ca="1">IF(ISERROR(MATCH(L$1,INDIRECT("Table!A"&amp;$U153):INDIRECT("Table!" &amp; $X$159 &amp; $U153),0)),"",INDIRECT(CONCATENATE("Table!",ADDRESS($Q153,MATCH(L$1,INDIRECT("Table!A" &amp; $U153):INDIRECT("Table!" &amp; $X$159 &amp; $U153),0))))/1024)</f>
        <v>2.1787109375</v>
      </c>
      <c r="M153" s="31">
        <f ca="1">IF(ISERROR(MATCH(M$1,INDIRECT("Table!A"&amp;$U153):INDIRECT("Table!" &amp; $X$159 &amp; $U153),0)),"",INDIRECT(CONCATENATE("Table!",ADDRESS($Q153,MATCH(M$1,INDIRECT("Table!A" &amp; $U153):INDIRECT("Table!" &amp; $X$159 &amp; $U153),0))))/1024)</f>
        <v>2.208984375</v>
      </c>
      <c r="N153" s="31"/>
      <c r="O153" s="118"/>
      <c r="P153" s="118"/>
      <c r="Q153" s="31">
        <f>MATCH($A153,Table!$A:$A,0)+$S$2-1</f>
        <v>2182</v>
      </c>
      <c r="R153" s="118"/>
      <c r="S153" s="118"/>
      <c r="T153" s="118"/>
      <c r="U153" s="31">
        <f>MATCH($A153,Table!$A:$A,0)+$W$2-1</f>
        <v>2169</v>
      </c>
      <c r="V153" s="118"/>
      <c r="W153" s="118"/>
      <c r="X153" s="118" t="s">
        <v>118</v>
      </c>
    </row>
    <row r="154" spans="1:24">
      <c r="A154" s="5">
        <v>40924</v>
      </c>
      <c r="B154" s="31">
        <f ca="1">IF(ISERROR(MATCH(B$1,INDIRECT("Table!A"&amp;$U154):INDIRECT("Table!" &amp; $X$159 &amp; $U154),0)),"",INDIRECT(CONCATENATE("Table!",ADDRESS($Q154,MATCH(B$1,INDIRECT("Table!A" &amp; $U154):INDIRECT("Table!" &amp; $X$159 &amp; $U154),0))))/1024)</f>
        <v>0.6083984375</v>
      </c>
      <c r="C154" s="31">
        <f ca="1">IF(ISERROR(MATCH(C$1,INDIRECT("Table!A"&amp;$U154):INDIRECT("Table!" &amp; $X$159 &amp; $U154),0)),"",INDIRECT(CONCATENATE("Table!",ADDRESS($Q154,MATCH(C$1,INDIRECT("Table!A" &amp; $U154):INDIRECT("Table!" &amp; $X$159 &amp; $U154),0))))/1024)</f>
        <v>0.7275390625</v>
      </c>
      <c r="D154" s="31">
        <f ca="1">IF(ISERROR(MATCH(D$1,INDIRECT("Table!A"&amp;$U154):INDIRECT("Table!" &amp; $X$159 &amp; $U154),0)),"",INDIRECT(CONCATENATE("Table!",ADDRESS($Q154,MATCH(D$1,INDIRECT("Table!A" &amp; $U154):INDIRECT("Table!" &amp; $X$159 &amp; $U154),0))))/1024)</f>
        <v>0.5390625</v>
      </c>
      <c r="E154" s="31">
        <f ca="1">IF(ISERROR(MATCH(E$1,INDIRECT("Table!A"&amp;$U154):INDIRECT("Table!" &amp; $X$159 &amp; $U154),0)),"",INDIRECT(CONCATENATE("Table!",ADDRESS($Q154,MATCH(E$1,INDIRECT("Table!A" &amp; $U154):INDIRECT("Table!" &amp; $X$159 &amp; $U154),0))))/1024)</f>
        <v>0.662109375</v>
      </c>
      <c r="F154" s="31">
        <f ca="1">IF(ISERROR(MATCH(F$1,INDIRECT("Table!A"&amp;$U154):INDIRECT("Table!" &amp; $X$159 &amp; $U154),0)),"",INDIRECT(CONCATENATE("Table!",ADDRESS($Q154,MATCH(F$1,INDIRECT("Table!A" &amp; $U154):INDIRECT("Table!" &amp; $X$159 &amp; $U154),0))))/1024)</f>
        <v>3.208984375</v>
      </c>
      <c r="G154" s="31">
        <f ca="1">IF(ISERROR(MATCH(G$1,INDIRECT("Table!A"&amp;$U154):INDIRECT("Table!" &amp; $X$159 &amp; $U154),0)),"",INDIRECT(CONCATENATE("Table!",ADDRESS($Q154,MATCH(G$1,INDIRECT("Table!A" &amp; $U154):INDIRECT("Table!" &amp; $X$159 &amp; $U154),0))))/1024)</f>
        <v>3.0009765625</v>
      </c>
      <c r="H154" s="31">
        <f ca="1">IF(ISERROR(MATCH(H$1,INDIRECT("Table!A"&amp;$U154):INDIRECT("Table!" &amp; $X$159 &amp; $U154),0)),"",INDIRECT(CONCATENATE("Table!",ADDRESS($Q154,MATCH(H$1,INDIRECT("Table!A" &amp; $U154):INDIRECT("Table!" &amp; $X$159 &amp; $U154),0))))/1024)</f>
        <v>2.177734375</v>
      </c>
      <c r="I154" s="31">
        <f ca="1">IF(ISERROR(MATCH(I$1,INDIRECT("Table!A"&amp;$U154):INDIRECT("Table!" &amp; $X$159 &amp; $U154),0)),"",INDIRECT(CONCATENATE("Table!",ADDRESS($Q154,MATCH(I$1,INDIRECT("Table!A" &amp; $U154):INDIRECT("Table!" &amp; $X$159 &amp; $U154),0))))/1024)</f>
        <v>0.8583984375</v>
      </c>
      <c r="J154" s="31">
        <f ca="1">IF(ISERROR(MATCH(J$1,INDIRECT("Table!A"&amp;$U154):INDIRECT("Table!" &amp; $X$159 &amp; $U154),0)),"",INDIRECT(CONCATENATE("Table!",ADDRESS($Q154,MATCH(J$1,INDIRECT("Table!A" &amp; $U154):INDIRECT("Table!" &amp; $X$159 &amp; $U154),0))))/1024)</f>
        <v>2.93359375</v>
      </c>
      <c r="K154" s="31">
        <f ca="1">IF(ISERROR(MATCH(K$1,INDIRECT("Table!A"&amp;$U154):INDIRECT("Table!" &amp; $X$159 &amp; $U154),0)),"",INDIRECT(CONCATENATE("Table!",ADDRESS($Q154,MATCH(K$1,INDIRECT("Table!A" &amp; $U154):INDIRECT("Table!" &amp; $X$159 &amp; $U154),0))))/1024)</f>
        <v>2.73828125</v>
      </c>
      <c r="L154" s="31">
        <f ca="1">IF(ISERROR(MATCH(L$1,INDIRECT("Table!A"&amp;$U154):INDIRECT("Table!" &amp; $X$159 &amp; $U154),0)),"",INDIRECT(CONCATENATE("Table!",ADDRESS($Q154,MATCH(L$1,INDIRECT("Table!A" &amp; $U154):INDIRECT("Table!" &amp; $X$159 &amp; $U154),0))))/1024)</f>
        <v>2.1787109375</v>
      </c>
      <c r="M154" s="31">
        <f ca="1">IF(ISERROR(MATCH(M$1,INDIRECT("Table!A"&amp;$U154):INDIRECT("Table!" &amp; $X$159 &amp; $U154),0)),"",INDIRECT(CONCATENATE("Table!",ADDRESS($Q154,MATCH(M$1,INDIRECT("Table!A" &amp; $U154):INDIRECT("Table!" &amp; $X$159 &amp; $U154),0))))/1024)</f>
        <v>2.208984375</v>
      </c>
      <c r="N154" s="31"/>
      <c r="O154" s="117"/>
      <c r="P154" s="117"/>
      <c r="Q154" s="31">
        <f>MATCH($A154,Table!$A:$A,0)+$S$2-1</f>
        <v>2195</v>
      </c>
      <c r="R154" s="117"/>
      <c r="S154" s="117"/>
      <c r="T154" s="117"/>
      <c r="U154" s="31">
        <f>MATCH($A154,Table!$A:$A,0)+$W$2-1</f>
        <v>2182</v>
      </c>
      <c r="V154" s="117"/>
      <c r="W154" s="117"/>
      <c r="X154" s="117" t="s">
        <v>118</v>
      </c>
    </row>
    <row r="155" spans="1:24">
      <c r="A155" s="5">
        <v>40921</v>
      </c>
      <c r="B155" s="31">
        <f ca="1">IF(ISERROR(MATCH(B$1,INDIRECT("Table!A"&amp;$U155):INDIRECT("Table!" &amp; $X$159 &amp; $U155),0)),"",INDIRECT(CONCATENATE("Table!",ADDRESS($Q155,MATCH(B$1,INDIRECT("Table!A" &amp; $U155):INDIRECT("Table!" &amp; $X$159 &amp; $U155),0))))/1024)</f>
        <v>0.6083984375</v>
      </c>
      <c r="C155" s="31">
        <f ca="1">IF(ISERROR(MATCH(C$1,INDIRECT("Table!A"&amp;$U155):INDIRECT("Table!" &amp; $X$159 &amp; $U155),0)),"",INDIRECT(CONCATENATE("Table!",ADDRESS($Q155,MATCH(C$1,INDIRECT("Table!A" &amp; $U155):INDIRECT("Table!" &amp; $X$159 &amp; $U155),0))))/1024)</f>
        <v>0.7275390625</v>
      </c>
      <c r="D155" s="31">
        <f ca="1">IF(ISERROR(MATCH(D$1,INDIRECT("Table!A"&amp;$U155):INDIRECT("Table!" &amp; $X$159 &amp; $U155),0)),"",INDIRECT(CONCATENATE("Table!",ADDRESS($Q155,MATCH(D$1,INDIRECT("Table!A" &amp; $U155):INDIRECT("Table!" &amp; $X$159 &amp; $U155),0))))/1024)</f>
        <v>0.5390625</v>
      </c>
      <c r="E155" s="31">
        <f ca="1">IF(ISERROR(MATCH(E$1,INDIRECT("Table!A"&amp;$U155):INDIRECT("Table!" &amp; $X$159 &amp; $U155),0)),"",INDIRECT(CONCATENATE("Table!",ADDRESS($Q155,MATCH(E$1,INDIRECT("Table!A" &amp; $U155):INDIRECT("Table!" &amp; $X$159 &amp; $U155),0))))/1024)</f>
        <v>0.662109375</v>
      </c>
      <c r="F155" s="31">
        <f ca="1">IF(ISERROR(MATCH(F$1,INDIRECT("Table!A"&amp;$U155):INDIRECT("Table!" &amp; $X$159 &amp; $U155),0)),"",INDIRECT(CONCATENATE("Table!",ADDRESS($Q155,MATCH(F$1,INDIRECT("Table!A" &amp; $U155):INDIRECT("Table!" &amp; $X$159 &amp; $U155),0))))/1024)</f>
        <v>3.208984375</v>
      </c>
      <c r="G155" s="31">
        <f ca="1">IF(ISERROR(MATCH(G$1,INDIRECT("Table!A"&amp;$U155):INDIRECT("Table!" &amp; $X$159 &amp; $U155),0)),"",INDIRECT(CONCATENATE("Table!",ADDRESS($Q155,MATCH(G$1,INDIRECT("Table!A" &amp; $U155):INDIRECT("Table!" &amp; $X$159 &amp; $U155),0))))/1024)</f>
        <v>3.0009765625</v>
      </c>
      <c r="H155" s="31">
        <f ca="1">IF(ISERROR(MATCH(H$1,INDIRECT("Table!A"&amp;$U155):INDIRECT("Table!" &amp; $X$159 &amp; $U155),0)),"",INDIRECT(CONCATENATE("Table!",ADDRESS($Q155,MATCH(H$1,INDIRECT("Table!A" &amp; $U155):INDIRECT("Table!" &amp; $X$159 &amp; $U155),0))))/1024)</f>
        <v>2.177734375</v>
      </c>
      <c r="I155" s="31">
        <f ca="1">IF(ISERROR(MATCH(I$1,INDIRECT("Table!A"&amp;$U155):INDIRECT("Table!" &amp; $X$159 &amp; $U155),0)),"",INDIRECT(CONCATENATE("Table!",ADDRESS($Q155,MATCH(I$1,INDIRECT("Table!A" &amp; $U155):INDIRECT("Table!" &amp; $X$159 &amp; $U155),0))))/1024)</f>
        <v>0.8583984375</v>
      </c>
      <c r="J155" s="31">
        <f ca="1">IF(ISERROR(MATCH(J$1,INDIRECT("Table!A"&amp;$U155):INDIRECT("Table!" &amp; $X$159 &amp; $U155),0)),"",INDIRECT(CONCATENATE("Table!",ADDRESS($Q155,MATCH(J$1,INDIRECT("Table!A" &amp; $U155):INDIRECT("Table!" &amp; $X$159 &amp; $U155),0))))/1024)</f>
        <v>2.93359375</v>
      </c>
      <c r="K155" s="31">
        <f ca="1">IF(ISERROR(MATCH(K$1,INDIRECT("Table!A"&amp;$U155):INDIRECT("Table!" &amp; $X$159 &amp; $U155),0)),"",INDIRECT(CONCATENATE("Table!",ADDRESS($Q155,MATCH(K$1,INDIRECT("Table!A" &amp; $U155):INDIRECT("Table!" &amp; $X$159 &amp; $U155),0))))/1024)</f>
        <v>2.73828125</v>
      </c>
      <c r="L155" s="31">
        <f ca="1">IF(ISERROR(MATCH(L$1,INDIRECT("Table!A"&amp;$U155):INDIRECT("Table!" &amp; $X$159 &amp; $U155),0)),"",INDIRECT(CONCATENATE("Table!",ADDRESS($Q155,MATCH(L$1,INDIRECT("Table!A" &amp; $U155):INDIRECT("Table!" &amp; $X$159 &amp; $U155),0))))/1024)</f>
        <v>2.1787109375</v>
      </c>
      <c r="M155" s="31">
        <f ca="1">IF(ISERROR(MATCH(M$1,INDIRECT("Table!A"&amp;$U155):INDIRECT("Table!" &amp; $X$159 &amp; $U155),0)),"",INDIRECT(CONCATENATE("Table!",ADDRESS($Q155,MATCH(M$1,INDIRECT("Table!A" &amp; $U155):INDIRECT("Table!" &amp; $X$159 &amp; $U155),0))))/1024)</f>
        <v>2.208984375</v>
      </c>
      <c r="N155" s="31"/>
      <c r="O155" s="116"/>
      <c r="P155" s="116"/>
      <c r="Q155" s="31">
        <f>MATCH($A155,Table!$A:$A,0)+$S$2-1</f>
        <v>2208</v>
      </c>
      <c r="R155" s="116"/>
      <c r="S155" s="116"/>
      <c r="T155" s="116"/>
      <c r="U155" s="31">
        <f>MATCH($A155,Table!$A:$A,0)+$W$2-1</f>
        <v>2195</v>
      </c>
      <c r="V155" s="116"/>
      <c r="W155" s="116"/>
      <c r="X155" s="116" t="s">
        <v>118</v>
      </c>
    </row>
    <row r="156" spans="1:24">
      <c r="A156" s="5">
        <v>40920</v>
      </c>
      <c r="B156" s="31">
        <f ca="1">IF(ISERROR(MATCH(B$1,INDIRECT("Table!A"&amp;$U156):INDIRECT("Table!" &amp; $X$159 &amp; $U156),0)),"",INDIRECT(CONCATENATE("Table!",ADDRESS($Q156,MATCH(B$1,INDIRECT("Table!A" &amp; $U156):INDIRECT("Table!" &amp; $X$159 &amp; $U156),0))))/1024)</f>
        <v>0.6083984375</v>
      </c>
      <c r="C156" s="31">
        <f ca="1">IF(ISERROR(MATCH(C$1,INDIRECT("Table!A"&amp;$U156):INDIRECT("Table!" &amp; $X$159 &amp; $U156),0)),"",INDIRECT(CONCATENATE("Table!",ADDRESS($Q156,MATCH(C$1,INDIRECT("Table!A" &amp; $U156):INDIRECT("Table!" &amp; $X$159 &amp; $U156),0))))/1024)</f>
        <v>0.7275390625</v>
      </c>
      <c r="D156" s="31">
        <f ca="1">IF(ISERROR(MATCH(D$1,INDIRECT("Table!A"&amp;$U156):INDIRECT("Table!" &amp; $X$159 &amp; $U156),0)),"",INDIRECT(CONCATENATE("Table!",ADDRESS($Q156,MATCH(D$1,INDIRECT("Table!A" &amp; $U156):INDIRECT("Table!" &amp; $X$159 &amp; $U156),0))))/1024)</f>
        <v>0.5390625</v>
      </c>
      <c r="E156" s="31">
        <f ca="1">IF(ISERROR(MATCH(E$1,INDIRECT("Table!A"&amp;$U156):INDIRECT("Table!" &amp; $X$159 &amp; $U156),0)),"",INDIRECT(CONCATENATE("Table!",ADDRESS($Q156,MATCH(E$1,INDIRECT("Table!A" &amp; $U156):INDIRECT("Table!" &amp; $X$159 &amp; $U156),0))))/1024)</f>
        <v>0.662109375</v>
      </c>
      <c r="F156" s="31">
        <f ca="1">IF(ISERROR(MATCH(F$1,INDIRECT("Table!A"&amp;$U156):INDIRECT("Table!" &amp; $X$159 &amp; $U156),0)),"",INDIRECT(CONCATENATE("Table!",ADDRESS($Q156,MATCH(F$1,INDIRECT("Table!A" &amp; $U156):INDIRECT("Table!" &amp; $X$159 &amp; $U156),0))))/1024)</f>
        <v>3.208984375</v>
      </c>
      <c r="G156" s="31">
        <f ca="1">IF(ISERROR(MATCH(G$1,INDIRECT("Table!A"&amp;$U156):INDIRECT("Table!" &amp; $X$159 &amp; $U156),0)),"",INDIRECT(CONCATENATE("Table!",ADDRESS($Q156,MATCH(G$1,INDIRECT("Table!A" &amp; $U156):INDIRECT("Table!" &amp; $X$159 &amp; $U156),0))))/1024)</f>
        <v>3.0009765625</v>
      </c>
      <c r="H156" s="31">
        <f ca="1">IF(ISERROR(MATCH(H$1,INDIRECT("Table!A"&amp;$U156):INDIRECT("Table!" &amp; $X$159 &amp; $U156),0)),"",INDIRECT(CONCATENATE("Table!",ADDRESS($Q156,MATCH(H$1,INDIRECT("Table!A" &amp; $U156):INDIRECT("Table!" &amp; $X$159 &amp; $U156),0))))/1024)</f>
        <v>2.177734375</v>
      </c>
      <c r="I156" s="31">
        <f ca="1">IF(ISERROR(MATCH(I$1,INDIRECT("Table!A"&amp;$U156):INDIRECT("Table!" &amp; $X$159 &amp; $U156),0)),"",INDIRECT(CONCATENATE("Table!",ADDRESS($Q156,MATCH(I$1,INDIRECT("Table!A" &amp; $U156):INDIRECT("Table!" &amp; $X$159 &amp; $U156),0))))/1024)</f>
        <v>0.8583984375</v>
      </c>
      <c r="J156" s="31">
        <f ca="1">IF(ISERROR(MATCH(J$1,INDIRECT("Table!A"&amp;$U156):INDIRECT("Table!" &amp; $X$159 &amp; $U156),0)),"",INDIRECT(CONCATENATE("Table!",ADDRESS($Q156,MATCH(J$1,INDIRECT("Table!A" &amp; $U156):INDIRECT("Table!" &amp; $X$159 &amp; $U156),0))))/1024)</f>
        <v>2.93359375</v>
      </c>
      <c r="K156" s="31">
        <f ca="1">IF(ISERROR(MATCH(K$1,INDIRECT("Table!A"&amp;$U156):INDIRECT("Table!" &amp; $X$159 &amp; $U156),0)),"",INDIRECT(CONCATENATE("Table!",ADDRESS($Q156,MATCH(K$1,INDIRECT("Table!A" &amp; $U156):INDIRECT("Table!" &amp; $X$159 &amp; $U156),0))))/1024)</f>
        <v>2.73828125</v>
      </c>
      <c r="L156" s="31">
        <f ca="1">IF(ISERROR(MATCH(L$1,INDIRECT("Table!A"&amp;$U156):INDIRECT("Table!" &amp; $X$159 &amp; $U156),0)),"",INDIRECT(CONCATENATE("Table!",ADDRESS($Q156,MATCH(L$1,INDIRECT("Table!A" &amp; $U156):INDIRECT("Table!" &amp; $X$159 &amp; $U156),0))))/1024)</f>
        <v>2.1787109375</v>
      </c>
      <c r="M156" s="31">
        <f ca="1">IF(ISERROR(MATCH(M$1,INDIRECT("Table!A"&amp;$U156):INDIRECT("Table!" &amp; $X$159 &amp; $U156),0)),"",INDIRECT(CONCATENATE("Table!",ADDRESS($Q156,MATCH(M$1,INDIRECT("Table!A" &amp; $U156):INDIRECT("Table!" &amp; $X$159 &amp; $U156),0))))/1024)</f>
        <v>2.208984375</v>
      </c>
      <c r="N156" s="31"/>
      <c r="O156" s="115"/>
      <c r="P156" s="115"/>
      <c r="Q156" s="31">
        <f>MATCH($A156,Table!$A:$A,0)+$S$2-1</f>
        <v>2221</v>
      </c>
      <c r="R156" s="115"/>
      <c r="S156" s="115"/>
      <c r="T156" s="115"/>
      <c r="U156" s="31">
        <f>MATCH($A156,Table!$A:$A,0)+$W$2-1</f>
        <v>2208</v>
      </c>
      <c r="V156" s="115"/>
      <c r="W156" s="115"/>
      <c r="X156" s="115" t="s">
        <v>118</v>
      </c>
    </row>
    <row r="157" spans="1:24">
      <c r="A157" s="5">
        <v>40919</v>
      </c>
      <c r="B157" s="31">
        <f ca="1">IF(ISERROR(MATCH(B$1,INDIRECT("Table!A"&amp;$U157):INDIRECT("Table!" &amp; $X$159 &amp; $U157),0)),"",INDIRECT(CONCATENATE("Table!",ADDRESS($Q157,MATCH(B$1,INDIRECT("Table!A" &amp; $U157):INDIRECT("Table!" &amp; $X$159 &amp; $U157),0))))/1024)</f>
        <v>0.6083984375</v>
      </c>
      <c r="C157" s="31">
        <f ca="1">IF(ISERROR(MATCH(C$1,INDIRECT("Table!A"&amp;$U157):INDIRECT("Table!" &amp; $X$159 &amp; $U157),0)),"",INDIRECT(CONCATENATE("Table!",ADDRESS($Q157,MATCH(C$1,INDIRECT("Table!A" &amp; $U157):INDIRECT("Table!" &amp; $X$159 &amp; $U157),0))))/1024)</f>
        <v>0.7275390625</v>
      </c>
      <c r="D157" s="31">
        <f ca="1">IF(ISERROR(MATCH(D$1,INDIRECT("Table!A"&amp;$U157):INDIRECT("Table!" &amp; $X$159 &amp; $U157),0)),"",INDIRECT(CONCATENATE("Table!",ADDRESS($Q157,MATCH(D$1,INDIRECT("Table!A" &amp; $U157):INDIRECT("Table!" &amp; $X$159 &amp; $U157),0))))/1024)</f>
        <v>0.5390625</v>
      </c>
      <c r="E157" s="31">
        <f ca="1">IF(ISERROR(MATCH(E$1,INDIRECT("Table!A"&amp;$U157):INDIRECT("Table!" &amp; $X$159 &amp; $U157),0)),"",INDIRECT(CONCATENATE("Table!",ADDRESS($Q157,MATCH(E$1,INDIRECT("Table!A" &amp; $U157):INDIRECT("Table!" &amp; $X$159 &amp; $U157),0))))/1024)</f>
        <v>0.662109375</v>
      </c>
      <c r="F157" s="31">
        <f ca="1">IF(ISERROR(MATCH(F$1,INDIRECT("Table!A"&amp;$U157):INDIRECT("Table!" &amp; $X$159 &amp; $U157),0)),"",INDIRECT(CONCATENATE("Table!",ADDRESS($Q157,MATCH(F$1,INDIRECT("Table!A" &amp; $U157):INDIRECT("Table!" &amp; $X$159 &amp; $U157),0))))/1024)</f>
        <v>3.208984375</v>
      </c>
      <c r="G157" s="31">
        <f ca="1">IF(ISERROR(MATCH(G$1,INDIRECT("Table!A"&amp;$U157):INDIRECT("Table!" &amp; $X$159 &amp; $U157),0)),"",INDIRECT(CONCATENATE("Table!",ADDRESS($Q157,MATCH(G$1,INDIRECT("Table!A" &amp; $U157):INDIRECT("Table!" &amp; $X$159 &amp; $U157),0))))/1024)</f>
        <v>3.0009765625</v>
      </c>
      <c r="H157" s="31">
        <f ca="1">IF(ISERROR(MATCH(H$1,INDIRECT("Table!A"&amp;$U157):INDIRECT("Table!" &amp; $X$159 &amp; $U157),0)),"",INDIRECT(CONCATENATE("Table!",ADDRESS($Q157,MATCH(H$1,INDIRECT("Table!A" &amp; $U157):INDIRECT("Table!" &amp; $X$159 &amp; $U157),0))))/1024)</f>
        <v>2.177734375</v>
      </c>
      <c r="I157" s="31">
        <f ca="1">IF(ISERROR(MATCH(I$1,INDIRECT("Table!A"&amp;$U157):INDIRECT("Table!" &amp; $X$159 &amp; $U157),0)),"",INDIRECT(CONCATENATE("Table!",ADDRESS($Q157,MATCH(I$1,INDIRECT("Table!A" &amp; $U157):INDIRECT("Table!" &amp; $X$159 &amp; $U157),0))))/1024)</f>
        <v>0.8583984375</v>
      </c>
      <c r="J157" s="31">
        <f ca="1">IF(ISERROR(MATCH(J$1,INDIRECT("Table!A"&amp;$U157):INDIRECT("Table!" &amp; $X$159 &amp; $U157),0)),"",INDIRECT(CONCATENATE("Table!",ADDRESS($Q157,MATCH(J$1,INDIRECT("Table!A" &amp; $U157):INDIRECT("Table!" &amp; $X$159 &amp; $U157),0))))/1024)</f>
        <v>2.93359375</v>
      </c>
      <c r="K157" s="31">
        <f ca="1">IF(ISERROR(MATCH(K$1,INDIRECT("Table!A"&amp;$U157):INDIRECT("Table!" &amp; $X$159 &amp; $U157),0)),"",INDIRECT(CONCATENATE("Table!",ADDRESS($Q157,MATCH(K$1,INDIRECT("Table!A" &amp; $U157):INDIRECT("Table!" &amp; $X$159 &amp; $U157),0))))/1024)</f>
        <v>2.73828125</v>
      </c>
      <c r="L157" s="31">
        <f ca="1">IF(ISERROR(MATCH(L$1,INDIRECT("Table!A"&amp;$U157):INDIRECT("Table!" &amp; $X$159 &amp; $U157),0)),"",INDIRECT(CONCATENATE("Table!",ADDRESS($Q157,MATCH(L$1,INDIRECT("Table!A" &amp; $U157):INDIRECT("Table!" &amp; $X$159 &amp; $U157),0))))/1024)</f>
        <v>2.1787109375</v>
      </c>
      <c r="M157" s="31">
        <f ca="1">IF(ISERROR(MATCH(M$1,INDIRECT("Table!A"&amp;$U157):INDIRECT("Table!" &amp; $X$159 &amp; $U157),0)),"",INDIRECT(CONCATENATE("Table!",ADDRESS($Q157,MATCH(M$1,INDIRECT("Table!A" &amp; $U157):INDIRECT("Table!" &amp; $X$159 &amp; $U157),0))))/1024)</f>
        <v>2.208984375</v>
      </c>
      <c r="N157" s="31"/>
      <c r="O157" s="114"/>
      <c r="P157" s="114"/>
      <c r="Q157" s="31">
        <f>MATCH($A157,Table!$A:$A,0)+$S$2-1</f>
        <v>2234</v>
      </c>
      <c r="R157" s="114"/>
      <c r="S157" s="114"/>
      <c r="T157" s="114"/>
      <c r="U157" s="31">
        <f>MATCH($A157,Table!$A:$A,0)+$W$2-1</f>
        <v>2221</v>
      </c>
      <c r="V157" s="114"/>
      <c r="W157" s="114"/>
      <c r="X157" s="114" t="s">
        <v>118</v>
      </c>
    </row>
    <row r="158" spans="1:24">
      <c r="A158" s="5">
        <v>40918</v>
      </c>
      <c r="B158" s="31">
        <f ca="1">IF(ISERROR(MATCH(B$1,INDIRECT("Table!A"&amp;$U158):INDIRECT("Table!" &amp; $X$159 &amp; $U158),0)),"",INDIRECT(CONCATENATE("Table!",ADDRESS($Q158,MATCH(B$1,INDIRECT("Table!A" &amp; $U158):INDIRECT("Table!" &amp; $X$159 &amp; $U158),0))))/1024)</f>
        <v>0.6083984375</v>
      </c>
      <c r="C158" s="31">
        <f ca="1">IF(ISERROR(MATCH(C$1,INDIRECT("Table!A"&amp;$U158):INDIRECT("Table!" &amp; $X$159 &amp; $U158),0)),"",INDIRECT(CONCATENATE("Table!",ADDRESS($Q158,MATCH(C$1,INDIRECT("Table!A" &amp; $U158):INDIRECT("Table!" &amp; $X$159 &amp; $U158),0))))/1024)</f>
        <v>0.7275390625</v>
      </c>
      <c r="D158" s="31">
        <f ca="1">IF(ISERROR(MATCH(D$1,INDIRECT("Table!A"&amp;$U158):INDIRECT("Table!" &amp; $X$159 &amp; $U158),0)),"",INDIRECT(CONCATENATE("Table!",ADDRESS($Q158,MATCH(D$1,INDIRECT("Table!A" &amp; $U158):INDIRECT("Table!" &amp; $X$159 &amp; $U158),0))))/1024)</f>
        <v>0.5390625</v>
      </c>
      <c r="E158" s="31">
        <f ca="1">IF(ISERROR(MATCH(E$1,INDIRECT("Table!A"&amp;$U158):INDIRECT("Table!" &amp; $X$159 &amp; $U158),0)),"",INDIRECT(CONCATENATE("Table!",ADDRESS($Q158,MATCH(E$1,INDIRECT("Table!A" &amp; $U158):INDIRECT("Table!" &amp; $X$159 &amp; $U158),0))))/1024)</f>
        <v>0.662109375</v>
      </c>
      <c r="F158" s="31">
        <f ca="1">IF(ISERROR(MATCH(F$1,INDIRECT("Table!A"&amp;$U158):INDIRECT("Table!" &amp; $X$159 &amp; $U158),0)),"",INDIRECT(CONCATENATE("Table!",ADDRESS($Q158,MATCH(F$1,INDIRECT("Table!A" &amp; $U158):INDIRECT("Table!" &amp; $X$159 &amp; $U158),0))))/1024)</f>
        <v>3.208984375</v>
      </c>
      <c r="G158" s="31">
        <f ca="1">IF(ISERROR(MATCH(G$1,INDIRECT("Table!A"&amp;$U158):INDIRECT("Table!" &amp; $X$159 &amp; $U158),0)),"",INDIRECT(CONCATENATE("Table!",ADDRESS($Q158,MATCH(G$1,INDIRECT("Table!A" &amp; $U158):INDIRECT("Table!" &amp; $X$159 &amp; $U158),0))))/1024)</f>
        <v>3.0009765625</v>
      </c>
      <c r="H158" s="31">
        <f ca="1">IF(ISERROR(MATCH(H$1,INDIRECT("Table!A"&amp;$U158):INDIRECT("Table!" &amp; $X$159 &amp; $U158),0)),"",INDIRECT(CONCATENATE("Table!",ADDRESS($Q158,MATCH(H$1,INDIRECT("Table!A" &amp; $U158):INDIRECT("Table!" &amp; $X$159 &amp; $U158),0))))/1024)</f>
        <v>2.177734375</v>
      </c>
      <c r="I158" s="31">
        <f ca="1">IF(ISERROR(MATCH(I$1,INDIRECT("Table!A"&amp;$U158):INDIRECT("Table!" &amp; $X$159 &amp; $U158),0)),"",INDIRECT(CONCATENATE("Table!",ADDRESS($Q158,MATCH(I$1,INDIRECT("Table!A" &amp; $U158):INDIRECT("Table!" &amp; $X$159 &amp; $U158),0))))/1024)</f>
        <v>0.8583984375</v>
      </c>
      <c r="J158" s="31">
        <f ca="1">IF(ISERROR(MATCH(J$1,INDIRECT("Table!A"&amp;$U158):INDIRECT("Table!" &amp; $X$159 &amp; $U158),0)),"",INDIRECT(CONCATENATE("Table!",ADDRESS($Q158,MATCH(J$1,INDIRECT("Table!A" &amp; $U158):INDIRECT("Table!" &amp; $X$159 &amp; $U158),0))))/1024)</f>
        <v>2.93359375</v>
      </c>
      <c r="K158" s="31">
        <f ca="1">IF(ISERROR(MATCH(K$1,INDIRECT("Table!A"&amp;$U158):INDIRECT("Table!" &amp; $X$159 &amp; $U158),0)),"",INDIRECT(CONCATENATE("Table!",ADDRESS($Q158,MATCH(K$1,INDIRECT("Table!A" &amp; $U158):INDIRECT("Table!" &amp; $X$159 &amp; $U158),0))))/1024)</f>
        <v>2.73828125</v>
      </c>
      <c r="L158" s="31">
        <f ca="1">IF(ISERROR(MATCH(L$1,INDIRECT("Table!A"&amp;$U158):INDIRECT("Table!" &amp; $X$159 &amp; $U158),0)),"",INDIRECT(CONCATENATE("Table!",ADDRESS($Q158,MATCH(L$1,INDIRECT("Table!A" &amp; $U158):INDIRECT("Table!" &amp; $X$159 &amp; $U158),0))))/1024)</f>
        <v>2.1787109375</v>
      </c>
      <c r="M158" s="31">
        <f ca="1">IF(ISERROR(MATCH(M$1,INDIRECT("Table!A"&amp;$U158):INDIRECT("Table!" &amp; $X$159 &amp; $U158),0)),"",INDIRECT(CONCATENATE("Table!",ADDRESS($Q158,MATCH(M$1,INDIRECT("Table!A" &amp; $U158):INDIRECT("Table!" &amp; $X$159 &amp; $U158),0))))/1024)</f>
        <v>2.208984375</v>
      </c>
      <c r="N158" s="31"/>
      <c r="O158" s="113"/>
      <c r="P158" s="113"/>
      <c r="Q158" s="31">
        <f>MATCH($A158,Table!$A:$A,0)+$S$2-1</f>
        <v>2247</v>
      </c>
      <c r="R158" s="113"/>
      <c r="S158" s="113"/>
      <c r="T158" s="113"/>
      <c r="U158" s="31">
        <f>MATCH($A158,Table!$A:$A,0)+$W$2-1</f>
        <v>2234</v>
      </c>
      <c r="V158" s="113"/>
      <c r="W158" s="113"/>
      <c r="X158" s="113" t="s">
        <v>118</v>
      </c>
    </row>
    <row r="159" spans="1:24">
      <c r="A159" s="5">
        <v>40917</v>
      </c>
      <c r="B159" s="31">
        <f ca="1">IF(ISERROR(MATCH(B$1,INDIRECT("Table!A"&amp;$U159):INDIRECT("Table!" &amp; $X$159 &amp; $U159),0)),"",INDIRECT(CONCATENATE("Table!",ADDRESS($Q159,MATCH(B$1,INDIRECT("Table!A" &amp; $U159):INDIRECT("Table!" &amp; $X$159 &amp; $U159),0))))/1024)</f>
        <v>0.6083984375</v>
      </c>
      <c r="C159" s="31">
        <f ca="1">IF(ISERROR(MATCH(C$1,INDIRECT("Table!A"&amp;$U159):INDIRECT("Table!" &amp; $X$159 &amp; $U159),0)),"",INDIRECT(CONCATENATE("Table!",ADDRESS($Q159,MATCH(C$1,INDIRECT("Table!A" &amp; $U159):INDIRECT("Table!" &amp; $X$159 &amp; $U159),0))))/1024)</f>
        <v>0.7275390625</v>
      </c>
      <c r="D159" s="31">
        <f ca="1">IF(ISERROR(MATCH(D$1,INDIRECT("Table!A"&amp;$U159):INDIRECT("Table!" &amp; $X$159 &amp; $U159),0)),"",INDIRECT(CONCATENATE("Table!",ADDRESS($Q159,MATCH(D$1,INDIRECT("Table!A" &amp; $U159):INDIRECT("Table!" &amp; $X$159 &amp; $U159),0))))/1024)</f>
        <v>0.5390625</v>
      </c>
      <c r="E159" s="31">
        <f ca="1">IF(ISERROR(MATCH(E$1,INDIRECT("Table!A"&amp;$U159):INDIRECT("Table!" &amp; $X$159 &amp; $U159),0)),"",INDIRECT(CONCATENATE("Table!",ADDRESS($Q159,MATCH(E$1,INDIRECT("Table!A" &amp; $U159):INDIRECT("Table!" &amp; $X$159 &amp; $U159),0))))/1024)</f>
        <v>0.662109375</v>
      </c>
      <c r="F159" s="31">
        <f ca="1">IF(ISERROR(MATCH(F$1,INDIRECT("Table!A"&amp;$U159):INDIRECT("Table!" &amp; $X$159 &amp; $U159),0)),"",INDIRECT(CONCATENATE("Table!",ADDRESS($Q159,MATCH(F$1,INDIRECT("Table!A" &amp; $U159):INDIRECT("Table!" &amp; $X$159 &amp; $U159),0))))/1024)</f>
        <v>3.208984375</v>
      </c>
      <c r="G159" s="31">
        <f ca="1">IF(ISERROR(MATCH(G$1,INDIRECT("Table!A"&amp;$U159):INDIRECT("Table!" &amp; $X$159 &amp; $U159),0)),"",INDIRECT(CONCATENATE("Table!",ADDRESS($Q159,MATCH(G$1,INDIRECT("Table!A" &amp; $U159):INDIRECT("Table!" &amp; $X$159 &amp; $U159),0))))/1024)</f>
        <v>3.0009765625</v>
      </c>
      <c r="H159" s="31">
        <f ca="1">IF(ISERROR(MATCH(H$1,INDIRECT("Table!A"&amp;$U159):INDIRECT("Table!" &amp; $X$159 &amp; $U159),0)),"",INDIRECT(CONCATENATE("Table!",ADDRESS($Q159,MATCH(H$1,INDIRECT("Table!A" &amp; $U159):INDIRECT("Table!" &amp; $X$159 &amp; $U159),0))))/1024)</f>
        <v>2.177734375</v>
      </c>
      <c r="I159" s="31">
        <f ca="1">IF(ISERROR(MATCH(I$1,INDIRECT("Table!A"&amp;$U159):INDIRECT("Table!" &amp; $X$159 &amp; $U159),0)),"",INDIRECT(CONCATENATE("Table!",ADDRESS($Q159,MATCH(I$1,INDIRECT("Table!A" &amp; $U159):INDIRECT("Table!" &amp; $X$159 &amp; $U159),0))))/1024)</f>
        <v>0.8583984375</v>
      </c>
      <c r="J159" s="31">
        <f ca="1">IF(ISERROR(MATCH(J$1,INDIRECT("Table!A"&amp;$U159):INDIRECT("Table!" &amp; $X$159 &amp; $U159),0)),"",INDIRECT(CONCATENATE("Table!",ADDRESS($Q159,MATCH(J$1,INDIRECT("Table!A" &amp; $U159):INDIRECT("Table!" &amp; $X$159 &amp; $U159),0))))/1024)</f>
        <v>2.93359375</v>
      </c>
      <c r="K159" s="31">
        <f ca="1">IF(ISERROR(MATCH(K$1,INDIRECT("Table!A"&amp;$U159):INDIRECT("Table!" &amp; $X$159 &amp; $U159),0)),"",INDIRECT(CONCATENATE("Table!",ADDRESS($Q159,MATCH(K$1,INDIRECT("Table!A" &amp; $U159):INDIRECT("Table!" &amp; $X$159 &amp; $U159),0))))/1024)</f>
        <v>2.73828125</v>
      </c>
      <c r="L159" s="31">
        <f ca="1">IF(ISERROR(MATCH(L$1,INDIRECT("Table!A"&amp;$U159):INDIRECT("Table!" &amp; $X$159 &amp; $U159),0)),"",INDIRECT(CONCATENATE("Table!",ADDRESS($Q159,MATCH(L$1,INDIRECT("Table!A" &amp; $U159):INDIRECT("Table!" &amp; $X$159 &amp; $U159),0))))/1024)</f>
        <v>2.1787109375</v>
      </c>
      <c r="M159" s="31">
        <f ca="1">IF(ISERROR(MATCH(M$1,INDIRECT("Table!A"&amp;$U159):INDIRECT("Table!" &amp; $X$159 &amp; $U159),0)),"",INDIRECT(CONCATENATE("Table!",ADDRESS($Q159,MATCH(M$1,INDIRECT("Table!A" &amp; $U159):INDIRECT("Table!" &amp; $X$159 &amp; $U159),0))))/1024)</f>
        <v>2.208984375</v>
      </c>
      <c r="N159" s="31"/>
      <c r="O159" s="41"/>
      <c r="P159" s="41"/>
      <c r="Q159" s="31">
        <f>MATCH($A159,Table!$A:$A,0)+$S$2-1</f>
        <v>2260</v>
      </c>
      <c r="R159" s="41"/>
      <c r="S159" s="41"/>
      <c r="T159" s="41"/>
      <c r="U159" s="31">
        <f>MATCH($A159,Table!$A:$A,0)+$W$2-1</f>
        <v>2247</v>
      </c>
      <c r="V159" s="41"/>
      <c r="W159" s="41"/>
      <c r="X159" s="41" t="s">
        <v>118</v>
      </c>
    </row>
    <row r="160" spans="1:24">
      <c r="L160" s="31"/>
      <c r="M160" s="31"/>
      <c r="N160" s="31"/>
      <c r="O160" s="94"/>
      <c r="P160" s="94"/>
      <c r="Q160" s="31"/>
      <c r="R160" s="94"/>
      <c r="S160" s="94"/>
      <c r="T160" s="94"/>
      <c r="U160" s="31"/>
      <c r="V160" s="94"/>
      <c r="W160" s="94"/>
      <c r="X160" s="94"/>
    </row>
    <row r="161" spans="12:24">
      <c r="L161" s="31"/>
      <c r="M161" s="31"/>
      <c r="N161" s="31"/>
      <c r="O161" s="62"/>
      <c r="P161" s="62"/>
      <c r="Q161" s="31"/>
      <c r="R161" s="62"/>
      <c r="S161" s="62"/>
      <c r="T161" s="62"/>
      <c r="U161" s="31"/>
      <c r="V161" s="62"/>
      <c r="W161" s="62"/>
      <c r="X161" s="62"/>
    </row>
    <row r="162" spans="12:24">
      <c r="L162" s="31"/>
      <c r="M162" s="31"/>
      <c r="N162" s="31"/>
      <c r="O162" s="61"/>
      <c r="P162" s="61"/>
      <c r="Q162" s="31"/>
      <c r="R162" s="61"/>
      <c r="S162" s="61"/>
      <c r="T162" s="61"/>
      <c r="U162" s="31"/>
      <c r="V162" s="61"/>
      <c r="W162" s="61"/>
      <c r="X162" s="61"/>
    </row>
    <row r="163" spans="12:24">
      <c r="L163" s="31"/>
      <c r="M163" s="31"/>
      <c r="N163" s="31"/>
      <c r="O163" s="60"/>
      <c r="P163" s="60"/>
      <c r="Q163" s="31"/>
      <c r="R163" s="60"/>
      <c r="S163" s="60"/>
      <c r="T163" s="60"/>
      <c r="U163" s="31"/>
      <c r="V163" s="60"/>
      <c r="W163" s="60"/>
      <c r="X163" s="60"/>
    </row>
    <row r="164" spans="12:24">
      <c r="L164" s="31"/>
      <c r="M164" s="31"/>
      <c r="N164" s="31"/>
      <c r="O164" s="59"/>
      <c r="P164" s="59"/>
      <c r="Q164" s="31"/>
      <c r="R164" s="59"/>
      <c r="S164" s="59"/>
      <c r="T164" s="59"/>
      <c r="U164" s="31"/>
      <c r="V164" s="59"/>
      <c r="W164" s="59"/>
      <c r="X164" s="59"/>
    </row>
    <row r="165" spans="12:24">
      <c r="L165" s="31"/>
      <c r="M165" s="31"/>
      <c r="N165" s="31"/>
      <c r="O165" s="58"/>
      <c r="P165" s="58"/>
      <c r="Q165" s="31"/>
      <c r="R165" s="58"/>
      <c r="S165" s="58"/>
      <c r="T165" s="58"/>
      <c r="U165" s="31"/>
      <c r="V165" s="58"/>
      <c r="W165" s="58"/>
      <c r="X165" s="58"/>
    </row>
    <row r="166" spans="12:24">
      <c r="L166" s="31"/>
      <c r="M166" s="31"/>
      <c r="N166" s="31"/>
      <c r="O166" s="57"/>
      <c r="P166" s="57"/>
      <c r="Q166" s="31"/>
      <c r="R166" s="57"/>
      <c r="S166" s="57"/>
      <c r="T166" s="57"/>
      <c r="U166" s="31"/>
      <c r="V166" s="57"/>
      <c r="W166" s="57"/>
      <c r="X166" s="57"/>
    </row>
    <row r="167" spans="12:24">
      <c r="L167" s="31"/>
      <c r="M167" s="31"/>
      <c r="N167" s="31"/>
      <c r="O167" s="56"/>
      <c r="P167" s="56"/>
      <c r="Q167" s="31"/>
      <c r="R167" s="56"/>
      <c r="S167" s="56"/>
      <c r="T167" s="56"/>
      <c r="U167" s="31"/>
      <c r="V167" s="56"/>
      <c r="W167" s="56"/>
      <c r="X167" s="56"/>
    </row>
    <row r="168" spans="12:24">
      <c r="L168" s="31"/>
      <c r="M168" s="31"/>
      <c r="N168" s="31"/>
      <c r="O168" s="56"/>
      <c r="P168" s="56"/>
      <c r="Q168" s="31"/>
      <c r="R168" s="56"/>
      <c r="S168" s="56"/>
      <c r="T168" s="56"/>
      <c r="U168" s="31"/>
      <c r="V168" s="56"/>
      <c r="W168" s="56"/>
      <c r="X168" s="56"/>
    </row>
    <row r="169" spans="12:24">
      <c r="L169" s="31"/>
      <c r="M169" s="31"/>
      <c r="N169" s="31"/>
      <c r="O169" s="55"/>
      <c r="P169" s="55"/>
      <c r="Q169" s="31"/>
      <c r="R169" s="55"/>
      <c r="S169" s="55"/>
      <c r="T169" s="55"/>
      <c r="U169" s="31"/>
      <c r="V169" s="55"/>
      <c r="W169" s="55"/>
      <c r="X169" s="55"/>
    </row>
    <row r="170" spans="12:24">
      <c r="L170" s="31"/>
      <c r="M170" s="31"/>
      <c r="N170" s="31"/>
      <c r="O170" s="54"/>
      <c r="P170" s="54"/>
      <c r="Q170" s="31"/>
      <c r="R170" s="54"/>
      <c r="S170" s="54"/>
      <c r="T170" s="54"/>
      <c r="U170" s="31"/>
      <c r="V170" s="54"/>
      <c r="W170" s="54"/>
      <c r="X170" s="54"/>
    </row>
    <row r="171" spans="12:24">
      <c r="L171" s="31"/>
      <c r="M171" s="31"/>
      <c r="N171" s="31"/>
      <c r="O171" s="54"/>
      <c r="P171" s="54"/>
      <c r="Q171" s="31"/>
      <c r="R171" s="54"/>
      <c r="S171" s="54"/>
      <c r="T171" s="54"/>
      <c r="U171" s="31"/>
      <c r="V171" s="54"/>
      <c r="W171" s="54"/>
      <c r="X171" s="54"/>
    </row>
    <row r="172" spans="12:24">
      <c r="L172" s="31"/>
      <c r="M172" s="31"/>
      <c r="N172" s="31"/>
      <c r="O172" s="53"/>
      <c r="P172" s="53"/>
      <c r="Q172" s="31"/>
      <c r="R172" s="53"/>
      <c r="S172" s="53"/>
      <c r="T172" s="53"/>
      <c r="U172" s="31"/>
      <c r="V172" s="53"/>
      <c r="W172" s="53"/>
      <c r="X172" s="53"/>
    </row>
    <row r="173" spans="12:24">
      <c r="L173" s="31"/>
      <c r="M173" s="31"/>
      <c r="N173" s="31"/>
      <c r="O173" s="52"/>
      <c r="P173" s="52"/>
      <c r="Q173" s="31"/>
      <c r="R173" s="52"/>
      <c r="S173" s="52"/>
      <c r="T173" s="52"/>
      <c r="U173" s="31"/>
      <c r="V173" s="52"/>
      <c r="W173" s="52"/>
      <c r="X173" s="52"/>
    </row>
    <row r="174" spans="12:24">
      <c r="L174" s="31"/>
      <c r="M174" s="31"/>
      <c r="N174" s="31"/>
      <c r="O174" s="51"/>
      <c r="P174" s="51"/>
      <c r="Q174" s="31"/>
      <c r="R174" s="51"/>
      <c r="S174" s="51"/>
      <c r="T174" s="51"/>
      <c r="U174" s="31"/>
      <c r="V174" s="51"/>
      <c r="W174" s="51"/>
      <c r="X174" s="51"/>
    </row>
    <row r="175" spans="12:24">
      <c r="L175" s="31"/>
      <c r="M175" s="31"/>
      <c r="N175" s="31"/>
      <c r="O175" s="50"/>
      <c r="P175" s="50"/>
      <c r="Q175" s="31"/>
      <c r="R175" s="50"/>
      <c r="S175" s="50"/>
      <c r="T175" s="50"/>
      <c r="U175" s="31"/>
      <c r="V175" s="50"/>
      <c r="W175" s="50"/>
      <c r="X175" s="50"/>
    </row>
    <row r="176" spans="12:24">
      <c r="L176" s="31"/>
      <c r="M176" s="31"/>
      <c r="N176" s="31"/>
      <c r="O176" s="47"/>
      <c r="P176" s="47"/>
      <c r="Q176" s="31"/>
      <c r="R176" s="47"/>
      <c r="S176" s="47"/>
      <c r="T176" s="47"/>
      <c r="U176" s="31"/>
      <c r="V176" s="47"/>
      <c r="W176" s="47"/>
      <c r="X176" s="47"/>
    </row>
    <row r="177" spans="12:24">
      <c r="L177" s="31"/>
      <c r="M177" s="31"/>
      <c r="N177" s="31"/>
      <c r="O177" s="44"/>
      <c r="P177" s="44"/>
      <c r="Q177" s="31"/>
      <c r="R177" s="44"/>
      <c r="S177" s="44"/>
      <c r="T177" s="44"/>
      <c r="U177" s="31"/>
      <c r="V177" s="44"/>
      <c r="W177" s="44"/>
      <c r="X177" s="44"/>
    </row>
    <row r="178" spans="12:24">
      <c r="L178" s="31"/>
      <c r="M178" s="31"/>
      <c r="N178" s="31"/>
      <c r="O178" s="42"/>
      <c r="P178" s="42"/>
      <c r="Q178" s="31"/>
      <c r="R178" s="42"/>
      <c r="S178" s="42"/>
      <c r="T178" s="42"/>
      <c r="U178" s="31"/>
      <c r="V178" s="42"/>
      <c r="W178" s="42"/>
      <c r="X178" s="42"/>
    </row>
    <row r="179" spans="12:24">
      <c r="L179" s="31"/>
      <c r="M179" s="31"/>
      <c r="N179" s="31"/>
      <c r="Q179" s="31"/>
      <c r="R179" s="37"/>
      <c r="S179" s="37"/>
      <c r="T179" s="37"/>
      <c r="U179" s="31"/>
      <c r="V179" s="37"/>
      <c r="W179" s="37"/>
      <c r="X179" s="37"/>
    </row>
    <row r="180" spans="12:24">
      <c r="L180" s="31"/>
      <c r="M180" s="31"/>
      <c r="N180" s="31"/>
      <c r="Q180" s="31"/>
      <c r="R180" s="37"/>
      <c r="S180" s="37"/>
      <c r="T180" s="37"/>
      <c r="U180" s="31"/>
      <c r="V180" s="37"/>
      <c r="W180" s="37"/>
      <c r="X180" s="37"/>
    </row>
    <row r="181" spans="12:24">
      <c r="L181" s="31"/>
      <c r="M181" s="31"/>
      <c r="N181" s="31"/>
      <c r="Q181" s="31"/>
      <c r="R181" s="37"/>
      <c r="S181" s="37"/>
      <c r="T181" s="37"/>
      <c r="U181" s="31"/>
      <c r="V181" s="37"/>
      <c r="W181" s="37"/>
      <c r="X181" s="37"/>
    </row>
    <row r="182" spans="12:24">
      <c r="L182" s="31"/>
      <c r="M182" s="31"/>
      <c r="N182" s="31"/>
      <c r="Q182" s="31"/>
      <c r="R182" s="37"/>
      <c r="S182" s="37"/>
      <c r="T182" s="37"/>
      <c r="U182" s="31"/>
      <c r="V182" s="37"/>
      <c r="W182" s="37"/>
      <c r="X182" s="37"/>
    </row>
    <row r="183" spans="12:24">
      <c r="L183" s="31"/>
      <c r="M183" s="31"/>
      <c r="N183" s="31"/>
      <c r="Q183" s="31"/>
      <c r="R183" s="37"/>
      <c r="S183" s="37"/>
      <c r="T183" s="37"/>
      <c r="U183" s="31"/>
      <c r="V183" s="37"/>
      <c r="W183" s="37"/>
      <c r="X183" s="37"/>
    </row>
    <row r="184" spans="12:24">
      <c r="L184" s="31"/>
      <c r="M184" s="31"/>
      <c r="N184" s="31"/>
      <c r="Q184" s="31"/>
      <c r="R184" s="37"/>
      <c r="S184" s="37"/>
      <c r="T184" s="37"/>
      <c r="U184" s="31"/>
      <c r="V184" s="37"/>
      <c r="W184" s="37"/>
      <c r="X184" s="37"/>
    </row>
    <row r="185" spans="12:24">
      <c r="L185" s="31"/>
      <c r="M185" s="31"/>
      <c r="N185" s="31"/>
      <c r="Q185" s="31"/>
      <c r="R185" s="37"/>
      <c r="S185" s="37"/>
      <c r="T185" s="37"/>
      <c r="U185" s="31"/>
      <c r="V185" s="37"/>
      <c r="W185" s="37"/>
      <c r="X185" s="37"/>
    </row>
    <row r="186" spans="12:24">
      <c r="L186" s="31"/>
      <c r="M186" s="31"/>
      <c r="N186" s="31"/>
      <c r="Q186" s="31"/>
      <c r="R186" s="37"/>
      <c r="S186" s="37"/>
      <c r="T186" s="37"/>
      <c r="U186" s="31"/>
      <c r="V186" s="37"/>
      <c r="W186" s="37"/>
      <c r="X186" s="37"/>
    </row>
    <row r="187" spans="12:24">
      <c r="L187" s="31"/>
      <c r="M187" s="31"/>
      <c r="N187" s="31"/>
      <c r="Q187" s="31"/>
      <c r="R187" s="37"/>
      <c r="S187" s="37"/>
      <c r="T187" s="37"/>
      <c r="U187" s="31"/>
      <c r="V187" s="37"/>
      <c r="W187" s="37"/>
      <c r="X187" s="37"/>
    </row>
    <row r="188" spans="12:24">
      <c r="L188" s="31"/>
      <c r="M188" s="31"/>
      <c r="N188" s="31"/>
      <c r="Q188" s="31"/>
      <c r="R188" s="37"/>
      <c r="S188" s="37"/>
      <c r="T188" s="37"/>
      <c r="U188" s="31"/>
      <c r="V188" s="37"/>
      <c r="W188" s="37"/>
      <c r="X188" s="37"/>
    </row>
    <row r="189" spans="12:24">
      <c r="L189" s="31"/>
      <c r="M189" s="31"/>
      <c r="N189" s="31"/>
      <c r="Q189" s="31"/>
      <c r="R189" s="37"/>
      <c r="S189" s="37"/>
      <c r="T189" s="37"/>
      <c r="U189" s="31"/>
      <c r="V189" s="37"/>
      <c r="W189" s="37"/>
      <c r="X189" s="39"/>
    </row>
    <row r="190" spans="12:24">
      <c r="L190" s="31"/>
      <c r="M190" s="31"/>
      <c r="N190" s="31"/>
      <c r="Q190" s="31"/>
      <c r="T190" s="12"/>
      <c r="U190" s="31"/>
      <c r="X190" s="39"/>
    </row>
    <row r="191" spans="12:24">
      <c r="L191" s="31"/>
      <c r="M191" s="31"/>
      <c r="N191" s="31"/>
      <c r="Q191" s="31"/>
      <c r="T191" s="12"/>
      <c r="U191" s="31"/>
      <c r="X191" s="39"/>
    </row>
    <row r="192" spans="12:24">
      <c r="L192" s="31"/>
      <c r="M192" s="31"/>
      <c r="N192" s="31"/>
      <c r="Q192" s="31"/>
      <c r="T192" s="12"/>
      <c r="U192" s="31"/>
      <c r="X192" s="39"/>
    </row>
    <row r="193" spans="12:24">
      <c r="L193" s="31"/>
      <c r="M193" s="31"/>
      <c r="N193" s="31"/>
      <c r="Q193" s="31"/>
      <c r="T193" s="12"/>
      <c r="U193" s="31"/>
      <c r="X193" s="39"/>
    </row>
    <row r="194" spans="12:24">
      <c r="L194" s="31"/>
      <c r="M194" s="31"/>
      <c r="N194" s="31"/>
      <c r="Q194" s="31"/>
      <c r="T194" s="12"/>
      <c r="U194" s="31"/>
      <c r="X194" s="39"/>
    </row>
    <row r="195" spans="12:24">
      <c r="L195" s="31"/>
      <c r="M195" s="31"/>
      <c r="N195" s="31"/>
      <c r="Q195" s="31"/>
      <c r="T195" s="12"/>
      <c r="U195" s="31"/>
      <c r="X195" s="39"/>
    </row>
    <row r="196" spans="12:24">
      <c r="L196" s="31"/>
      <c r="M196" s="31"/>
      <c r="N196" s="31"/>
      <c r="Q196" s="31"/>
      <c r="T196" s="12"/>
      <c r="U196" s="31"/>
      <c r="X196" s="39"/>
    </row>
    <row r="197" spans="12:24">
      <c r="L197" s="31"/>
      <c r="M197" s="31"/>
      <c r="N197" s="31"/>
      <c r="Q197" s="31"/>
      <c r="T197" s="12"/>
      <c r="U197" s="31"/>
      <c r="X197" s="39"/>
    </row>
    <row r="198" spans="12:24">
      <c r="L198" s="31"/>
      <c r="M198" s="31"/>
      <c r="N198" s="31"/>
      <c r="Q198" s="31"/>
      <c r="T198" s="12"/>
      <c r="U198" s="31"/>
      <c r="X198" s="39"/>
    </row>
    <row r="199" spans="12:24">
      <c r="L199" s="31"/>
      <c r="M199" s="31"/>
      <c r="N199" s="31"/>
      <c r="Q199" s="31"/>
      <c r="T199" s="12"/>
      <c r="U199" s="31"/>
      <c r="X199" s="39"/>
    </row>
    <row r="200" spans="12:24">
      <c r="L200" s="31"/>
      <c r="M200" s="31"/>
      <c r="N200" s="31"/>
      <c r="Q200" s="31"/>
      <c r="T200" s="12"/>
      <c r="U200" s="31"/>
      <c r="X200" s="39"/>
    </row>
    <row r="201" spans="12:24">
      <c r="L201" s="31"/>
      <c r="M201" s="31"/>
      <c r="N201" s="31"/>
      <c r="Q201" s="31"/>
      <c r="T201" s="12"/>
      <c r="U201" s="31"/>
      <c r="X201" s="39"/>
    </row>
    <row r="202" spans="12:24">
      <c r="L202" s="31"/>
      <c r="M202" s="31"/>
      <c r="N202" s="31"/>
      <c r="Q202" s="31"/>
      <c r="T202" s="12"/>
      <c r="U202" s="31"/>
      <c r="X202" s="39"/>
    </row>
    <row r="203" spans="12:24">
      <c r="L203" s="31"/>
      <c r="M203" s="31"/>
      <c r="N203" s="31"/>
      <c r="Q203" s="31"/>
      <c r="T203" s="12"/>
      <c r="U203" s="31"/>
      <c r="X203" s="39"/>
    </row>
    <row r="204" spans="12:24">
      <c r="L204" s="31"/>
      <c r="M204" s="31"/>
      <c r="N204" s="31"/>
      <c r="Q204" s="31"/>
      <c r="T204" s="12"/>
      <c r="U204" s="31"/>
      <c r="X204" s="39"/>
    </row>
    <row r="205" spans="12:24">
      <c r="L205" s="31"/>
      <c r="M205" s="31"/>
      <c r="N205" s="31"/>
      <c r="Q205" s="31"/>
      <c r="T205" s="12"/>
      <c r="U205" s="31"/>
      <c r="X205" s="39"/>
    </row>
    <row r="206" spans="12:24">
      <c r="L206" s="31"/>
      <c r="M206" s="31"/>
      <c r="N206" s="31"/>
      <c r="Q206" s="31"/>
      <c r="T206" s="12"/>
      <c r="U206" s="31"/>
      <c r="X206" s="39"/>
    </row>
    <row r="207" spans="12:24">
      <c r="L207" s="31"/>
      <c r="M207" s="31"/>
      <c r="N207" s="31"/>
      <c r="Q207" s="31"/>
      <c r="T207" s="12"/>
      <c r="U207" s="31"/>
      <c r="X207" s="39"/>
    </row>
    <row r="208" spans="12:24">
      <c r="L208" s="31"/>
      <c r="M208" s="31"/>
      <c r="N208" s="31"/>
      <c r="Q208" s="31"/>
      <c r="T208" s="12"/>
      <c r="U208" s="31"/>
      <c r="X208" s="39"/>
    </row>
    <row r="209" spans="12:24">
      <c r="L209" s="31"/>
      <c r="M209" s="31"/>
      <c r="N209" s="31"/>
      <c r="Q209" s="31"/>
      <c r="T209" s="12"/>
      <c r="U209" s="31"/>
      <c r="X209" s="39"/>
    </row>
    <row r="210" spans="12:24">
      <c r="L210" s="31"/>
      <c r="M210" s="31"/>
      <c r="N210" s="31"/>
      <c r="Q210" s="31"/>
      <c r="T210" s="12"/>
      <c r="U210" s="31"/>
      <c r="X210" s="39"/>
    </row>
    <row r="211" spans="12:24">
      <c r="L211" s="31"/>
      <c r="M211" s="31"/>
      <c r="N211" s="31"/>
      <c r="Q211" s="31"/>
      <c r="T211" s="12"/>
      <c r="U211" s="31"/>
      <c r="X211" s="39"/>
    </row>
    <row r="212" spans="12:24">
      <c r="L212" s="31"/>
      <c r="M212" s="31"/>
      <c r="N212" s="31"/>
      <c r="Q212" s="31"/>
      <c r="T212" s="12"/>
      <c r="U212" s="31"/>
      <c r="X212" s="39"/>
    </row>
    <row r="213" spans="12:24">
      <c r="L213" s="31"/>
      <c r="M213" s="31"/>
      <c r="N213" s="31"/>
      <c r="Q213" s="31"/>
      <c r="T213" s="12"/>
      <c r="U213" s="31"/>
      <c r="X213" s="39"/>
    </row>
    <row r="214" spans="12:24">
      <c r="L214" s="31"/>
      <c r="M214" s="31"/>
      <c r="N214" s="31"/>
      <c r="Q214" s="31"/>
      <c r="T214" s="12"/>
      <c r="U214" s="31"/>
      <c r="X214" s="39"/>
    </row>
    <row r="215" spans="12:24">
      <c r="L215" s="31"/>
      <c r="M215" s="31"/>
      <c r="N215" s="31"/>
      <c r="Q215" s="31"/>
      <c r="T215" s="12"/>
      <c r="U215" s="31"/>
      <c r="X215" s="39"/>
    </row>
    <row r="216" spans="12:24">
      <c r="L216" s="31"/>
      <c r="M216" s="31"/>
      <c r="N216" s="31"/>
      <c r="Q216" s="31"/>
      <c r="T216" s="12"/>
      <c r="U216" s="31"/>
      <c r="X216" s="39"/>
    </row>
    <row r="217" spans="12:24">
      <c r="L217" s="31"/>
      <c r="M217" s="31"/>
      <c r="N217" s="31"/>
      <c r="Q217" s="31"/>
      <c r="T217" s="12"/>
      <c r="U217" s="31"/>
      <c r="X217" s="39"/>
    </row>
    <row r="218" spans="12:24">
      <c r="L218" s="31"/>
      <c r="M218" s="31"/>
      <c r="N218" s="31"/>
      <c r="Q218" s="31"/>
      <c r="T218" s="12"/>
      <c r="U218" s="31"/>
      <c r="X218" s="39"/>
    </row>
    <row r="219" spans="12:24">
      <c r="L219" s="31"/>
      <c r="M219" s="31"/>
      <c r="N219" s="31"/>
      <c r="Q219" s="31"/>
      <c r="T219" s="12"/>
      <c r="U219" s="31"/>
      <c r="X219" s="39"/>
    </row>
    <row r="220" spans="12:24">
      <c r="L220" s="31"/>
      <c r="M220" s="31"/>
      <c r="N220" s="31"/>
      <c r="Q220" s="31"/>
      <c r="T220" s="12"/>
      <c r="U220" s="31"/>
      <c r="X220" s="39"/>
    </row>
    <row r="221" spans="12:24">
      <c r="L221" s="31"/>
      <c r="M221" s="31"/>
      <c r="N221" s="31"/>
      <c r="Q221" s="31"/>
      <c r="T221" s="12"/>
      <c r="U221" s="31"/>
      <c r="X221" s="39"/>
    </row>
    <row r="222" spans="12:24">
      <c r="L222" s="31"/>
      <c r="M222" s="31"/>
      <c r="N222" s="31"/>
      <c r="Q222" s="31"/>
      <c r="T222" s="12"/>
      <c r="U222" s="31"/>
      <c r="X222" s="39"/>
    </row>
    <row r="223" spans="12:24">
      <c r="L223" s="31"/>
      <c r="M223" s="31"/>
      <c r="N223" s="31"/>
      <c r="Q223" s="31"/>
      <c r="T223" s="12"/>
      <c r="U223" s="31"/>
      <c r="X223" s="39"/>
    </row>
    <row r="224" spans="12:24">
      <c r="L224" s="31"/>
      <c r="M224" s="31"/>
      <c r="N224" s="31"/>
      <c r="Q224" s="31"/>
      <c r="T224" s="12"/>
      <c r="U224" s="31"/>
      <c r="X224" s="39"/>
    </row>
    <row r="225" spans="12:24">
      <c r="L225" s="31"/>
      <c r="M225" s="31"/>
      <c r="N225" s="31"/>
      <c r="Q225" s="31"/>
      <c r="T225" s="12"/>
      <c r="U225" s="31"/>
      <c r="X225" s="39"/>
    </row>
    <row r="226" spans="12:24">
      <c r="L226" s="31"/>
      <c r="M226" s="31"/>
      <c r="N226" s="31"/>
      <c r="Q226" s="31"/>
      <c r="T226" s="12"/>
      <c r="U226" s="31"/>
      <c r="X226" s="39"/>
    </row>
    <row r="227" spans="12:24">
      <c r="L227" s="31"/>
      <c r="M227" s="31"/>
      <c r="N227" s="31"/>
      <c r="Q227" s="31"/>
      <c r="T227" s="12"/>
      <c r="U227" s="31"/>
      <c r="X227" s="39"/>
    </row>
    <row r="228" spans="12:24">
      <c r="L228" s="31"/>
      <c r="M228" s="31"/>
      <c r="N228" s="31"/>
      <c r="Q228" s="31"/>
      <c r="T228" s="12"/>
      <c r="U228" s="31"/>
      <c r="X228" s="39"/>
    </row>
    <row r="229" spans="12:24">
      <c r="L229" s="31"/>
      <c r="M229" s="31"/>
      <c r="N229" s="31"/>
      <c r="Q229" s="31"/>
      <c r="T229" s="12"/>
      <c r="U229" s="31"/>
      <c r="X229" s="39"/>
    </row>
    <row r="230" spans="12:24">
      <c r="L230" s="31"/>
      <c r="M230" s="31"/>
      <c r="N230" s="31"/>
      <c r="Q230" s="31"/>
      <c r="T230" s="12"/>
      <c r="U230" s="31"/>
      <c r="X230" s="39"/>
    </row>
    <row r="231" spans="12:24">
      <c r="L231" s="31"/>
      <c r="M231" s="31"/>
      <c r="N231" s="31"/>
      <c r="Q231" s="31"/>
      <c r="T231" s="12"/>
      <c r="U231" s="31"/>
      <c r="X231" s="39"/>
    </row>
    <row r="232" spans="12:24">
      <c r="L232" s="31"/>
      <c r="M232" s="31"/>
      <c r="N232" s="31"/>
      <c r="Q232" s="31"/>
      <c r="T232" s="12"/>
      <c r="U232" s="31"/>
      <c r="X232" s="39"/>
    </row>
    <row r="233" spans="12:24">
      <c r="L233" s="31"/>
      <c r="M233" s="31"/>
      <c r="N233" s="31"/>
      <c r="Q233" s="31"/>
      <c r="T233" s="12"/>
      <c r="U233" s="31"/>
      <c r="X233" s="39"/>
    </row>
    <row r="234" spans="12:24">
      <c r="L234" s="31"/>
      <c r="M234" s="31"/>
      <c r="N234" s="31"/>
      <c r="Q234" s="31"/>
      <c r="T234" s="12"/>
      <c r="U234" s="31"/>
      <c r="X234" s="39"/>
    </row>
    <row r="235" spans="12:24">
      <c r="L235" s="31"/>
      <c r="M235" s="31"/>
      <c r="N235" s="31"/>
      <c r="Q235" s="31"/>
      <c r="T235" s="12"/>
      <c r="U235" s="31"/>
      <c r="X235" s="39"/>
    </row>
    <row r="236" spans="12:24">
      <c r="L236" s="31"/>
      <c r="M236" s="31"/>
      <c r="N236" s="31"/>
      <c r="Q236" s="31"/>
      <c r="T236" s="12"/>
      <c r="U236" s="31"/>
      <c r="X236" s="39"/>
    </row>
    <row r="237" spans="12:24">
      <c r="L237" s="31"/>
      <c r="M237" s="31"/>
      <c r="N237" s="31"/>
      <c r="Q237" s="31"/>
      <c r="T237" s="12"/>
      <c r="U237" s="31"/>
      <c r="X237" s="39"/>
    </row>
    <row r="238" spans="12:24">
      <c r="L238" s="31"/>
      <c r="M238" s="31"/>
      <c r="N238" s="31"/>
      <c r="Q238" s="31"/>
      <c r="T238" s="12"/>
      <c r="U238" s="31"/>
      <c r="X238" s="39"/>
    </row>
    <row r="239" spans="12:24">
      <c r="L239" s="31"/>
      <c r="M239" s="31"/>
      <c r="N239" s="31"/>
      <c r="Q239" s="31"/>
      <c r="T239" s="12"/>
      <c r="U239" s="31"/>
      <c r="X239" s="39"/>
    </row>
    <row r="240" spans="12:24">
      <c r="L240" s="31"/>
      <c r="M240" s="31"/>
      <c r="N240" s="31"/>
      <c r="Q240" s="31"/>
      <c r="T240" s="12"/>
      <c r="U240" s="31"/>
      <c r="X240" s="39"/>
    </row>
    <row r="241" spans="12:24">
      <c r="L241" s="31"/>
      <c r="M241" s="31"/>
      <c r="N241" s="31"/>
      <c r="Q241" s="31"/>
      <c r="T241" s="12"/>
      <c r="U241" s="31"/>
      <c r="X241" s="39"/>
    </row>
    <row r="242" spans="12:24">
      <c r="L242" s="31"/>
      <c r="M242" s="31"/>
      <c r="N242" s="31"/>
      <c r="Q242" s="31"/>
      <c r="T242" s="12"/>
      <c r="U242" s="31"/>
      <c r="X242" s="39"/>
    </row>
    <row r="243" spans="12:24">
      <c r="L243" s="31"/>
      <c r="M243" s="31"/>
      <c r="N243" s="31"/>
      <c r="Q243" s="31"/>
      <c r="T243" s="12"/>
      <c r="U243" s="31"/>
      <c r="X243" s="39"/>
    </row>
    <row r="244" spans="12:24">
      <c r="L244" s="31"/>
      <c r="M244" s="31"/>
      <c r="N244" s="31"/>
      <c r="Q244" s="31"/>
      <c r="T244" s="12"/>
      <c r="U244" s="31"/>
      <c r="X244" s="39"/>
    </row>
    <row r="245" spans="12:24">
      <c r="L245" s="31"/>
      <c r="M245" s="31"/>
      <c r="N245" s="31"/>
      <c r="Q245" s="31"/>
      <c r="T245" s="12"/>
      <c r="U245" s="31"/>
      <c r="X245" s="39"/>
    </row>
    <row r="246" spans="12:24">
      <c r="L246" s="31"/>
      <c r="M246" s="31"/>
      <c r="N246" s="31"/>
      <c r="Q246" s="31"/>
      <c r="T246" s="12"/>
      <c r="U246" s="31"/>
      <c r="X246" s="39"/>
    </row>
    <row r="247" spans="12:24">
      <c r="L247" s="31"/>
      <c r="M247" s="31"/>
      <c r="N247" s="31"/>
      <c r="Q247" s="31"/>
      <c r="T247" s="12"/>
      <c r="U247" s="31"/>
      <c r="X247" s="39"/>
    </row>
    <row r="248" spans="12:24">
      <c r="L248" s="31"/>
      <c r="M248" s="31"/>
      <c r="N248" s="31"/>
      <c r="Q248" s="31"/>
      <c r="T248" s="12"/>
      <c r="U248" s="31"/>
      <c r="X248" s="39"/>
    </row>
    <row r="249" spans="12:24">
      <c r="L249" s="31"/>
      <c r="M249" s="31"/>
      <c r="N249" s="31"/>
      <c r="Q249" s="31"/>
      <c r="T249" s="12"/>
      <c r="U249" s="31"/>
      <c r="X249" s="39"/>
    </row>
    <row r="250" spans="12:24">
      <c r="L250" s="31"/>
      <c r="M250" s="31"/>
      <c r="N250" s="31"/>
      <c r="Q250" s="31"/>
      <c r="T250" s="12"/>
      <c r="U250" s="31"/>
      <c r="X250" s="39"/>
    </row>
    <row r="251" spans="12:24">
      <c r="L251" s="31"/>
      <c r="M251" s="31"/>
      <c r="N251" s="31"/>
      <c r="Q251" s="31"/>
      <c r="T251" s="12"/>
      <c r="U251" s="31"/>
      <c r="X251" s="39"/>
    </row>
    <row r="252" spans="12:24">
      <c r="L252" s="31"/>
      <c r="M252" s="31"/>
      <c r="N252" s="31"/>
      <c r="Q252" s="31"/>
      <c r="T252" s="12"/>
      <c r="U252" s="31"/>
      <c r="X252" s="39"/>
    </row>
    <row r="253" spans="12:24">
      <c r="L253" s="31"/>
      <c r="M253" s="31"/>
      <c r="N253" s="31"/>
      <c r="Q253" s="31"/>
      <c r="T253" s="12"/>
      <c r="U253" s="31"/>
      <c r="X253" s="39"/>
    </row>
    <row r="254" spans="12:24">
      <c r="L254" s="31"/>
      <c r="M254" s="31"/>
      <c r="N254" s="31"/>
      <c r="Q254" s="31"/>
      <c r="T254" s="12"/>
      <c r="U254" s="31"/>
      <c r="X254" s="39"/>
    </row>
    <row r="255" spans="12:24">
      <c r="L255" s="31"/>
      <c r="M255" s="31"/>
      <c r="N255" s="31"/>
      <c r="Q255" s="31"/>
      <c r="T255" s="12"/>
      <c r="U255" s="31"/>
      <c r="X255" s="39"/>
    </row>
    <row r="256" spans="12:24">
      <c r="L256" s="31"/>
      <c r="M256" s="31"/>
      <c r="N256" s="31"/>
      <c r="Q256" s="31"/>
      <c r="T256" s="12"/>
      <c r="U256" s="31"/>
      <c r="X256" s="39"/>
    </row>
    <row r="257" spans="12:24">
      <c r="L257" s="31"/>
      <c r="M257" s="31"/>
      <c r="N257" s="31"/>
      <c r="Q257" s="31"/>
      <c r="T257" s="12"/>
      <c r="U257" s="31"/>
      <c r="X257" s="39"/>
    </row>
    <row r="258" spans="12:24">
      <c r="L258" s="31"/>
      <c r="M258" s="31"/>
      <c r="N258" s="31"/>
      <c r="Q258" s="31"/>
      <c r="T258" s="12"/>
      <c r="U258" s="31"/>
      <c r="X258" s="39"/>
    </row>
    <row r="259" spans="12:24">
      <c r="L259" s="31"/>
      <c r="M259" s="31"/>
      <c r="N259" s="31"/>
      <c r="Q259" s="31"/>
      <c r="T259" s="12"/>
      <c r="U259" s="31"/>
      <c r="X259" s="39"/>
    </row>
    <row r="260" spans="12:24">
      <c r="L260" s="31"/>
      <c r="M260" s="31"/>
      <c r="N260" s="31"/>
      <c r="Q260" s="31"/>
      <c r="T260" s="12"/>
      <c r="U260" s="31"/>
      <c r="X260" s="39"/>
    </row>
    <row r="261" spans="12:24">
      <c r="L261" s="31"/>
      <c r="M261" s="31"/>
      <c r="N261" s="31"/>
      <c r="Q261" s="31"/>
      <c r="T261" s="12"/>
      <c r="U261" s="31"/>
      <c r="X261" s="39"/>
    </row>
    <row r="262" spans="12:24">
      <c r="L262" s="31"/>
      <c r="M262" s="31"/>
      <c r="N262" s="31"/>
      <c r="Q262" s="31"/>
      <c r="T262" s="12"/>
      <c r="U262" s="31"/>
      <c r="X262" s="39"/>
    </row>
    <row r="263" spans="12:24">
      <c r="L263" s="31"/>
      <c r="M263" s="31"/>
      <c r="N263" s="31"/>
      <c r="Q263" s="31"/>
      <c r="T263" s="12"/>
      <c r="U263" s="31"/>
      <c r="X263" s="39"/>
    </row>
    <row r="264" spans="12:24">
      <c r="L264" s="31"/>
      <c r="M264" s="31"/>
      <c r="N264" s="31"/>
      <c r="Q264" s="31"/>
      <c r="T264" s="12"/>
      <c r="U264" s="31"/>
      <c r="X264" s="39"/>
    </row>
    <row r="265" spans="12:24">
      <c r="L265" s="31"/>
      <c r="M265" s="31"/>
      <c r="N265" s="31"/>
      <c r="Q265" s="31"/>
      <c r="R265" s="12"/>
      <c r="S265" s="12"/>
      <c r="T265" s="12"/>
      <c r="U265" s="12"/>
    </row>
    <row r="266" spans="12:24">
      <c r="L266" s="31"/>
      <c r="M266" s="31"/>
      <c r="N266" s="31"/>
      <c r="Q266" s="31"/>
      <c r="R266" s="12"/>
      <c r="S266" s="12"/>
      <c r="T266" s="12"/>
      <c r="U266" s="12"/>
    </row>
    <row r="267" spans="12:24">
      <c r="L267" s="31"/>
      <c r="M267" s="31"/>
      <c r="N267" s="31"/>
      <c r="Q267" s="31"/>
      <c r="R267" s="12"/>
      <c r="S267" s="12"/>
      <c r="T267" s="12"/>
      <c r="U267" s="12"/>
    </row>
    <row r="268" spans="12:24">
      <c r="L268" s="31"/>
      <c r="M268" s="31"/>
      <c r="N268" s="31"/>
      <c r="Q268" s="31"/>
      <c r="R268" s="12"/>
      <c r="S268" s="12"/>
      <c r="T268" s="12"/>
      <c r="U268" s="12"/>
    </row>
    <row r="269" spans="12:24">
      <c r="L269" s="31"/>
      <c r="M269" s="31"/>
      <c r="N269" s="31"/>
      <c r="Q269" s="31"/>
      <c r="R269" s="12"/>
      <c r="S269" s="12"/>
      <c r="T269" s="12"/>
      <c r="U269" s="12"/>
    </row>
    <row r="270" spans="12:24">
      <c r="L270" s="31"/>
      <c r="M270" s="31"/>
      <c r="N270" s="31"/>
      <c r="Q270" s="31"/>
      <c r="R270" s="12"/>
      <c r="S270" s="12"/>
      <c r="T270" s="12"/>
      <c r="U270" s="12"/>
    </row>
    <row r="271" spans="12:24">
      <c r="L271" s="31"/>
      <c r="M271" s="31"/>
      <c r="N271" s="31"/>
      <c r="Q271" s="31"/>
      <c r="R271" s="12"/>
      <c r="S271" s="12"/>
      <c r="T271" s="12"/>
      <c r="U271" s="12"/>
    </row>
    <row r="272" spans="12:24">
      <c r="L272" s="31"/>
      <c r="M272" s="31"/>
      <c r="N272" s="31"/>
      <c r="Q272" s="31"/>
      <c r="R272" s="12"/>
      <c r="S272" s="12"/>
      <c r="T272" s="12"/>
      <c r="U272" s="12"/>
    </row>
    <row r="273" spans="12:21">
      <c r="L273" s="31"/>
      <c r="M273" s="31"/>
      <c r="N273" s="31"/>
      <c r="Q273" s="31"/>
      <c r="R273" s="12"/>
      <c r="S273" s="12"/>
      <c r="T273" s="12"/>
      <c r="U273" s="12"/>
    </row>
    <row r="274" spans="12:21">
      <c r="L274" s="31"/>
      <c r="M274" s="31"/>
      <c r="N274" s="31"/>
      <c r="Q274" s="31"/>
      <c r="R274" s="12"/>
      <c r="S274" s="12"/>
      <c r="T274" s="12"/>
      <c r="U274" s="12"/>
    </row>
    <row r="275" spans="12:21">
      <c r="L275" s="31"/>
      <c r="M275" s="31"/>
      <c r="N275" s="31"/>
      <c r="Q275" s="31"/>
      <c r="R275" s="12"/>
      <c r="S275" s="12"/>
      <c r="T275" s="12"/>
      <c r="U275" s="12"/>
    </row>
    <row r="276" spans="12:21">
      <c r="L276" s="31"/>
      <c r="M276" s="31"/>
      <c r="N276" s="31"/>
      <c r="Q276" s="31"/>
      <c r="R276" s="12"/>
      <c r="S276" s="12"/>
      <c r="T276" s="12"/>
      <c r="U276" s="12"/>
    </row>
    <row r="277" spans="12:21">
      <c r="L277" s="31"/>
      <c r="M277" s="31"/>
      <c r="N277" s="31"/>
      <c r="Q277" s="31"/>
      <c r="R277" s="12"/>
      <c r="S277" s="12"/>
      <c r="T277" s="12"/>
      <c r="U277" s="12"/>
    </row>
    <row r="278" spans="12:21">
      <c r="L278" s="31"/>
      <c r="M278" s="31"/>
      <c r="N278" s="31"/>
      <c r="Q278" s="31"/>
      <c r="R278" s="12"/>
      <c r="S278" s="12"/>
      <c r="T278" s="12"/>
      <c r="U278" s="12"/>
    </row>
    <row r="279" spans="12:21">
      <c r="L279" s="31"/>
      <c r="M279" s="31"/>
      <c r="N279" s="31"/>
      <c r="Q279" s="31"/>
      <c r="R279" s="12"/>
      <c r="S279" s="12"/>
      <c r="T279" s="12"/>
      <c r="U279" s="12"/>
    </row>
    <row r="280" spans="12:21">
      <c r="L280" s="31"/>
      <c r="M280" s="31"/>
      <c r="N280" s="31"/>
      <c r="Q280" s="31"/>
      <c r="R280" s="12"/>
      <c r="S280" s="12"/>
      <c r="T280" s="12"/>
      <c r="U280" s="12"/>
    </row>
    <row r="281" spans="12:21">
      <c r="L281" s="31"/>
      <c r="M281" s="31"/>
      <c r="N281" s="31"/>
      <c r="Q281" s="31"/>
      <c r="R281" s="12"/>
      <c r="S281" s="12"/>
      <c r="T281" s="12"/>
      <c r="U281" s="12"/>
    </row>
    <row r="282" spans="12:21">
      <c r="L282" s="31"/>
      <c r="M282" s="31"/>
      <c r="N282" s="31"/>
      <c r="Q282" s="31"/>
      <c r="R282" s="12"/>
      <c r="S282" s="12"/>
      <c r="T282" s="12"/>
      <c r="U282" s="12"/>
    </row>
    <row r="283" spans="12:21">
      <c r="L283" s="31"/>
      <c r="M283" s="31"/>
      <c r="N283" s="31"/>
      <c r="Q283" s="31"/>
      <c r="R283" s="12"/>
      <c r="S283" s="12"/>
      <c r="T283" s="12"/>
      <c r="U283" s="12"/>
    </row>
    <row r="284" spans="12:21">
      <c r="L284" s="31"/>
      <c r="M284" s="31"/>
      <c r="N284" s="31"/>
      <c r="Q284" s="31"/>
      <c r="R284" s="12"/>
      <c r="S284" s="12"/>
      <c r="T284" s="12"/>
      <c r="U284" s="12"/>
    </row>
    <row r="285" spans="12:21">
      <c r="L285" s="31"/>
      <c r="M285" s="31"/>
      <c r="N285" s="31"/>
      <c r="Q285" s="31"/>
      <c r="R285" s="12"/>
      <c r="S285" s="12"/>
      <c r="T285" s="12"/>
      <c r="U285" s="12"/>
    </row>
    <row r="286" spans="12:21">
      <c r="L286" s="31"/>
      <c r="M286" s="31"/>
      <c r="N286" s="31"/>
      <c r="Q286" s="31"/>
      <c r="R286" s="12"/>
      <c r="S286" s="12"/>
      <c r="T286" s="12"/>
      <c r="U286" s="12"/>
    </row>
    <row r="287" spans="12:21">
      <c r="L287" s="31"/>
      <c r="M287" s="31"/>
      <c r="N287" s="31"/>
      <c r="Q287" s="31"/>
      <c r="R287" s="12"/>
      <c r="S287" s="12"/>
      <c r="T287" s="12"/>
      <c r="U287" s="12"/>
    </row>
    <row r="288" spans="12:21">
      <c r="L288" s="31"/>
      <c r="M288" s="31"/>
      <c r="N288" s="31"/>
      <c r="Q288" s="31"/>
      <c r="R288" s="12"/>
      <c r="S288" s="12"/>
      <c r="T288" s="12"/>
      <c r="U288" s="12"/>
    </row>
    <row r="289" spans="12:21">
      <c r="L289" s="31"/>
      <c r="M289" s="31"/>
      <c r="N289" s="31"/>
      <c r="Q289" s="31"/>
      <c r="R289" s="12"/>
      <c r="S289" s="12"/>
      <c r="T289" s="12"/>
      <c r="U289" s="12"/>
    </row>
    <row r="290" spans="12:21">
      <c r="L290" s="31"/>
      <c r="M290" s="31"/>
      <c r="N290" s="31"/>
      <c r="Q290" s="31"/>
      <c r="R290" s="12"/>
      <c r="S290" s="12"/>
      <c r="T290" s="12"/>
      <c r="U290" s="12"/>
    </row>
    <row r="291" spans="12:21">
      <c r="L291" s="31"/>
      <c r="M291" s="31"/>
      <c r="N291" s="31"/>
      <c r="Q291" s="31"/>
      <c r="R291" s="12"/>
      <c r="S291" s="12"/>
      <c r="T291" s="12"/>
      <c r="U291" s="12"/>
    </row>
    <row r="292" spans="12:21">
      <c r="L292" s="31"/>
      <c r="M292" s="31"/>
      <c r="N292" s="31"/>
      <c r="Q292" s="31"/>
      <c r="R292" s="12"/>
      <c r="S292" s="12"/>
      <c r="T292" s="12"/>
      <c r="U292" s="12"/>
    </row>
    <row r="293" spans="12:21">
      <c r="L293" s="31"/>
      <c r="M293" s="31"/>
      <c r="N293" s="31"/>
      <c r="Q293" s="31"/>
      <c r="R293" s="12"/>
      <c r="S293" s="12"/>
      <c r="T293" s="12"/>
      <c r="U293" s="12"/>
    </row>
    <row r="294" spans="12:21">
      <c r="L294" s="31"/>
      <c r="M294" s="31"/>
      <c r="N294" s="31"/>
      <c r="Q294" s="31"/>
      <c r="R294" s="12"/>
      <c r="S294" s="12"/>
      <c r="T294" s="12"/>
      <c r="U294" s="12"/>
    </row>
    <row r="295" spans="12:21">
      <c r="L295" s="31"/>
      <c r="M295" s="31"/>
      <c r="N295" s="31"/>
      <c r="Q295" s="31"/>
      <c r="R295" s="12"/>
      <c r="S295" s="12"/>
      <c r="T295" s="12"/>
      <c r="U295" s="12"/>
    </row>
    <row r="296" spans="12:21">
      <c r="L296" s="31"/>
      <c r="M296" s="31"/>
      <c r="N296" s="31"/>
      <c r="Q296" s="31"/>
      <c r="R296" s="12"/>
      <c r="S296" s="12"/>
      <c r="T296" s="12"/>
      <c r="U296" s="12"/>
    </row>
    <row r="297" spans="12:21">
      <c r="L297" s="31"/>
      <c r="M297" s="31"/>
      <c r="N297" s="31"/>
      <c r="Q297" s="31"/>
      <c r="R297" s="12"/>
      <c r="S297" s="12"/>
      <c r="T297" s="12"/>
      <c r="U297" s="12"/>
    </row>
    <row r="298" spans="12:21">
      <c r="L298" s="31"/>
      <c r="M298" s="31"/>
      <c r="N298" s="31"/>
      <c r="Q298" s="31"/>
      <c r="R298" s="12"/>
      <c r="S298" s="12"/>
      <c r="T298" s="12"/>
      <c r="U298" s="12"/>
    </row>
    <row r="299" spans="12:21">
      <c r="L299" s="31"/>
      <c r="M299" s="31"/>
      <c r="N299" s="31"/>
      <c r="Q299" s="31"/>
      <c r="R299" s="12"/>
      <c r="S299" s="12"/>
      <c r="T299" s="12"/>
      <c r="U299" s="12"/>
    </row>
    <row r="300" spans="12:21">
      <c r="L300" s="31"/>
      <c r="M300" s="31"/>
      <c r="N300" s="31"/>
      <c r="Q300" s="31"/>
      <c r="R300" s="12"/>
      <c r="S300" s="12"/>
      <c r="T300" s="12"/>
      <c r="U300" s="12"/>
    </row>
    <row r="301" spans="12:21">
      <c r="L301" s="31"/>
      <c r="M301" s="31"/>
      <c r="N301" s="31"/>
      <c r="Q301" s="31"/>
      <c r="R301" s="12"/>
      <c r="S301" s="12"/>
      <c r="T301" s="12"/>
      <c r="U301" s="12"/>
    </row>
    <row r="302" spans="12:21">
      <c r="L302" s="31"/>
      <c r="M302" s="31"/>
      <c r="N302" s="31"/>
      <c r="Q302" s="31"/>
      <c r="R302" s="12"/>
      <c r="S302" s="12"/>
      <c r="T302" s="12"/>
      <c r="U302" s="12"/>
    </row>
    <row r="303" spans="12:21">
      <c r="L303" s="31"/>
      <c r="M303" s="31"/>
      <c r="N303" s="31"/>
      <c r="Q303" s="31"/>
      <c r="R303" s="12"/>
      <c r="S303" s="12"/>
      <c r="T303" s="12"/>
      <c r="U303" s="12"/>
    </row>
    <row r="304" spans="12:21">
      <c r="L304" s="31"/>
      <c r="M304" s="31"/>
      <c r="N304" s="31"/>
      <c r="Q304" s="31"/>
      <c r="R304" s="12"/>
      <c r="S304" s="12"/>
      <c r="T304" s="12"/>
      <c r="U304" s="12"/>
    </row>
    <row r="305" spans="12:21">
      <c r="L305" s="31"/>
      <c r="M305" s="31"/>
      <c r="N305" s="31"/>
      <c r="Q305" s="31"/>
      <c r="R305" s="12"/>
      <c r="S305" s="12"/>
      <c r="T305" s="12"/>
      <c r="U305" s="12"/>
    </row>
    <row r="306" spans="12:21">
      <c r="L306" s="31"/>
      <c r="M306" s="31"/>
      <c r="N306" s="31"/>
      <c r="Q306" s="31"/>
      <c r="R306" s="12"/>
      <c r="S306" s="12"/>
      <c r="T306" s="12"/>
      <c r="U306" s="12"/>
    </row>
    <row r="307" spans="12:21">
      <c r="L307" s="31"/>
      <c r="M307" s="31"/>
      <c r="N307" s="31"/>
      <c r="Q307" s="31"/>
      <c r="R307" s="12"/>
      <c r="S307" s="12"/>
      <c r="T307" s="12"/>
      <c r="U307" s="12"/>
    </row>
    <row r="308" spans="12:21">
      <c r="L308" s="31"/>
      <c r="M308" s="31"/>
      <c r="N308" s="31"/>
      <c r="Q308" s="31"/>
      <c r="R308" s="12"/>
      <c r="S308" s="12"/>
      <c r="T308" s="12"/>
      <c r="U308" s="12"/>
    </row>
    <row r="309" spans="12:21">
      <c r="L309" s="31"/>
      <c r="M309" s="31"/>
      <c r="N309" s="31"/>
      <c r="Q309" s="31"/>
      <c r="R309" s="12"/>
      <c r="S309" s="12"/>
      <c r="T309" s="12"/>
      <c r="U309" s="12"/>
    </row>
    <row r="310" spans="12:21">
      <c r="L310" s="31"/>
      <c r="M310" s="31"/>
      <c r="N310" s="31"/>
      <c r="Q310" s="31"/>
      <c r="R310" s="12"/>
      <c r="S310" s="12"/>
      <c r="T310" s="12"/>
      <c r="U310" s="12"/>
    </row>
    <row r="311" spans="12:21">
      <c r="L311" s="31"/>
      <c r="M311" s="31"/>
      <c r="N311" s="31"/>
      <c r="Q311" s="31"/>
      <c r="R311" s="12"/>
      <c r="S311" s="12"/>
      <c r="T311" s="12"/>
      <c r="U311" s="12"/>
    </row>
    <row r="312" spans="12:21">
      <c r="L312" s="31"/>
      <c r="M312" s="31"/>
      <c r="N312" s="31"/>
      <c r="Q312" s="31"/>
      <c r="R312" s="12"/>
      <c r="S312" s="12"/>
      <c r="T312" s="12"/>
      <c r="U312" s="12"/>
    </row>
    <row r="313" spans="12:21">
      <c r="L313" s="31"/>
      <c r="M313" s="31"/>
      <c r="N313" s="31"/>
      <c r="Q313" s="31"/>
      <c r="R313" s="12"/>
      <c r="S313" s="12"/>
      <c r="T313" s="12"/>
      <c r="U313" s="12"/>
    </row>
    <row r="314" spans="12:21">
      <c r="L314" s="31"/>
      <c r="M314" s="31"/>
      <c r="N314" s="31"/>
      <c r="Q314" s="31"/>
      <c r="R314" s="12"/>
      <c r="S314" s="12"/>
      <c r="T314" s="12"/>
      <c r="U314" s="12"/>
    </row>
    <row r="315" spans="12:21">
      <c r="L315" s="31"/>
      <c r="M315" s="31"/>
      <c r="N315" s="31"/>
      <c r="Q315" s="31"/>
      <c r="R315" s="12"/>
      <c r="S315" s="12"/>
      <c r="T315" s="12"/>
      <c r="U315" s="12"/>
    </row>
    <row r="316" spans="12:21">
      <c r="L316" s="31"/>
      <c r="M316" s="31"/>
      <c r="N316" s="31"/>
      <c r="Q316" s="31"/>
      <c r="R316" s="12"/>
      <c r="S316" s="12"/>
      <c r="T316" s="12"/>
      <c r="U316" s="12"/>
    </row>
    <row r="317" spans="12:21">
      <c r="L317" s="31"/>
      <c r="M317" s="31"/>
      <c r="N317" s="31"/>
      <c r="Q317" s="31"/>
      <c r="R317" s="12"/>
      <c r="S317" s="12"/>
      <c r="T317" s="12"/>
      <c r="U317" s="12"/>
    </row>
    <row r="318" spans="12:21">
      <c r="L318" s="31"/>
      <c r="M318" s="31"/>
      <c r="N318" s="31"/>
      <c r="Q318" s="31"/>
      <c r="R318" s="12"/>
      <c r="S318" s="12"/>
    </row>
    <row r="319" spans="12:21">
      <c r="L319" s="31"/>
      <c r="M319" s="31"/>
      <c r="N319" s="31"/>
      <c r="Q319" s="31"/>
      <c r="R319" s="12"/>
      <c r="S319" s="12"/>
    </row>
    <row r="320" spans="12:21">
      <c r="L320" s="31"/>
      <c r="M320" s="31"/>
      <c r="N320" s="31"/>
      <c r="Q320" s="31"/>
      <c r="R320" s="12"/>
      <c r="S320" s="12"/>
    </row>
    <row r="321" spans="12:19">
      <c r="L321" s="31"/>
      <c r="M321" s="31"/>
      <c r="N321" s="31"/>
      <c r="Q321" s="31"/>
      <c r="R321" s="12"/>
      <c r="S321" s="12"/>
    </row>
    <row r="322" spans="12:19">
      <c r="L322" s="31"/>
      <c r="M322" s="31"/>
      <c r="N322" s="31"/>
      <c r="Q322" s="31"/>
      <c r="R322" s="12"/>
      <c r="S322" s="12"/>
    </row>
    <row r="323" spans="12:19">
      <c r="L323" s="31"/>
      <c r="M323" s="31"/>
      <c r="N323" s="31"/>
      <c r="Q323" s="31"/>
      <c r="R323" s="12"/>
      <c r="S323" s="12"/>
    </row>
    <row r="324" spans="12:19">
      <c r="L324" s="31"/>
      <c r="M324" s="31"/>
      <c r="N324" s="31"/>
      <c r="Q324" s="31"/>
      <c r="R324" s="12"/>
      <c r="S324" s="12"/>
    </row>
    <row r="325" spans="12:19">
      <c r="L325" s="31"/>
      <c r="M325" s="31"/>
      <c r="N325" s="31"/>
      <c r="Q325" s="31"/>
      <c r="R325" s="12"/>
      <c r="S325" s="12"/>
    </row>
    <row r="326" spans="12:19">
      <c r="L326" s="31"/>
      <c r="M326" s="31"/>
      <c r="N326" s="31"/>
      <c r="Q326" s="31"/>
      <c r="R326" s="12"/>
      <c r="S326" s="12"/>
    </row>
    <row r="327" spans="12:19">
      <c r="L327" s="31"/>
      <c r="M327" s="31"/>
      <c r="N327" s="31"/>
      <c r="Q327" s="31"/>
      <c r="R327" s="12"/>
      <c r="S327" s="12"/>
    </row>
    <row r="328" spans="12:19">
      <c r="L328" s="31"/>
      <c r="M328" s="31"/>
      <c r="N328" s="31"/>
      <c r="Q328" s="31"/>
      <c r="R328" s="12"/>
      <c r="S328" s="12"/>
    </row>
    <row r="329" spans="12:19">
      <c r="L329" s="31"/>
      <c r="M329" s="31"/>
      <c r="N329" s="31"/>
      <c r="Q329" s="31"/>
      <c r="R329" s="12"/>
      <c r="S329" s="12"/>
    </row>
    <row r="330" spans="12:19">
      <c r="L330" s="31"/>
      <c r="M330" s="31"/>
      <c r="N330" s="31"/>
      <c r="Q330" s="31"/>
      <c r="R330" s="12"/>
      <c r="S330" s="12"/>
    </row>
    <row r="331" spans="12:19">
      <c r="L331" s="31"/>
      <c r="M331" s="31"/>
      <c r="N331" s="31"/>
      <c r="Q331" s="31"/>
      <c r="R331" s="12"/>
      <c r="S331" s="12"/>
    </row>
    <row r="332" spans="12:19">
      <c r="L332" s="31"/>
      <c r="M332" s="31"/>
      <c r="N332" s="31"/>
      <c r="Q332" s="31"/>
      <c r="R332" s="12"/>
      <c r="S332" s="12"/>
    </row>
    <row r="333" spans="12:19">
      <c r="L333" s="31"/>
      <c r="M333" s="31"/>
      <c r="N333" s="31"/>
      <c r="Q333" s="31"/>
      <c r="R333" s="12"/>
      <c r="S333" s="12"/>
    </row>
    <row r="334" spans="12:19">
      <c r="L334" s="31"/>
      <c r="M334" s="31"/>
      <c r="N334" s="31"/>
      <c r="Q334" s="31"/>
      <c r="R334" s="12"/>
      <c r="S334" s="12"/>
    </row>
    <row r="335" spans="12:19">
      <c r="L335" s="31"/>
      <c r="M335" s="31"/>
      <c r="N335" s="31"/>
      <c r="Q335" s="31"/>
      <c r="R335" s="12"/>
      <c r="S335" s="12"/>
    </row>
    <row r="336" spans="12:19">
      <c r="L336" s="31"/>
      <c r="M336" s="31"/>
      <c r="N336" s="31"/>
      <c r="Q336" s="31"/>
      <c r="R336" s="12"/>
      <c r="S336" s="12"/>
    </row>
    <row r="337" spans="12:19">
      <c r="L337" s="31"/>
      <c r="M337" s="31"/>
      <c r="N337" s="31"/>
      <c r="Q337" s="31"/>
      <c r="R337" s="12"/>
      <c r="S337" s="12"/>
    </row>
    <row r="338" spans="12:19">
      <c r="L338" s="31"/>
      <c r="M338" s="31"/>
      <c r="N338" s="31"/>
      <c r="Q338" s="31"/>
      <c r="R338" s="12"/>
      <c r="S338" s="12"/>
    </row>
    <row r="339" spans="12:19">
      <c r="L339" s="31"/>
      <c r="M339" s="31"/>
      <c r="N339" s="31"/>
      <c r="Q339" s="31"/>
      <c r="R339" s="12"/>
      <c r="S339" s="12"/>
    </row>
    <row r="340" spans="12:19">
      <c r="L340" s="31"/>
      <c r="M340" s="31"/>
      <c r="N340" s="31"/>
      <c r="Q340" s="31"/>
      <c r="R340" s="12"/>
      <c r="S340" s="12"/>
    </row>
    <row r="341" spans="12:19">
      <c r="L341" s="31"/>
      <c r="M341" s="31"/>
      <c r="N341" s="31"/>
      <c r="Q341" s="31"/>
      <c r="R341" s="12"/>
      <c r="S341" s="12"/>
    </row>
    <row r="342" spans="12:19">
      <c r="L342" s="31"/>
      <c r="M342" s="31"/>
      <c r="N342" s="31"/>
      <c r="Q342" s="31"/>
      <c r="R342" s="12"/>
      <c r="S342" s="12"/>
    </row>
    <row r="343" spans="12:19">
      <c r="L343" s="31"/>
      <c r="M343" s="31"/>
      <c r="N343" s="31"/>
      <c r="Q343" s="31"/>
      <c r="R343" s="12"/>
      <c r="S343" s="12"/>
    </row>
    <row r="344" spans="12:19">
      <c r="L344" s="31"/>
      <c r="M344" s="31"/>
      <c r="N344" s="31"/>
      <c r="Q344" s="31"/>
      <c r="R344" s="12"/>
      <c r="S344" s="12"/>
    </row>
    <row r="345" spans="12:19">
      <c r="L345" s="31"/>
      <c r="M345" s="31"/>
      <c r="N345" s="31"/>
      <c r="Q345" s="31"/>
      <c r="R345" s="12"/>
      <c r="S345" s="12"/>
    </row>
    <row r="346" spans="12:19">
      <c r="L346" s="31"/>
      <c r="M346" s="31"/>
      <c r="N346" s="31"/>
      <c r="Q346" s="31"/>
      <c r="R346" s="12"/>
      <c r="S346" s="12"/>
    </row>
    <row r="347" spans="12:19">
      <c r="L347" s="31"/>
      <c r="M347" s="31"/>
      <c r="N347" s="31"/>
      <c r="Q347" s="31"/>
      <c r="R347" s="12"/>
      <c r="S347" s="12"/>
    </row>
    <row r="348" spans="12:19">
      <c r="L348" s="31"/>
      <c r="M348" s="31"/>
      <c r="N348" s="31"/>
      <c r="Q348" s="31"/>
      <c r="R348" s="12"/>
      <c r="S348" s="12"/>
    </row>
    <row r="349" spans="12:19">
      <c r="L349" s="31"/>
      <c r="M349" s="31"/>
      <c r="N349" s="31"/>
      <c r="Q349" s="31"/>
      <c r="R349" s="12"/>
      <c r="S349" s="12"/>
    </row>
    <row r="350" spans="12:19">
      <c r="L350" s="31"/>
      <c r="M350" s="31"/>
      <c r="N350" s="31"/>
      <c r="Q350" s="31"/>
      <c r="R350" s="12"/>
      <c r="S350" s="12"/>
    </row>
    <row r="351" spans="12:19">
      <c r="L351" s="31"/>
      <c r="M351" s="31"/>
      <c r="N351" s="31"/>
      <c r="Q351" s="31"/>
      <c r="R351" s="12"/>
      <c r="S351" s="12"/>
    </row>
    <row r="352" spans="12:19">
      <c r="L352" s="31"/>
      <c r="M352" s="31"/>
      <c r="N352" s="31"/>
      <c r="Q352" s="31"/>
      <c r="R352" s="12"/>
      <c r="S352" s="12"/>
    </row>
    <row r="353" spans="12:19">
      <c r="L353" s="31"/>
      <c r="M353" s="31"/>
      <c r="N353" s="31"/>
      <c r="Q353" s="31"/>
      <c r="R353" s="12"/>
      <c r="S353" s="12"/>
    </row>
    <row r="354" spans="12:19">
      <c r="L354" s="31"/>
      <c r="M354" s="31"/>
      <c r="N354" s="31"/>
      <c r="Q354" s="31"/>
      <c r="R354" s="12"/>
      <c r="S354" s="12"/>
    </row>
    <row r="355" spans="12:19">
      <c r="L355" s="31"/>
      <c r="M355" s="31"/>
      <c r="N355" s="31"/>
      <c r="Q355" s="31"/>
      <c r="R355" s="12"/>
      <c r="S355" s="12"/>
    </row>
    <row r="356" spans="12:19">
      <c r="L356" s="31"/>
      <c r="M356" s="31"/>
      <c r="N356" s="31"/>
      <c r="Q356" s="31"/>
      <c r="R356" s="12"/>
      <c r="S356" s="12"/>
    </row>
    <row r="357" spans="12:19">
      <c r="L357" s="31"/>
      <c r="M357" s="31"/>
      <c r="N357" s="31"/>
      <c r="Q357" s="31"/>
      <c r="R357" s="12"/>
      <c r="S357" s="12"/>
    </row>
    <row r="358" spans="12:19">
      <c r="L358" s="31"/>
      <c r="M358" s="31"/>
      <c r="N358" s="31"/>
      <c r="Q358" s="31"/>
      <c r="R358" s="12"/>
      <c r="S358" s="12"/>
    </row>
    <row r="359" spans="12:19">
      <c r="L359" s="31"/>
      <c r="M359" s="31"/>
      <c r="N359" s="31"/>
      <c r="Q359" s="31"/>
      <c r="R359" s="12"/>
      <c r="S359" s="12"/>
    </row>
    <row r="360" spans="12:19">
      <c r="L360" s="31"/>
      <c r="M360" s="31"/>
      <c r="N360" s="31"/>
      <c r="Q360" s="31"/>
      <c r="R360" s="12"/>
      <c r="S360" s="12"/>
    </row>
    <row r="361" spans="12:19">
      <c r="L361" s="31"/>
      <c r="M361" s="31"/>
      <c r="N361" s="31"/>
      <c r="Q361" s="31"/>
      <c r="R361" s="12"/>
      <c r="S361" s="12"/>
    </row>
    <row r="362" spans="12:19">
      <c r="L362" s="31"/>
      <c r="M362" s="31"/>
      <c r="N362" s="31"/>
      <c r="Q362" s="31"/>
      <c r="R362" s="12"/>
      <c r="S362" s="12"/>
    </row>
    <row r="363" spans="12:19">
      <c r="L363" s="31"/>
      <c r="M363" s="31"/>
      <c r="N363" s="31"/>
      <c r="Q363" s="31"/>
      <c r="R363" s="12"/>
      <c r="S363" s="12"/>
    </row>
    <row r="364" spans="12:19">
      <c r="L364" s="31"/>
      <c r="M364" s="31"/>
      <c r="N364" s="31"/>
      <c r="Q364" s="31"/>
      <c r="R364" s="12"/>
      <c r="S364" s="12"/>
    </row>
    <row r="365" spans="12:19">
      <c r="L365" s="31"/>
      <c r="M365" s="31"/>
      <c r="N365" s="31"/>
      <c r="Q365" s="31"/>
      <c r="R365" s="12"/>
      <c r="S365" s="12"/>
    </row>
    <row r="366" spans="12:19">
      <c r="L366" s="31"/>
      <c r="M366" s="31"/>
      <c r="N366" s="31"/>
      <c r="Q366" s="31"/>
      <c r="R366" s="12"/>
      <c r="S366" s="12"/>
    </row>
    <row r="367" spans="12:19">
      <c r="L367" s="31"/>
      <c r="M367" s="31"/>
      <c r="N367" s="31"/>
      <c r="Q367" s="31"/>
      <c r="R367" s="12"/>
      <c r="S367" s="12"/>
    </row>
    <row r="368" spans="12:19">
      <c r="L368" s="31"/>
      <c r="M368" s="31"/>
      <c r="N368" s="31"/>
      <c r="Q368" s="31"/>
      <c r="R368" s="12"/>
      <c r="S368" s="12"/>
    </row>
    <row r="369" spans="12:19">
      <c r="L369" s="31"/>
      <c r="M369" s="31"/>
      <c r="N369" s="31"/>
      <c r="Q369" s="31"/>
      <c r="R369" s="12"/>
      <c r="S369" s="12"/>
    </row>
    <row r="370" spans="12:19">
      <c r="L370" s="31"/>
      <c r="M370" s="31"/>
      <c r="N370" s="31"/>
      <c r="Q370" s="31"/>
      <c r="R370" s="12"/>
      <c r="S370" s="12"/>
    </row>
    <row r="371" spans="12:19">
      <c r="L371" s="31"/>
      <c r="M371" s="31"/>
      <c r="N371" s="31"/>
      <c r="Q371" s="31"/>
      <c r="R371" s="12"/>
      <c r="S371" s="12"/>
    </row>
    <row r="372" spans="12:19">
      <c r="L372" s="31"/>
      <c r="M372" s="31"/>
      <c r="N372" s="31"/>
      <c r="Q372" s="31"/>
      <c r="R372" s="12"/>
      <c r="S372" s="12"/>
    </row>
    <row r="373" spans="12:19">
      <c r="L373" s="31"/>
      <c r="M373" s="31"/>
      <c r="N373" s="31"/>
      <c r="Q373" s="31"/>
      <c r="R373" s="12"/>
      <c r="S373" s="12"/>
    </row>
    <row r="374" spans="12:19">
      <c r="L374" s="31"/>
      <c r="M374" s="31"/>
      <c r="N374" s="31"/>
      <c r="Q374" s="31"/>
      <c r="R374" s="12"/>
      <c r="S374" s="12"/>
    </row>
    <row r="375" spans="12:19">
      <c r="L375" s="31"/>
      <c r="M375" s="31"/>
      <c r="N375" s="31"/>
      <c r="Q375" s="31"/>
      <c r="R375" s="12"/>
      <c r="S375" s="12"/>
    </row>
    <row r="376" spans="12:19">
      <c r="L376" s="31"/>
      <c r="M376" s="31"/>
      <c r="N376" s="31"/>
      <c r="Q376" s="31"/>
      <c r="R376" s="12"/>
      <c r="S376" s="12"/>
    </row>
    <row r="377" spans="12:19">
      <c r="L377" s="31"/>
      <c r="M377" s="31"/>
      <c r="N377" s="31"/>
      <c r="Q377" s="31"/>
      <c r="R377" s="12"/>
      <c r="S377" s="12"/>
    </row>
    <row r="378" spans="12:19">
      <c r="L378" s="31"/>
      <c r="M378" s="31"/>
      <c r="N378" s="31"/>
      <c r="Q378" s="31"/>
      <c r="R378" s="12"/>
      <c r="S378" s="12"/>
    </row>
    <row r="379" spans="12:19">
      <c r="L379" s="31"/>
      <c r="M379" s="31"/>
      <c r="N379" s="31"/>
      <c r="Q379" s="31"/>
      <c r="R379" s="12"/>
      <c r="S379" s="12"/>
    </row>
    <row r="380" spans="12:19">
      <c r="L380" s="31"/>
      <c r="M380" s="31"/>
      <c r="N380" s="31"/>
      <c r="Q380" s="31"/>
      <c r="R380" s="12"/>
      <c r="S380" s="12"/>
    </row>
    <row r="381" spans="12:19">
      <c r="L381" s="31"/>
      <c r="M381" s="31"/>
      <c r="N381" s="31"/>
      <c r="Q381" s="31"/>
      <c r="R381" s="12"/>
      <c r="S381" s="12"/>
    </row>
    <row r="382" spans="12:19">
      <c r="L382" s="31"/>
      <c r="M382" s="31"/>
      <c r="N382" s="31"/>
      <c r="Q382" s="31"/>
      <c r="R382" s="12"/>
      <c r="S382" s="12"/>
    </row>
    <row r="383" spans="12:19">
      <c r="L383" s="31"/>
      <c r="M383" s="31"/>
      <c r="N383" s="31"/>
      <c r="Q383" s="31"/>
      <c r="R383" s="12"/>
      <c r="S383" s="12"/>
    </row>
    <row r="384" spans="12:19">
      <c r="L384" s="31"/>
      <c r="M384" s="31"/>
      <c r="N384" s="31"/>
      <c r="Q384" s="31"/>
      <c r="R384" s="12"/>
      <c r="S384" s="12"/>
    </row>
    <row r="385" spans="12:19">
      <c r="L385" s="31"/>
      <c r="M385" s="31"/>
      <c r="N385" s="31"/>
      <c r="Q385" s="31"/>
      <c r="R385" s="12"/>
      <c r="S385" s="12"/>
    </row>
    <row r="386" spans="12:19">
      <c r="L386" s="31"/>
      <c r="M386" s="31"/>
      <c r="N386" s="31"/>
      <c r="Q386" s="31"/>
      <c r="R386" s="12"/>
      <c r="S386" s="12"/>
    </row>
    <row r="387" spans="12:19">
      <c r="L387" s="31"/>
      <c r="M387" s="31"/>
      <c r="N387" s="31"/>
      <c r="Q387" s="31"/>
      <c r="R387" s="12"/>
      <c r="S387" s="12"/>
    </row>
    <row r="388" spans="12:19">
      <c r="L388" s="31"/>
      <c r="M388" s="31"/>
      <c r="N388" s="31"/>
      <c r="Q388" s="31"/>
      <c r="R388" s="12"/>
      <c r="S388" s="12"/>
    </row>
    <row r="389" spans="12:19">
      <c r="L389" s="31"/>
      <c r="M389" s="31"/>
      <c r="N389" s="31"/>
      <c r="Q389" s="31"/>
      <c r="R389" s="12"/>
      <c r="S389" s="12"/>
    </row>
    <row r="390" spans="12:19">
      <c r="L390" s="31"/>
      <c r="M390" s="31"/>
      <c r="N390" s="31"/>
      <c r="Q390" s="31"/>
      <c r="R390" s="12"/>
      <c r="S390" s="12"/>
    </row>
    <row r="391" spans="12:19">
      <c r="L391" s="31"/>
      <c r="M391" s="31"/>
      <c r="N391" s="31"/>
      <c r="Q391" s="31"/>
      <c r="R391" s="12"/>
      <c r="S391" s="12"/>
    </row>
    <row r="392" spans="12:19">
      <c r="L392" s="31"/>
      <c r="M392" s="31"/>
      <c r="N392" s="31"/>
      <c r="Q392" s="31"/>
      <c r="R392" s="12"/>
      <c r="S392" s="12"/>
    </row>
    <row r="393" spans="12:19">
      <c r="L393" s="31"/>
      <c r="M393" s="31"/>
      <c r="N393" s="31"/>
      <c r="Q393" s="31"/>
      <c r="R393" s="12"/>
      <c r="S393" s="12"/>
    </row>
    <row r="394" spans="12:19">
      <c r="L394" s="31"/>
      <c r="M394" s="31"/>
      <c r="N394" s="31"/>
      <c r="Q394" s="31"/>
      <c r="R394" s="12"/>
      <c r="S394" s="12"/>
    </row>
    <row r="395" spans="12:19">
      <c r="L395" s="31"/>
      <c r="M395" s="31"/>
      <c r="N395" s="31"/>
      <c r="Q395" s="31"/>
      <c r="R395" s="12"/>
      <c r="S395" s="12"/>
    </row>
    <row r="396" spans="12:19">
      <c r="L396" s="31"/>
      <c r="M396" s="31"/>
      <c r="N396" s="31"/>
      <c r="Q396" s="31"/>
      <c r="R396" s="12"/>
      <c r="S396" s="12"/>
    </row>
    <row r="397" spans="12:19">
      <c r="L397" s="31"/>
      <c r="M397" s="31"/>
      <c r="N397" s="31"/>
      <c r="Q397" s="31"/>
      <c r="R397" s="12"/>
      <c r="S397" s="12"/>
    </row>
    <row r="398" spans="12:19">
      <c r="L398" s="31"/>
      <c r="M398" s="31"/>
      <c r="N398" s="31"/>
      <c r="Q398" s="31"/>
      <c r="R398" s="12"/>
      <c r="S398" s="12"/>
    </row>
    <row r="399" spans="12:19">
      <c r="L399" s="31"/>
      <c r="M399" s="31"/>
      <c r="N399" s="31"/>
      <c r="Q399" s="31"/>
      <c r="R399" s="12"/>
      <c r="S399" s="12"/>
    </row>
    <row r="400" spans="12:19">
      <c r="L400" s="31"/>
      <c r="M400" s="31"/>
      <c r="N400" s="31"/>
      <c r="Q400" s="31"/>
      <c r="R400" s="12"/>
      <c r="S400" s="12"/>
    </row>
    <row r="401" spans="12:19">
      <c r="L401" s="31"/>
      <c r="M401" s="31"/>
      <c r="N401" s="31"/>
      <c r="Q401" s="31"/>
      <c r="R401" s="12"/>
      <c r="S401" s="12"/>
    </row>
    <row r="402" spans="12:19">
      <c r="L402" s="31"/>
      <c r="M402" s="31"/>
      <c r="N402" s="31"/>
      <c r="Q402" s="31"/>
      <c r="R402" s="12"/>
      <c r="S402" s="12"/>
    </row>
    <row r="403" spans="12:19">
      <c r="L403" s="31"/>
      <c r="M403" s="31"/>
      <c r="N403" s="31"/>
      <c r="Q403" s="31"/>
      <c r="R403" s="12"/>
      <c r="S403" s="12"/>
    </row>
    <row r="404" spans="12:19">
      <c r="L404" s="31"/>
      <c r="M404" s="31"/>
      <c r="N404" s="31"/>
      <c r="Q404" s="31"/>
      <c r="R404" s="12"/>
      <c r="S404" s="12"/>
    </row>
    <row r="405" spans="12:19">
      <c r="L405" s="31"/>
      <c r="M405" s="31"/>
      <c r="N405" s="31"/>
      <c r="Q405" s="31"/>
      <c r="R405" s="12"/>
      <c r="S405" s="12"/>
    </row>
    <row r="406" spans="12:19">
      <c r="L406" s="31"/>
      <c r="M406" s="31"/>
      <c r="N406" s="31"/>
      <c r="Q406" s="31"/>
      <c r="R406" s="12"/>
      <c r="S406" s="12"/>
    </row>
    <row r="407" spans="12:19">
      <c r="L407" s="31"/>
      <c r="M407" s="31"/>
      <c r="N407" s="31"/>
      <c r="Q407" s="31"/>
      <c r="R407" s="12"/>
      <c r="S407" s="12"/>
    </row>
    <row r="408" spans="12:19">
      <c r="L408" s="31"/>
      <c r="M408" s="31"/>
      <c r="N408" s="31"/>
      <c r="Q408" s="31"/>
      <c r="R408" s="12"/>
      <c r="S408" s="12"/>
    </row>
    <row r="409" spans="12:19">
      <c r="L409" s="31"/>
      <c r="M409" s="31"/>
      <c r="N409" s="31"/>
      <c r="Q409" s="31"/>
      <c r="R409" s="12"/>
      <c r="S409" s="12"/>
    </row>
    <row r="410" spans="12:19">
      <c r="L410" s="31"/>
      <c r="M410" s="31"/>
      <c r="N410" s="31"/>
      <c r="Q410" s="31"/>
      <c r="R410" s="12"/>
      <c r="S410" s="12"/>
    </row>
    <row r="411" spans="12:19">
      <c r="L411" s="31"/>
      <c r="M411" s="31"/>
      <c r="N411" s="31"/>
      <c r="Q411" s="31"/>
      <c r="R411" s="12"/>
      <c r="S411" s="12"/>
    </row>
    <row r="412" spans="12:19">
      <c r="L412" s="31"/>
      <c r="M412" s="31"/>
      <c r="N412" s="31"/>
      <c r="Q412" s="31"/>
      <c r="R412" s="12"/>
      <c r="S412" s="12"/>
    </row>
    <row r="413" spans="12:19">
      <c r="L413" s="31"/>
      <c r="M413" s="31"/>
      <c r="N413" s="31"/>
      <c r="Q413" s="31"/>
      <c r="R413" s="12"/>
      <c r="S413" s="12"/>
    </row>
    <row r="414" spans="12:19">
      <c r="L414" s="31"/>
      <c r="M414" s="31"/>
      <c r="N414" s="31"/>
      <c r="Q414" s="31"/>
      <c r="R414" s="12"/>
      <c r="S414" s="12"/>
    </row>
    <row r="415" spans="12:19">
      <c r="L415" s="31"/>
      <c r="M415" s="31"/>
      <c r="N415" s="31"/>
      <c r="Q415" s="31"/>
      <c r="R415" s="12"/>
      <c r="S415" s="12"/>
    </row>
    <row r="416" spans="12:19">
      <c r="L416" s="31"/>
      <c r="M416" s="31"/>
      <c r="N416" s="31"/>
      <c r="Q416" s="31"/>
      <c r="R416" s="12"/>
      <c r="S416" s="12"/>
    </row>
    <row r="417" spans="12:19">
      <c r="L417" s="31"/>
      <c r="M417" s="31"/>
      <c r="N417" s="31"/>
      <c r="Q417" s="31"/>
      <c r="R417" s="12"/>
      <c r="S417" s="12"/>
    </row>
    <row r="418" spans="12:19">
      <c r="L418" s="31"/>
      <c r="M418" s="31"/>
      <c r="N418" s="31"/>
      <c r="Q418" s="31"/>
      <c r="R418" s="12"/>
      <c r="S418" s="12"/>
    </row>
    <row r="419" spans="12:19">
      <c r="L419" s="31"/>
      <c r="M419" s="31"/>
      <c r="N419" s="31"/>
      <c r="Q419" s="31"/>
      <c r="R419" s="12"/>
      <c r="S419" s="12"/>
    </row>
    <row r="420" spans="12:19">
      <c r="L420" s="31"/>
      <c r="M420" s="31"/>
      <c r="N420" s="31"/>
      <c r="Q420" s="31"/>
      <c r="R420" s="12"/>
      <c r="S420" s="12"/>
    </row>
    <row r="421" spans="12:19">
      <c r="L421" s="31"/>
      <c r="M421" s="31"/>
      <c r="N421" s="31"/>
      <c r="Q421" s="31"/>
      <c r="R421" s="12"/>
      <c r="S421" s="12"/>
    </row>
    <row r="422" spans="12:19">
      <c r="L422" s="31"/>
      <c r="M422" s="31"/>
      <c r="N422" s="31"/>
      <c r="Q422" s="31"/>
      <c r="R422" s="12"/>
      <c r="S422" s="12"/>
    </row>
    <row r="423" spans="12:19">
      <c r="L423" s="31"/>
      <c r="M423" s="31"/>
      <c r="N423" s="31"/>
      <c r="Q423" s="31"/>
      <c r="R423" s="12"/>
      <c r="S423" s="12"/>
    </row>
    <row r="424" spans="12:19">
      <c r="L424" s="31"/>
      <c r="M424" s="31"/>
      <c r="N424" s="31"/>
      <c r="Q424" s="31"/>
      <c r="R424" s="12"/>
      <c r="S424" s="12"/>
    </row>
    <row r="425" spans="12:19">
      <c r="L425" s="31"/>
      <c r="M425" s="31"/>
      <c r="N425" s="31"/>
      <c r="Q425" s="31"/>
      <c r="R425" s="12"/>
      <c r="S425" s="12"/>
    </row>
    <row r="426" spans="12:19">
      <c r="L426" s="31"/>
      <c r="M426" s="31"/>
      <c r="N426" s="31"/>
      <c r="Q426" s="31"/>
      <c r="R426" s="12"/>
      <c r="S426" s="12"/>
    </row>
    <row r="427" spans="12:19">
      <c r="L427" s="31"/>
      <c r="M427" s="31"/>
      <c r="N427" s="31"/>
      <c r="Q427" s="31"/>
      <c r="R427" s="12"/>
      <c r="S427" s="12"/>
    </row>
    <row r="428" spans="12:19">
      <c r="L428" s="31"/>
      <c r="M428" s="31"/>
      <c r="N428" s="31"/>
      <c r="Q428" s="31"/>
      <c r="R428" s="12"/>
      <c r="S428" s="12"/>
    </row>
    <row r="429" spans="12:19">
      <c r="L429" s="31"/>
      <c r="M429" s="31"/>
      <c r="N429" s="31"/>
      <c r="Q429" s="31"/>
      <c r="R429" s="12"/>
      <c r="S429" s="12"/>
    </row>
    <row r="430" spans="12:19">
      <c r="L430" s="31"/>
      <c r="M430" s="31"/>
      <c r="N430" s="31"/>
      <c r="Q430" s="31"/>
      <c r="R430" s="12"/>
      <c r="S430" s="12"/>
    </row>
    <row r="431" spans="12:19">
      <c r="L431" s="31"/>
      <c r="M431" s="31"/>
      <c r="N431" s="31"/>
      <c r="Q431" s="31"/>
      <c r="R431" s="12"/>
      <c r="S431" s="12"/>
    </row>
    <row r="432" spans="12:19">
      <c r="L432" s="31"/>
      <c r="M432" s="31"/>
      <c r="N432" s="31"/>
      <c r="Q432" s="31"/>
      <c r="R432" s="12"/>
      <c r="S432" s="12"/>
    </row>
    <row r="433" spans="12:19">
      <c r="L433" s="31"/>
      <c r="M433" s="31"/>
      <c r="N433" s="31"/>
      <c r="Q433" s="31"/>
      <c r="R433" s="12"/>
      <c r="S433" s="12"/>
    </row>
    <row r="434" spans="12:19">
      <c r="L434" s="31"/>
      <c r="M434" s="31"/>
      <c r="N434" s="31"/>
      <c r="Q434" s="31"/>
      <c r="R434" s="12"/>
      <c r="S434" s="12"/>
    </row>
    <row r="435" spans="12:19">
      <c r="L435" s="31"/>
      <c r="M435" s="31"/>
      <c r="N435" s="31"/>
      <c r="Q435" s="31"/>
      <c r="R435" s="12"/>
      <c r="S435" s="12"/>
    </row>
    <row r="436" spans="12:19">
      <c r="L436" s="31"/>
      <c r="M436" s="31"/>
      <c r="N436" s="31"/>
      <c r="Q436" s="31"/>
      <c r="R436" s="12"/>
      <c r="S436" s="12"/>
    </row>
    <row r="437" spans="12:19">
      <c r="L437" s="31"/>
      <c r="M437" s="31"/>
      <c r="N437" s="31"/>
      <c r="Q437" s="31"/>
      <c r="R437" s="12"/>
      <c r="S437" s="12"/>
    </row>
    <row r="438" spans="12:19">
      <c r="L438" s="31"/>
      <c r="M438" s="31"/>
      <c r="N438" s="31"/>
      <c r="Q438" s="31"/>
      <c r="R438" s="12"/>
      <c r="S438" s="12"/>
    </row>
    <row r="439" spans="12:19">
      <c r="L439" s="31"/>
      <c r="M439" s="31"/>
      <c r="N439" s="31"/>
      <c r="Q439" s="31"/>
      <c r="R439" s="12"/>
      <c r="S439" s="12"/>
    </row>
    <row r="440" spans="12:19">
      <c r="L440" s="31"/>
      <c r="M440" s="31"/>
      <c r="N440" s="31"/>
      <c r="Q440" s="31"/>
      <c r="R440" s="12"/>
      <c r="S440" s="12"/>
    </row>
    <row r="441" spans="12:19">
      <c r="L441" s="31"/>
      <c r="M441" s="31"/>
      <c r="N441" s="31"/>
      <c r="Q441" s="31"/>
      <c r="R441" s="12"/>
      <c r="S441" s="12"/>
    </row>
    <row r="442" spans="12:19">
      <c r="L442" s="31"/>
      <c r="M442" s="31"/>
      <c r="N442" s="31"/>
      <c r="Q442" s="31"/>
      <c r="R442" s="12"/>
      <c r="S442" s="12"/>
    </row>
    <row r="443" spans="12:19">
      <c r="L443" s="31"/>
      <c r="M443" s="31"/>
      <c r="N443" s="31"/>
      <c r="Q443" s="31"/>
      <c r="R443" s="12"/>
      <c r="S443" s="12"/>
    </row>
    <row r="444" spans="12:19">
      <c r="L444" s="31"/>
      <c r="M444" s="31"/>
      <c r="N444" s="31"/>
      <c r="Q444" s="31"/>
      <c r="R444" s="12"/>
      <c r="S444" s="12"/>
    </row>
    <row r="445" spans="12:19">
      <c r="L445" s="31"/>
      <c r="M445" s="31"/>
      <c r="N445" s="31"/>
      <c r="Q445" s="31"/>
      <c r="R445" s="12"/>
      <c r="S445" s="12"/>
    </row>
    <row r="446" spans="12:19">
      <c r="L446" s="31"/>
      <c r="M446" s="31"/>
    </row>
    <row r="447" spans="12:19">
      <c r="L447" s="31"/>
      <c r="M447" s="31"/>
    </row>
    <row r="448" spans="12:19">
      <c r="L448" s="31"/>
      <c r="M448" s="31"/>
    </row>
    <row r="449" spans="12:13">
      <c r="L449" s="31"/>
      <c r="M449" s="31"/>
    </row>
    <row r="450" spans="12:13">
      <c r="L450" s="31"/>
      <c r="M450" s="31"/>
    </row>
    <row r="451" spans="12:13">
      <c r="L451" s="31"/>
      <c r="M451" s="31"/>
    </row>
    <row r="452" spans="12:13">
      <c r="L452" s="31"/>
      <c r="M452" s="31"/>
    </row>
    <row r="453" spans="12:13">
      <c r="L453" s="31"/>
      <c r="M453" s="31"/>
    </row>
    <row r="454" spans="12:13">
      <c r="L454" s="31"/>
      <c r="M454" s="31"/>
    </row>
    <row r="455" spans="12:13">
      <c r="L455" s="31"/>
      <c r="M455" s="31"/>
    </row>
    <row r="456" spans="12:13">
      <c r="L456" s="31"/>
      <c r="M456" s="31"/>
    </row>
    <row r="457" spans="12:13">
      <c r="L457" s="31"/>
      <c r="M457" s="31"/>
    </row>
    <row r="458" spans="12:13">
      <c r="L458" s="31"/>
      <c r="M458" s="31"/>
    </row>
    <row r="459" spans="12:13">
      <c r="L459" s="31"/>
      <c r="M459" s="31"/>
    </row>
    <row r="460" spans="12:13">
      <c r="L460" s="31"/>
      <c r="M460" s="31"/>
    </row>
    <row r="461" spans="12:13">
      <c r="L461" s="31"/>
      <c r="M461" s="31"/>
    </row>
    <row r="462" spans="12:13">
      <c r="L462" s="31"/>
      <c r="M462" s="31"/>
    </row>
    <row r="463" spans="12:13">
      <c r="L463" s="31"/>
      <c r="M463" s="31"/>
    </row>
    <row r="464" spans="12:13">
      <c r="L464" s="31"/>
      <c r="M464" s="31"/>
    </row>
    <row r="465" spans="12:13">
      <c r="L465" s="31"/>
      <c r="M465" s="31"/>
    </row>
    <row r="466" spans="12:13">
      <c r="L466" s="31"/>
      <c r="M466" s="31"/>
    </row>
    <row r="467" spans="12:13">
      <c r="L467" s="31"/>
      <c r="M467" s="31"/>
    </row>
    <row r="468" spans="12:13">
      <c r="L468" s="31"/>
      <c r="M468" s="31"/>
    </row>
    <row r="469" spans="12:13">
      <c r="L469" s="31"/>
      <c r="M469" s="31"/>
    </row>
    <row r="470" spans="12:13">
      <c r="L470" s="31"/>
      <c r="M470" s="31"/>
    </row>
    <row r="471" spans="12:13">
      <c r="L471" s="31"/>
      <c r="M471" s="31"/>
    </row>
    <row r="472" spans="12:13">
      <c r="L472" s="31"/>
      <c r="M472" s="31"/>
    </row>
    <row r="473" spans="12:13">
      <c r="L473" s="31"/>
      <c r="M473" s="31"/>
    </row>
    <row r="474" spans="12:13">
      <c r="L474" s="31"/>
      <c r="M474" s="31"/>
    </row>
    <row r="475" spans="12:13">
      <c r="L475" s="31"/>
      <c r="M475" s="31"/>
    </row>
    <row r="476" spans="12:13">
      <c r="L476" s="31"/>
      <c r="M476" s="31"/>
    </row>
    <row r="477" spans="12:13">
      <c r="L477" s="31"/>
      <c r="M477" s="31"/>
    </row>
    <row r="478" spans="12:13">
      <c r="L478" s="31"/>
      <c r="M478" s="31"/>
    </row>
    <row r="479" spans="12:13">
      <c r="L479" s="31"/>
      <c r="M479" s="31"/>
    </row>
    <row r="480" spans="12:13">
      <c r="L480" s="31"/>
      <c r="M480" s="31"/>
    </row>
    <row r="481" spans="12:13">
      <c r="L481" s="31"/>
      <c r="M481" s="31"/>
    </row>
    <row r="482" spans="12:13">
      <c r="L482" s="31"/>
      <c r="M482" s="31"/>
    </row>
    <row r="483" spans="12:13">
      <c r="L483" s="31"/>
      <c r="M483" s="31"/>
    </row>
    <row r="484" spans="12:13">
      <c r="L484" s="31"/>
      <c r="M484" s="31"/>
    </row>
    <row r="485" spans="12:13">
      <c r="L485" s="31"/>
      <c r="M485" s="31"/>
    </row>
    <row r="486" spans="12:13">
      <c r="L486" s="31"/>
      <c r="M486" s="31"/>
    </row>
    <row r="487" spans="12:13">
      <c r="L487" s="31"/>
      <c r="M487" s="31"/>
    </row>
    <row r="488" spans="12:13">
      <c r="L488" s="31"/>
      <c r="M488" s="31"/>
    </row>
    <row r="489" spans="12:13">
      <c r="L489" s="31"/>
      <c r="M489" s="31"/>
    </row>
    <row r="490" spans="12:13">
      <c r="L490" s="31"/>
      <c r="M490" s="31"/>
    </row>
    <row r="491" spans="12:13">
      <c r="L491" s="31"/>
      <c r="M491" s="31"/>
    </row>
    <row r="492" spans="12:13">
      <c r="L492" s="31"/>
      <c r="M492" s="31"/>
    </row>
    <row r="493" spans="12:13">
      <c r="L493" s="31"/>
      <c r="M493" s="31"/>
    </row>
    <row r="494" spans="12:13">
      <c r="L494" s="31"/>
      <c r="M494" s="31"/>
    </row>
    <row r="495" spans="12:13">
      <c r="L495" s="31"/>
      <c r="M495" s="31"/>
    </row>
    <row r="496" spans="12:13">
      <c r="L496" s="31"/>
      <c r="M496" s="31"/>
    </row>
    <row r="497" spans="12:13">
      <c r="L497" s="31"/>
      <c r="M497" s="31"/>
    </row>
    <row r="498" spans="12:13">
      <c r="L498" s="31"/>
      <c r="M498" s="31"/>
    </row>
    <row r="499" spans="12:13">
      <c r="L499" s="31"/>
      <c r="M499" s="31"/>
    </row>
    <row r="500" spans="12:13">
      <c r="L500" s="31"/>
      <c r="M500" s="31"/>
    </row>
    <row r="501" spans="12:13">
      <c r="L501" s="31"/>
      <c r="M501" s="31"/>
    </row>
    <row r="502" spans="12:13">
      <c r="L502" s="31"/>
      <c r="M502" s="31"/>
    </row>
    <row r="503" spans="12:13">
      <c r="L503" s="31"/>
      <c r="M503" s="31"/>
    </row>
    <row r="504" spans="12:13">
      <c r="L504" s="31"/>
      <c r="M504" s="31"/>
    </row>
    <row r="505" spans="12:13">
      <c r="L505" s="31"/>
      <c r="M505" s="31"/>
    </row>
    <row r="506" spans="12:13">
      <c r="L506" s="31"/>
      <c r="M506" s="31"/>
    </row>
    <row r="507" spans="12:13">
      <c r="L507" s="31"/>
      <c r="M507" s="31"/>
    </row>
    <row r="508" spans="12:13" ht="18.75" customHeight="1">
      <c r="L508" s="31"/>
      <c r="M508" s="31"/>
    </row>
    <row r="509" spans="12:13">
      <c r="L509" s="31"/>
      <c r="M509" s="31"/>
    </row>
    <row r="510" spans="12:13">
      <c r="L510" s="31"/>
      <c r="M510" s="31"/>
    </row>
    <row r="511" spans="12:13">
      <c r="L511" s="31"/>
      <c r="M511" s="31"/>
    </row>
    <row r="512" spans="12:13">
      <c r="L512" s="31"/>
      <c r="M512" s="31"/>
    </row>
    <row r="513" spans="1:13">
      <c r="L513" s="31"/>
      <c r="M513" s="31"/>
    </row>
    <row r="514" spans="1:13">
      <c r="L514" s="31"/>
      <c r="M514" s="31"/>
    </row>
    <row r="515" spans="1:13">
      <c r="L515" s="31"/>
      <c r="M515" s="31"/>
    </row>
    <row r="516" spans="1:13">
      <c r="L516" s="31"/>
      <c r="M516" s="31"/>
    </row>
    <row r="517" spans="1:13">
      <c r="L517" s="31"/>
      <c r="M517" s="31"/>
    </row>
    <row r="518" spans="1:13">
      <c r="L518" s="31"/>
      <c r="M518" s="31"/>
    </row>
    <row r="519" spans="1:13">
      <c r="L519" s="31"/>
      <c r="M519" s="31"/>
    </row>
    <row r="520" spans="1:13">
      <c r="L520" s="31"/>
      <c r="M520" s="31"/>
    </row>
    <row r="521" spans="1:13">
      <c r="L521" s="31"/>
      <c r="M521" s="31"/>
    </row>
    <row r="522" spans="1:13">
      <c r="L522" s="31"/>
      <c r="M522" s="31"/>
    </row>
    <row r="523" spans="1:13">
      <c r="L523" s="31"/>
      <c r="M523" s="31"/>
    </row>
    <row r="524" spans="1:13">
      <c r="L524" s="31"/>
      <c r="M524" s="31"/>
    </row>
    <row r="527" spans="1:13">
      <c r="A527" s="438"/>
      <c r="B527" s="438"/>
      <c r="C527" s="438"/>
      <c r="D527" s="438"/>
      <c r="E527" s="438"/>
      <c r="F527" s="438"/>
      <c r="G527" s="438"/>
      <c r="H527" s="438"/>
      <c r="I527" s="438"/>
      <c r="J527" s="438"/>
      <c r="K527" s="438"/>
      <c r="L527" s="438"/>
    </row>
    <row r="528" spans="1:13">
      <c r="A528" s="438"/>
      <c r="B528" s="438"/>
      <c r="C528" s="438"/>
      <c r="D528" s="438"/>
      <c r="E528" s="438"/>
      <c r="F528" s="438"/>
      <c r="G528" s="438"/>
      <c r="H528" s="438"/>
      <c r="I528" s="438"/>
      <c r="J528" s="438"/>
      <c r="K528" s="438"/>
      <c r="L528" s="438"/>
    </row>
  </sheetData>
  <mergeCells count="1">
    <mergeCell ref="A527:L52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sheetPr codeName="Sheet4"/>
  <dimension ref="A1:J38"/>
  <sheetViews>
    <sheetView workbookViewId="0">
      <selection activeCell="D18" sqref="D18"/>
    </sheetView>
  </sheetViews>
  <sheetFormatPr defaultRowHeight="15"/>
  <cols>
    <col min="1" max="1" width="82.42578125" bestFit="1" customWidth="1"/>
  </cols>
  <sheetData>
    <row r="1" spans="1:10">
      <c r="A1" t="s">
        <v>17</v>
      </c>
    </row>
    <row r="3" spans="1:10">
      <c r="A3" t="s">
        <v>168</v>
      </c>
    </row>
    <row r="4" spans="1:10">
      <c r="A4" t="s">
        <v>78</v>
      </c>
    </row>
    <row r="5" spans="1:10">
      <c r="A5" t="s">
        <v>23</v>
      </c>
      <c r="B5" t="s">
        <v>18</v>
      </c>
    </row>
    <row r="6" spans="1:10" ht="29.25" customHeight="1">
      <c r="A6" s="6" t="s">
        <v>98</v>
      </c>
      <c r="B6" s="439" t="s">
        <v>19</v>
      </c>
      <c r="C6" s="439"/>
      <c r="D6" s="439"/>
      <c r="E6" s="439"/>
      <c r="F6" s="439"/>
      <c r="G6" s="439"/>
      <c r="H6" s="439"/>
      <c r="I6" s="439"/>
    </row>
    <row r="7" spans="1:10">
      <c r="A7" t="s">
        <v>24</v>
      </c>
    </row>
    <row r="8" spans="1:10">
      <c r="A8" t="s">
        <v>97</v>
      </c>
    </row>
    <row r="9" spans="1:10">
      <c r="D9" s="12"/>
      <c r="E9" s="12"/>
      <c r="F9" s="12"/>
      <c r="G9" s="12"/>
      <c r="H9" s="12"/>
    </row>
    <row r="10" spans="1:10">
      <c r="A10" t="s">
        <v>169</v>
      </c>
      <c r="D10" s="12"/>
      <c r="E10" s="12"/>
      <c r="F10" s="12"/>
      <c r="G10" s="12"/>
      <c r="H10" s="12"/>
    </row>
    <row r="11" spans="1:10">
      <c r="A11" t="s">
        <v>82</v>
      </c>
      <c r="D11" s="12"/>
      <c r="E11" s="12"/>
      <c r="F11" s="12"/>
      <c r="G11" s="12"/>
      <c r="H11" s="12"/>
    </row>
    <row r="12" spans="1:10">
      <c r="A12" t="s">
        <v>25</v>
      </c>
      <c r="B12" s="64"/>
      <c r="C12" s="64"/>
      <c r="D12" s="95"/>
      <c r="E12" s="95"/>
      <c r="F12" s="95"/>
      <c r="G12" s="95"/>
      <c r="H12" s="95"/>
      <c r="I12" s="64"/>
      <c r="J12" s="64"/>
    </row>
    <row r="13" spans="1:10">
      <c r="A13" s="6" t="s">
        <v>96</v>
      </c>
      <c r="B13" s="64"/>
      <c r="C13" s="64"/>
      <c r="D13" s="64"/>
      <c r="E13" s="64"/>
      <c r="F13" s="64"/>
      <c r="G13" s="64"/>
      <c r="H13" s="64"/>
      <c r="I13" s="64"/>
      <c r="J13" s="64"/>
    </row>
    <row r="14" spans="1:10">
      <c r="A14" t="s">
        <v>26</v>
      </c>
      <c r="B14" s="64"/>
      <c r="C14" s="64"/>
      <c r="D14" s="64"/>
      <c r="E14" s="64"/>
      <c r="F14" s="64"/>
      <c r="G14" s="64"/>
      <c r="H14" s="64"/>
      <c r="I14" s="64"/>
      <c r="J14" s="64"/>
    </row>
    <row r="15" spans="1:10">
      <c r="A15" t="s">
        <v>95</v>
      </c>
      <c r="B15" s="64"/>
      <c r="C15" s="64"/>
      <c r="D15" s="64"/>
      <c r="E15" s="64"/>
      <c r="F15" s="64"/>
      <c r="G15" s="64"/>
      <c r="H15" s="64"/>
      <c r="I15" s="64"/>
      <c r="J15" s="64"/>
    </row>
    <row r="16" spans="1:10">
      <c r="A16" t="s">
        <v>166</v>
      </c>
      <c r="B16" s="64"/>
      <c r="C16" s="64"/>
      <c r="D16" s="95"/>
      <c r="E16" s="95"/>
      <c r="F16" s="95"/>
      <c r="G16" s="95"/>
      <c r="H16" s="95"/>
      <c r="I16" s="64"/>
      <c r="J16" s="64"/>
    </row>
    <row r="17" spans="1:10">
      <c r="A17" s="6" t="s">
        <v>167</v>
      </c>
      <c r="B17" s="64"/>
      <c r="C17" s="64"/>
      <c r="D17" s="64"/>
      <c r="E17" s="64"/>
      <c r="F17" s="64"/>
      <c r="G17" s="64"/>
      <c r="H17" s="64"/>
      <c r="I17" s="64"/>
      <c r="J17" s="64"/>
    </row>
    <row r="18" spans="1:10">
      <c r="A18" t="s">
        <v>161</v>
      </c>
      <c r="D18" s="12"/>
      <c r="E18" s="12"/>
      <c r="F18" s="12"/>
      <c r="G18" s="12"/>
      <c r="H18" s="12"/>
    </row>
    <row r="19" spans="1:10">
      <c r="A19" s="6" t="s">
        <v>158</v>
      </c>
    </row>
    <row r="20" spans="1:10">
      <c r="A20" t="s">
        <v>160</v>
      </c>
    </row>
    <row r="21" spans="1:10">
      <c r="A21" t="s">
        <v>159</v>
      </c>
    </row>
    <row r="23" spans="1:10">
      <c r="A23" t="s">
        <v>20</v>
      </c>
    </row>
    <row r="24" spans="1:10">
      <c r="A24" t="s">
        <v>82</v>
      </c>
    </row>
    <row r="25" spans="1:10">
      <c r="A25" t="s">
        <v>85</v>
      </c>
    </row>
    <row r="26" spans="1:10">
      <c r="A26" s="6" t="s">
        <v>94</v>
      </c>
    </row>
    <row r="27" spans="1:10">
      <c r="A27" t="s">
        <v>165</v>
      </c>
    </row>
    <row r="28" spans="1:10">
      <c r="A28" s="6" t="s">
        <v>162</v>
      </c>
    </row>
    <row r="29" spans="1:10">
      <c r="A29" t="s">
        <v>164</v>
      </c>
    </row>
    <row r="30" spans="1:10">
      <c r="A30" s="6" t="s">
        <v>163</v>
      </c>
      <c r="B30" s="6"/>
      <c r="G30">
        <f>SUM(288*229)</f>
        <v>65952</v>
      </c>
    </row>
    <row r="31" spans="1:10">
      <c r="A31" t="s">
        <v>86</v>
      </c>
    </row>
    <row r="32" spans="1:10">
      <c r="A32" s="6" t="s">
        <v>93</v>
      </c>
    </row>
    <row r="33" spans="1:7">
      <c r="A33" t="s">
        <v>87</v>
      </c>
    </row>
    <row r="34" spans="1:7">
      <c r="A34" s="6" t="s">
        <v>92</v>
      </c>
      <c r="B34" s="6"/>
      <c r="G34">
        <f>SUM(288*229)</f>
        <v>65952</v>
      </c>
    </row>
    <row r="36" spans="1:7">
      <c r="A36" s="6" t="s">
        <v>90</v>
      </c>
      <c r="G36">
        <f>SUM(1047*33.7)</f>
        <v>35283.9</v>
      </c>
    </row>
    <row r="37" spans="1:7">
      <c r="A37" t="s">
        <v>78</v>
      </c>
    </row>
    <row r="38" spans="1:7">
      <c r="A38" t="s">
        <v>91</v>
      </c>
    </row>
  </sheetData>
  <mergeCells count="1">
    <mergeCell ref="B6:I6"/>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codeName="Sheet9"/>
  <dimension ref="A1:X32"/>
  <sheetViews>
    <sheetView topLeftCell="A10" workbookViewId="0">
      <selection activeCell="A22" sqref="A22"/>
    </sheetView>
  </sheetViews>
  <sheetFormatPr defaultRowHeight="15"/>
  <cols>
    <col min="1" max="1" width="71.28515625" bestFit="1" customWidth="1"/>
    <col min="2" max="2" width="18.85546875" customWidth="1"/>
  </cols>
  <sheetData>
    <row r="1" spans="1:24">
      <c r="A1" s="48" t="s">
        <v>155</v>
      </c>
      <c r="B1" s="38" t="s">
        <v>102</v>
      </c>
      <c r="C1" s="38"/>
      <c r="D1" s="38"/>
      <c r="E1" s="38"/>
      <c r="F1" s="38"/>
      <c r="G1" s="38"/>
      <c r="H1" s="38"/>
      <c r="I1" s="38"/>
      <c r="J1" s="38"/>
      <c r="K1" s="38"/>
      <c r="L1" s="38"/>
      <c r="M1" s="38"/>
      <c r="Q1" s="43"/>
      <c r="R1" s="43"/>
      <c r="S1" s="43"/>
      <c r="T1" s="43"/>
      <c r="U1" s="43"/>
      <c r="V1" s="43"/>
    </row>
    <row r="2" spans="1:24">
      <c r="A2" s="5"/>
      <c r="B2" s="43" t="s">
        <v>14</v>
      </c>
      <c r="C2" s="43"/>
      <c r="D2" s="43"/>
      <c r="E2" s="43"/>
      <c r="F2" s="43"/>
      <c r="G2" s="43"/>
      <c r="H2" s="43"/>
      <c r="I2" s="43"/>
      <c r="J2" s="43"/>
      <c r="K2" s="43"/>
      <c r="L2" s="43"/>
      <c r="M2" s="43"/>
      <c r="Q2" s="43" t="s">
        <v>99</v>
      </c>
      <c r="R2" s="43" t="s">
        <v>3</v>
      </c>
      <c r="S2" s="43">
        <f>MATCH(R2,Table!$B:$B,0)</f>
        <v>6</v>
      </c>
      <c r="T2" s="43"/>
      <c r="U2" s="43" t="s">
        <v>99</v>
      </c>
      <c r="V2" s="43" t="s">
        <v>0</v>
      </c>
      <c r="W2" s="43">
        <f>MATCH(V2,Table!$A:$A,0)</f>
        <v>3</v>
      </c>
      <c r="X2" t="s">
        <v>117</v>
      </c>
    </row>
    <row r="3" spans="1:24">
      <c r="A3" s="5">
        <v>40865</v>
      </c>
      <c r="B3" s="33" t="str">
        <f ca="1">IF(ISERROR(MATCH(B$1,INDIRECT("Table!A"&amp;$U3):INDIRECT("Table!" &amp; $X$3 &amp; $U3),0)),"",INDIRECT(CONCATENATE("Table!",ADDRESS($Q3,MATCH(B$1,INDIRECT("Table!A" &amp; $U3):INDIRECT("Table!" &amp; $X$3 &amp; $U3),0)))))</f>
        <v/>
      </c>
      <c r="C3" s="33"/>
      <c r="D3" s="33"/>
      <c r="E3" s="33"/>
      <c r="F3" s="33"/>
      <c r="G3" s="33"/>
      <c r="H3" s="33"/>
      <c r="I3" s="33"/>
      <c r="J3" s="33"/>
      <c r="K3" s="33"/>
      <c r="L3" s="33"/>
      <c r="M3" s="33"/>
      <c r="Q3" s="31" t="e">
        <f>MATCH($A3,Table!$A:$A,0)+$S$2-1</f>
        <v>#N/A</v>
      </c>
      <c r="R3" s="43"/>
      <c r="S3" s="43"/>
      <c r="T3" s="43"/>
      <c r="U3" s="31" t="e">
        <f>MATCH($A3,Table!$A:$A,0)+$W$2-1</f>
        <v>#N/A</v>
      </c>
      <c r="V3" s="43"/>
      <c r="X3" t="s">
        <v>118</v>
      </c>
    </row>
    <row r="4" spans="1:24">
      <c r="A4" s="5">
        <v>40864</v>
      </c>
      <c r="B4" s="33" t="str">
        <f ca="1">IF(ISERROR(MATCH(B$1,INDIRECT("Table!A"&amp;$U4):INDIRECT("Table!" &amp; $X$3 &amp; $U4),0)),"",INDIRECT(CONCATENATE("Table!",ADDRESS($Q4,MATCH(B$1,INDIRECT("Table!A" &amp; $U4):INDIRECT("Table!" &amp; $X$3 &amp; $U4),0)))))</f>
        <v/>
      </c>
      <c r="C4" s="33"/>
      <c r="D4" s="33"/>
      <c r="E4" s="33"/>
      <c r="F4" s="33"/>
      <c r="G4" s="33"/>
      <c r="H4" s="33"/>
      <c r="I4" s="33"/>
      <c r="J4" s="33"/>
      <c r="K4" s="33"/>
      <c r="L4" s="33"/>
      <c r="M4" s="33"/>
      <c r="Q4" s="31" t="e">
        <f>MATCH($A4,Table!$A:$A,0)+$S$2-1</f>
        <v>#N/A</v>
      </c>
      <c r="R4" s="43"/>
      <c r="S4" s="43"/>
      <c r="T4" s="43"/>
      <c r="U4" s="31" t="e">
        <f>MATCH($A4,Table!$A:$A,0)+$W$2-1</f>
        <v>#N/A</v>
      </c>
      <c r="V4" s="43"/>
      <c r="X4" t="s">
        <v>118</v>
      </c>
    </row>
    <row r="5" spans="1:24">
      <c r="A5" s="5">
        <v>40863</v>
      </c>
      <c r="B5" s="33" t="str">
        <f ca="1">IF(ISERROR(MATCH(B$1,INDIRECT("Table!A"&amp;$U5):INDIRECT("Table!" &amp; $X$3 &amp; $U5),0)),"",INDIRECT(CONCATENATE("Table!",ADDRESS($Q5,MATCH(B$1,INDIRECT("Table!A" &amp; $U5):INDIRECT("Table!" &amp; $X$3 &amp; $U5),0)))))</f>
        <v/>
      </c>
      <c r="C5" s="33"/>
      <c r="D5" s="33"/>
      <c r="E5" s="33"/>
      <c r="F5" s="33"/>
      <c r="G5" s="33"/>
      <c r="H5" s="33"/>
      <c r="I5" s="33"/>
      <c r="J5" s="33"/>
      <c r="K5" s="33"/>
      <c r="L5" s="33"/>
      <c r="M5" s="33"/>
      <c r="Q5" s="31" t="e">
        <f>MATCH($A5,Table!$A:$A,0)+$S$2-1</f>
        <v>#N/A</v>
      </c>
      <c r="R5" s="43"/>
      <c r="S5" s="43"/>
      <c r="T5" s="43"/>
      <c r="U5" s="31" t="e">
        <f>MATCH($A5,Table!$A:$A,0)+$W$2-1</f>
        <v>#N/A</v>
      </c>
      <c r="V5" s="43"/>
      <c r="X5" t="s">
        <v>118</v>
      </c>
    </row>
    <row r="6" spans="1:24">
      <c r="A6" s="5"/>
      <c r="B6" s="33"/>
      <c r="C6" s="33"/>
      <c r="D6" s="33"/>
      <c r="E6" s="33"/>
      <c r="F6" s="33"/>
      <c r="G6" s="33"/>
      <c r="H6" s="33"/>
      <c r="I6" s="33"/>
      <c r="J6" s="33"/>
      <c r="K6" s="33"/>
      <c r="L6" s="33"/>
      <c r="M6" s="33"/>
      <c r="Q6" s="31"/>
      <c r="R6" s="43"/>
      <c r="S6" s="43"/>
      <c r="T6" s="43"/>
      <c r="U6" s="31"/>
      <c r="V6" s="43"/>
    </row>
    <row r="7" spans="1:24" s="46" customFormat="1"/>
    <row r="8" spans="1:24">
      <c r="A8" s="49" t="s">
        <v>154</v>
      </c>
      <c r="B8" t="s">
        <v>134</v>
      </c>
      <c r="C8" t="s">
        <v>135</v>
      </c>
    </row>
    <row r="9" spans="1:24" ht="30" customHeight="1">
      <c r="A9" t="s">
        <v>119</v>
      </c>
      <c r="B9" s="33" t="str">
        <f ca="1">IF(ISERROR(MATCH(B$1,INDIRECT("Table!A"&amp;$U3):INDIRECT("Table!" &amp; $X$5 &amp; $U3),0)),"",INDIRECT(CONCATENATE("Table!",ADDRESS($Q3,MATCH(B$1,INDIRECT("Table!A" &amp; $U3):INDIRECT("Table!" &amp; $X$5 &amp; $U3),0)))))</f>
        <v/>
      </c>
      <c r="C9" s="440" t="s">
        <v>121</v>
      </c>
      <c r="D9" s="440"/>
      <c r="E9" s="440"/>
      <c r="F9" s="440"/>
      <c r="G9" s="440"/>
      <c r="H9" s="440"/>
      <c r="I9" s="440"/>
      <c r="J9" s="440"/>
      <c r="K9" s="440"/>
      <c r="L9" s="440"/>
      <c r="M9" s="440"/>
      <c r="N9" s="440"/>
      <c r="O9" s="440"/>
      <c r="P9" s="17"/>
    </row>
    <row r="10" spans="1:24">
      <c r="A10" t="s">
        <v>128</v>
      </c>
      <c r="B10" s="43" t="b">
        <f ca="1">ISERROR(MATCH(B$1,INDIRECT("Table!A"&amp;$U3):INDIRECT("Table!" &amp; $X$3 &amp; $U3),0))</f>
        <v>1</v>
      </c>
      <c r="C10" t="s">
        <v>127</v>
      </c>
    </row>
    <row r="11" spans="1:24">
      <c r="A11" t="s">
        <v>129</v>
      </c>
      <c r="B11" s="33" t="e">
        <f ca="1">INDIRECT(CONCATENATE("Table!",ADDRESS($Q3,MATCH(B$1,INDIRECT("Table!A" &amp; $U3):INDIRECT("Table!" &amp; $X$5 &amp; $U3),0))))</f>
        <v>#N/A</v>
      </c>
      <c r="C11" t="s">
        <v>122</v>
      </c>
    </row>
    <row r="12" spans="1:24">
      <c r="A12" t="s">
        <v>130</v>
      </c>
      <c r="B12" s="43" t="e">
        <f ca="1">CONCATENATE("Table!",ADDRESS($Q3,MATCH(B$1,INDIRECT("Table!A" &amp; $U3):INDIRECT("Table!" &amp; $X$5 &amp; $U3),0)))</f>
        <v>#N/A</v>
      </c>
      <c r="C12" t="s">
        <v>123</v>
      </c>
    </row>
    <row r="13" spans="1:24">
      <c r="A13" t="s">
        <v>130</v>
      </c>
      <c r="B13" s="43" t="e">
        <f ca="1">ADDRESS($Q3,MATCH(B$1,INDIRECT("Table!A" &amp; $U3):INDIRECT("Table!" &amp; $X$5 &amp; $U3),0))</f>
        <v>#N/A</v>
      </c>
      <c r="C13" t="s">
        <v>124</v>
      </c>
    </row>
    <row r="14" spans="1:24">
      <c r="A14" t="s">
        <v>131</v>
      </c>
      <c r="B14" s="43" t="e">
        <f ca="1">MATCH(B$1,INDIRECT("Table!A" &amp; $U3):INDIRECT("Table!" &amp; $X$5 &amp; $U3),0)</f>
        <v>#N/A</v>
      </c>
      <c r="C14" t="s">
        <v>125</v>
      </c>
    </row>
    <row r="15" spans="1:24">
      <c r="A15" t="s">
        <v>132</v>
      </c>
      <c r="B15" s="43" t="e">
        <f ca="1">INDIRECT("Table!A" &amp; $U3)</f>
        <v>#N/A</v>
      </c>
      <c r="C15" t="s">
        <v>120</v>
      </c>
    </row>
    <row r="16" spans="1:24">
      <c r="A16" t="s">
        <v>133</v>
      </c>
      <c r="B16" s="43" t="e">
        <f ca="1">INDIRECT("Table!" &amp; $X$5 &amp; $U3)</f>
        <v>#N/A</v>
      </c>
      <c r="C16" t="s">
        <v>126</v>
      </c>
    </row>
    <row r="17" spans="1:2">
      <c r="B17" s="43"/>
    </row>
    <row r="18" spans="1:2">
      <c r="B18" s="43"/>
    </row>
    <row r="19" spans="1:2">
      <c r="A19" s="49" t="s">
        <v>156</v>
      </c>
      <c r="B19" s="43"/>
    </row>
    <row r="20" spans="1:2">
      <c r="A20" t="s">
        <v>137</v>
      </c>
      <c r="B20" s="15" t="s">
        <v>147</v>
      </c>
    </row>
    <row r="21" spans="1:2">
      <c r="A21" t="s">
        <v>136</v>
      </c>
      <c r="B21" s="15" t="s">
        <v>143</v>
      </c>
    </row>
    <row r="22" spans="1:2">
      <c r="A22" t="s">
        <v>138</v>
      </c>
      <c r="B22" s="15" t="s">
        <v>144</v>
      </c>
    </row>
    <row r="23" spans="1:2">
      <c r="A23" t="s">
        <v>139</v>
      </c>
      <c r="B23" s="15" t="s">
        <v>148</v>
      </c>
    </row>
    <row r="24" spans="1:2">
      <c r="A24" t="s">
        <v>140</v>
      </c>
      <c r="B24" s="15" t="s">
        <v>145</v>
      </c>
    </row>
    <row r="25" spans="1:2">
      <c r="A25" t="s">
        <v>141</v>
      </c>
      <c r="B25" s="15" t="s">
        <v>146</v>
      </c>
    </row>
    <row r="26" spans="1:2">
      <c r="A26" t="s">
        <v>142</v>
      </c>
      <c r="B26" s="15" t="s">
        <v>149</v>
      </c>
    </row>
    <row r="27" spans="1:2">
      <c r="B27" s="15"/>
    </row>
    <row r="28" spans="1:2">
      <c r="A28" s="49" t="s">
        <v>157</v>
      </c>
      <c r="B28" s="15"/>
    </row>
    <row r="29" spans="1:2" ht="60">
      <c r="A29" s="45" t="s">
        <v>153</v>
      </c>
    </row>
    <row r="30" spans="1:2">
      <c r="A30" t="s">
        <v>150</v>
      </c>
    </row>
    <row r="31" spans="1:2">
      <c r="A31" t="s">
        <v>151</v>
      </c>
    </row>
    <row r="32" spans="1:2" ht="30">
      <c r="A32" s="45" t="s">
        <v>152</v>
      </c>
    </row>
  </sheetData>
  <mergeCells count="1">
    <mergeCell ref="C9:O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Sheet7"/>
  <dimension ref="A1:M20"/>
  <sheetViews>
    <sheetView workbookViewId="0">
      <selection activeCell="C21" sqref="C21"/>
    </sheetView>
  </sheetViews>
  <sheetFormatPr defaultRowHeight="1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c r="B1" t="s">
        <v>27</v>
      </c>
      <c r="C1" t="s">
        <v>28</v>
      </c>
      <c r="D1" t="s">
        <v>29</v>
      </c>
      <c r="E1" t="s">
        <v>29</v>
      </c>
      <c r="F1" t="s">
        <v>30</v>
      </c>
      <c r="H1" s="441" t="s">
        <v>75</v>
      </c>
      <c r="I1" s="441"/>
      <c r="J1" s="441"/>
    </row>
    <row r="2" spans="1:10">
      <c r="A2" t="s">
        <v>31</v>
      </c>
      <c r="B2" t="s">
        <v>32</v>
      </c>
      <c r="C2" t="s">
        <v>32</v>
      </c>
      <c r="D2" t="s">
        <v>33</v>
      </c>
      <c r="E2" t="s">
        <v>34</v>
      </c>
      <c r="F2" t="s">
        <v>35</v>
      </c>
      <c r="H2" t="s">
        <v>73</v>
      </c>
      <c r="I2" t="s">
        <v>34</v>
      </c>
      <c r="J2" t="s">
        <v>74</v>
      </c>
    </row>
    <row r="3" spans="1:10">
      <c r="A3" t="s">
        <v>36</v>
      </c>
      <c r="B3" s="7" t="s">
        <v>37</v>
      </c>
      <c r="C3" s="7" t="s">
        <v>37</v>
      </c>
      <c r="D3" s="7" t="s">
        <v>37</v>
      </c>
      <c r="E3" s="7" t="s">
        <v>39</v>
      </c>
      <c r="F3" s="7" t="s">
        <v>40</v>
      </c>
    </row>
    <row r="4" spans="1:10">
      <c r="A4" t="s">
        <v>57</v>
      </c>
      <c r="B4" s="9">
        <v>2</v>
      </c>
      <c r="C4" s="9">
        <v>2</v>
      </c>
      <c r="D4" s="9">
        <v>2</v>
      </c>
      <c r="E4" s="9">
        <v>20</v>
      </c>
      <c r="F4" s="9">
        <v>674</v>
      </c>
      <c r="H4" s="10">
        <f>IF(I4&lt;0,"0",IF(J4&lt;0,"0",D$20-D4))</f>
        <v>14</v>
      </c>
      <c r="I4">
        <f>E$20-E4</f>
        <v>235</v>
      </c>
      <c r="J4">
        <f>F$20-F4</f>
        <v>11326</v>
      </c>
    </row>
    <row r="5" spans="1:10">
      <c r="A5" t="s">
        <v>58</v>
      </c>
      <c r="B5" s="9">
        <v>2</v>
      </c>
      <c r="C5" s="9">
        <v>2</v>
      </c>
      <c r="D5" s="9">
        <v>2</v>
      </c>
      <c r="E5" s="9">
        <v>29</v>
      </c>
      <c r="F5" s="9">
        <v>977</v>
      </c>
      <c r="H5" s="10">
        <f t="shared" ref="H5:H17" si="0">IF(I5&lt;0,"0",IF(J5&lt;0,"0",D$20-D5))</f>
        <v>14</v>
      </c>
      <c r="I5">
        <f t="shared" ref="I5:I17" si="1">E$20-E5</f>
        <v>226</v>
      </c>
      <c r="J5">
        <f t="shared" ref="J5:J17" si="2">F$20-F5</f>
        <v>11023</v>
      </c>
    </row>
    <row r="6" spans="1:10">
      <c r="A6" t="s">
        <v>59</v>
      </c>
      <c r="B6" s="9">
        <v>2</v>
      </c>
      <c r="C6" s="9">
        <v>3</v>
      </c>
      <c r="D6" s="9">
        <v>3</v>
      </c>
      <c r="E6" s="9">
        <v>38</v>
      </c>
      <c r="F6" s="9">
        <v>1281</v>
      </c>
      <c r="H6" s="10">
        <f t="shared" si="0"/>
        <v>13</v>
      </c>
      <c r="I6">
        <f t="shared" si="1"/>
        <v>217</v>
      </c>
      <c r="J6">
        <f t="shared" si="2"/>
        <v>10719</v>
      </c>
    </row>
    <row r="7" spans="1:10">
      <c r="A7" t="s">
        <v>60</v>
      </c>
      <c r="B7" s="9">
        <v>2</v>
      </c>
      <c r="C7" s="9">
        <v>2</v>
      </c>
      <c r="D7" s="9">
        <v>3</v>
      </c>
      <c r="E7" s="9">
        <v>131</v>
      </c>
      <c r="F7" s="9">
        <v>32502</v>
      </c>
      <c r="H7" s="10" t="str">
        <f t="shared" si="0"/>
        <v>0</v>
      </c>
      <c r="I7">
        <f t="shared" si="1"/>
        <v>124</v>
      </c>
      <c r="J7">
        <f t="shared" si="2"/>
        <v>-20502</v>
      </c>
    </row>
    <row r="8" spans="1:10">
      <c r="A8" t="s">
        <v>61</v>
      </c>
      <c r="B8" s="9">
        <v>2</v>
      </c>
      <c r="C8" s="9">
        <v>3</v>
      </c>
      <c r="D8" s="9">
        <v>3</v>
      </c>
      <c r="E8" s="9">
        <v>132</v>
      </c>
      <c r="F8" s="9">
        <v>4450</v>
      </c>
      <c r="H8" s="10">
        <f t="shared" si="0"/>
        <v>13</v>
      </c>
      <c r="I8">
        <f t="shared" si="1"/>
        <v>123</v>
      </c>
      <c r="J8">
        <f t="shared" si="2"/>
        <v>7550</v>
      </c>
    </row>
    <row r="9" spans="1:10">
      <c r="A9" t="s">
        <v>62</v>
      </c>
      <c r="B9" s="9">
        <v>2</v>
      </c>
      <c r="C9" s="9">
        <v>2</v>
      </c>
      <c r="D9" s="9">
        <v>4</v>
      </c>
      <c r="E9" s="9">
        <v>21</v>
      </c>
      <c r="F9" s="9">
        <v>4956</v>
      </c>
      <c r="H9" s="10">
        <f t="shared" si="0"/>
        <v>12</v>
      </c>
      <c r="I9">
        <f t="shared" si="1"/>
        <v>234</v>
      </c>
      <c r="J9">
        <f t="shared" si="2"/>
        <v>7044</v>
      </c>
    </row>
    <row r="10" spans="1:10">
      <c r="A10" t="s">
        <v>63</v>
      </c>
      <c r="B10" s="9">
        <v>2</v>
      </c>
      <c r="C10" s="9">
        <v>4</v>
      </c>
      <c r="D10" s="9">
        <v>4</v>
      </c>
      <c r="E10" s="9">
        <v>35</v>
      </c>
      <c r="F10" s="9">
        <v>1180</v>
      </c>
      <c r="H10" s="10">
        <f t="shared" si="0"/>
        <v>12</v>
      </c>
      <c r="I10">
        <f t="shared" si="1"/>
        <v>220</v>
      </c>
      <c r="J10">
        <f t="shared" si="2"/>
        <v>10820</v>
      </c>
    </row>
    <row r="11" spans="1:10">
      <c r="A11" t="s">
        <v>64</v>
      </c>
      <c r="B11" s="9">
        <v>2</v>
      </c>
      <c r="C11" s="9">
        <v>3</v>
      </c>
      <c r="D11" s="9">
        <v>4</v>
      </c>
      <c r="E11" s="9">
        <v>37</v>
      </c>
      <c r="F11" s="9">
        <v>1247</v>
      </c>
      <c r="H11" s="10">
        <f t="shared" si="0"/>
        <v>12</v>
      </c>
      <c r="I11">
        <f t="shared" si="1"/>
        <v>218</v>
      </c>
      <c r="J11">
        <f t="shared" si="2"/>
        <v>10753</v>
      </c>
    </row>
    <row r="12" spans="1:10">
      <c r="A12" t="s">
        <v>65</v>
      </c>
      <c r="B12" s="9">
        <v>2</v>
      </c>
      <c r="C12" s="9">
        <v>3</v>
      </c>
      <c r="D12" s="9">
        <v>4</v>
      </c>
      <c r="E12" s="9">
        <v>43</v>
      </c>
      <c r="F12" s="9">
        <v>1449</v>
      </c>
      <c r="H12" s="10">
        <f t="shared" si="0"/>
        <v>12</v>
      </c>
      <c r="I12">
        <f t="shared" si="1"/>
        <v>212</v>
      </c>
      <c r="J12">
        <f t="shared" si="2"/>
        <v>10551</v>
      </c>
    </row>
    <row r="13" spans="1:10">
      <c r="A13" t="s">
        <v>66</v>
      </c>
      <c r="B13" s="9">
        <v>2</v>
      </c>
      <c r="C13" s="9">
        <v>3</v>
      </c>
      <c r="D13" s="9">
        <v>5</v>
      </c>
      <c r="E13" s="9">
        <v>129</v>
      </c>
      <c r="F13" s="9">
        <v>32435</v>
      </c>
      <c r="H13" s="10" t="str">
        <f t="shared" si="0"/>
        <v>0</v>
      </c>
      <c r="I13">
        <f t="shared" si="1"/>
        <v>126</v>
      </c>
      <c r="J13">
        <f t="shared" si="2"/>
        <v>-20435</v>
      </c>
    </row>
    <row r="14" spans="1:10">
      <c r="A14" t="s">
        <v>67</v>
      </c>
      <c r="B14" s="9">
        <v>2</v>
      </c>
      <c r="C14" s="9">
        <v>3</v>
      </c>
      <c r="D14" s="9">
        <v>5</v>
      </c>
      <c r="E14" s="9">
        <v>151</v>
      </c>
      <c r="F14" s="9">
        <v>32098</v>
      </c>
      <c r="H14" s="10" t="str">
        <f t="shared" si="0"/>
        <v>0</v>
      </c>
      <c r="I14">
        <f t="shared" si="1"/>
        <v>104</v>
      </c>
      <c r="J14">
        <f t="shared" si="2"/>
        <v>-20098</v>
      </c>
    </row>
    <row r="15" spans="1:10">
      <c r="A15" t="s">
        <v>68</v>
      </c>
      <c r="B15" s="9">
        <v>2</v>
      </c>
      <c r="C15" s="9">
        <v>3</v>
      </c>
      <c r="D15" s="9">
        <v>5</v>
      </c>
      <c r="E15" s="9">
        <v>155</v>
      </c>
      <c r="F15" s="9">
        <v>33312</v>
      </c>
      <c r="H15" s="10" t="str">
        <f t="shared" si="0"/>
        <v>0</v>
      </c>
      <c r="I15">
        <f t="shared" si="1"/>
        <v>100</v>
      </c>
      <c r="J15">
        <f t="shared" si="2"/>
        <v>-21312</v>
      </c>
    </row>
    <row r="16" spans="1:10">
      <c r="A16" t="s">
        <v>69</v>
      </c>
      <c r="B16" s="9">
        <v>2</v>
      </c>
      <c r="C16" s="9">
        <v>2</v>
      </c>
      <c r="D16" s="9">
        <v>8</v>
      </c>
      <c r="E16" s="9">
        <v>44</v>
      </c>
      <c r="F16" s="9">
        <v>10452</v>
      </c>
      <c r="H16" s="10">
        <f t="shared" si="0"/>
        <v>8</v>
      </c>
      <c r="I16">
        <f t="shared" si="1"/>
        <v>211</v>
      </c>
      <c r="J16">
        <f t="shared" si="2"/>
        <v>1548</v>
      </c>
    </row>
    <row r="17" spans="1:13">
      <c r="A17" t="s">
        <v>70</v>
      </c>
      <c r="B17" s="9">
        <v>2</v>
      </c>
      <c r="C17" s="9">
        <v>5</v>
      </c>
      <c r="D17" s="9">
        <v>8</v>
      </c>
      <c r="E17" s="9">
        <v>144</v>
      </c>
      <c r="F17" s="9">
        <v>4855</v>
      </c>
      <c r="H17" s="10">
        <f t="shared" si="0"/>
        <v>8</v>
      </c>
      <c r="I17">
        <f t="shared" si="1"/>
        <v>111</v>
      </c>
      <c r="J17">
        <f t="shared" si="2"/>
        <v>7145</v>
      </c>
    </row>
    <row r="18" spans="1:13">
      <c r="G18" t="s">
        <v>76</v>
      </c>
      <c r="H18">
        <f>SUMIF(H4:H17,"&gt;0",H4:H17)</f>
        <v>118</v>
      </c>
      <c r="I18">
        <f>SUMIF(I4:I17,"&gt;0",I4:I17)</f>
        <v>2461</v>
      </c>
      <c r="J18">
        <f>SUMIF(J4:J17,"&gt;0",J4:J17)</f>
        <v>88479</v>
      </c>
    </row>
    <row r="20" spans="1:13" ht="72" customHeight="1">
      <c r="A20" s="8" t="s">
        <v>71</v>
      </c>
      <c r="D20" s="9">
        <v>16</v>
      </c>
      <c r="E20" s="9">
        <v>255</v>
      </c>
      <c r="F20" s="9">
        <v>12000</v>
      </c>
      <c r="G20" s="439" t="s">
        <v>72</v>
      </c>
      <c r="H20" s="439"/>
      <c r="I20" s="439"/>
      <c r="J20" s="439"/>
      <c r="K20" s="439"/>
      <c r="L20" s="439"/>
      <c r="M20" s="439"/>
    </row>
  </sheetData>
  <mergeCells count="2">
    <mergeCell ref="G20:M20"/>
    <mergeCell ref="H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Sheet8"/>
  <dimension ref="A1:M22"/>
  <sheetViews>
    <sheetView workbookViewId="0">
      <selection activeCell="F28" sqref="F28"/>
    </sheetView>
  </sheetViews>
  <sheetFormatPr defaultRowHeight="15"/>
  <cols>
    <col min="1" max="1" width="24.28515625" bestFit="1" customWidth="1"/>
    <col min="2" max="3" width="6.28515625" bestFit="1" customWidth="1"/>
    <col min="4" max="4" width="6.5703125" bestFit="1" customWidth="1"/>
    <col min="5" max="5" width="7.85546875" bestFit="1" customWidth="1"/>
    <col min="6" max="6" width="12.7109375" bestFit="1" customWidth="1"/>
  </cols>
  <sheetData>
    <row r="1" spans="1:10">
      <c r="B1" t="s">
        <v>27</v>
      </c>
      <c r="C1" t="s">
        <v>28</v>
      </c>
      <c r="D1" t="s">
        <v>29</v>
      </c>
      <c r="E1" t="s">
        <v>29</v>
      </c>
      <c r="F1" t="s">
        <v>30</v>
      </c>
      <c r="H1" s="441" t="s">
        <v>75</v>
      </c>
      <c r="I1" s="441"/>
      <c r="J1" s="441"/>
    </row>
    <row r="2" spans="1:10">
      <c r="A2" t="s">
        <v>31</v>
      </c>
      <c r="B2" t="s">
        <v>32</v>
      </c>
      <c r="C2" t="s">
        <v>32</v>
      </c>
      <c r="D2" t="s">
        <v>33</v>
      </c>
      <c r="E2" t="s">
        <v>34</v>
      </c>
      <c r="F2" t="s">
        <v>35</v>
      </c>
      <c r="H2" t="s">
        <v>73</v>
      </c>
      <c r="I2" t="s">
        <v>34</v>
      </c>
      <c r="J2" t="s">
        <v>74</v>
      </c>
    </row>
    <row r="3" spans="1:10">
      <c r="A3" t="s">
        <v>36</v>
      </c>
      <c r="B3" s="7" t="s">
        <v>37</v>
      </c>
      <c r="C3" s="7" t="s">
        <v>37</v>
      </c>
      <c r="D3" s="7" t="s">
        <v>38</v>
      </c>
      <c r="E3" s="7" t="s">
        <v>39</v>
      </c>
      <c r="F3" s="7" t="s">
        <v>40</v>
      </c>
    </row>
    <row r="4" spans="1:10">
      <c r="A4" t="s">
        <v>41</v>
      </c>
      <c r="B4" s="7">
        <v>2</v>
      </c>
      <c r="C4" s="7">
        <v>3</v>
      </c>
      <c r="D4" s="7">
        <v>3</v>
      </c>
      <c r="E4" s="7">
        <v>29</v>
      </c>
      <c r="F4" s="7">
        <v>977</v>
      </c>
      <c r="H4" s="10">
        <f>IF(I4&lt;0,"0",IF(J4&lt;0,"0",D$22-D4))</f>
        <v>13</v>
      </c>
      <c r="I4">
        <f>E$22-E4</f>
        <v>226</v>
      </c>
      <c r="J4">
        <f>F$22-F4</f>
        <v>11023</v>
      </c>
    </row>
    <row r="5" spans="1:10">
      <c r="A5" t="s">
        <v>42</v>
      </c>
      <c r="B5" s="7">
        <v>2</v>
      </c>
      <c r="C5" s="7">
        <v>3</v>
      </c>
      <c r="D5" s="7">
        <v>3</v>
      </c>
      <c r="E5" s="7">
        <v>36</v>
      </c>
      <c r="F5" s="7">
        <v>1213</v>
      </c>
      <c r="H5" s="10">
        <f t="shared" ref="H5:H19" si="0">IF(I5&lt;0,"0",IF(J5&lt;0,"0",D$22-D5))</f>
        <v>13</v>
      </c>
      <c r="I5">
        <f t="shared" ref="I5:I19" si="1">E$22-E5</f>
        <v>219</v>
      </c>
      <c r="J5">
        <f t="shared" ref="J5:J19" si="2">F$22-F5</f>
        <v>10787</v>
      </c>
    </row>
    <row r="6" spans="1:10">
      <c r="A6" t="s">
        <v>43</v>
      </c>
      <c r="B6" s="7">
        <v>2</v>
      </c>
      <c r="C6" s="7">
        <v>3</v>
      </c>
      <c r="D6" s="7">
        <v>3</v>
      </c>
      <c r="E6" s="7">
        <v>38</v>
      </c>
      <c r="F6" s="7">
        <v>1281</v>
      </c>
      <c r="H6" s="10">
        <f t="shared" si="0"/>
        <v>13</v>
      </c>
      <c r="I6">
        <f t="shared" si="1"/>
        <v>217</v>
      </c>
      <c r="J6">
        <f t="shared" si="2"/>
        <v>10719</v>
      </c>
    </row>
    <row r="7" spans="1:10">
      <c r="A7" t="s">
        <v>44</v>
      </c>
      <c r="B7" s="7">
        <v>2</v>
      </c>
      <c r="C7" s="7">
        <v>3</v>
      </c>
      <c r="D7" s="7">
        <v>4</v>
      </c>
      <c r="E7" s="7">
        <v>24</v>
      </c>
      <c r="F7" s="7">
        <v>809</v>
      </c>
      <c r="H7" s="10">
        <f t="shared" si="0"/>
        <v>12</v>
      </c>
      <c r="I7">
        <f t="shared" si="1"/>
        <v>231</v>
      </c>
      <c r="J7">
        <f t="shared" si="2"/>
        <v>11191</v>
      </c>
    </row>
    <row r="8" spans="1:10">
      <c r="A8" t="s">
        <v>45</v>
      </c>
      <c r="B8" s="7">
        <v>2</v>
      </c>
      <c r="C8" s="7">
        <v>4</v>
      </c>
      <c r="D8" s="7">
        <v>4</v>
      </c>
      <c r="E8" s="7">
        <v>24</v>
      </c>
      <c r="F8" s="7">
        <v>809</v>
      </c>
      <c r="H8" s="10">
        <f t="shared" si="0"/>
        <v>12</v>
      </c>
      <c r="I8">
        <f t="shared" si="1"/>
        <v>231</v>
      </c>
      <c r="J8">
        <f t="shared" si="2"/>
        <v>11191</v>
      </c>
    </row>
    <row r="9" spans="1:10">
      <c r="A9" t="s">
        <v>46</v>
      </c>
      <c r="B9" s="7">
        <v>2</v>
      </c>
      <c r="C9" s="7">
        <v>3</v>
      </c>
      <c r="D9" s="7">
        <v>5</v>
      </c>
      <c r="E9" s="7">
        <v>33</v>
      </c>
      <c r="F9" s="7">
        <v>5360</v>
      </c>
      <c r="H9" s="10">
        <f t="shared" si="0"/>
        <v>11</v>
      </c>
      <c r="I9">
        <f t="shared" si="1"/>
        <v>222</v>
      </c>
      <c r="J9">
        <f t="shared" si="2"/>
        <v>6640</v>
      </c>
    </row>
    <row r="10" spans="1:10">
      <c r="A10" t="s">
        <v>47</v>
      </c>
      <c r="B10" s="7">
        <v>2</v>
      </c>
      <c r="C10" s="7">
        <v>5</v>
      </c>
      <c r="D10" s="7">
        <v>5</v>
      </c>
      <c r="E10" s="7">
        <v>62</v>
      </c>
      <c r="F10" s="7">
        <v>2090</v>
      </c>
      <c r="H10" s="10">
        <f t="shared" si="0"/>
        <v>11</v>
      </c>
      <c r="I10">
        <f t="shared" si="1"/>
        <v>193</v>
      </c>
      <c r="J10">
        <f t="shared" si="2"/>
        <v>9910</v>
      </c>
    </row>
    <row r="11" spans="1:10">
      <c r="A11" t="s">
        <v>48</v>
      </c>
      <c r="B11" s="7">
        <v>2</v>
      </c>
      <c r="C11" s="7">
        <v>3</v>
      </c>
      <c r="D11" s="7">
        <v>5</v>
      </c>
      <c r="E11" s="7">
        <v>159</v>
      </c>
      <c r="F11" s="7">
        <v>33447</v>
      </c>
      <c r="H11" s="10" t="str">
        <f t="shared" si="0"/>
        <v>0</v>
      </c>
      <c r="I11">
        <f t="shared" si="1"/>
        <v>96</v>
      </c>
      <c r="J11">
        <f t="shared" si="2"/>
        <v>-21447</v>
      </c>
    </row>
    <row r="12" spans="1:10">
      <c r="A12" t="s">
        <v>49</v>
      </c>
      <c r="B12" s="7">
        <v>2</v>
      </c>
      <c r="C12" s="7">
        <v>6</v>
      </c>
      <c r="D12" s="7">
        <v>6</v>
      </c>
      <c r="E12" s="7">
        <v>17</v>
      </c>
      <c r="F12" s="7">
        <v>573</v>
      </c>
      <c r="H12" s="10">
        <f t="shared" si="0"/>
        <v>10</v>
      </c>
      <c r="I12">
        <f t="shared" si="1"/>
        <v>238</v>
      </c>
      <c r="J12">
        <f t="shared" si="2"/>
        <v>11427</v>
      </c>
    </row>
    <row r="13" spans="1:10">
      <c r="A13" t="s">
        <v>50</v>
      </c>
      <c r="B13" s="7">
        <v>2</v>
      </c>
      <c r="C13" s="7">
        <v>6</v>
      </c>
      <c r="D13" s="7">
        <v>6</v>
      </c>
      <c r="E13" s="7">
        <v>25</v>
      </c>
      <c r="F13" s="7">
        <v>842</v>
      </c>
      <c r="H13" s="10">
        <f t="shared" si="0"/>
        <v>10</v>
      </c>
      <c r="I13">
        <f t="shared" si="1"/>
        <v>230</v>
      </c>
      <c r="J13">
        <f t="shared" si="2"/>
        <v>11158</v>
      </c>
    </row>
    <row r="14" spans="1:10">
      <c r="A14" t="s">
        <v>51</v>
      </c>
      <c r="B14" s="7">
        <v>2</v>
      </c>
      <c r="C14" s="7">
        <v>4</v>
      </c>
      <c r="D14" s="7">
        <v>6</v>
      </c>
      <c r="E14" s="7">
        <v>163</v>
      </c>
      <c r="F14" s="7">
        <v>32502</v>
      </c>
      <c r="H14" s="10" t="str">
        <f t="shared" si="0"/>
        <v>0</v>
      </c>
      <c r="I14">
        <f t="shared" si="1"/>
        <v>92</v>
      </c>
      <c r="J14">
        <f t="shared" si="2"/>
        <v>-20502</v>
      </c>
    </row>
    <row r="15" spans="1:10">
      <c r="A15" t="s">
        <v>52</v>
      </c>
      <c r="B15" s="7">
        <v>2</v>
      </c>
      <c r="C15" s="7">
        <v>5</v>
      </c>
      <c r="D15" s="7">
        <v>7</v>
      </c>
      <c r="E15" s="7">
        <v>28</v>
      </c>
      <c r="F15" s="7">
        <v>944</v>
      </c>
      <c r="H15" s="10">
        <f t="shared" si="0"/>
        <v>9</v>
      </c>
      <c r="I15">
        <f t="shared" si="1"/>
        <v>227</v>
      </c>
      <c r="J15">
        <f t="shared" si="2"/>
        <v>11056</v>
      </c>
    </row>
    <row r="16" spans="1:10">
      <c r="A16" t="s">
        <v>53</v>
      </c>
      <c r="B16" s="7">
        <v>2</v>
      </c>
      <c r="C16" s="7">
        <v>3</v>
      </c>
      <c r="D16" s="7">
        <v>7</v>
      </c>
      <c r="E16" s="7">
        <v>262</v>
      </c>
      <c r="F16" s="7">
        <v>8833</v>
      </c>
      <c r="H16" s="10" t="str">
        <f t="shared" si="0"/>
        <v>0</v>
      </c>
      <c r="I16">
        <f t="shared" si="1"/>
        <v>-7</v>
      </c>
      <c r="J16">
        <f t="shared" si="2"/>
        <v>3167</v>
      </c>
    </row>
    <row r="17" spans="1:13">
      <c r="A17" t="s">
        <v>54</v>
      </c>
      <c r="B17" s="7">
        <v>2</v>
      </c>
      <c r="C17" s="7">
        <v>5</v>
      </c>
      <c r="D17" s="7">
        <v>7</v>
      </c>
      <c r="E17" s="7">
        <v>295</v>
      </c>
      <c r="F17" s="7">
        <v>38032</v>
      </c>
      <c r="H17" s="10" t="str">
        <f t="shared" si="0"/>
        <v>0</v>
      </c>
      <c r="I17">
        <f t="shared" si="1"/>
        <v>-40</v>
      </c>
      <c r="J17">
        <f t="shared" si="2"/>
        <v>-26032</v>
      </c>
    </row>
    <row r="18" spans="1:13">
      <c r="A18" t="s">
        <v>55</v>
      </c>
      <c r="B18" s="7">
        <v>2</v>
      </c>
      <c r="C18" s="7">
        <v>3</v>
      </c>
      <c r="D18" s="7">
        <v>8</v>
      </c>
      <c r="E18" s="7">
        <v>92</v>
      </c>
      <c r="F18" s="7">
        <v>12070</v>
      </c>
      <c r="H18" s="10" t="str">
        <f t="shared" si="0"/>
        <v>0</v>
      </c>
      <c r="I18">
        <f t="shared" si="1"/>
        <v>163</v>
      </c>
      <c r="J18">
        <f t="shared" si="2"/>
        <v>-70</v>
      </c>
    </row>
    <row r="19" spans="1:13">
      <c r="A19" t="s">
        <v>56</v>
      </c>
      <c r="B19" s="7">
        <v>2</v>
      </c>
      <c r="C19" s="7">
        <v>3</v>
      </c>
      <c r="D19" s="7">
        <v>8</v>
      </c>
      <c r="E19" s="7">
        <v>139</v>
      </c>
      <c r="F19" s="7">
        <v>32772</v>
      </c>
      <c r="H19" s="10" t="str">
        <f t="shared" si="0"/>
        <v>0</v>
      </c>
      <c r="I19">
        <f t="shared" si="1"/>
        <v>116</v>
      </c>
      <c r="J19">
        <f t="shared" si="2"/>
        <v>-20772</v>
      </c>
    </row>
    <row r="20" spans="1:13">
      <c r="G20" t="s">
        <v>76</v>
      </c>
      <c r="H20">
        <f>SUMIF(H4:H19,"&gt;0",H4:H19)</f>
        <v>114</v>
      </c>
      <c r="I20">
        <f>SUMIF(I4:I19,"&gt;0",I4:I19)</f>
        <v>2701</v>
      </c>
      <c r="J20">
        <f>SUMIF(J4:J19,"&gt;0",J4:J19)</f>
        <v>108269</v>
      </c>
    </row>
    <row r="22" spans="1:13" ht="72" customHeight="1">
      <c r="A22" s="8" t="s">
        <v>71</v>
      </c>
      <c r="D22" s="9">
        <v>16</v>
      </c>
      <c r="E22" s="9">
        <v>255</v>
      </c>
      <c r="F22" s="9">
        <v>12000</v>
      </c>
      <c r="G22" s="439" t="s">
        <v>72</v>
      </c>
      <c r="H22" s="439"/>
      <c r="I22" s="439"/>
      <c r="J22" s="439"/>
      <c r="K22" s="439"/>
      <c r="L22" s="439"/>
      <c r="M22" s="439"/>
    </row>
  </sheetData>
  <mergeCells count="2">
    <mergeCell ref="H1:J1"/>
    <mergeCell ref="G22:M22"/>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10"/>
  <dimension ref="A1:H12"/>
  <sheetViews>
    <sheetView workbookViewId="0">
      <selection activeCell="C40" sqref="C40"/>
    </sheetView>
  </sheetViews>
  <sheetFormatPr defaultRowHeight="15"/>
  <cols>
    <col min="1" max="1" width="10.140625" style="5" bestFit="1" customWidth="1"/>
    <col min="2" max="3" width="25.140625" style="12" bestFit="1" customWidth="1"/>
    <col min="4" max="5" width="24.7109375" style="12" bestFit="1" customWidth="1"/>
    <col min="6" max="6" width="25" style="12" bestFit="1" customWidth="1"/>
    <col min="7" max="7" width="10" style="12" bestFit="1" customWidth="1"/>
    <col min="8" max="8" width="10.140625" style="12" bestFit="1" customWidth="1"/>
  </cols>
  <sheetData>
    <row r="1" spans="1:8">
      <c r="B1" s="154" t="s">
        <v>170</v>
      </c>
      <c r="C1" s="154" t="s">
        <v>171</v>
      </c>
      <c r="D1" s="154" t="s">
        <v>172</v>
      </c>
      <c r="E1" s="154" t="s">
        <v>173</v>
      </c>
      <c r="F1" s="154" t="s">
        <v>174</v>
      </c>
      <c r="G1" s="154" t="s">
        <v>175</v>
      </c>
      <c r="H1" s="154" t="s">
        <v>176</v>
      </c>
    </row>
    <row r="2" spans="1:8">
      <c r="A2" s="5">
        <v>41135</v>
      </c>
      <c r="B2" s="12">
        <f ca="1">VLOOKUP(A2,'Allocated charts'!A:L,2,FALSE)</f>
        <v>0.6083984375</v>
      </c>
      <c r="C2" s="12">
        <f ca="1">VLOOKUP(A2,'Allocated charts'!A:L,3,FALSE)</f>
        <v>0.7275390625</v>
      </c>
      <c r="D2" s="12">
        <f ca="1">VLOOKUP(A2,'Allocated charts'!A:L,4,FALSE)+VLOOKUP(A2,'Allocated charts'!A:L,6,FALSE)+VLOOKUP(A2,'Allocated charts'!A:L,8,FALSE)</f>
        <v>5.92578125</v>
      </c>
      <c r="E2" s="12">
        <f ca="1">VLOOKUP(A2,'Allocated charts'!A:L,5,FALSE)+VLOOKUP(A2,'Allocated charts'!A:L,7,FALSE)</f>
        <v>3.6630859375</v>
      </c>
      <c r="F2" s="12">
        <f ca="1">VLOOKUP(A2,'Allocated charts'!A:L,9,FALSE)+VLOOKUP(A2,'Allocated charts'!A:L,10,FALSE)</f>
        <v>3.7919921875</v>
      </c>
      <c r="G2" s="12">
        <f ca="1">VLOOKUP(A2,'Allocated charts'!A:L,11,FALSE)+VLOOKUP(A2,'Allocated charts'!A:L,12,FALSE)</f>
        <v>4.9169921875</v>
      </c>
      <c r="H2" s="12">
        <f ca="1">VLOOKUP(A2,'Allocated charts'!A:M,13,FALSE)</f>
        <v>2.208984375</v>
      </c>
    </row>
    <row r="3" spans="1:8">
      <c r="A3" s="5">
        <v>41120</v>
      </c>
      <c r="B3" s="12">
        <f ca="1">VLOOKUP(A3,'Allocated charts'!A:L,2,FALSE)</f>
        <v>0.6083984375</v>
      </c>
      <c r="C3" s="12">
        <f ca="1">VLOOKUP(A3,'Allocated charts'!A:L,3,FALSE)</f>
        <v>0.7275390625</v>
      </c>
      <c r="D3" s="12">
        <f ca="1">VLOOKUP(A3,'Allocated charts'!A:L,4,FALSE)+VLOOKUP(A3,'Allocated charts'!A:L,6,FALSE)+VLOOKUP(A3,'Allocated charts'!A:L,8,FALSE)</f>
        <v>5.92578125</v>
      </c>
      <c r="E3" s="12">
        <f ca="1">VLOOKUP(A3,'Allocated charts'!A:L,5,FALSE)+VLOOKUP(A3,'Allocated charts'!A:L,7,FALSE)</f>
        <v>3.6630859375</v>
      </c>
      <c r="F3" s="12">
        <f ca="1">VLOOKUP(A3,'Allocated charts'!A:L,9,FALSE)+VLOOKUP(A3,'Allocated charts'!A:L,10,FALSE)</f>
        <v>3.7919921875</v>
      </c>
      <c r="G3" s="12">
        <f ca="1">VLOOKUP(A3,'Allocated charts'!A:L,11,FALSE)+VLOOKUP(A3,'Allocated charts'!A:L,12,FALSE)</f>
        <v>4.9169921875</v>
      </c>
      <c r="H3" s="12">
        <f ca="1">VLOOKUP(A3,'Allocated charts'!A:M,13,FALSE)</f>
        <v>2.208984375</v>
      </c>
    </row>
    <row r="4" spans="1:8">
      <c r="A4" s="5">
        <v>41092</v>
      </c>
      <c r="B4" s="12">
        <f ca="1">VLOOKUP(A4,'Allocated charts'!A:L,2,FALSE)</f>
        <v>0.6083984375</v>
      </c>
      <c r="C4" s="12">
        <f ca="1">VLOOKUP(A4,'Allocated charts'!A:L,3,FALSE)</f>
        <v>0.7275390625</v>
      </c>
      <c r="D4" s="12">
        <f ca="1">VLOOKUP(A4,'Allocated charts'!A:L,4,FALSE)+VLOOKUP(A4,'Allocated charts'!A:L,6,FALSE)+VLOOKUP(A4,'Allocated charts'!A:L,8,FALSE)</f>
        <v>5.92578125</v>
      </c>
      <c r="E4" s="12">
        <f ca="1">VLOOKUP(A4,'Allocated charts'!A:L,5,FALSE)+VLOOKUP(A4,'Allocated charts'!A:L,7,FALSE)</f>
        <v>3.6630859375</v>
      </c>
      <c r="F4" s="12">
        <f ca="1">VLOOKUP(A4,'Allocated charts'!A:L,9,FALSE)+VLOOKUP(A4,'Allocated charts'!A:L,10,FALSE)</f>
        <v>3.7919921875</v>
      </c>
      <c r="G4" s="12">
        <f ca="1">VLOOKUP(A4,'Allocated charts'!A:L,11,FALSE)+VLOOKUP(A4,'Allocated charts'!A:L,12,FALSE)</f>
        <v>4.9169921875</v>
      </c>
      <c r="H4" s="12">
        <f ca="1">VLOOKUP(A4,'Allocated charts'!A:M,13,FALSE)</f>
        <v>2.208984375</v>
      </c>
    </row>
    <row r="5" spans="1:8">
      <c r="A5" s="5">
        <v>41059</v>
      </c>
      <c r="B5" s="12">
        <f ca="1">VLOOKUP(A5,'Allocated charts'!A:L,2,FALSE)</f>
        <v>0.6083984375</v>
      </c>
      <c r="C5" s="12">
        <f ca="1">VLOOKUP(A5,'Allocated charts'!A:L,3,FALSE)</f>
        <v>0.7275390625</v>
      </c>
      <c r="D5" s="12">
        <f ca="1">VLOOKUP(A5,'Allocated charts'!A:L,4,FALSE)+VLOOKUP(A5,'Allocated charts'!A:L,6,FALSE)+VLOOKUP(A5,'Allocated charts'!A:L,8,FALSE)</f>
        <v>5.92578125</v>
      </c>
      <c r="E5" s="12">
        <f ca="1">VLOOKUP(A5,'Allocated charts'!A:L,5,FALSE)+VLOOKUP(A5,'Allocated charts'!A:L,7,FALSE)</f>
        <v>3.6630859375</v>
      </c>
      <c r="F5" s="12">
        <f ca="1">VLOOKUP(A5,'Allocated charts'!A:L,9,FALSE)+VLOOKUP(A5,'Allocated charts'!A:L,10,FALSE)</f>
        <v>3.7919921875</v>
      </c>
      <c r="G5" s="12">
        <f ca="1">VLOOKUP(A5,'Allocated charts'!A:L,11,FALSE)+VLOOKUP(A5,'Allocated charts'!A:L,12,FALSE)</f>
        <v>4.9169921875</v>
      </c>
      <c r="H5" s="12">
        <f ca="1">VLOOKUP(A5,'Allocated charts'!A:M,13,FALSE)</f>
        <v>2.208984375</v>
      </c>
    </row>
    <row r="6" spans="1:8">
      <c r="A6" s="5">
        <v>41026</v>
      </c>
      <c r="B6" s="12">
        <f ca="1">VLOOKUP(A6,'Allocated charts'!A:L,2,FALSE)</f>
        <v>0.6083984375</v>
      </c>
      <c r="C6" s="12">
        <f ca="1">VLOOKUP(A6,'Allocated charts'!A:L,3,FALSE)</f>
        <v>0.7275390625</v>
      </c>
      <c r="D6" s="12">
        <f ca="1">VLOOKUP(A6,'Allocated charts'!A:L,4,FALSE)+VLOOKUP(A6,'Allocated charts'!A:L,6,FALSE)+VLOOKUP(A6,'Allocated charts'!A:L,8,FALSE)</f>
        <v>5.92578125</v>
      </c>
      <c r="E6" s="12">
        <f ca="1">VLOOKUP(A6,'Allocated charts'!A:L,5,FALSE)+VLOOKUP(A6,'Allocated charts'!A:L,7,FALSE)</f>
        <v>3.6630859375</v>
      </c>
      <c r="F6" s="12">
        <f ca="1">VLOOKUP(A6,'Allocated charts'!A:L,9,FALSE)+VLOOKUP(A6,'Allocated charts'!A:L,10,FALSE)</f>
        <v>3.7919921875</v>
      </c>
      <c r="G6" s="12">
        <f ca="1">VLOOKUP(A6,'Allocated charts'!A:L,11,FALSE)+VLOOKUP(A6,'Allocated charts'!A:L,12,FALSE)</f>
        <v>4.9169921875</v>
      </c>
      <c r="H6" s="12">
        <f ca="1">VLOOKUP(A6,'Allocated charts'!A:M,13,FALSE)</f>
        <v>2.208984375</v>
      </c>
    </row>
    <row r="7" spans="1:8">
      <c r="A7" s="5">
        <v>40998</v>
      </c>
      <c r="B7" s="12">
        <f ca="1">VLOOKUP(A7,'Allocated charts'!A:L,2,FALSE)</f>
        <v>0.6083984375</v>
      </c>
      <c r="C7" s="12">
        <f ca="1">VLOOKUP(A7,'Allocated charts'!A:L,3,FALSE)</f>
        <v>0.7275390625</v>
      </c>
      <c r="D7" s="12">
        <f ca="1">VLOOKUP(A7,'Allocated charts'!A:L,4,FALSE)+VLOOKUP(A7,'Allocated charts'!A:L,6,FALSE)+VLOOKUP(A7,'Allocated charts'!A:L,8,FALSE)</f>
        <v>5.92578125</v>
      </c>
      <c r="E7" s="12">
        <f ca="1">VLOOKUP(A7,'Allocated charts'!A:L,5,FALSE)+VLOOKUP(A7,'Allocated charts'!A:L,7,FALSE)</f>
        <v>3.6630859375</v>
      </c>
      <c r="F7" s="12">
        <f ca="1">VLOOKUP(A7,'Allocated charts'!A:L,9,FALSE)+VLOOKUP(A7,'Allocated charts'!A:L,10,FALSE)</f>
        <v>3.7919921875</v>
      </c>
      <c r="G7" s="12">
        <f ca="1">VLOOKUP(A7,'Allocated charts'!A:L,11,FALSE)+VLOOKUP(A7,'Allocated charts'!A:L,12,FALSE)</f>
        <v>4.9169921875</v>
      </c>
      <c r="H7" s="12">
        <f ca="1">VLOOKUP(A7,'Allocated charts'!A:M,13,FALSE)</f>
        <v>2.208984375</v>
      </c>
    </row>
    <row r="8" spans="1:8">
      <c r="A8" s="5">
        <v>40851</v>
      </c>
      <c r="B8" s="12" t="e">
        <f>VLOOKUP(A8,'Allocated charts'!A:L,2,FALSE)</f>
        <v>#N/A</v>
      </c>
      <c r="C8" s="12" t="e">
        <f>VLOOKUP(A8,'Allocated charts'!A:L,3,FALSE)</f>
        <v>#N/A</v>
      </c>
      <c r="D8" s="12" t="e">
        <f>VLOOKUP(A8,'Allocated charts'!A:L,4,FALSE)+VLOOKUP(A8,'Allocated charts'!A:L,6,FALSE)+VLOOKUP(A8,'Allocated charts'!A:L,8,FALSE)</f>
        <v>#N/A</v>
      </c>
      <c r="E8" s="12" t="e">
        <f>VLOOKUP(A8,'Allocated charts'!A:L,5,FALSE)+VLOOKUP(A8,'Allocated charts'!A:L,7,FALSE)</f>
        <v>#N/A</v>
      </c>
      <c r="F8" s="12" t="e">
        <f>VLOOKUP(A8,'Allocated charts'!A:L,9,FALSE)+VLOOKUP(A8,'Allocated charts'!A:L,10,FALSE)</f>
        <v>#N/A</v>
      </c>
      <c r="G8" s="12" t="e">
        <f>VLOOKUP(A8,'Allocated charts'!A:L,11,FALSE)+VLOOKUP(A8,'Allocated charts'!A:L,12,FALSE)</f>
        <v>#N/A</v>
      </c>
      <c r="H8" s="12" t="e">
        <f>VLOOKUP(A8,'Allocated charts'!A:M,13,FALSE)</f>
        <v>#N/A</v>
      </c>
    </row>
    <row r="9" spans="1:8">
      <c r="A9" s="5">
        <v>40821</v>
      </c>
      <c r="B9" s="12" t="e">
        <f>VLOOKUP(A9,'Allocated charts'!A:L,2,FALSE)</f>
        <v>#N/A</v>
      </c>
      <c r="C9" s="12" t="e">
        <f>VLOOKUP(A9,'Allocated charts'!A:L,3,FALSE)</f>
        <v>#N/A</v>
      </c>
      <c r="D9" s="12" t="e">
        <f>VLOOKUP(A9,'Allocated charts'!A:L,4,FALSE)+VLOOKUP(A9,'Allocated charts'!A:L,6,FALSE)+VLOOKUP(A9,'Allocated charts'!A:L,8,FALSE)</f>
        <v>#N/A</v>
      </c>
      <c r="E9" s="12" t="e">
        <f>VLOOKUP(A9,'Allocated charts'!A:L,5,FALSE)+VLOOKUP(A9,'Allocated charts'!A:L,7,FALSE)</f>
        <v>#N/A</v>
      </c>
      <c r="F9" s="12" t="e">
        <f>VLOOKUP(A9,'Allocated charts'!A:L,9,FALSE)+VLOOKUP(A9,'Allocated charts'!A:L,10,FALSE)</f>
        <v>#N/A</v>
      </c>
      <c r="G9" s="12" t="e">
        <f>VLOOKUP(A9,'Allocated charts'!A:L,11,FALSE)+VLOOKUP(A9,'Allocated charts'!A:L,12,FALSE)</f>
        <v>#N/A</v>
      </c>
      <c r="H9" s="12" t="e">
        <f>VLOOKUP(A9,'Allocated charts'!A:M,13,FALSE)</f>
        <v>#N/A</v>
      </c>
    </row>
    <row r="10" spans="1:8">
      <c r="A10" s="5">
        <v>40791</v>
      </c>
      <c r="B10" s="12" t="e">
        <f>VLOOKUP(A10,'Allocated charts'!A:L,2,FALSE)</f>
        <v>#N/A</v>
      </c>
      <c r="C10" s="12" t="e">
        <f>VLOOKUP(A10,'Allocated charts'!A:L,3,FALSE)</f>
        <v>#N/A</v>
      </c>
      <c r="D10" s="12" t="e">
        <f>VLOOKUP(A10,'Allocated charts'!A:L,4,FALSE)+VLOOKUP(A10,'Allocated charts'!A:L,6,FALSE)+VLOOKUP(A10,'Allocated charts'!A:L,8,FALSE)</f>
        <v>#N/A</v>
      </c>
      <c r="E10" s="12" t="e">
        <f>VLOOKUP(A10,'Allocated charts'!A:L,5,FALSE)+VLOOKUP(A10,'Allocated charts'!A:L,7,FALSE)</f>
        <v>#N/A</v>
      </c>
      <c r="F10" s="12" t="e">
        <f>VLOOKUP(A10,'Allocated charts'!A:L,9,FALSE)+VLOOKUP(A10,'Allocated charts'!A:L,10,FALSE)</f>
        <v>#N/A</v>
      </c>
      <c r="G10" s="12" t="e">
        <f>VLOOKUP(A10,'Allocated charts'!A:L,11,FALSE)+VLOOKUP(A10,'Allocated charts'!A:L,12,FALSE)</f>
        <v>#N/A</v>
      </c>
      <c r="H10" s="12" t="e">
        <f>VLOOKUP(A10,'Allocated charts'!A:M,13,FALSE)</f>
        <v>#N/A</v>
      </c>
    </row>
    <row r="11" spans="1:8">
      <c r="A11" s="5">
        <v>40759</v>
      </c>
      <c r="B11" s="12" t="e">
        <f>VLOOKUP(A11,'Allocated charts'!A:L,2,FALSE)</f>
        <v>#N/A</v>
      </c>
      <c r="C11" s="12" t="e">
        <f>VLOOKUP(A11,'Allocated charts'!A:L,3,FALSE)</f>
        <v>#N/A</v>
      </c>
      <c r="D11" s="12" t="e">
        <f>VLOOKUP(A11,'Allocated charts'!A:L,4,FALSE)+VLOOKUP(A11,'Allocated charts'!A:L,6,FALSE)+VLOOKUP(A11,'Allocated charts'!A:L,8,FALSE)</f>
        <v>#N/A</v>
      </c>
      <c r="E11" s="12" t="e">
        <f>VLOOKUP(A11,'Allocated charts'!A:L,5,FALSE)+VLOOKUP(A11,'Allocated charts'!A:L,7,FALSE)</f>
        <v>#N/A</v>
      </c>
      <c r="F11" s="12" t="e">
        <f>VLOOKUP(A11,'Allocated charts'!A:L,9,FALSE)+VLOOKUP(A11,'Allocated charts'!A:L,10,FALSE)</f>
        <v>#N/A</v>
      </c>
      <c r="G11" s="12" t="e">
        <f>VLOOKUP(A11,'Allocated charts'!A:L,11,FALSE)+VLOOKUP(A11,'Allocated charts'!A:L,12,FALSE)</f>
        <v>#N/A</v>
      </c>
      <c r="H11" s="12" t="e">
        <f>VLOOKUP(A11,'Allocated charts'!A:M,13,FALSE)</f>
        <v>#N/A</v>
      </c>
    </row>
    <row r="12" spans="1:8">
      <c r="A12" s="5">
        <v>40729</v>
      </c>
      <c r="B12" s="12" t="e">
        <f>VLOOKUP(A12,'Allocated charts'!A:L,2,FALSE)</f>
        <v>#N/A</v>
      </c>
      <c r="C12" s="12" t="e">
        <f>VLOOKUP(A12,'Allocated charts'!A:L,3,FALSE)</f>
        <v>#N/A</v>
      </c>
      <c r="D12" s="12" t="e">
        <f>VLOOKUP(A12,'Allocated charts'!A:L,4,FALSE)+VLOOKUP(A12,'Allocated charts'!A:L,6,FALSE)+VLOOKUP(A12,'Allocated charts'!A:L,8,FALSE)</f>
        <v>#N/A</v>
      </c>
      <c r="E12" s="12" t="e">
        <f>VLOOKUP(A12,'Allocated charts'!A:L,5,FALSE)+VLOOKUP(A12,'Allocated charts'!A:L,7,FALSE)</f>
        <v>#N/A</v>
      </c>
      <c r="F12" s="12" t="e">
        <f>VLOOKUP(A12,'Allocated charts'!A:L,9,FALSE)+VLOOKUP(A12,'Allocated charts'!A:L,10,FALSE)</f>
        <v>#N/A</v>
      </c>
      <c r="G12" s="12" t="e">
        <f>VLOOKUP(A12,'Allocated charts'!A:L,11,FALSE)+VLOOKUP(A12,'Allocated charts'!A:L,12,FALSE)</f>
        <v>#N/A</v>
      </c>
      <c r="H12" s="12" t="e">
        <f>VLOOKUP(A12,'Allocated charts'!A:M,13,FALSE)</f>
        <v>#N/A</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B0F3F24-F0AB-4B1E-B1A8-17B47CD624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1DA2868-97B7-4917-982D-B6731652D047}">
  <ds:schemaRefs>
    <ds:schemaRef ds:uri="http://schemas.microsoft.com/sharepoint/v3/contenttype/forms"/>
  </ds:schemaRefs>
</ds:datastoreItem>
</file>

<file path=customXml/itemProps3.xml><?xml version="1.0" encoding="utf-8"?>
<ds:datastoreItem xmlns:ds="http://schemas.openxmlformats.org/officeDocument/2006/customXml" ds:itemID="{55D2A48B-9331-49D5-AAEC-3095FD6E140E}">
  <ds:schemaRefs>
    <ds:schemaRef ds:uri="http://purl.org/dc/elements/1.1/"/>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DA5C3ECD-DDA3-4F31-BA9F-EBF2F38E01C5}">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vt:lpstr>
      <vt:lpstr>used space Charts</vt:lpstr>
      <vt:lpstr>subscription charts</vt:lpstr>
      <vt:lpstr>Used GB Charts</vt:lpstr>
      <vt:lpstr>Allocated charts</vt:lpstr>
      <vt:lpstr>Instructions</vt:lpstr>
      <vt:lpstr>Formula explanation</vt:lpstr>
      <vt:lpstr>678 port usage</vt:lpstr>
      <vt:lpstr>879 port usage</vt:lpstr>
      <vt:lpstr>Alloc Feed</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sm28519</dc:creator>
  <cp:lastModifiedBy>Ashok Kumar Reddy</cp:lastModifiedBy>
  <cp:lastPrinted>2012-04-16T10:09:09Z</cp:lastPrinted>
  <dcterms:created xsi:type="dcterms:W3CDTF">2010-04-19T13:59:20Z</dcterms:created>
  <dcterms:modified xsi:type="dcterms:W3CDTF">2013-06-20T08:58:32Z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ContentType">
    <vt:lpwstr>Document</vt:lpwstr>
  </property>
</Properties>
</file>